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15" yWindow="-15" windowWidth="6825" windowHeight="8160"/>
  </bookViews>
  <sheets>
    <sheet name="Abt" sheetId="1" r:id="rId1"/>
    <sheet name="Dtl" sheetId="2" r:id="rId2"/>
    <sheet name="Data" sheetId="6" state="hidden" r:id="rId3"/>
    <sheet name="Elec.Data" sheetId="7" state="hidden" r:id="rId4"/>
    <sheet name="Est Data" sheetId="5" state="hidden" r:id="rId5"/>
    <sheet name="Old Abt" sheetId="9" state="hidden" r:id="rId6"/>
    <sheet name="Old Dtl" sheetId="8" state="hidden" r:id="rId7"/>
    <sheet name="Old Data" sheetId="4" state="hidden" r:id="rId8"/>
    <sheet name="Sheet1" sheetId="11" r:id="rId9"/>
    <sheet name="Sheet2" sheetId="12" r:id="rId10"/>
  </sheets>
  <externalReferences>
    <externalReference r:id="rId11"/>
    <externalReference r:id="rId12"/>
    <externalReference r:id="rId13"/>
    <externalReference r:id="rId14"/>
    <externalReference r:id="rId15"/>
  </externalReferences>
  <definedNames>
    <definedName name="ahfk" localSheetId="2">#REF!</definedName>
    <definedName name="ahfk" localSheetId="3">#REF!</definedName>
    <definedName name="ahfk" localSheetId="5">#REF!</definedName>
    <definedName name="ahfk" localSheetId="6">#REF!</definedName>
    <definedName name="ahfk">#REF!</definedName>
    <definedName name="electri" localSheetId="2">#REF!</definedName>
    <definedName name="electri" localSheetId="3">#REF!</definedName>
    <definedName name="electri" localSheetId="5">#REF!</definedName>
    <definedName name="electri" localSheetId="6">#REF!</definedName>
    <definedName name="electri">#REF!</definedName>
    <definedName name="fhd" localSheetId="2">#REF!</definedName>
    <definedName name="fhd" localSheetId="3">#REF!</definedName>
    <definedName name="fhd" localSheetId="5">#REF!</definedName>
    <definedName name="fhd" localSheetId="6">#REF!</definedName>
    <definedName name="fhd">#REF!</definedName>
    <definedName name="hia" localSheetId="2">#REF!</definedName>
    <definedName name="hia" localSheetId="3">#REF!</definedName>
    <definedName name="hia" localSheetId="5">#REF!</definedName>
    <definedName name="hia" localSheetId="7">#REF!</definedName>
    <definedName name="hia" localSheetId="6">#REF!</definedName>
    <definedName name="hia">#REF!</definedName>
    <definedName name="ins" localSheetId="2">#REF!</definedName>
    <definedName name="ins" localSheetId="3">#REF!</definedName>
    <definedName name="ins" localSheetId="5">#REF!</definedName>
    <definedName name="ins" localSheetId="6">#REF!</definedName>
    <definedName name="ins">#REF!</definedName>
    <definedName name="k404." localSheetId="2">#REF!</definedName>
    <definedName name="k404." localSheetId="3">#REF!</definedName>
    <definedName name="k404." localSheetId="5">#REF!</definedName>
    <definedName name="k404." localSheetId="6">#REF!</definedName>
    <definedName name="k404.">#REF!</definedName>
    <definedName name="pc" localSheetId="2">#REF!</definedName>
    <definedName name="pc" localSheetId="3">#REF!</definedName>
    <definedName name="pc" localSheetId="5">#REF!</definedName>
    <definedName name="pc" localSheetId="6">#REF!</definedName>
    <definedName name="pc">#REF!</definedName>
    <definedName name="print" localSheetId="2">#REF!</definedName>
    <definedName name="print" localSheetId="3">#REF!</definedName>
    <definedName name="print" localSheetId="5">#REF!</definedName>
    <definedName name="print" localSheetId="7">#REF!</definedName>
    <definedName name="print" localSheetId="6">#REF!</definedName>
    <definedName name="print">#REF!</definedName>
    <definedName name="_xlnm.Print_Area" localSheetId="0">Abt!$A$1:$F$30</definedName>
    <definedName name="_xlnm.Print_Area" localSheetId="2">Data!$T$1:$AE$53</definedName>
    <definedName name="_xlnm.Print_Area" localSheetId="1">Dtl!$A$1:$H$140</definedName>
    <definedName name="_xlnm.Print_Area" localSheetId="3">Elec.Data!$M$3716:$R$3730</definedName>
    <definedName name="_xlnm.Print_Area" localSheetId="4">'Est Data'!$A$1:$F$428</definedName>
    <definedName name="_xlnm.Print_Area" localSheetId="5">'Old Abt'!$A$1:$F$31</definedName>
    <definedName name="_xlnm.Print_Area" localSheetId="7">'Old Data'!$F$1:$K$91</definedName>
    <definedName name="_xlnm.Print_Area" localSheetId="6">'Old Dtl'!$A$1:$H$348</definedName>
    <definedName name="_xlnm.Print_Area" localSheetId="8">Sheet1!$A$1:$F$296</definedName>
    <definedName name="_xlnm.Print_Area">#REF!</definedName>
    <definedName name="Print_Area_MI" localSheetId="2">Data!$F$1:$K$214</definedName>
    <definedName name="Print_Area_MI" localSheetId="3">Elec.Data!$F$1:$K$213</definedName>
    <definedName name="PRINT_AREA_MI" localSheetId="5">#REF!</definedName>
    <definedName name="Print_Area_MI" localSheetId="7">'Old Data'!$F$1:$K$214</definedName>
    <definedName name="PRINT_AREA_MI" localSheetId="6">#REF!</definedName>
    <definedName name="PRINT_AREA_MI">#REF!</definedName>
    <definedName name="_xlnm.Print_Titles" localSheetId="2">#REF!</definedName>
    <definedName name="_xlnm.Print_Titles" localSheetId="3">#REF!</definedName>
    <definedName name="_xlnm.Print_Titles" localSheetId="5">#REF!</definedName>
    <definedName name="_xlnm.Print_Titles" localSheetId="6">#REF!</definedName>
    <definedName name="_xlnm.Print_Titles">#REF!</definedName>
    <definedName name="PRINT_TITLES_MI" localSheetId="2">Data!$GJ$7:$IG$7592</definedName>
    <definedName name="PRINT_TITLES_MI" localSheetId="3">Elec.Data!$GJ$7:$IG$7608</definedName>
    <definedName name="PRINT_TITLES_MI" localSheetId="5">#REF!</definedName>
    <definedName name="PRINT_TITLES_MI" localSheetId="7">'Old Data'!$GJ$7:$IG$7592</definedName>
    <definedName name="PRINT_TITLES_MI" localSheetId="6">#REF!</definedName>
    <definedName name="PRINT_TITLES_MI">#REF!</definedName>
    <definedName name="QQE" localSheetId="2">#REF!</definedName>
    <definedName name="QQE" localSheetId="3">#REF!</definedName>
    <definedName name="QQE" localSheetId="5">#REF!</definedName>
    <definedName name="QQE" localSheetId="6">#REF!</definedName>
    <definedName name="QQE">#REF!</definedName>
    <definedName name="QWE" localSheetId="2">#REF!</definedName>
    <definedName name="QWE" localSheetId="3">#REF!</definedName>
    <definedName name="QWE" localSheetId="5">#REF!</definedName>
    <definedName name="QWE" localSheetId="6">#REF!</definedName>
    <definedName name="QWE">#REF!</definedName>
  </definedNames>
  <calcPr calcId="124519"/>
</workbook>
</file>

<file path=xl/calcChain.xml><?xml version="1.0" encoding="utf-8"?>
<calcChain xmlns="http://schemas.openxmlformats.org/spreadsheetml/2006/main">
  <c r="F28" i="1"/>
  <c r="F27"/>
  <c r="F26"/>
  <c r="F25"/>
  <c r="F24"/>
  <c r="F5"/>
  <c r="F6"/>
  <c r="F7"/>
  <c r="F8"/>
  <c r="F9"/>
  <c r="F10"/>
  <c r="F11"/>
  <c r="F12"/>
  <c r="F13"/>
  <c r="F14"/>
  <c r="F15"/>
  <c r="F16"/>
  <c r="F17"/>
  <c r="F18"/>
  <c r="F19"/>
  <c r="F20"/>
  <c r="F21"/>
  <c r="F22"/>
  <c r="F23"/>
  <c r="F4"/>
  <c r="H94" i="2"/>
  <c r="H78"/>
  <c r="H79"/>
  <c r="H80"/>
  <c r="H77"/>
  <c r="H81" l="1"/>
  <c r="F286" i="11"/>
  <c r="F287"/>
  <c r="F288"/>
  <c r="F289"/>
  <c r="F292" s="1"/>
  <c r="F294" s="1"/>
  <c r="F285"/>
  <c r="D9" i="1" l="1"/>
  <c r="D8"/>
  <c r="D7"/>
  <c r="D6"/>
  <c r="D5"/>
  <c r="D4"/>
  <c r="F29" l="1"/>
  <c r="D22"/>
  <c r="D21"/>
  <c r="D18"/>
  <c r="D17"/>
  <c r="D16"/>
  <c r="D15"/>
  <c r="D14"/>
  <c r="D13"/>
  <c r="D12"/>
  <c r="D11"/>
  <c r="C23" l="1"/>
  <c r="C22"/>
  <c r="H140" i="2"/>
  <c r="H135"/>
  <c r="H74"/>
  <c r="H73"/>
  <c r="H28"/>
  <c r="H27"/>
  <c r="C7" i="1" l="1"/>
  <c r="C21" l="1"/>
  <c r="C20"/>
  <c r="C19"/>
  <c r="C18"/>
  <c r="C17"/>
  <c r="C16"/>
  <c r="C15"/>
  <c r="C14"/>
  <c r="C13"/>
  <c r="C12"/>
  <c r="C11"/>
  <c r="C10"/>
  <c r="C9"/>
  <c r="C8"/>
  <c r="C6"/>
  <c r="C5"/>
  <c r="C4"/>
  <c r="H128" i="2"/>
  <c r="H127"/>
  <c r="H99"/>
  <c r="H98"/>
  <c r="H97"/>
  <c r="H96"/>
  <c r="H110"/>
  <c r="H87"/>
  <c r="H85"/>
  <c r="H86"/>
  <c r="H84"/>
  <c r="H72"/>
  <c r="H71"/>
  <c r="H68"/>
  <c r="H67"/>
  <c r="H45"/>
  <c r="J56"/>
  <c r="L43"/>
  <c r="H43"/>
  <c r="H40"/>
  <c r="J38"/>
  <c r="K38" s="1"/>
  <c r="H34"/>
  <c r="H33"/>
  <c r="H26"/>
  <c r="H25"/>
  <c r="H20"/>
  <c r="H21"/>
  <c r="H22"/>
  <c r="H19"/>
  <c r="H16"/>
  <c r="H15"/>
  <c r="H8"/>
  <c r="H7"/>
  <c r="H6"/>
  <c r="H5"/>
  <c r="H114"/>
  <c r="H109"/>
  <c r="L83"/>
  <c r="K59"/>
  <c r="M37"/>
  <c r="M36"/>
  <c r="F403" i="5"/>
  <c r="H66" i="2"/>
  <c r="H65"/>
  <c r="H64"/>
  <c r="H63"/>
  <c r="H62"/>
  <c r="H61"/>
  <c r="H60"/>
  <c r="H59"/>
  <c r="H58"/>
  <c r="H57"/>
  <c r="H56"/>
  <c r="H55"/>
  <c r="H54"/>
  <c r="H53"/>
  <c r="H52"/>
  <c r="H51"/>
  <c r="H50"/>
  <c r="H49"/>
  <c r="H48"/>
  <c r="H47"/>
  <c r="H46"/>
  <c r="H44"/>
  <c r="H42"/>
  <c r="H41"/>
  <c r="H39"/>
  <c r="H38"/>
  <c r="H120"/>
  <c r="H121"/>
  <c r="H9" l="1"/>
  <c r="H17"/>
  <c r="H29"/>
  <c r="H75"/>
  <c r="H100"/>
  <c r="H129"/>
  <c r="H111"/>
  <c r="H69"/>
  <c r="H35"/>
  <c r="H23"/>
  <c r="F280" i="5"/>
  <c r="F281"/>
  <c r="F282"/>
  <c r="F279"/>
  <c r="F63"/>
  <c r="F64"/>
  <c r="F65"/>
  <c r="F66"/>
  <c r="F62"/>
  <c r="AE10" i="6"/>
  <c r="AE11"/>
  <c r="AE12"/>
  <c r="AE13"/>
  <c r="AE14"/>
  <c r="AE15"/>
  <c r="AE16"/>
  <c r="AE17"/>
  <c r="AE18"/>
  <c r="AE19"/>
  <c r="AE20"/>
  <c r="AE21"/>
  <c r="AE22"/>
  <c r="AE23"/>
  <c r="AE24"/>
  <c r="AE25"/>
  <c r="AE26"/>
  <c r="AE27"/>
  <c r="AE28"/>
  <c r="AE29"/>
  <c r="AE30"/>
  <c r="AE31"/>
  <c r="AE32"/>
  <c r="AE33"/>
  <c r="AE34"/>
  <c r="AE35"/>
  <c r="AE36"/>
  <c r="AE37"/>
  <c r="AE38"/>
  <c r="AE39"/>
  <c r="AE40"/>
  <c r="AE41"/>
  <c r="AE42"/>
  <c r="AE44"/>
  <c r="AE45"/>
  <c r="AE48"/>
  <c r="AE49"/>
  <c r="AE50"/>
  <c r="AE51"/>
  <c r="AE52"/>
  <c r="AE53"/>
  <c r="AE9"/>
  <c r="B345" i="8"/>
  <c r="H115" i="2"/>
  <c r="H116"/>
  <c r="H124"/>
  <c r="H119"/>
  <c r="G94"/>
  <c r="H102"/>
  <c r="H103" s="1"/>
  <c r="H105"/>
  <c r="H106" s="1"/>
  <c r="D24" i="9"/>
  <c r="C24"/>
  <c r="D23"/>
  <c r="B23"/>
  <c r="D22"/>
  <c r="C22"/>
  <c r="D17"/>
  <c r="C17"/>
  <c r="D16"/>
  <c r="C16"/>
  <c r="C15"/>
  <c r="C14"/>
  <c r="D13"/>
  <c r="C13"/>
  <c r="D12"/>
  <c r="C12"/>
  <c r="D11"/>
  <c r="C11"/>
  <c r="D10"/>
  <c r="C10"/>
  <c r="D9"/>
  <c r="D8"/>
  <c r="C7"/>
  <c r="C6"/>
  <c r="C5"/>
  <c r="C4"/>
  <c r="H347" i="8"/>
  <c r="H348" s="1"/>
  <c r="H344"/>
  <c r="H341"/>
  <c r="H338"/>
  <c r="H335"/>
  <c r="H331"/>
  <c r="H327"/>
  <c r="H324"/>
  <c r="H319"/>
  <c r="H318"/>
  <c r="H317"/>
  <c r="H316"/>
  <c r="H315"/>
  <c r="H314"/>
  <c r="H313"/>
  <c r="H320" s="1"/>
  <c r="H310"/>
  <c r="H311" s="1"/>
  <c r="H301"/>
  <c r="H300"/>
  <c r="H299"/>
  <c r="H298"/>
  <c r="H297"/>
  <c r="H296"/>
  <c r="H295"/>
  <c r="H294"/>
  <c r="H293"/>
  <c r="H292"/>
  <c r="H291"/>
  <c r="H290"/>
  <c r="H289"/>
  <c r="H288"/>
  <c r="H287"/>
  <c r="H302" s="1"/>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5"/>
  <c r="H94"/>
  <c r="H93"/>
  <c r="H92"/>
  <c r="H91"/>
  <c r="H90"/>
  <c r="H89"/>
  <c r="H88"/>
  <c r="H87"/>
  <c r="H86"/>
  <c r="H85"/>
  <c r="H84"/>
  <c r="H83"/>
  <c r="H82"/>
  <c r="H81"/>
  <c r="H80"/>
  <c r="H79"/>
  <c r="H78"/>
  <c r="H77"/>
  <c r="H76"/>
  <c r="H75"/>
  <c r="H74"/>
  <c r="H73"/>
  <c r="H72"/>
  <c r="H71"/>
  <c r="H70"/>
  <c r="H69"/>
  <c r="H68"/>
  <c r="H67"/>
  <c r="H66"/>
  <c r="H65"/>
  <c r="H64"/>
  <c r="H63"/>
  <c r="H62"/>
  <c r="H61"/>
  <c r="H60"/>
  <c r="H59"/>
  <c r="H58"/>
  <c r="H57"/>
  <c r="H56"/>
  <c r="H55"/>
  <c r="H54"/>
  <c r="H53"/>
  <c r="H52"/>
  <c r="H51"/>
  <c r="H50"/>
  <c r="H49"/>
  <c r="H48"/>
  <c r="H47"/>
  <c r="H46"/>
  <c r="H45"/>
  <c r="H44"/>
  <c r="H43"/>
  <c r="H42"/>
  <c r="H41"/>
  <c r="H40"/>
  <c r="H39"/>
  <c r="H38"/>
  <c r="H37"/>
  <c r="H36"/>
  <c r="H35"/>
  <c r="H34"/>
  <c r="H33"/>
  <c r="H32"/>
  <c r="H31"/>
  <c r="H30"/>
  <c r="H29"/>
  <c r="H28"/>
  <c r="H155" s="1"/>
  <c r="H24"/>
  <c r="H25" s="1"/>
  <c r="H21"/>
  <c r="H22" s="1"/>
  <c r="H18"/>
  <c r="H17"/>
  <c r="H16"/>
  <c r="H15"/>
  <c r="H14"/>
  <c r="H13"/>
  <c r="H12"/>
  <c r="H9"/>
  <c r="H8"/>
  <c r="H7"/>
  <c r="H6"/>
  <c r="H5"/>
  <c r="A1"/>
  <c r="K4077" i="7"/>
  <c r="K4076"/>
  <c r="K4075"/>
  <c r="K4074"/>
  <c r="K4073"/>
  <c r="K4072"/>
  <c r="K4071"/>
  <c r="K4070"/>
  <c r="K4069"/>
  <c r="K4066"/>
  <c r="K4065"/>
  <c r="I4065"/>
  <c r="K4064"/>
  <c r="K4063"/>
  <c r="K4061"/>
  <c r="F4055"/>
  <c r="K4055" s="1"/>
  <c r="K4079" s="1"/>
  <c r="K4054"/>
  <c r="K4039"/>
  <c r="I4039"/>
  <c r="K4030"/>
  <c r="J4021"/>
  <c r="K4011"/>
  <c r="K4010"/>
  <c r="K3996"/>
  <c r="I3996"/>
  <c r="K3995"/>
  <c r="L3979"/>
  <c r="K3975"/>
  <c r="K3974"/>
  <c r="K3949"/>
  <c r="I3949"/>
  <c r="L3942"/>
  <c r="L3941"/>
  <c r="I3935"/>
  <c r="K3935" s="1"/>
  <c r="I3934"/>
  <c r="K3934" s="1"/>
  <c r="K3933"/>
  <c r="K3923"/>
  <c r="I3923"/>
  <c r="K3922"/>
  <c r="I3922"/>
  <c r="K3921"/>
  <c r="I3921"/>
  <c r="K3920"/>
  <c r="K3924" s="1"/>
  <c r="I3938" s="1"/>
  <c r="K3938" s="1"/>
  <c r="I3920"/>
  <c r="L3899"/>
  <c r="I3894"/>
  <c r="K3894" s="1"/>
  <c r="I3893"/>
  <c r="K3893" s="1"/>
  <c r="K3890"/>
  <c r="L3879"/>
  <c r="K3876"/>
  <c r="K3875"/>
  <c r="L3858"/>
  <c r="L3857"/>
  <c r="K3854"/>
  <c r="K3853"/>
  <c r="N3852"/>
  <c r="L3843"/>
  <c r="L3841"/>
  <c r="H3838"/>
  <c r="K3827"/>
  <c r="I3827"/>
  <c r="K3826"/>
  <c r="I3826"/>
  <c r="K3825"/>
  <c r="I3825"/>
  <c r="K3824"/>
  <c r="I3824"/>
  <c r="L3817"/>
  <c r="L3815"/>
  <c r="I3811"/>
  <c r="K3811" s="1"/>
  <c r="K3808"/>
  <c r="K3807"/>
  <c r="K3873" s="1"/>
  <c r="K3805"/>
  <c r="K3804"/>
  <c r="I3804"/>
  <c r="K3803"/>
  <c r="K3837" s="1"/>
  <c r="K3849" s="1"/>
  <c r="I3803"/>
  <c r="K3801"/>
  <c r="I3801"/>
  <c r="K3800"/>
  <c r="K3850" s="1"/>
  <c r="I3798"/>
  <c r="K3798" s="1"/>
  <c r="I3797"/>
  <c r="K3797" s="1"/>
  <c r="I3796"/>
  <c r="K3796" s="1"/>
  <c r="I3795"/>
  <c r="K3795" s="1"/>
  <c r="K3784"/>
  <c r="K3783"/>
  <c r="K3778"/>
  <c r="H3778"/>
  <c r="K3777"/>
  <c r="K3771"/>
  <c r="K3770"/>
  <c r="K3767"/>
  <c r="K3766"/>
  <c r="K3765"/>
  <c r="L3760"/>
  <c r="K3759"/>
  <c r="H3759"/>
  <c r="K3758"/>
  <c r="I3758"/>
  <c r="K3757"/>
  <c r="K3740"/>
  <c r="K3739"/>
  <c r="M3741" s="1"/>
  <c r="O3726"/>
  <c r="O3725"/>
  <c r="N3725"/>
  <c r="K3725"/>
  <c r="I3725"/>
  <c r="O3724"/>
  <c r="N3724"/>
  <c r="K3722"/>
  <c r="K3721"/>
  <c r="K3720"/>
  <c r="R3719"/>
  <c r="K3719"/>
  <c r="I3719"/>
  <c r="H3719"/>
  <c r="R3718"/>
  <c r="K3718"/>
  <c r="R3717"/>
  <c r="K3710"/>
  <c r="K3708"/>
  <c r="K3699"/>
  <c r="I3694"/>
  <c r="K3694" s="1"/>
  <c r="M3689"/>
  <c r="L3689"/>
  <c r="I3685"/>
  <c r="K3685" s="1"/>
  <c r="I3683"/>
  <c r="K3683" s="1"/>
  <c r="D3674"/>
  <c r="K3672"/>
  <c r="K3671"/>
  <c r="K3670"/>
  <c r="I3667"/>
  <c r="K3667" s="1"/>
  <c r="K3666"/>
  <c r="K3645"/>
  <c r="I3645"/>
  <c r="K3644"/>
  <c r="I3644"/>
  <c r="R3643"/>
  <c r="P3643"/>
  <c r="K3643"/>
  <c r="R3642"/>
  <c r="R3635"/>
  <c r="K3635"/>
  <c r="K3634"/>
  <c r="I3624"/>
  <c r="K3624" s="1"/>
  <c r="I3622"/>
  <c r="K3622" s="1"/>
  <c r="P3614"/>
  <c r="R3614" s="1"/>
  <c r="K3614"/>
  <c r="R3613"/>
  <c r="P3613"/>
  <c r="K3613"/>
  <c r="K3612"/>
  <c r="L3605"/>
  <c r="K3605"/>
  <c r="J3605"/>
  <c r="I3605"/>
  <c r="I3589"/>
  <c r="K3589" s="1"/>
  <c r="I3588"/>
  <c r="K3588" s="1"/>
  <c r="I3587"/>
  <c r="K3587" s="1"/>
  <c r="L3584"/>
  <c r="K3580"/>
  <c r="K3579"/>
  <c r="K3578"/>
  <c r="I3571"/>
  <c r="K3571" s="1"/>
  <c r="I3570"/>
  <c r="K3570" s="1"/>
  <c r="M3567"/>
  <c r="L3567"/>
  <c r="L3565"/>
  <c r="I3563"/>
  <c r="K3563" s="1"/>
  <c r="N3562"/>
  <c r="I3562"/>
  <c r="K3562" s="1"/>
  <c r="N3561"/>
  <c r="N3563" s="1"/>
  <c r="I3561" s="1"/>
  <c r="K3561" s="1"/>
  <c r="M3561"/>
  <c r="O3561" s="1"/>
  <c r="L3561"/>
  <c r="L3562" s="1"/>
  <c r="M3556"/>
  <c r="K3553"/>
  <c r="K3556" s="1"/>
  <c r="L3556" s="1"/>
  <c r="I3553"/>
  <c r="H3553"/>
  <c r="K3547"/>
  <c r="M3547" s="1"/>
  <c r="K3545"/>
  <c r="L3539"/>
  <c r="I3534"/>
  <c r="K3534" s="1"/>
  <c r="I3533"/>
  <c r="K3533" s="1"/>
  <c r="K3524"/>
  <c r="L3524" s="1"/>
  <c r="K3521"/>
  <c r="K3515"/>
  <c r="M3515" s="1"/>
  <c r="K3513"/>
  <c r="K3506"/>
  <c r="I3506"/>
  <c r="I3625" s="1"/>
  <c r="P3626" s="1"/>
  <c r="K3505"/>
  <c r="I3505"/>
  <c r="P3505" s="1"/>
  <c r="R3505" s="1"/>
  <c r="K3504"/>
  <c r="I3504"/>
  <c r="P3504" s="1"/>
  <c r="R3504" s="1"/>
  <c r="K3503"/>
  <c r="K3507" s="1"/>
  <c r="I3503"/>
  <c r="P3503" s="1"/>
  <c r="R3503" s="1"/>
  <c r="S3501"/>
  <c r="K3497"/>
  <c r="I3497"/>
  <c r="P3497" s="1"/>
  <c r="R3497" s="1"/>
  <c r="K3496"/>
  <c r="I3496"/>
  <c r="P3496" s="1"/>
  <c r="R3496" s="1"/>
  <c r="R3495"/>
  <c r="P3495"/>
  <c r="K3495"/>
  <c r="I3478"/>
  <c r="I3665" s="1"/>
  <c r="K3665" s="1"/>
  <c r="I3476"/>
  <c r="K3476" s="1"/>
  <c r="I3465"/>
  <c r="K3465" s="1"/>
  <c r="I3464"/>
  <c r="K3464" s="1"/>
  <c r="K3455"/>
  <c r="K3454"/>
  <c r="I3454"/>
  <c r="K3438"/>
  <c r="K3436"/>
  <c r="L3415"/>
  <c r="I3415"/>
  <c r="K3415" s="1"/>
  <c r="H3415"/>
  <c r="K3396"/>
  <c r="K3389"/>
  <c r="K3384"/>
  <c r="I3376"/>
  <c r="I3662" s="1"/>
  <c r="J3368"/>
  <c r="K3354"/>
  <c r="K3353"/>
  <c r="I3353"/>
  <c r="I3407" s="1"/>
  <c r="I3426" s="1"/>
  <c r="K3352"/>
  <c r="I3352"/>
  <c r="I3406" s="1"/>
  <c r="I3425" s="1"/>
  <c r="K3425" s="1"/>
  <c r="K3351"/>
  <c r="K3355" s="1"/>
  <c r="K3356" s="1"/>
  <c r="I3351"/>
  <c r="I3405" s="1"/>
  <c r="I3424" s="1"/>
  <c r="K3345"/>
  <c r="K3316"/>
  <c r="K3315"/>
  <c r="N3314"/>
  <c r="K3314"/>
  <c r="K3313"/>
  <c r="K3312"/>
  <c r="K3309"/>
  <c r="K3308"/>
  <c r="K3307"/>
  <c r="K3306"/>
  <c r="L3294"/>
  <c r="M3292"/>
  <c r="L3292"/>
  <c r="K3290"/>
  <c r="K3289"/>
  <c r="I3259"/>
  <c r="I3274" s="1"/>
  <c r="K3274" s="1"/>
  <c r="I3258"/>
  <c r="K3258" s="1"/>
  <c r="K3257"/>
  <c r="I3249"/>
  <c r="I3267" s="1"/>
  <c r="I3248"/>
  <c r="I3266" s="1"/>
  <c r="I3247"/>
  <c r="I3265" s="1"/>
  <c r="K3241"/>
  <c r="K3240"/>
  <c r="I3231"/>
  <c r="K3231" s="1"/>
  <c r="K3230"/>
  <c r="N3222"/>
  <c r="I3222" s="1"/>
  <c r="I3335" s="1"/>
  <c r="M3222"/>
  <c r="J3222"/>
  <c r="K3217"/>
  <c r="I3207"/>
  <c r="K3207" s="1"/>
  <c r="K3206"/>
  <c r="K3192"/>
  <c r="K3191"/>
  <c r="K3180"/>
  <c r="K3170"/>
  <c r="I3170"/>
  <c r="I3181" s="1"/>
  <c r="K3181" s="1"/>
  <c r="K3169"/>
  <c r="I3158"/>
  <c r="I3198" s="1"/>
  <c r="K3198" s="1"/>
  <c r="M3154"/>
  <c r="K3151"/>
  <c r="K3150"/>
  <c r="I3140"/>
  <c r="I3159" s="1"/>
  <c r="I3139"/>
  <c r="K3139" s="1"/>
  <c r="S3133"/>
  <c r="K3132"/>
  <c r="R3129"/>
  <c r="R3126"/>
  <c r="L3122"/>
  <c r="T3119"/>
  <c r="S3119"/>
  <c r="L3119"/>
  <c r="S3118"/>
  <c r="R3115"/>
  <c r="P3113"/>
  <c r="P3127" s="1"/>
  <c r="R3127" s="1"/>
  <c r="K3113"/>
  <c r="P3112"/>
  <c r="R3112" s="1"/>
  <c r="K3112"/>
  <c r="I3112"/>
  <c r="I3494" s="1"/>
  <c r="L3105"/>
  <c r="I3101"/>
  <c r="K3101" s="1"/>
  <c r="K3098"/>
  <c r="L3093"/>
  <c r="L3092"/>
  <c r="K3088"/>
  <c r="S3080"/>
  <c r="L3080"/>
  <c r="R3074"/>
  <c r="R3071"/>
  <c r="K3046"/>
  <c r="L3042"/>
  <c r="I3035"/>
  <c r="K3035" s="1"/>
  <c r="K3020"/>
  <c r="L3011"/>
  <c r="I3002"/>
  <c r="K3002" s="1"/>
  <c r="K3019" s="1"/>
  <c r="I3000"/>
  <c r="I3700" s="1"/>
  <c r="I2999"/>
  <c r="K2999" s="1"/>
  <c r="I2997"/>
  <c r="K2997" s="1"/>
  <c r="I2996"/>
  <c r="I3682" s="1"/>
  <c r="I2995"/>
  <c r="K2995" s="1"/>
  <c r="K2984"/>
  <c r="L2957"/>
  <c r="M2957" s="1"/>
  <c r="N2957" s="1"/>
  <c r="I2957"/>
  <c r="I3910" s="1"/>
  <c r="K3910" s="1"/>
  <c r="I2956"/>
  <c r="I3909" s="1"/>
  <c r="K3909" s="1"/>
  <c r="M2935"/>
  <c r="I2935"/>
  <c r="K2935" s="1"/>
  <c r="I2931"/>
  <c r="I2951" s="1"/>
  <c r="I2923"/>
  <c r="K2925" s="1"/>
  <c r="I2917"/>
  <c r="I3040" s="1"/>
  <c r="K3040" s="1"/>
  <c r="H2917"/>
  <c r="I2913"/>
  <c r="I3036" s="1"/>
  <c r="K3036" s="1"/>
  <c r="H2913"/>
  <c r="H2915" s="1"/>
  <c r="K2912"/>
  <c r="H2911"/>
  <c r="I2910"/>
  <c r="I3033" s="1"/>
  <c r="K3033" s="1"/>
  <c r="H2910"/>
  <c r="H2909"/>
  <c r="H2908"/>
  <c r="I2907"/>
  <c r="I3030" s="1"/>
  <c r="K3030" s="1"/>
  <c r="H2907"/>
  <c r="I2906"/>
  <c r="I3029" s="1"/>
  <c r="K3029" s="1"/>
  <c r="H2906"/>
  <c r="K2905"/>
  <c r="I2905"/>
  <c r="I3028" s="1"/>
  <c r="K3028" s="1"/>
  <c r="H2905"/>
  <c r="S2897"/>
  <c r="T2896"/>
  <c r="K2896"/>
  <c r="K2895"/>
  <c r="K2894"/>
  <c r="K3852" s="1"/>
  <c r="R2889"/>
  <c r="O2888"/>
  <c r="P2887"/>
  <c r="R2887" s="1"/>
  <c r="O2887"/>
  <c r="O2884"/>
  <c r="L2882"/>
  <c r="P2881"/>
  <c r="R2881" s="1"/>
  <c r="K2881"/>
  <c r="K3838" s="1"/>
  <c r="R2873"/>
  <c r="P2873"/>
  <c r="P2872"/>
  <c r="R2872" s="1"/>
  <c r="I2872"/>
  <c r="K2872" s="1"/>
  <c r="R2871"/>
  <c r="P2871"/>
  <c r="K2871"/>
  <c r="P2870"/>
  <c r="R2870" s="1"/>
  <c r="K2869"/>
  <c r="H2869"/>
  <c r="H2872" s="1"/>
  <c r="K2868"/>
  <c r="K2867"/>
  <c r="K2866"/>
  <c r="S2863"/>
  <c r="T2863" s="1"/>
  <c r="S2859"/>
  <c r="R2856"/>
  <c r="K2856"/>
  <c r="I2856"/>
  <c r="I3810" s="1"/>
  <c r="K3810" s="1"/>
  <c r="R2855"/>
  <c r="P2855"/>
  <c r="P2888" s="1"/>
  <c r="R2888" s="1"/>
  <c r="K2855"/>
  <c r="I2855"/>
  <c r="I3809" s="1"/>
  <c r="K3809" s="1"/>
  <c r="K3874" s="1"/>
  <c r="R2854"/>
  <c r="I2854"/>
  <c r="I3005" s="1"/>
  <c r="K3005" s="1"/>
  <c r="P2853"/>
  <c r="P2886" s="1"/>
  <c r="R2886" s="1"/>
  <c r="I2853"/>
  <c r="I3004" s="1"/>
  <c r="K3004" s="1"/>
  <c r="I2852"/>
  <c r="I3003" s="1"/>
  <c r="K3003" s="1"/>
  <c r="P2851"/>
  <c r="R2851" s="1"/>
  <c r="K2851"/>
  <c r="K2880" s="1"/>
  <c r="K2891" s="1"/>
  <c r="I2850"/>
  <c r="I3802" s="1"/>
  <c r="K3802" s="1"/>
  <c r="P2849"/>
  <c r="P2882" s="1"/>
  <c r="R2882" s="1"/>
  <c r="K2849"/>
  <c r="R2848"/>
  <c r="P2847"/>
  <c r="P2880" s="1"/>
  <c r="R2880" s="1"/>
  <c r="K2847"/>
  <c r="P2846"/>
  <c r="P2858" s="1"/>
  <c r="R2858" s="1"/>
  <c r="I2846"/>
  <c r="I3799" s="1"/>
  <c r="K3799" s="1"/>
  <c r="K2845"/>
  <c r="K2844"/>
  <c r="K2843"/>
  <c r="K2827"/>
  <c r="K2826"/>
  <c r="K2825"/>
  <c r="K2818"/>
  <c r="K2817"/>
  <c r="K2816"/>
  <c r="K2815"/>
  <c r="K2808"/>
  <c r="K2807"/>
  <c r="K2799"/>
  <c r="K2798"/>
  <c r="K2788"/>
  <c r="K2787"/>
  <c r="K2786"/>
  <c r="K2785"/>
  <c r="K2784"/>
  <c r="K2783"/>
  <c r="K2760"/>
  <c r="I2760"/>
  <c r="K2759"/>
  <c r="I2759"/>
  <c r="K2758"/>
  <c r="I2758"/>
  <c r="K2757"/>
  <c r="K2756"/>
  <c r="K2755"/>
  <c r="K2754"/>
  <c r="K2753"/>
  <c r="K2752"/>
  <c r="K2744"/>
  <c r="K2743"/>
  <c r="K2735"/>
  <c r="K2734"/>
  <c r="K2733"/>
  <c r="K2732"/>
  <c r="K2725"/>
  <c r="K2724"/>
  <c r="K2723"/>
  <c r="K2716"/>
  <c r="K2715"/>
  <c r="K2708"/>
  <c r="K2707"/>
  <c r="K2710" s="1"/>
  <c r="K2711" s="1"/>
  <c r="K2703" s="1"/>
  <c r="K2701"/>
  <c r="K2700"/>
  <c r="K2705" s="1"/>
  <c r="K2680"/>
  <c r="I2670"/>
  <c r="K2670" s="1"/>
  <c r="I2669"/>
  <c r="K2669" s="1"/>
  <c r="I2668"/>
  <c r="K2668" s="1"/>
  <c r="I2667"/>
  <c r="K2667" s="1"/>
  <c r="I2665"/>
  <c r="K2665" s="1"/>
  <c r="K2640"/>
  <c r="K2639"/>
  <c r="K2638"/>
  <c r="K2637"/>
  <c r="K2636"/>
  <c r="K2635"/>
  <c r="K2634"/>
  <c r="K2633"/>
  <c r="K2643" s="1"/>
  <c r="K2645" s="1"/>
  <c r="K2626"/>
  <c r="K2604"/>
  <c r="K2557"/>
  <c r="K2507"/>
  <c r="K2506"/>
  <c r="K2505"/>
  <c r="K2498"/>
  <c r="K2497"/>
  <c r="K2490"/>
  <c r="K2493" s="1"/>
  <c r="K2470"/>
  <c r="K2469"/>
  <c r="K2431"/>
  <c r="K2430"/>
  <c r="K2426"/>
  <c r="I2424"/>
  <c r="K2424" s="1"/>
  <c r="K2375"/>
  <c r="K2370"/>
  <c r="I2369"/>
  <c r="I2387" s="1"/>
  <c r="K2387" s="1"/>
  <c r="I2368"/>
  <c r="K2368" s="1"/>
  <c r="K2363"/>
  <c r="K2326"/>
  <c r="K2325"/>
  <c r="K2324"/>
  <c r="K2323"/>
  <c r="K2322"/>
  <c r="K2321"/>
  <c r="K2310"/>
  <c r="K2309"/>
  <c r="K2268"/>
  <c r="K2267"/>
  <c r="K2266"/>
  <c r="K2265"/>
  <c r="K2263"/>
  <c r="I2237"/>
  <c r="K2237" s="1"/>
  <c r="I2236"/>
  <c r="K2236" s="1"/>
  <c r="K2235"/>
  <c r="K2234"/>
  <c r="K2233"/>
  <c r="K2232"/>
  <c r="I2222"/>
  <c r="K2222" s="1"/>
  <c r="I2221"/>
  <c r="K2221" s="1"/>
  <c r="I2220"/>
  <c r="K2220" s="1"/>
  <c r="I2219"/>
  <c r="K2219" s="1"/>
  <c r="K2218"/>
  <c r="K2201"/>
  <c r="K2171"/>
  <c r="I2170"/>
  <c r="K2170" s="1"/>
  <c r="I2169"/>
  <c r="K2169" s="1"/>
  <c r="I2168"/>
  <c r="K2168" s="1"/>
  <c r="I2167"/>
  <c r="K2167" s="1"/>
  <c r="I2144"/>
  <c r="K2144" s="1"/>
  <c r="K2148" s="1"/>
  <c r="K2135"/>
  <c r="K2139" s="1"/>
  <c r="I2135"/>
  <c r="I2125"/>
  <c r="K2125" s="1"/>
  <c r="K2129" s="1"/>
  <c r="I2112"/>
  <c r="K2112" s="1"/>
  <c r="K2116" s="1"/>
  <c r="I2100"/>
  <c r="K2100" s="1"/>
  <c r="I2099"/>
  <c r="K2099" s="1"/>
  <c r="H2097"/>
  <c r="I2087"/>
  <c r="K2087" s="1"/>
  <c r="I2086"/>
  <c r="K2086" s="1"/>
  <c r="I2074"/>
  <c r="K2074" s="1"/>
  <c r="I2072"/>
  <c r="K2072" s="1"/>
  <c r="I2067"/>
  <c r="K2067" s="1"/>
  <c r="K2054"/>
  <c r="I2054"/>
  <c r="K2052"/>
  <c r="I2052"/>
  <c r="K2047"/>
  <c r="I2047"/>
  <c r="I2039"/>
  <c r="K2039" s="1"/>
  <c r="K2042" s="1"/>
  <c r="I2027"/>
  <c r="K2027" s="1"/>
  <c r="K2018"/>
  <c r="K2017"/>
  <c r="K2016"/>
  <c r="K1999"/>
  <c r="I1999"/>
  <c r="K1998"/>
  <c r="I1998"/>
  <c r="K1997"/>
  <c r="I1997"/>
  <c r="K1996"/>
  <c r="I1996"/>
  <c r="K1975"/>
  <c r="I1975"/>
  <c r="K1974"/>
  <c r="I1974"/>
  <c r="K1973"/>
  <c r="I1973"/>
  <c r="K1972"/>
  <c r="I1972"/>
  <c r="I1947"/>
  <c r="K1947" s="1"/>
  <c r="I1928"/>
  <c r="K1928" s="1"/>
  <c r="I1908"/>
  <c r="K1908" s="1"/>
  <c r="K1890"/>
  <c r="I1890"/>
  <c r="I1858"/>
  <c r="K1858" s="1"/>
  <c r="I1844"/>
  <c r="I1845" s="1"/>
  <c r="K1845" s="1"/>
  <c r="I1829"/>
  <c r="K1829" s="1"/>
  <c r="I1817"/>
  <c r="K1817" s="1"/>
  <c r="I1809"/>
  <c r="I1810" s="1"/>
  <c r="K1810" s="1"/>
  <c r="I1801"/>
  <c r="K1801" s="1"/>
  <c r="K1774"/>
  <c r="I1774"/>
  <c r="I1773"/>
  <c r="K1773" s="1"/>
  <c r="K1771"/>
  <c r="I1771"/>
  <c r="K1756"/>
  <c r="I1756"/>
  <c r="K1755"/>
  <c r="I1755"/>
  <c r="K1753"/>
  <c r="I1753"/>
  <c r="K1738"/>
  <c r="I1738"/>
  <c r="I1831" s="1"/>
  <c r="K1831" s="1"/>
  <c r="K1737"/>
  <c r="I1737"/>
  <c r="I1830" s="1"/>
  <c r="K1830" s="1"/>
  <c r="I1735"/>
  <c r="K1735" s="1"/>
  <c r="K1727"/>
  <c r="K1724"/>
  <c r="K1717"/>
  <c r="K1716"/>
  <c r="I1715"/>
  <c r="K1715" s="1"/>
  <c r="K1714"/>
  <c r="K1713"/>
  <c r="K1701"/>
  <c r="K1700"/>
  <c r="K1699"/>
  <c r="K1687"/>
  <c r="K1686"/>
  <c r="K1685"/>
  <c r="K1682"/>
  <c r="K1654"/>
  <c r="K1653"/>
  <c r="K1652"/>
  <c r="K1625"/>
  <c r="K1628" s="1"/>
  <c r="K1618"/>
  <c r="K1621" s="1"/>
  <c r="K1609"/>
  <c r="K1613" s="1"/>
  <c r="K1598"/>
  <c r="K1597"/>
  <c r="K1601" s="1"/>
  <c r="I1561"/>
  <c r="K1561" s="1"/>
  <c r="I1560"/>
  <c r="K1560" s="1"/>
  <c r="I1559"/>
  <c r="K1559" s="1"/>
  <c r="I1558"/>
  <c r="K1558" s="1"/>
  <c r="I1557"/>
  <c r="K1557" s="1"/>
  <c r="K1545"/>
  <c r="I1545"/>
  <c r="I1533"/>
  <c r="K1533" s="1"/>
  <c r="K1522"/>
  <c r="K1518"/>
  <c r="I1518"/>
  <c r="K1509"/>
  <c r="O1507"/>
  <c r="O1506"/>
  <c r="I1505"/>
  <c r="K1505" s="1"/>
  <c r="I1494"/>
  <c r="K1494" s="1"/>
  <c r="K1493"/>
  <c r="I1478"/>
  <c r="K1478" s="1"/>
  <c r="I1465"/>
  <c r="K1465" s="1"/>
  <c r="K1463"/>
  <c r="I1463"/>
  <c r="K1448"/>
  <c r="I1436"/>
  <c r="K1436" s="1"/>
  <c r="K1368"/>
  <c r="I1368"/>
  <c r="K1310"/>
  <c r="I1310"/>
  <c r="K1307"/>
  <c r="I1307"/>
  <c r="K1288"/>
  <c r="I1288"/>
  <c r="K1220"/>
  <c r="I1220"/>
  <c r="K1219"/>
  <c r="I1219"/>
  <c r="K1206"/>
  <c r="I1206"/>
  <c r="K1198"/>
  <c r="I1198"/>
  <c r="K1183"/>
  <c r="I1183"/>
  <c r="K1182"/>
  <c r="I1182"/>
  <c r="K1181"/>
  <c r="I1181"/>
  <c r="K1146"/>
  <c r="I1146"/>
  <c r="K1133"/>
  <c r="K1132"/>
  <c r="K1131"/>
  <c r="I1131"/>
  <c r="K1115"/>
  <c r="I1115"/>
  <c r="K1114"/>
  <c r="I1114"/>
  <c r="K1102"/>
  <c r="I1102"/>
  <c r="K1101"/>
  <c r="I1101"/>
  <c r="K1091"/>
  <c r="K1090"/>
  <c r="K1089"/>
  <c r="I1089"/>
  <c r="K1088"/>
  <c r="K1086"/>
  <c r="K1064"/>
  <c r="I1064"/>
  <c r="K1063"/>
  <c r="I1063"/>
  <c r="K1062"/>
  <c r="I1062"/>
  <c r="K1060"/>
  <c r="I1060"/>
  <c r="K1050"/>
  <c r="I1050"/>
  <c r="K1049"/>
  <c r="I1049"/>
  <c r="K1048"/>
  <c r="I1048"/>
  <c r="K1047"/>
  <c r="I1047"/>
  <c r="K1045"/>
  <c r="I1045"/>
  <c r="K1035"/>
  <c r="I1035"/>
  <c r="K1034"/>
  <c r="I1034"/>
  <c r="K1033"/>
  <c r="I1033"/>
  <c r="K1032"/>
  <c r="I1032"/>
  <c r="K1030"/>
  <c r="I1030"/>
  <c r="K1020"/>
  <c r="I1020"/>
  <c r="I2531" s="1"/>
  <c r="K2531" s="1"/>
  <c r="K1019"/>
  <c r="I1019"/>
  <c r="I2530" s="1"/>
  <c r="K2530" s="1"/>
  <c r="K1018"/>
  <c r="I1018"/>
  <c r="I2529" s="1"/>
  <c r="K2529" s="1"/>
  <c r="K1017"/>
  <c r="I1017"/>
  <c r="I2528" s="1"/>
  <c r="K2528" s="1"/>
  <c r="K1016"/>
  <c r="I1016"/>
  <c r="I2527" s="1"/>
  <c r="K2527" s="1"/>
  <c r="K1015"/>
  <c r="I1015"/>
  <c r="I2526" s="1"/>
  <c r="K2526" s="1"/>
  <c r="K1013"/>
  <c r="I1013"/>
  <c r="I2524" s="1"/>
  <c r="K2524" s="1"/>
  <c r="K984"/>
  <c r="I984"/>
  <c r="K983"/>
  <c r="I983"/>
  <c r="K982"/>
  <c r="I982"/>
  <c r="K981"/>
  <c r="I981"/>
  <c r="K980"/>
  <c r="I980"/>
  <c r="K979"/>
  <c r="I979"/>
  <c r="K955"/>
  <c r="I955"/>
  <c r="K954"/>
  <c r="I954"/>
  <c r="K953"/>
  <c r="I953"/>
  <c r="K952"/>
  <c r="I952"/>
  <c r="K951"/>
  <c r="I951"/>
  <c r="K950"/>
  <c r="I950"/>
  <c r="K920"/>
  <c r="I920"/>
  <c r="I2564" s="1"/>
  <c r="K919"/>
  <c r="I919"/>
  <c r="I2563" s="1"/>
  <c r="K918"/>
  <c r="I918"/>
  <c r="I2562" s="1"/>
  <c r="K917"/>
  <c r="I917"/>
  <c r="I2561" s="1"/>
  <c r="K916"/>
  <c r="I916"/>
  <c r="I2560" s="1"/>
  <c r="K915"/>
  <c r="I915"/>
  <c r="I2559" s="1"/>
  <c r="R871"/>
  <c r="R870"/>
  <c r="R869"/>
  <c r="K859"/>
  <c r="H859"/>
  <c r="K856"/>
  <c r="K855"/>
  <c r="H855"/>
  <c r="K854"/>
  <c r="K853"/>
  <c r="R844"/>
  <c r="R843"/>
  <c r="R841"/>
  <c r="K841"/>
  <c r="R840"/>
  <c r="R839"/>
  <c r="R838"/>
  <c r="K838"/>
  <c r="R837"/>
  <c r="P837"/>
  <c r="K837"/>
  <c r="K836"/>
  <c r="K835"/>
  <c r="R834"/>
  <c r="R847" s="1"/>
  <c r="K823"/>
  <c r="K820"/>
  <c r="K819"/>
  <c r="K818"/>
  <c r="K817"/>
  <c r="R807"/>
  <c r="R806"/>
  <c r="R805"/>
  <c r="R804"/>
  <c r="R803"/>
  <c r="R802"/>
  <c r="P801"/>
  <c r="R801" s="1"/>
  <c r="R798"/>
  <c r="R810" s="1"/>
  <c r="R789"/>
  <c r="R788"/>
  <c r="R786"/>
  <c r="R785"/>
  <c r="R784"/>
  <c r="R783"/>
  <c r="P782"/>
  <c r="R782" s="1"/>
  <c r="R779"/>
  <c r="R792" s="1"/>
  <c r="P762"/>
  <c r="R762" s="1"/>
  <c r="R769" s="1"/>
  <c r="R771" s="1"/>
  <c r="A754"/>
  <c r="R753"/>
  <c r="K752"/>
  <c r="K751"/>
  <c r="K750"/>
  <c r="I746"/>
  <c r="K746" s="1"/>
  <c r="R745"/>
  <c r="R740"/>
  <c r="K729"/>
  <c r="K728"/>
  <c r="P726"/>
  <c r="R726" s="1"/>
  <c r="P725"/>
  <c r="R725" s="1"/>
  <c r="P724"/>
  <c r="R724" s="1"/>
  <c r="K724"/>
  <c r="R723"/>
  <c r="P723"/>
  <c r="I723"/>
  <c r="K723" s="1"/>
  <c r="I722"/>
  <c r="K722" s="1"/>
  <c r="I743" s="1"/>
  <c r="K743" s="1"/>
  <c r="P721"/>
  <c r="R721" s="1"/>
  <c r="P710"/>
  <c r="R710" s="1"/>
  <c r="R709"/>
  <c r="P709"/>
  <c r="P708"/>
  <c r="R708" s="1"/>
  <c r="I708"/>
  <c r="I2362" s="1"/>
  <c r="R707"/>
  <c r="P707"/>
  <c r="I706"/>
  <c r="I2361" s="1"/>
  <c r="R705"/>
  <c r="P705"/>
  <c r="P695"/>
  <c r="R695" s="1"/>
  <c r="R694"/>
  <c r="P694"/>
  <c r="P693"/>
  <c r="R693" s="1"/>
  <c r="P692"/>
  <c r="R692" s="1"/>
  <c r="P690"/>
  <c r="R690" s="1"/>
  <c r="K683"/>
  <c r="I683"/>
  <c r="I681"/>
  <c r="K681" s="1"/>
  <c r="I680"/>
  <c r="K680" s="1"/>
  <c r="P679"/>
  <c r="R679" s="1"/>
  <c r="R683" s="1"/>
  <c r="P668"/>
  <c r="R668" s="1"/>
  <c r="R672" s="1"/>
  <c r="K664"/>
  <c r="I663"/>
  <c r="K663" s="1"/>
  <c r="I662"/>
  <c r="K662" s="1"/>
  <c r="P658"/>
  <c r="R658" s="1"/>
  <c r="R662" s="1"/>
  <c r="P648"/>
  <c r="R648" s="1"/>
  <c r="R652" s="1"/>
  <c r="K645"/>
  <c r="I644"/>
  <c r="K644" s="1"/>
  <c r="I643"/>
  <c r="K643" s="1"/>
  <c r="K647" s="1"/>
  <c r="K649" s="1"/>
  <c r="K650" s="1"/>
  <c r="K651" s="1"/>
  <c r="K652" s="1"/>
  <c r="K653" s="1"/>
  <c r="P638"/>
  <c r="R638" s="1"/>
  <c r="P637"/>
  <c r="R637" s="1"/>
  <c r="P636"/>
  <c r="R636" s="1"/>
  <c r="P620"/>
  <c r="R620" s="1"/>
  <c r="P607"/>
  <c r="R607" s="1"/>
  <c r="C593"/>
  <c r="I590"/>
  <c r="K590" s="1"/>
  <c r="J587"/>
  <c r="J586"/>
  <c r="J585"/>
  <c r="J584"/>
  <c r="J583"/>
  <c r="I575"/>
  <c r="K575" s="1"/>
  <c r="J572"/>
  <c r="J571"/>
  <c r="J570"/>
  <c r="J569"/>
  <c r="J568"/>
  <c r="P562"/>
  <c r="R562" s="1"/>
  <c r="P561"/>
  <c r="R561" s="1"/>
  <c r="P560"/>
  <c r="R560" s="1"/>
  <c r="I559"/>
  <c r="K559" s="1"/>
  <c r="P555"/>
  <c r="R555" s="1"/>
  <c r="J547"/>
  <c r="J546"/>
  <c r="J545"/>
  <c r="J544"/>
  <c r="J543"/>
  <c r="R537"/>
  <c r="P532"/>
  <c r="R532" s="1"/>
  <c r="P531"/>
  <c r="R531" s="1"/>
  <c r="J531"/>
  <c r="J530"/>
  <c r="P529"/>
  <c r="R529" s="1"/>
  <c r="J529"/>
  <c r="J528"/>
  <c r="J527"/>
  <c r="R517"/>
  <c r="P512"/>
  <c r="R512" s="1"/>
  <c r="P511"/>
  <c r="R511" s="1"/>
  <c r="P509"/>
  <c r="R509" s="1"/>
  <c r="R499"/>
  <c r="P494"/>
  <c r="R494" s="1"/>
  <c r="P493"/>
  <c r="R493" s="1"/>
  <c r="P491"/>
  <c r="R491" s="1"/>
  <c r="I484"/>
  <c r="K484" s="1"/>
  <c r="R476"/>
  <c r="P476"/>
  <c r="P475"/>
  <c r="R475" s="1"/>
  <c r="P474"/>
  <c r="R474" s="1"/>
  <c r="P469"/>
  <c r="R469" s="1"/>
  <c r="P458"/>
  <c r="R458" s="1"/>
  <c r="R457"/>
  <c r="P457"/>
  <c r="P456"/>
  <c r="R456" s="1"/>
  <c r="P451"/>
  <c r="R451" s="1"/>
  <c r="P440"/>
  <c r="R440" s="1"/>
  <c r="P439"/>
  <c r="R439" s="1"/>
  <c r="P438"/>
  <c r="R438" s="1"/>
  <c r="P432"/>
  <c r="R432" s="1"/>
  <c r="H409"/>
  <c r="F409"/>
  <c r="H407"/>
  <c r="H378"/>
  <c r="F378"/>
  <c r="H376"/>
  <c r="P366"/>
  <c r="R366" s="1"/>
  <c r="F355"/>
  <c r="H354"/>
  <c r="F354"/>
  <c r="H352"/>
  <c r="F335"/>
  <c r="H334"/>
  <c r="F334"/>
  <c r="H332"/>
  <c r="H310"/>
  <c r="K256"/>
  <c r="K255"/>
  <c r="K244"/>
  <c r="I240"/>
  <c r="K240" s="1"/>
  <c r="R218"/>
  <c r="P218"/>
  <c r="P217"/>
  <c r="R217" s="1"/>
  <c r="P216"/>
  <c r="R216" s="1"/>
  <c r="R215"/>
  <c r="P215"/>
  <c r="P214"/>
  <c r="R214" s="1"/>
  <c r="R213"/>
  <c r="P213"/>
  <c r="P211"/>
  <c r="R211" s="1"/>
  <c r="K185"/>
  <c r="I184"/>
  <c r="K184" s="1"/>
  <c r="K156"/>
  <c r="I154"/>
  <c r="K154" s="1"/>
  <c r="I152"/>
  <c r="K152" s="1"/>
  <c r="C141"/>
  <c r="C67"/>
  <c r="I270" s="1"/>
  <c r="K270" s="1"/>
  <c r="C66"/>
  <c r="D61"/>
  <c r="I95" s="1"/>
  <c r="K95" s="1"/>
  <c r="C61"/>
  <c r="I53"/>
  <c r="K53" s="1"/>
  <c r="C41"/>
  <c r="D40"/>
  <c r="I1490" s="1"/>
  <c r="K1490" s="1"/>
  <c r="AC38"/>
  <c r="I243" s="1"/>
  <c r="K243" s="1"/>
  <c r="AK36"/>
  <c r="AK35"/>
  <c r="W35"/>
  <c r="I35"/>
  <c r="K35" s="1"/>
  <c r="AK34"/>
  <c r="Y34"/>
  <c r="W34"/>
  <c r="AK33"/>
  <c r="AC33"/>
  <c r="C139" s="1"/>
  <c r="D33"/>
  <c r="I2172" s="1"/>
  <c r="K2172" s="1"/>
  <c r="AK32"/>
  <c r="AC32"/>
  <c r="I2694" s="1"/>
  <c r="K2694" s="1"/>
  <c r="D32"/>
  <c r="I1061" s="1"/>
  <c r="K1061" s="1"/>
  <c r="AK31"/>
  <c r="D31"/>
  <c r="C31"/>
  <c r="AK30"/>
  <c r="AC30"/>
  <c r="C136" s="1"/>
  <c r="I1168" s="1"/>
  <c r="K1168" s="1"/>
  <c r="D30"/>
  <c r="C30"/>
  <c r="AK29"/>
  <c r="W29"/>
  <c r="C29"/>
  <c r="I1184" s="1"/>
  <c r="K1184" s="1"/>
  <c r="AK28"/>
  <c r="AC28"/>
  <c r="C90" s="1"/>
  <c r="AK27"/>
  <c r="AC27"/>
  <c r="C89" s="1"/>
  <c r="I27"/>
  <c r="K27" s="1"/>
  <c r="C27"/>
  <c r="I1688" s="1"/>
  <c r="K1688" s="1"/>
  <c r="AK26"/>
  <c r="AC26"/>
  <c r="C88" s="1"/>
  <c r="C26"/>
  <c r="AK25"/>
  <c r="AC25"/>
  <c r="C87" s="1"/>
  <c r="I2166" s="1"/>
  <c r="K2166" s="1"/>
  <c r="P25"/>
  <c r="R25" s="1"/>
  <c r="C25"/>
  <c r="AK24"/>
  <c r="AC24"/>
  <c r="C86" s="1"/>
  <c r="AK23"/>
  <c r="Z23"/>
  <c r="AC23" s="1"/>
  <c r="C85" s="1"/>
  <c r="X23"/>
  <c r="AK22"/>
  <c r="AC22"/>
  <c r="C84" s="1"/>
  <c r="AK21"/>
  <c r="AC21"/>
  <c r="C83" s="1"/>
  <c r="I1285" s="1"/>
  <c r="K1285" s="1"/>
  <c r="X21"/>
  <c r="AK20"/>
  <c r="W20"/>
  <c r="AK19"/>
  <c r="Z19"/>
  <c r="AC19" s="1"/>
  <c r="X19"/>
  <c r="X20" s="1"/>
  <c r="W19"/>
  <c r="AK18"/>
  <c r="Z18"/>
  <c r="Z29" s="1"/>
  <c r="X18"/>
  <c r="X34" s="1"/>
  <c r="K18"/>
  <c r="I18"/>
  <c r="C18"/>
  <c r="I155" s="1"/>
  <c r="K155" s="1"/>
  <c r="AK17"/>
  <c r="D17"/>
  <c r="C17"/>
  <c r="AK16"/>
  <c r="Z16"/>
  <c r="Z17" s="1"/>
  <c r="AC17" s="1"/>
  <c r="X16"/>
  <c r="X17" s="1"/>
  <c r="D16"/>
  <c r="C16"/>
  <c r="AK15"/>
  <c r="W15"/>
  <c r="C15"/>
  <c r="AK14"/>
  <c r="W14"/>
  <c r="D14"/>
  <c r="C14"/>
  <c r="AK13"/>
  <c r="W13"/>
  <c r="W37" s="1"/>
  <c r="C13"/>
  <c r="I414" s="1"/>
  <c r="K414" s="1"/>
  <c r="AK12"/>
  <c r="W12"/>
  <c r="W36" s="1"/>
  <c r="C12"/>
  <c r="AK11"/>
  <c r="X11"/>
  <c r="X12" s="1"/>
  <c r="X13" s="1"/>
  <c r="X14" s="1"/>
  <c r="X15" s="1"/>
  <c r="R11"/>
  <c r="P11"/>
  <c r="C1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K10"/>
  <c r="W10"/>
  <c r="C10"/>
  <c r="I459" s="1"/>
  <c r="K459" s="1"/>
  <c r="AK9"/>
  <c r="Z9"/>
  <c r="AC9" s="1"/>
  <c r="C68" s="1"/>
  <c r="I294" s="1"/>
  <c r="K294" s="1"/>
  <c r="K303" s="1"/>
  <c r="K305" s="1"/>
  <c r="X9"/>
  <c r="X10" s="1"/>
  <c r="I9"/>
  <c r="K9" s="1"/>
  <c r="AK8"/>
  <c r="AG6"/>
  <c r="W3"/>
  <c r="U3"/>
  <c r="Q3"/>
  <c r="O3"/>
  <c r="J3"/>
  <c r="H3"/>
  <c r="L4076" i="6"/>
  <c r="I4069"/>
  <c r="K4069" s="1"/>
  <c r="I4067"/>
  <c r="J4060"/>
  <c r="J4061" s="1"/>
  <c r="F4067" s="1"/>
  <c r="K4058"/>
  <c r="J4058"/>
  <c r="F4066" s="1"/>
  <c r="J4055"/>
  <c r="F4065" s="1"/>
  <c r="J4050"/>
  <c r="J4049"/>
  <c r="I4026"/>
  <c r="K4026" s="1"/>
  <c r="I4024"/>
  <c r="K4011"/>
  <c r="I4009"/>
  <c r="K4009" s="1"/>
  <c r="K3993"/>
  <c r="I3964"/>
  <c r="I3981" s="1"/>
  <c r="I3962"/>
  <c r="H3962"/>
  <c r="H3958"/>
  <c r="K3948"/>
  <c r="K3946"/>
  <c r="I3943"/>
  <c r="I3942"/>
  <c r="I3941"/>
  <c r="K3941" s="1"/>
  <c r="I3940"/>
  <c r="K3940" s="1"/>
  <c r="K3928"/>
  <c r="K3925"/>
  <c r="K3924"/>
  <c r="K3923"/>
  <c r="K3922"/>
  <c r="E3897"/>
  <c r="G3897" s="1"/>
  <c r="G3896"/>
  <c r="H3892"/>
  <c r="J3892" s="1"/>
  <c r="J3891"/>
  <c r="H3891"/>
  <c r="H3890"/>
  <c r="J3890" s="1"/>
  <c r="J3889"/>
  <c r="H3889"/>
  <c r="H3885"/>
  <c r="H3866"/>
  <c r="H3865"/>
  <c r="H3864"/>
  <c r="H3863"/>
  <c r="I3861"/>
  <c r="H3855"/>
  <c r="H3845"/>
  <c r="H3844"/>
  <c r="H3843"/>
  <c r="H3842"/>
  <c r="H3848" s="1"/>
  <c r="E3852" s="1"/>
  <c r="I3840"/>
  <c r="K3821"/>
  <c r="K3805"/>
  <c r="K3789"/>
  <c r="K3788"/>
  <c r="K3787"/>
  <c r="K3786"/>
  <c r="K3785"/>
  <c r="K3784"/>
  <c r="K3783"/>
  <c r="K3782"/>
  <c r="K3766"/>
  <c r="K3765"/>
  <c r="K3763"/>
  <c r="K3764" s="1"/>
  <c r="K3761"/>
  <c r="K3762" s="1"/>
  <c r="I3761"/>
  <c r="K3750"/>
  <c r="K3745"/>
  <c r="I3745"/>
  <c r="K3734"/>
  <c r="V3720"/>
  <c r="X3720" s="1"/>
  <c r="X3719"/>
  <c r="V3719"/>
  <c r="V3718"/>
  <c r="X3718" s="1"/>
  <c r="X3717"/>
  <c r="V3717"/>
  <c r="J3717"/>
  <c r="V3716"/>
  <c r="J3716"/>
  <c r="K3715"/>
  <c r="J3715"/>
  <c r="K3714"/>
  <c r="J3714"/>
  <c r="K3713"/>
  <c r="J3713"/>
  <c r="N3709"/>
  <c r="X3706"/>
  <c r="X3705"/>
  <c r="X3704"/>
  <c r="X3703"/>
  <c r="K3703"/>
  <c r="V3694"/>
  <c r="X3694" s="1"/>
  <c r="V3693"/>
  <c r="X3693" s="1"/>
  <c r="H3693"/>
  <c r="X3692"/>
  <c r="V3692"/>
  <c r="I3692"/>
  <c r="H3692"/>
  <c r="F3692"/>
  <c r="K3692" s="1"/>
  <c r="V3691"/>
  <c r="X3691" s="1"/>
  <c r="K3691"/>
  <c r="I3691"/>
  <c r="H3691"/>
  <c r="F3691"/>
  <c r="X3690"/>
  <c r="V3690"/>
  <c r="H3689"/>
  <c r="X3688"/>
  <c r="H3688"/>
  <c r="V3687"/>
  <c r="X3687" s="1"/>
  <c r="H3687"/>
  <c r="V3686"/>
  <c r="X3686" s="1"/>
  <c r="H3686"/>
  <c r="V3685"/>
  <c r="X3685" s="1"/>
  <c r="H3685"/>
  <c r="F3685"/>
  <c r="K3685" s="1"/>
  <c r="X3684"/>
  <c r="V3684"/>
  <c r="F3683"/>
  <c r="K3683" s="1"/>
  <c r="H3682"/>
  <c r="H3681"/>
  <c r="F3681"/>
  <c r="K3671"/>
  <c r="K3670"/>
  <c r="X3664"/>
  <c r="K3664"/>
  <c r="X3663"/>
  <c r="X3662"/>
  <c r="K3662"/>
  <c r="X3661"/>
  <c r="X3660"/>
  <c r="X3658"/>
  <c r="X3657"/>
  <c r="X3656"/>
  <c r="X3655"/>
  <c r="X3644"/>
  <c r="X3643"/>
  <c r="X3642"/>
  <c r="X3641"/>
  <c r="X3640"/>
  <c r="X3639"/>
  <c r="L3639"/>
  <c r="K3639"/>
  <c r="X3638"/>
  <c r="X3637"/>
  <c r="X3636"/>
  <c r="X3635"/>
  <c r="X3645" s="1"/>
  <c r="X3647" s="1"/>
  <c r="X3634"/>
  <c r="I3628"/>
  <c r="K3628" s="1"/>
  <c r="I3627"/>
  <c r="K3627" s="1"/>
  <c r="I3626"/>
  <c r="K3626" s="1"/>
  <c r="I3625"/>
  <c r="K3625" s="1"/>
  <c r="H3624"/>
  <c r="I3623"/>
  <c r="K3623" s="1"/>
  <c r="V3618"/>
  <c r="X3619" s="1"/>
  <c r="J3617"/>
  <c r="W3616"/>
  <c r="S3617" s="1"/>
  <c r="S3618" s="1"/>
  <c r="X3618" s="1"/>
  <c r="X3611"/>
  <c r="K3607"/>
  <c r="K3606"/>
  <c r="K3605"/>
  <c r="K3604"/>
  <c r="K3603"/>
  <c r="I3602"/>
  <c r="I3624" s="1"/>
  <c r="K3624" s="1"/>
  <c r="V3601"/>
  <c r="S3602" s="1"/>
  <c r="S3603" s="1"/>
  <c r="K3601"/>
  <c r="X3594"/>
  <c r="V3584"/>
  <c r="S3585" s="1"/>
  <c r="S3586" s="1"/>
  <c r="I3574"/>
  <c r="I3573"/>
  <c r="K3573" s="1"/>
  <c r="V3569"/>
  <c r="S3571" s="1"/>
  <c r="K3562"/>
  <c r="I3560"/>
  <c r="K3560" s="1"/>
  <c r="K3557"/>
  <c r="V3555"/>
  <c r="X3555" s="1"/>
  <c r="S3554"/>
  <c r="V3553"/>
  <c r="S3555" s="1"/>
  <c r="V3542"/>
  <c r="P3542"/>
  <c r="P3541"/>
  <c r="M3542" s="1"/>
  <c r="AE3539"/>
  <c r="V3539"/>
  <c r="AE3538"/>
  <c r="V3538"/>
  <c r="V3617" s="1"/>
  <c r="X3617" s="1"/>
  <c r="S3538"/>
  <c r="X3538" s="1"/>
  <c r="AE3537"/>
  <c r="AB3539" s="1"/>
  <c r="V3537"/>
  <c r="S3539" s="1"/>
  <c r="X3539" s="1"/>
  <c r="I3537"/>
  <c r="F3538" s="1"/>
  <c r="K3538" s="1"/>
  <c r="K3529"/>
  <c r="I3529"/>
  <c r="P3533" s="1"/>
  <c r="P3549" s="1"/>
  <c r="R3549" s="1"/>
  <c r="P3527"/>
  <c r="I3527"/>
  <c r="P3526"/>
  <c r="K3526"/>
  <c r="I3526"/>
  <c r="I3542" s="1"/>
  <c r="AE3542" s="1"/>
  <c r="AG3542" s="1"/>
  <c r="P3525"/>
  <c r="M3526" s="1"/>
  <c r="M3527" s="1"/>
  <c r="R3527" s="1"/>
  <c r="F3522"/>
  <c r="K3522" s="1"/>
  <c r="K3510"/>
  <c r="I3508"/>
  <c r="K3508" s="1"/>
  <c r="M3507"/>
  <c r="K3502"/>
  <c r="K3500"/>
  <c r="I3487"/>
  <c r="K3487" s="1"/>
  <c r="I3486"/>
  <c r="K3486" s="1"/>
  <c r="I3485"/>
  <c r="K3485" s="1"/>
  <c r="I3484"/>
  <c r="K3484" s="1"/>
  <c r="K3481"/>
  <c r="J3479"/>
  <c r="J3478"/>
  <c r="J3477"/>
  <c r="I3466"/>
  <c r="P3462"/>
  <c r="R3462" s="1"/>
  <c r="I3462"/>
  <c r="I3806" s="1"/>
  <c r="K3806" s="1"/>
  <c r="P3460"/>
  <c r="R3460" s="1"/>
  <c r="K3454"/>
  <c r="P3441"/>
  <c r="R3441" s="1"/>
  <c r="P3440"/>
  <c r="R3440" s="1"/>
  <c r="P3439"/>
  <c r="R3439" s="1"/>
  <c r="R3438"/>
  <c r="K3428"/>
  <c r="K3427"/>
  <c r="K3426"/>
  <c r="K3425"/>
  <c r="K3424"/>
  <c r="I3422"/>
  <c r="I3416"/>
  <c r="I3415"/>
  <c r="I3411"/>
  <c r="I3410"/>
  <c r="I3412" s="1"/>
  <c r="F3421" s="1"/>
  <c r="I3409"/>
  <c r="F3420" s="1"/>
  <c r="I3408"/>
  <c r="F3423" s="1"/>
  <c r="I3389"/>
  <c r="I3366"/>
  <c r="K3366" s="1"/>
  <c r="I3359"/>
  <c r="K3340"/>
  <c r="P3328"/>
  <c r="R3327"/>
  <c r="P3327"/>
  <c r="P3326"/>
  <c r="R3326" s="1"/>
  <c r="K3320"/>
  <c r="I3310"/>
  <c r="I3309"/>
  <c r="I3307"/>
  <c r="K3307" s="1"/>
  <c r="I3304"/>
  <c r="K3304" s="1"/>
  <c r="I3303"/>
  <c r="K3303" s="1"/>
  <c r="I3302"/>
  <c r="K3302" s="1"/>
  <c r="I3301"/>
  <c r="K3301" s="1"/>
  <c r="P3293"/>
  <c r="I3290"/>
  <c r="K3289"/>
  <c r="K3288"/>
  <c r="K3287"/>
  <c r="K3286"/>
  <c r="K3285"/>
  <c r="K3284"/>
  <c r="K3281"/>
  <c r="R3267"/>
  <c r="P3267"/>
  <c r="I3327" s="1"/>
  <c r="I3396" s="1"/>
  <c r="I3429" s="1"/>
  <c r="K3429" s="1"/>
  <c r="R3266"/>
  <c r="P3266"/>
  <c r="I3326" s="1"/>
  <c r="I3395" s="1"/>
  <c r="I3266"/>
  <c r="K3266" s="1"/>
  <c r="L3232" s="1"/>
  <c r="R3265"/>
  <c r="P3265"/>
  <c r="I3325" s="1"/>
  <c r="I3394" s="1"/>
  <c r="P3264"/>
  <c r="I3324" s="1"/>
  <c r="K3324" s="1"/>
  <c r="K3262"/>
  <c r="R3260"/>
  <c r="V3257"/>
  <c r="X3257" s="1"/>
  <c r="V3256"/>
  <c r="X3256" s="1"/>
  <c r="K3256"/>
  <c r="V3255"/>
  <c r="X3255" s="1"/>
  <c r="V3254"/>
  <c r="X3254" s="1"/>
  <c r="V3253"/>
  <c r="X3253" s="1"/>
  <c r="V3252"/>
  <c r="X3252" s="1"/>
  <c r="V3249"/>
  <c r="X3249" s="1"/>
  <c r="L3236"/>
  <c r="R3233"/>
  <c r="P3233"/>
  <c r="P3300" s="1"/>
  <c r="P3232"/>
  <c r="R3232" s="1"/>
  <c r="H3232"/>
  <c r="H3233" s="1"/>
  <c r="P3231"/>
  <c r="R3231" s="1"/>
  <c r="P3230"/>
  <c r="R3230" s="1"/>
  <c r="P3229"/>
  <c r="P3228"/>
  <c r="P3329" s="1"/>
  <c r="R3329" s="1"/>
  <c r="R3227"/>
  <c r="R3226"/>
  <c r="R3225"/>
  <c r="R3224"/>
  <c r="P3223"/>
  <c r="P3437" s="1"/>
  <c r="R3437" s="1"/>
  <c r="L3210"/>
  <c r="R3199"/>
  <c r="K3492" s="1"/>
  <c r="P3199"/>
  <c r="P3234" s="1"/>
  <c r="T3198"/>
  <c r="S3198"/>
  <c r="R3198"/>
  <c r="K3198"/>
  <c r="R3197"/>
  <c r="R3196"/>
  <c r="R3195"/>
  <c r="L3194"/>
  <c r="R3193"/>
  <c r="P3193"/>
  <c r="R3191"/>
  <c r="R3190"/>
  <c r="K3156"/>
  <c r="I3155"/>
  <c r="K3154"/>
  <c r="I3154"/>
  <c r="P3161" s="1"/>
  <c r="V3120" s="1"/>
  <c r="V3137" s="1"/>
  <c r="V3162" s="1"/>
  <c r="X3162" s="1"/>
  <c r="U3153"/>
  <c r="I3153"/>
  <c r="P3160" s="1"/>
  <c r="V3121" s="1"/>
  <c r="U3152"/>
  <c r="I3152"/>
  <c r="U3151"/>
  <c r="I3151"/>
  <c r="P3158" s="1"/>
  <c r="R3158" s="1"/>
  <c r="I3150"/>
  <c r="K3150" s="1"/>
  <c r="U3149"/>
  <c r="U3148"/>
  <c r="U3150" s="1"/>
  <c r="I3148"/>
  <c r="P3155" s="1"/>
  <c r="F3148"/>
  <c r="P3147"/>
  <c r="P3146"/>
  <c r="P3148" s="1"/>
  <c r="M3155" s="1"/>
  <c r="R3155" s="1"/>
  <c r="P3143"/>
  <c r="M3154" s="1"/>
  <c r="P3141"/>
  <c r="M3153" s="1"/>
  <c r="P3140"/>
  <c r="M3156" s="1"/>
  <c r="X3137"/>
  <c r="X3136"/>
  <c r="V3136"/>
  <c r="V3161" s="1"/>
  <c r="X3161" s="1"/>
  <c r="V3134"/>
  <c r="V3159" s="1"/>
  <c r="X3159" s="1"/>
  <c r="X3121"/>
  <c r="X3120"/>
  <c r="R3120"/>
  <c r="K3120"/>
  <c r="X3119"/>
  <c r="R3119"/>
  <c r="K3119"/>
  <c r="V3118"/>
  <c r="X3117"/>
  <c r="V3115"/>
  <c r="I3110"/>
  <c r="AU3108"/>
  <c r="AQ3108"/>
  <c r="AS3108" s="1"/>
  <c r="V3108"/>
  <c r="AQ3107"/>
  <c r="AS3107" s="1"/>
  <c r="AH3107"/>
  <c r="V3107"/>
  <c r="V3109" s="1"/>
  <c r="K3105"/>
  <c r="V3104"/>
  <c r="V3102"/>
  <c r="V3101"/>
  <c r="K3082"/>
  <c r="I3075"/>
  <c r="F3075"/>
  <c r="I3056"/>
  <c r="P3063" s="1"/>
  <c r="R3063" s="1"/>
  <c r="F3056"/>
  <c r="K3055" s="1"/>
  <c r="I3055"/>
  <c r="I3074" s="1"/>
  <c r="K3074" s="1"/>
  <c r="K3038"/>
  <c r="K3017"/>
  <c r="K3041" s="1"/>
  <c r="K3014"/>
  <c r="K3012"/>
  <c r="I3009"/>
  <c r="K3009" s="1"/>
  <c r="K2995"/>
  <c r="K2971"/>
  <c r="I2971"/>
  <c r="P2978" s="1"/>
  <c r="R2978" s="1"/>
  <c r="I2970"/>
  <c r="P2977" s="1"/>
  <c r="R2977" s="1"/>
  <c r="I2967"/>
  <c r="I2964"/>
  <c r="I2963"/>
  <c r="P2925"/>
  <c r="P2924"/>
  <c r="P2923"/>
  <c r="I2884"/>
  <c r="K2884" s="1"/>
  <c r="K2886" s="1"/>
  <c r="K2888" s="1"/>
  <c r="K2883"/>
  <c r="I2871"/>
  <c r="K2871" s="1"/>
  <c r="K2870"/>
  <c r="I2870"/>
  <c r="I2869"/>
  <c r="K2869" s="1"/>
  <c r="K2868"/>
  <c r="I2868"/>
  <c r="K2867"/>
  <c r="K2866"/>
  <c r="M2855"/>
  <c r="M2854"/>
  <c r="I2854"/>
  <c r="K2835"/>
  <c r="K2834"/>
  <c r="J2831"/>
  <c r="P2828"/>
  <c r="P2861" s="1"/>
  <c r="R2861" s="1"/>
  <c r="R2827"/>
  <c r="P2827"/>
  <c r="P2860" s="1"/>
  <c r="R2860" s="1"/>
  <c r="P2826"/>
  <c r="P2825"/>
  <c r="M2822"/>
  <c r="I2822"/>
  <c r="AE2794" s="1"/>
  <c r="AG2794" s="1"/>
  <c r="M2821"/>
  <c r="K2821"/>
  <c r="K2820"/>
  <c r="K2819"/>
  <c r="K2818"/>
  <c r="F2814"/>
  <c r="AE2793"/>
  <c r="AG2793" s="1"/>
  <c r="AE2792"/>
  <c r="AG2792" s="1"/>
  <c r="S2792"/>
  <c r="K2792"/>
  <c r="AE2791"/>
  <c r="AG2791" s="1"/>
  <c r="S2791"/>
  <c r="AE2790"/>
  <c r="AG2790" s="1"/>
  <c r="S2790"/>
  <c r="V2789"/>
  <c r="S2789"/>
  <c r="AG2788"/>
  <c r="V2788"/>
  <c r="S2788"/>
  <c r="V2787"/>
  <c r="S2787"/>
  <c r="X2787" s="1"/>
  <c r="V2786"/>
  <c r="S2786"/>
  <c r="S2785"/>
  <c r="V2784"/>
  <c r="X2784" s="1"/>
  <c r="S2782"/>
  <c r="S2781"/>
  <c r="L2778"/>
  <c r="F2815" s="1"/>
  <c r="Y2777"/>
  <c r="K2774"/>
  <c r="K2773"/>
  <c r="E2757"/>
  <c r="E2759" s="1"/>
  <c r="E2755"/>
  <c r="E2756" s="1"/>
  <c r="K2733"/>
  <c r="I2717"/>
  <c r="K2717" s="1"/>
  <c r="I2711"/>
  <c r="K2711" s="1"/>
  <c r="L2688"/>
  <c r="K2685"/>
  <c r="I2684"/>
  <c r="K2684" s="1"/>
  <c r="I2681"/>
  <c r="I2680"/>
  <c r="K2680" s="1"/>
  <c r="I2670"/>
  <c r="K2669"/>
  <c r="I2669"/>
  <c r="I3107" s="1"/>
  <c r="K3107" s="1"/>
  <c r="I2668"/>
  <c r="I3106" s="1"/>
  <c r="K3106" s="1"/>
  <c r="I2667"/>
  <c r="K2667" s="1"/>
  <c r="K2665"/>
  <c r="AE2659"/>
  <c r="AG2659" s="1"/>
  <c r="AG2657"/>
  <c r="AG2656"/>
  <c r="AG2655"/>
  <c r="AG2654"/>
  <c r="AG2653"/>
  <c r="AB2649"/>
  <c r="R2648"/>
  <c r="P2648"/>
  <c r="R2647"/>
  <c r="P2647"/>
  <c r="R2646"/>
  <c r="P2646"/>
  <c r="AE2645"/>
  <c r="P2645"/>
  <c r="R2645" s="1"/>
  <c r="AE2644"/>
  <c r="AE2646" s="1"/>
  <c r="AB2651" s="1"/>
  <c r="P2644"/>
  <c r="R2644" s="1"/>
  <c r="P2642"/>
  <c r="K2641"/>
  <c r="AE2640"/>
  <c r="M2640"/>
  <c r="K2640"/>
  <c r="AE2639"/>
  <c r="K2639"/>
  <c r="K2638"/>
  <c r="AE2637"/>
  <c r="AB2652" s="1"/>
  <c r="P2637"/>
  <c r="M2642" s="1"/>
  <c r="R2642" s="1"/>
  <c r="K2637"/>
  <c r="K2635"/>
  <c r="P2632"/>
  <c r="M2641" s="1"/>
  <c r="I2630"/>
  <c r="K2629"/>
  <c r="I2629"/>
  <c r="I2625"/>
  <c r="AG2623"/>
  <c r="AE2623"/>
  <c r="AB2615"/>
  <c r="AE2611"/>
  <c r="AE2610"/>
  <c r="K2610"/>
  <c r="X2609"/>
  <c r="I2609"/>
  <c r="H3854" s="1"/>
  <c r="V2608"/>
  <c r="Z2607"/>
  <c r="V2607"/>
  <c r="AE2606"/>
  <c r="V2606"/>
  <c r="AE2605"/>
  <c r="AE2607" s="1"/>
  <c r="AB2616" s="1"/>
  <c r="Z2605"/>
  <c r="V2605"/>
  <c r="I2604"/>
  <c r="AE2603"/>
  <c r="AB2618" s="1"/>
  <c r="V2603"/>
  <c r="AE2617" s="1"/>
  <c r="Z2601"/>
  <c r="S2601"/>
  <c r="V2597"/>
  <c r="V2596"/>
  <c r="V2598" s="1"/>
  <c r="S2603" s="1"/>
  <c r="X2603" s="1"/>
  <c r="V2592"/>
  <c r="V2591"/>
  <c r="V2593" s="1"/>
  <c r="S2602" s="1"/>
  <c r="V2589"/>
  <c r="S2604" s="1"/>
  <c r="O2580"/>
  <c r="P2576"/>
  <c r="R2576" s="1"/>
  <c r="K2575"/>
  <c r="H2574"/>
  <c r="P2569"/>
  <c r="I2569"/>
  <c r="K2543"/>
  <c r="K2540"/>
  <c r="I2534"/>
  <c r="N2522"/>
  <c r="R2517"/>
  <c r="P2517"/>
  <c r="P2516"/>
  <c r="R2516" s="1"/>
  <c r="K2514"/>
  <c r="R2510"/>
  <c r="K2510"/>
  <c r="K2509"/>
  <c r="I2509"/>
  <c r="P2507"/>
  <c r="P2506"/>
  <c r="P2505"/>
  <c r="P2510" s="1"/>
  <c r="M2514" s="1"/>
  <c r="P2504"/>
  <c r="I2503"/>
  <c r="H2487"/>
  <c r="I2479"/>
  <c r="I2481" s="1"/>
  <c r="F2485" s="1"/>
  <c r="H2472"/>
  <c r="K2469"/>
  <c r="I2469"/>
  <c r="K2468"/>
  <c r="I2468"/>
  <c r="I2539" s="1"/>
  <c r="K2539" s="1"/>
  <c r="K2467"/>
  <c r="I2467"/>
  <c r="I2486" s="1"/>
  <c r="I2508" s="1"/>
  <c r="P2515" s="1"/>
  <c r="R2515" s="1"/>
  <c r="K2466"/>
  <c r="I2466"/>
  <c r="I2485" s="1"/>
  <c r="I2462"/>
  <c r="I2442"/>
  <c r="K2442" s="1"/>
  <c r="R2437"/>
  <c r="R2429"/>
  <c r="I2426"/>
  <c r="K2426" s="1"/>
  <c r="K2422"/>
  <c r="R2408"/>
  <c r="K2408"/>
  <c r="I2408"/>
  <c r="R2407"/>
  <c r="R2406"/>
  <c r="R2405"/>
  <c r="R2404"/>
  <c r="R2403"/>
  <c r="R2402"/>
  <c r="R2401"/>
  <c r="R2400"/>
  <c r="R2399"/>
  <c r="R2398"/>
  <c r="R2397"/>
  <c r="K2397"/>
  <c r="R2396"/>
  <c r="R2395"/>
  <c r="R2394"/>
  <c r="R2393"/>
  <c r="R2392"/>
  <c r="E2392"/>
  <c r="E2393" s="1"/>
  <c r="R2391"/>
  <c r="K2388"/>
  <c r="K2387"/>
  <c r="P2372"/>
  <c r="R2372" s="1"/>
  <c r="P2371"/>
  <c r="R2371" s="1"/>
  <c r="K2366"/>
  <c r="K2365"/>
  <c r="K2364"/>
  <c r="D2347"/>
  <c r="P2335"/>
  <c r="R2335" s="1"/>
  <c r="R2334"/>
  <c r="I2328"/>
  <c r="K2328" s="1"/>
  <c r="K2327"/>
  <c r="E2313"/>
  <c r="I2347" s="1"/>
  <c r="K2347" s="1"/>
  <c r="I2312"/>
  <c r="K2312" s="1"/>
  <c r="I2311"/>
  <c r="K2311" s="1"/>
  <c r="I2310"/>
  <c r="K2310" s="1"/>
  <c r="I2309"/>
  <c r="K2309" s="1"/>
  <c r="L2308"/>
  <c r="L2307"/>
  <c r="I2299"/>
  <c r="K2299" s="1"/>
  <c r="H2299"/>
  <c r="I2297"/>
  <c r="K2297" s="1"/>
  <c r="K2295"/>
  <c r="K2291"/>
  <c r="I3018" s="1"/>
  <c r="K3018" s="1"/>
  <c r="K2290"/>
  <c r="K2289"/>
  <c r="K2287"/>
  <c r="K2286"/>
  <c r="K2285"/>
  <c r="K2283"/>
  <c r="K2282"/>
  <c r="K2281"/>
  <c r="K2280"/>
  <c r="K2277"/>
  <c r="K2276"/>
  <c r="K2275"/>
  <c r="K2273"/>
  <c r="L2270"/>
  <c r="K2269"/>
  <c r="K2268"/>
  <c r="K2267"/>
  <c r="K2266"/>
  <c r="K2265"/>
  <c r="K2264"/>
  <c r="K2263"/>
  <c r="K2262"/>
  <c r="K2261"/>
  <c r="L2260"/>
  <c r="L2259"/>
  <c r="M2255"/>
  <c r="K2248"/>
  <c r="I2247"/>
  <c r="K2247" s="1"/>
  <c r="I2246"/>
  <c r="K2246" s="1"/>
  <c r="I2245"/>
  <c r="K2245" s="1"/>
  <c r="I2244"/>
  <c r="K2244" s="1"/>
  <c r="I2221"/>
  <c r="K2221" s="1"/>
  <c r="K2225" s="1"/>
  <c r="I2212"/>
  <c r="K2212" s="1"/>
  <c r="K2216" s="1"/>
  <c r="I2202"/>
  <c r="K2202" s="1"/>
  <c r="K2206" s="1"/>
  <c r="J2197"/>
  <c r="K2197" s="1"/>
  <c r="K2200" s="1"/>
  <c r="I2189"/>
  <c r="K2189" s="1"/>
  <c r="K2193" s="1"/>
  <c r="I2176"/>
  <c r="K2176" s="1"/>
  <c r="H2174"/>
  <c r="I2163"/>
  <c r="K2163" s="1"/>
  <c r="R2151"/>
  <c r="I2149"/>
  <c r="K2149" s="1"/>
  <c r="K2144"/>
  <c r="I2144"/>
  <c r="I2129"/>
  <c r="K2129" s="1"/>
  <c r="I2124"/>
  <c r="K2124" s="1"/>
  <c r="K2116"/>
  <c r="K2119" s="1"/>
  <c r="I2116"/>
  <c r="I2104"/>
  <c r="K2104" s="1"/>
  <c r="K2096"/>
  <c r="K2095"/>
  <c r="I2094"/>
  <c r="K2094" s="1"/>
  <c r="I2093"/>
  <c r="K2093" s="1"/>
  <c r="K2098" s="1"/>
  <c r="I2076"/>
  <c r="K2076" s="1"/>
  <c r="I2075"/>
  <c r="K2075" s="1"/>
  <c r="I2074"/>
  <c r="K2074" s="1"/>
  <c r="I2073"/>
  <c r="K2073" s="1"/>
  <c r="I2052"/>
  <c r="K2052" s="1"/>
  <c r="I2051"/>
  <c r="K2051" s="1"/>
  <c r="K2050"/>
  <c r="I2049"/>
  <c r="K2049" s="1"/>
  <c r="P2032"/>
  <c r="K2024"/>
  <c r="I2024"/>
  <c r="P2024" s="1"/>
  <c r="R2024" s="1"/>
  <c r="P2014"/>
  <c r="I2005"/>
  <c r="K2005" s="1"/>
  <c r="P1996"/>
  <c r="P1990"/>
  <c r="P1988"/>
  <c r="I1986"/>
  <c r="P1986" s="1"/>
  <c r="R1986" s="1"/>
  <c r="P1975"/>
  <c r="P1968"/>
  <c r="R1968" s="1"/>
  <c r="I1968"/>
  <c r="K1968" s="1"/>
  <c r="N1943"/>
  <c r="N1944" s="1"/>
  <c r="Q1942"/>
  <c r="P1942"/>
  <c r="P1941"/>
  <c r="Q1941" s="1"/>
  <c r="K1941"/>
  <c r="P1940"/>
  <c r="Q1940" s="1"/>
  <c r="P1939"/>
  <c r="Q1939" s="1"/>
  <c r="K1939"/>
  <c r="P1938"/>
  <c r="P1937"/>
  <c r="Q1936"/>
  <c r="I1936"/>
  <c r="K1936" s="1"/>
  <c r="K1925"/>
  <c r="I1922"/>
  <c r="K1922" s="1"/>
  <c r="I1909"/>
  <c r="K1909" s="1"/>
  <c r="P1908"/>
  <c r="P1909" s="1"/>
  <c r="R1909" s="1"/>
  <c r="I1908"/>
  <c r="K1908" s="1"/>
  <c r="K1907"/>
  <c r="P1897"/>
  <c r="I1895"/>
  <c r="R1890"/>
  <c r="R1889"/>
  <c r="R1887"/>
  <c r="I1887"/>
  <c r="K1887" s="1"/>
  <c r="K1886"/>
  <c r="I1878"/>
  <c r="K1878" s="1"/>
  <c r="P1877"/>
  <c r="R1877" s="1"/>
  <c r="I1870"/>
  <c r="P1866"/>
  <c r="P1865"/>
  <c r="P1896" s="1"/>
  <c r="P1864"/>
  <c r="P1895" s="1"/>
  <c r="R1859"/>
  <c r="R1858"/>
  <c r="P1857"/>
  <c r="P1888" s="1"/>
  <c r="R1856"/>
  <c r="P1856"/>
  <c r="K1848"/>
  <c r="I1843"/>
  <c r="K1843" s="1"/>
  <c r="I1842"/>
  <c r="K1842" s="1"/>
  <c r="K1840"/>
  <c r="K1830"/>
  <c r="I1825"/>
  <c r="K1825" s="1"/>
  <c r="I1824"/>
  <c r="K1824" s="1"/>
  <c r="K1822"/>
  <c r="K1812"/>
  <c r="I1807"/>
  <c r="I1806"/>
  <c r="K1804"/>
  <c r="K1797"/>
  <c r="K1796"/>
  <c r="K1793"/>
  <c r="K1786"/>
  <c r="I1785"/>
  <c r="K1785" s="1"/>
  <c r="K1770"/>
  <c r="I1770"/>
  <c r="I1769"/>
  <c r="K1769" s="1"/>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K1682" s="1"/>
  <c r="AE1677"/>
  <c r="AE1676"/>
  <c r="AE1675"/>
  <c r="AE1674"/>
  <c r="AE1673"/>
  <c r="AE1672"/>
  <c r="AE1671"/>
  <c r="AE1670"/>
  <c r="AE1669"/>
  <c r="AE1668"/>
  <c r="AE1667"/>
  <c r="K1667"/>
  <c r="AE1666"/>
  <c r="K1666"/>
  <c r="K1670" s="1"/>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K1629"/>
  <c r="I1629"/>
  <c r="AE1628"/>
  <c r="Q1628"/>
  <c r="K1628"/>
  <c r="I1628"/>
  <c r="P1630" s="1"/>
  <c r="R1630" s="1"/>
  <c r="AE1627"/>
  <c r="I1627"/>
  <c r="K1627" s="1"/>
  <c r="AE1626"/>
  <c r="I1626"/>
  <c r="P1628" s="1"/>
  <c r="R1628" s="1"/>
  <c r="AE1625"/>
  <c r="AE1624"/>
  <c r="AE1623"/>
  <c r="AE1622"/>
  <c r="AE1621"/>
  <c r="AE1620"/>
  <c r="AE1619"/>
  <c r="AE1618"/>
  <c r="AE1617"/>
  <c r="AE1616"/>
  <c r="AE1615"/>
  <c r="O1615"/>
  <c r="AE1614"/>
  <c r="I1614"/>
  <c r="K1614" s="1"/>
  <c r="AE1613"/>
  <c r="AE1612"/>
  <c r="AE1611"/>
  <c r="AE1610"/>
  <c r="AE1609"/>
  <c r="AE1608"/>
  <c r="AE1607"/>
  <c r="AE1606"/>
  <c r="AE1605"/>
  <c r="AE1604"/>
  <c r="AE1603"/>
  <c r="R1603"/>
  <c r="P1603"/>
  <c r="P1615" s="1"/>
  <c r="R1615" s="1"/>
  <c r="AE1602"/>
  <c r="AE1601"/>
  <c r="AE1600"/>
  <c r="AE1599"/>
  <c r="AE1598"/>
  <c r="AE1597"/>
  <c r="AE1596"/>
  <c r="AE1595"/>
  <c r="AE1594"/>
  <c r="AE1593"/>
  <c r="AE1592"/>
  <c r="AE1591"/>
  <c r="K1591"/>
  <c r="AE1590"/>
  <c r="AE1589"/>
  <c r="AE1588"/>
  <c r="AE1587"/>
  <c r="I1587"/>
  <c r="I1602" s="1"/>
  <c r="K1602" s="1"/>
  <c r="AE1586"/>
  <c r="AE1585"/>
  <c r="AE1584"/>
  <c r="AE1583"/>
  <c r="AE1582"/>
  <c r="AE1581"/>
  <c r="AE1580"/>
  <c r="AE1579"/>
  <c r="AE1578"/>
  <c r="K1578"/>
  <c r="AE1577"/>
  <c r="AE1576"/>
  <c r="AE1575"/>
  <c r="AE1574"/>
  <c r="I1574"/>
  <c r="K1574" s="1"/>
  <c r="AE1573"/>
  <c r="AE1572"/>
  <c r="AE1571"/>
  <c r="AE1570"/>
  <c r="AE1569"/>
  <c r="AE1568"/>
  <c r="AE1567"/>
  <c r="AE1566"/>
  <c r="AE1565"/>
  <c r="AE1564"/>
  <c r="AE1563"/>
  <c r="I1563"/>
  <c r="K1563" s="1"/>
  <c r="AE1562"/>
  <c r="K1562"/>
  <c r="AE1561"/>
  <c r="AE1560"/>
  <c r="AE1559"/>
  <c r="K1559"/>
  <c r="I1559"/>
  <c r="AE1558"/>
  <c r="AE1557"/>
  <c r="AE1556"/>
  <c r="AE1555"/>
  <c r="AE1554"/>
  <c r="AE1553"/>
  <c r="AE1552"/>
  <c r="AE1551"/>
  <c r="AE1550"/>
  <c r="AE1549"/>
  <c r="AE1548"/>
  <c r="AE1547"/>
  <c r="I1547"/>
  <c r="I3196" s="1"/>
  <c r="AE1546"/>
  <c r="AE1545"/>
  <c r="AE1544"/>
  <c r="AE1543"/>
  <c r="AE1542"/>
  <c r="AE1541"/>
  <c r="AE1540"/>
  <c r="AE1539"/>
  <c r="AE1538"/>
  <c r="P1538"/>
  <c r="R1538" s="1"/>
  <c r="AE1537"/>
  <c r="AE1536"/>
  <c r="AE1535"/>
  <c r="AE1534"/>
  <c r="I1534"/>
  <c r="I3210" s="1"/>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I3168" s="1"/>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R1417" s="1"/>
  <c r="AE1416"/>
  <c r="P1416"/>
  <c r="P1433" s="1"/>
  <c r="AE1415"/>
  <c r="AE1414"/>
  <c r="P1414"/>
  <c r="P1431" s="1"/>
  <c r="AE1413"/>
  <c r="P1413"/>
  <c r="P1430" s="1"/>
  <c r="AE1412"/>
  <c r="P1412"/>
  <c r="P1429" s="1"/>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P1411" s="1"/>
  <c r="AE1393"/>
  <c r="P1393"/>
  <c r="P1410" s="1"/>
  <c r="AE1392"/>
  <c r="P1392"/>
  <c r="P1409" s="1"/>
  <c r="AE1391"/>
  <c r="R1391"/>
  <c r="AE1390"/>
  <c r="AE1389"/>
  <c r="AE1388"/>
  <c r="AE1387"/>
  <c r="AE1386"/>
  <c r="AE1385"/>
  <c r="AE1384"/>
  <c r="AE1383"/>
  <c r="AE1382"/>
  <c r="AE1381"/>
  <c r="AE1380"/>
  <c r="AE1379"/>
  <c r="V1379"/>
  <c r="V1396" s="1"/>
  <c r="AE1378"/>
  <c r="V1378"/>
  <c r="V1395" s="1"/>
  <c r="I1378"/>
  <c r="K1378" s="1"/>
  <c r="AE1377"/>
  <c r="V1377"/>
  <c r="V1394" s="1"/>
  <c r="AE1376"/>
  <c r="AE1375"/>
  <c r="V1375"/>
  <c r="V1392" s="1"/>
  <c r="I1375"/>
  <c r="K1375" s="1"/>
  <c r="AE1374"/>
  <c r="V1374"/>
  <c r="X1374" s="1"/>
  <c r="AE1373"/>
  <c r="V1373"/>
  <c r="V1390" s="1"/>
  <c r="AE1372"/>
  <c r="V1372"/>
  <c r="V1389" s="1"/>
  <c r="P1372"/>
  <c r="R1372" s="1"/>
  <c r="AE1371"/>
  <c r="V1371"/>
  <c r="V1388" s="1"/>
  <c r="AE1370"/>
  <c r="V1370"/>
  <c r="X1370" s="1"/>
  <c r="AE1369"/>
  <c r="V1369"/>
  <c r="V1386" s="1"/>
  <c r="AE1368"/>
  <c r="AE1367"/>
  <c r="AE1366"/>
  <c r="AE1365"/>
  <c r="AE1364"/>
  <c r="AE1363"/>
  <c r="AE1362"/>
  <c r="V1362"/>
  <c r="X1362" s="1"/>
  <c r="AE1361"/>
  <c r="X1361"/>
  <c r="V1361"/>
  <c r="AE1360"/>
  <c r="AB1360"/>
  <c r="I3995" s="1"/>
  <c r="V1360"/>
  <c r="X1360" s="1"/>
  <c r="AE1359"/>
  <c r="AB1359"/>
  <c r="AB1376" s="1"/>
  <c r="AE1358"/>
  <c r="AB1358"/>
  <c r="AB1375" s="1"/>
  <c r="V1358"/>
  <c r="X1358" s="1"/>
  <c r="AE1357"/>
  <c r="V1357"/>
  <c r="X1357" s="1"/>
  <c r="AE1356"/>
  <c r="AB1356"/>
  <c r="AB1373" s="1"/>
  <c r="V1356"/>
  <c r="X1356" s="1"/>
  <c r="I1356"/>
  <c r="K1356" s="1"/>
  <c r="AE1355"/>
  <c r="AB1355"/>
  <c r="I3992" s="1"/>
  <c r="V1355"/>
  <c r="X1355" s="1"/>
  <c r="R1355"/>
  <c r="AE1354"/>
  <c r="AB1354"/>
  <c r="I3991" s="1"/>
  <c r="V1354"/>
  <c r="X1354" s="1"/>
  <c r="AE1353"/>
  <c r="AB1353"/>
  <c r="AD1353" s="1"/>
  <c r="V1353"/>
  <c r="X1353" s="1"/>
  <c r="R1353"/>
  <c r="R1357" s="1"/>
  <c r="R1358" s="1"/>
  <c r="AE1352"/>
  <c r="AB1352"/>
  <c r="AB1369" s="1"/>
  <c r="X1352"/>
  <c r="V1352"/>
  <c r="AE1351"/>
  <c r="AB1351"/>
  <c r="AB1368" s="1"/>
  <c r="AE1350"/>
  <c r="AB1350"/>
  <c r="AD1350" s="1"/>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R1320" s="1"/>
  <c r="AE1319"/>
  <c r="R1319"/>
  <c r="AE1318"/>
  <c r="V1318"/>
  <c r="X1318" s="1"/>
  <c r="AE1317"/>
  <c r="AE1316"/>
  <c r="AE1315"/>
  <c r="AE1314"/>
  <c r="AE1313"/>
  <c r="AE1312"/>
  <c r="AE1311"/>
  <c r="AE1310"/>
  <c r="AE1309"/>
  <c r="AE1308"/>
  <c r="AE1307"/>
  <c r="AE1306"/>
  <c r="AE1305"/>
  <c r="V1305"/>
  <c r="V1325" s="1"/>
  <c r="AE1304"/>
  <c r="X1304"/>
  <c r="AE1303"/>
  <c r="AE1302"/>
  <c r="AE1301"/>
  <c r="R1301"/>
  <c r="P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I1269"/>
  <c r="K1269" s="1"/>
  <c r="AE1268"/>
  <c r="AE1267"/>
  <c r="AD1267"/>
  <c r="AE1266"/>
  <c r="AC1266"/>
  <c r="AE1265"/>
  <c r="AC1265"/>
  <c r="AE1264"/>
  <c r="AC1264"/>
  <c r="R1264"/>
  <c r="P1264"/>
  <c r="P1380" s="1"/>
  <c r="R1380" s="1"/>
  <c r="AE1263"/>
  <c r="AC1263"/>
  <c r="AB1263"/>
  <c r="AD1263" s="1"/>
  <c r="AE1262"/>
  <c r="AC1262"/>
  <c r="AB1262"/>
  <c r="AD1262" s="1"/>
  <c r="AE1261"/>
  <c r="AE1260"/>
  <c r="AE1259"/>
  <c r="AE1258"/>
  <c r="R1257"/>
  <c r="AE1256"/>
  <c r="K1256"/>
  <c r="AE1255"/>
  <c r="AE1254"/>
  <c r="AE1253"/>
  <c r="AB1253"/>
  <c r="AE1252"/>
  <c r="AE1251"/>
  <c r="AE1250"/>
  <c r="AE1249"/>
  <c r="AD1249"/>
  <c r="AE1248"/>
  <c r="I1248"/>
  <c r="K1248" s="1"/>
  <c r="AE1247"/>
  <c r="AE1246"/>
  <c r="AE1245"/>
  <c r="AE1244"/>
  <c r="V1244"/>
  <c r="X1244" s="1"/>
  <c r="AE1243"/>
  <c r="AE1242"/>
  <c r="AE1241"/>
  <c r="AD1241"/>
  <c r="R1241"/>
  <c r="P1241"/>
  <c r="AE1240"/>
  <c r="AE1239"/>
  <c r="AE1238"/>
  <c r="AE1237"/>
  <c r="X1237"/>
  <c r="AE1236"/>
  <c r="AE1235"/>
  <c r="AE1234"/>
  <c r="R1234"/>
  <c r="AE1233"/>
  <c r="I1233"/>
  <c r="K1233" s="1"/>
  <c r="AE1232"/>
  <c r="I1232"/>
  <c r="K1232" s="1"/>
  <c r="AE1231"/>
  <c r="I1231"/>
  <c r="K1231" s="1"/>
  <c r="AE1230"/>
  <c r="AE1229"/>
  <c r="AE1228"/>
  <c r="AE1227"/>
  <c r="AE1226"/>
  <c r="AB1226"/>
  <c r="S1226"/>
  <c r="AE1225"/>
  <c r="AB1225"/>
  <c r="AE1224"/>
  <c r="AE1223"/>
  <c r="AE1222"/>
  <c r="P1222"/>
  <c r="R1222" s="1"/>
  <c r="T1222" s="1"/>
  <c r="AE1221"/>
  <c r="AB1221"/>
  <c r="AD1221" s="1"/>
  <c r="AE1220"/>
  <c r="AE1219"/>
  <c r="AE1218"/>
  <c r="AU1217"/>
  <c r="AE1217"/>
  <c r="AE1216"/>
  <c r="AE1215"/>
  <c r="AB1215"/>
  <c r="T1215"/>
  <c r="R1215"/>
  <c r="AE1214"/>
  <c r="AE1213"/>
  <c r="AD1213"/>
  <c r="AE1212"/>
  <c r="AC1212"/>
  <c r="AE1211"/>
  <c r="AE1210"/>
  <c r="AE1209"/>
  <c r="AE1203"/>
  <c r="AE1202"/>
  <c r="AC1198"/>
  <c r="AC1199" s="1"/>
  <c r="K1193"/>
  <c r="AE1191"/>
  <c r="K1191"/>
  <c r="AE1190"/>
  <c r="AE1189"/>
  <c r="AK1188"/>
  <c r="AE1188"/>
  <c r="AE1194" s="1"/>
  <c r="AD1188"/>
  <c r="AE1187"/>
  <c r="AE1186"/>
  <c r="AE1185"/>
  <c r="AE1184"/>
  <c r="AE1183"/>
  <c r="AE1182"/>
  <c r="T1182"/>
  <c r="AE1181"/>
  <c r="AE1180"/>
  <c r="AE1179"/>
  <c r="AE1178"/>
  <c r="K1178"/>
  <c r="AE1177"/>
  <c r="K1177"/>
  <c r="AE1176"/>
  <c r="Q1176"/>
  <c r="K1176"/>
  <c r="AE1175"/>
  <c r="AE1174"/>
  <c r="AE1173"/>
  <c r="AE1172"/>
  <c r="AE1171"/>
  <c r="AE1170"/>
  <c r="AE1169"/>
  <c r="AE1168"/>
  <c r="AE1167"/>
  <c r="AE1166"/>
  <c r="AE1165"/>
  <c r="AE1164"/>
  <c r="AE1163"/>
  <c r="AE1162"/>
  <c r="AE1161"/>
  <c r="AE1160"/>
  <c r="I1160"/>
  <c r="K1160" s="1"/>
  <c r="AE1159"/>
  <c r="I1159"/>
  <c r="K1159" s="1"/>
  <c r="AE1158"/>
  <c r="T1158"/>
  <c r="AE1157"/>
  <c r="AE1156"/>
  <c r="AE1155"/>
  <c r="AE1154"/>
  <c r="AE1153"/>
  <c r="X1153"/>
  <c r="AE1152"/>
  <c r="AE1151"/>
  <c r="P1151"/>
  <c r="AE1150"/>
  <c r="P1150"/>
  <c r="AE1149"/>
  <c r="P1149"/>
  <c r="AE1147"/>
  <c r="AE1146"/>
  <c r="I1146"/>
  <c r="K1146" s="1"/>
  <c r="AE1145"/>
  <c r="K1145"/>
  <c r="I1145"/>
  <c r="AE1144"/>
  <c r="AE1143"/>
  <c r="AE1142"/>
  <c r="Q1142"/>
  <c r="AE1141"/>
  <c r="AE1140"/>
  <c r="AE1139"/>
  <c r="AE1138"/>
  <c r="AE1137"/>
  <c r="AE1136"/>
  <c r="AE1135"/>
  <c r="K1135"/>
  <c r="AE1134"/>
  <c r="K1134"/>
  <c r="AE1133"/>
  <c r="I1133"/>
  <c r="K1133" s="1"/>
  <c r="AE1132"/>
  <c r="I1132"/>
  <c r="K1132" s="1"/>
  <c r="AE1131"/>
  <c r="AE1130"/>
  <c r="K1130"/>
  <c r="AE1129"/>
  <c r="AE1128"/>
  <c r="AE1127"/>
  <c r="AE1126"/>
  <c r="AE1125"/>
  <c r="AE1124"/>
  <c r="AE1123"/>
  <c r="AE1122"/>
  <c r="AE1121"/>
  <c r="AE1120"/>
  <c r="AE1119"/>
  <c r="AE1118"/>
  <c r="AE1116"/>
  <c r="AE1115"/>
  <c r="AE1114"/>
  <c r="AE1113"/>
  <c r="AE1112"/>
  <c r="AE1111"/>
  <c r="AE1110"/>
  <c r="AE1109"/>
  <c r="AE1108"/>
  <c r="AE1107"/>
  <c r="I1107"/>
  <c r="K1107" s="1"/>
  <c r="AE1106"/>
  <c r="I1106"/>
  <c r="K1106" s="1"/>
  <c r="AE1105"/>
  <c r="K1105"/>
  <c r="I1105"/>
  <c r="AE1104"/>
  <c r="AE1103"/>
  <c r="I1103"/>
  <c r="K1103" s="1"/>
  <c r="AE1101"/>
  <c r="AE1100"/>
  <c r="AE1099"/>
  <c r="AE1098"/>
  <c r="AE1097"/>
  <c r="AE1096"/>
  <c r="AE1095"/>
  <c r="AE1094"/>
  <c r="AE1093"/>
  <c r="AE1092"/>
  <c r="R1092"/>
  <c r="I1092"/>
  <c r="K1092" s="1"/>
  <c r="AE1091"/>
  <c r="AE1090"/>
  <c r="I1090"/>
  <c r="K1090" s="1"/>
  <c r="AE1089"/>
  <c r="I1089"/>
  <c r="K1089" s="1"/>
  <c r="AE1088"/>
  <c r="AE1087"/>
  <c r="I1087"/>
  <c r="K1087" s="1"/>
  <c r="H1087"/>
  <c r="H1103" s="1"/>
  <c r="AE1086"/>
  <c r="AE1085"/>
  <c r="AE1084"/>
  <c r="AE1083"/>
  <c r="AE1082"/>
  <c r="AE1081"/>
  <c r="AE1080"/>
  <c r="AE1079"/>
  <c r="AE1078"/>
  <c r="AE1077"/>
  <c r="I1077"/>
  <c r="K1077" s="1"/>
  <c r="I1075"/>
  <c r="K1075" s="1"/>
  <c r="I1074"/>
  <c r="K1074" s="1"/>
  <c r="K1072"/>
  <c r="I1062"/>
  <c r="P1073" s="1"/>
  <c r="R1073" s="1"/>
  <c r="I1061"/>
  <c r="P1072" s="1"/>
  <c r="R1072" s="1"/>
  <c r="I1060"/>
  <c r="K1060" s="1"/>
  <c r="I1059"/>
  <c r="P1070" s="1"/>
  <c r="R1070" s="1"/>
  <c r="K1058"/>
  <c r="I1058"/>
  <c r="P1069" s="1"/>
  <c r="R1069" s="1"/>
  <c r="I1057"/>
  <c r="K1057" s="1"/>
  <c r="I1055"/>
  <c r="I3103" s="1"/>
  <c r="K3103" s="1"/>
  <c r="P1054"/>
  <c r="R1054" s="1"/>
  <c r="P1053"/>
  <c r="R1053" s="1"/>
  <c r="P1052"/>
  <c r="R1052" s="1"/>
  <c r="P1051"/>
  <c r="R1051" s="1"/>
  <c r="P1050"/>
  <c r="R1050" s="1"/>
  <c r="R1048"/>
  <c r="P1048"/>
  <c r="AE1041"/>
  <c r="AE1040"/>
  <c r="AE1039"/>
  <c r="AE1038"/>
  <c r="AE1037"/>
  <c r="AE1036"/>
  <c r="AE1034"/>
  <c r="AE1033"/>
  <c r="AE1032"/>
  <c r="AE1031"/>
  <c r="AE1030"/>
  <c r="AE1029"/>
  <c r="AE1028"/>
  <c r="AE1027"/>
  <c r="AE1026"/>
  <c r="AE1025"/>
  <c r="I1025"/>
  <c r="P1099" s="1"/>
  <c r="AE1024"/>
  <c r="I1024"/>
  <c r="P1098" s="1"/>
  <c r="AE1023"/>
  <c r="K1023"/>
  <c r="I1023"/>
  <c r="P1097" s="1"/>
  <c r="AE1022"/>
  <c r="I1022"/>
  <c r="P1096" s="1"/>
  <c r="AE1021"/>
  <c r="K1021"/>
  <c r="I1021"/>
  <c r="P1095" s="1"/>
  <c r="AE1020"/>
  <c r="I1020"/>
  <c r="P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P995"/>
  <c r="R995" s="1"/>
  <c r="I995"/>
  <c r="I2841" s="1"/>
  <c r="AE994"/>
  <c r="P994"/>
  <c r="R994" s="1"/>
  <c r="I994"/>
  <c r="I2840" s="1"/>
  <c r="AE993"/>
  <c r="R993"/>
  <c r="P993"/>
  <c r="K993"/>
  <c r="I993"/>
  <c r="I2839" s="1"/>
  <c r="AE992"/>
  <c r="P992"/>
  <c r="R992" s="1"/>
  <c r="I992"/>
  <c r="I2838" s="1"/>
  <c r="AE991"/>
  <c r="P991"/>
  <c r="R991" s="1"/>
  <c r="K991"/>
  <c r="I991"/>
  <c r="I2837" s="1"/>
  <c r="AE990"/>
  <c r="I990"/>
  <c r="I2836" s="1"/>
  <c r="AE989"/>
  <c r="P989"/>
  <c r="R989" s="1"/>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K960" s="1"/>
  <c r="AE959"/>
  <c r="I959"/>
  <c r="K959" s="1"/>
  <c r="AE958"/>
  <c r="I958"/>
  <c r="K958" s="1"/>
  <c r="AE957"/>
  <c r="I957"/>
  <c r="K957" s="1"/>
  <c r="AE956"/>
  <c r="K956"/>
  <c r="I956"/>
  <c r="AE955"/>
  <c r="I955"/>
  <c r="K955" s="1"/>
  <c r="AE954"/>
  <c r="AE953"/>
  <c r="P953"/>
  <c r="R953" s="1"/>
  <c r="AE952"/>
  <c r="P952"/>
  <c r="R952" s="1"/>
  <c r="AE951"/>
  <c r="P951"/>
  <c r="R951" s="1"/>
  <c r="AE950"/>
  <c r="P950"/>
  <c r="R950" s="1"/>
  <c r="AE949"/>
  <c r="P949"/>
  <c r="R949" s="1"/>
  <c r="AE948"/>
  <c r="P948"/>
  <c r="R948" s="1"/>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R904"/>
  <c r="AE903"/>
  <c r="R903"/>
  <c r="AE902"/>
  <c r="R902"/>
  <c r="R908" s="1"/>
  <c r="AE901"/>
  <c r="K901"/>
  <c r="H901"/>
  <c r="AE900"/>
  <c r="AE899"/>
  <c r="AE898"/>
  <c r="AE897"/>
  <c r="H897"/>
  <c r="AE896"/>
  <c r="AE895"/>
  <c r="AE894"/>
  <c r="AE893"/>
  <c r="AE892"/>
  <c r="AE891"/>
  <c r="AE890"/>
  <c r="AE889"/>
  <c r="AE888"/>
  <c r="AE887"/>
  <c r="AE886"/>
  <c r="AE885"/>
  <c r="V885"/>
  <c r="V901" s="1"/>
  <c r="X901" s="1"/>
  <c r="K885"/>
  <c r="AE884"/>
  <c r="AE883"/>
  <c r="AE882"/>
  <c r="I882"/>
  <c r="I898" s="1"/>
  <c r="K898" s="1"/>
  <c r="AE881"/>
  <c r="I881"/>
  <c r="V881" s="1"/>
  <c r="AE880"/>
  <c r="R880"/>
  <c r="I880"/>
  <c r="I896" s="1"/>
  <c r="K896" s="1"/>
  <c r="AE879"/>
  <c r="R879"/>
  <c r="I879"/>
  <c r="I895" s="1"/>
  <c r="K895" s="1"/>
  <c r="AE878"/>
  <c r="R878"/>
  <c r="AE877"/>
  <c r="R877"/>
  <c r="AE876"/>
  <c r="R876"/>
  <c r="AE875"/>
  <c r="R875"/>
  <c r="AE874"/>
  <c r="P874"/>
  <c r="R874" s="1"/>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R844"/>
  <c r="AE843"/>
  <c r="R843"/>
  <c r="AE842"/>
  <c r="R842"/>
  <c r="AE841"/>
  <c r="R841"/>
  <c r="AE840"/>
  <c r="R840"/>
  <c r="AE839"/>
  <c r="R839"/>
  <c r="AE838"/>
  <c r="P838"/>
  <c r="R838" s="1"/>
  <c r="AE837"/>
  <c r="AE827"/>
  <c r="AE826"/>
  <c r="AE825"/>
  <c r="V825"/>
  <c r="AE824"/>
  <c r="V824"/>
  <c r="AE823"/>
  <c r="V823"/>
  <c r="AE822"/>
  <c r="AE821"/>
  <c r="AE820"/>
  <c r="AE819"/>
  <c r="W819"/>
  <c r="AE818"/>
  <c r="AE817"/>
  <c r="R817"/>
  <c r="AE816"/>
  <c r="R816"/>
  <c r="AE815"/>
  <c r="R815"/>
  <c r="AE814"/>
  <c r="R814"/>
  <c r="AE813"/>
  <c r="R813"/>
  <c r="AE812"/>
  <c r="R812"/>
  <c r="AE811"/>
  <c r="P811"/>
  <c r="R811" s="1"/>
  <c r="AE810"/>
  <c r="AE809"/>
  <c r="AE808"/>
  <c r="P808"/>
  <c r="P826" s="1"/>
  <c r="AE807"/>
  <c r="AE806"/>
  <c r="AE805"/>
  <c r="AE804"/>
  <c r="W804"/>
  <c r="AE803"/>
  <c r="AE802"/>
  <c r="AE801"/>
  <c r="AE800"/>
  <c r="AE799"/>
  <c r="AE798"/>
  <c r="AE797"/>
  <c r="AE796"/>
  <c r="AE795"/>
  <c r="AE794"/>
  <c r="AE793"/>
  <c r="AE792"/>
  <c r="R792"/>
  <c r="P792"/>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I745"/>
  <c r="K745" s="1"/>
  <c r="AE744"/>
  <c r="AE743"/>
  <c r="I743"/>
  <c r="I1784" s="1"/>
  <c r="K1784" s="1"/>
  <c r="AE742"/>
  <c r="AE741"/>
  <c r="AE740"/>
  <c r="P740"/>
  <c r="R740" s="1"/>
  <c r="AE739"/>
  <c r="P739"/>
  <c r="R739" s="1"/>
  <c r="AE738"/>
  <c r="P738"/>
  <c r="R738" s="1"/>
  <c r="AE737"/>
  <c r="P737"/>
  <c r="R737" s="1"/>
  <c r="AE736"/>
  <c r="AE735"/>
  <c r="P735"/>
  <c r="R735" s="1"/>
  <c r="AE734"/>
  <c r="AE733"/>
  <c r="AE732"/>
  <c r="AE731"/>
  <c r="AE730"/>
  <c r="AE729"/>
  <c r="AE728"/>
  <c r="AE727"/>
  <c r="AE726"/>
  <c r="AE725"/>
  <c r="P725"/>
  <c r="R725" s="1"/>
  <c r="AE724"/>
  <c r="R724"/>
  <c r="P724"/>
  <c r="AE723"/>
  <c r="P723"/>
  <c r="R723" s="1"/>
  <c r="AE722"/>
  <c r="P722"/>
  <c r="R722" s="1"/>
  <c r="AE721"/>
  <c r="AE720"/>
  <c r="P720"/>
  <c r="R720" s="1"/>
  <c r="I720"/>
  <c r="K720" s="1"/>
  <c r="AE719"/>
  <c r="AE718"/>
  <c r="I718"/>
  <c r="K718" s="1"/>
  <c r="AE717"/>
  <c r="V717"/>
  <c r="I717"/>
  <c r="K717" s="1"/>
  <c r="AE716"/>
  <c r="V716"/>
  <c r="AE715"/>
  <c r="AE714"/>
  <c r="V714"/>
  <c r="AE713"/>
  <c r="V713"/>
  <c r="AE712"/>
  <c r="AE711"/>
  <c r="AE710"/>
  <c r="W710"/>
  <c r="AE709"/>
  <c r="V709"/>
  <c r="S709"/>
  <c r="P709"/>
  <c r="R709" s="1"/>
  <c r="R713" s="1"/>
  <c r="AE708"/>
  <c r="AE707"/>
  <c r="AE706"/>
  <c r="AE705"/>
  <c r="AE704"/>
  <c r="AE703"/>
  <c r="AE702"/>
  <c r="AE701"/>
  <c r="K701"/>
  <c r="AE700"/>
  <c r="I700"/>
  <c r="K700" s="1"/>
  <c r="AE699"/>
  <c r="I699"/>
  <c r="K699" s="1"/>
  <c r="K704" s="1"/>
  <c r="I706"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K681"/>
  <c r="I681"/>
  <c r="AE680"/>
  <c r="I680"/>
  <c r="K680" s="1"/>
  <c r="K684" s="1"/>
  <c r="I686" s="1"/>
  <c r="AE679"/>
  <c r="X679"/>
  <c r="V679"/>
  <c r="AE678"/>
  <c r="R678"/>
  <c r="R682" s="1"/>
  <c r="P678"/>
  <c r="AE677"/>
  <c r="AE676"/>
  <c r="AE675"/>
  <c r="AE674"/>
  <c r="AE673"/>
  <c r="P660"/>
  <c r="R660" s="1"/>
  <c r="J660"/>
  <c r="J661" s="1"/>
  <c r="J662" s="1"/>
  <c r="J663" s="1"/>
  <c r="J664" s="1"/>
  <c r="J665" s="1"/>
  <c r="J666" s="1"/>
  <c r="J667" s="1"/>
  <c r="J668" s="1"/>
  <c r="J669" s="1"/>
  <c r="J670" s="1"/>
  <c r="P659"/>
  <c r="R659" s="1"/>
  <c r="P658"/>
  <c r="R658" s="1"/>
  <c r="AD648"/>
  <c r="AF648" s="1"/>
  <c r="X648"/>
  <c r="P642"/>
  <c r="R642" s="1"/>
  <c r="AE637"/>
  <c r="AE636"/>
  <c r="AE635"/>
  <c r="AE634"/>
  <c r="AE633"/>
  <c r="AE632"/>
  <c r="AE631"/>
  <c r="AE630"/>
  <c r="AE629"/>
  <c r="P629"/>
  <c r="R629" s="1"/>
  <c r="J629"/>
  <c r="J630" s="1"/>
  <c r="J631" s="1"/>
  <c r="J632" s="1"/>
  <c r="AE628"/>
  <c r="AE627"/>
  <c r="AE626"/>
  <c r="AE625"/>
  <c r="AE624"/>
  <c r="AE623"/>
  <c r="AE622"/>
  <c r="AE621"/>
  <c r="AE620"/>
  <c r="AE619"/>
  <c r="I619"/>
  <c r="K619" s="1"/>
  <c r="AE618"/>
  <c r="AE617"/>
  <c r="AE616"/>
  <c r="AE615"/>
  <c r="J615"/>
  <c r="C615"/>
  <c r="AE614"/>
  <c r="J614"/>
  <c r="AE613"/>
  <c r="J613"/>
  <c r="AE612"/>
  <c r="AE611"/>
  <c r="AE610"/>
  <c r="AE609"/>
  <c r="AE608"/>
  <c r="E608"/>
  <c r="E609" s="1"/>
  <c r="AE607"/>
  <c r="AE606"/>
  <c r="AE605"/>
  <c r="AE604"/>
  <c r="I604"/>
  <c r="K604" s="1"/>
  <c r="AE603"/>
  <c r="AE602"/>
  <c r="E602"/>
  <c r="AE601"/>
  <c r="AE600"/>
  <c r="AE599"/>
  <c r="J599"/>
  <c r="AE598"/>
  <c r="J598"/>
  <c r="AE597"/>
  <c r="J597"/>
  <c r="AE596"/>
  <c r="J596"/>
  <c r="AE595"/>
  <c r="J595"/>
  <c r="AE594"/>
  <c r="J594"/>
  <c r="AE593"/>
  <c r="V593"/>
  <c r="J593"/>
  <c r="AE592"/>
  <c r="V592"/>
  <c r="J592"/>
  <c r="AE591"/>
  <c r="V591"/>
  <c r="J591"/>
  <c r="AE590"/>
  <c r="AE589"/>
  <c r="AE588"/>
  <c r="AE587"/>
  <c r="AE586"/>
  <c r="AE585"/>
  <c r="V585"/>
  <c r="P585"/>
  <c r="R585" s="1"/>
  <c r="AE584"/>
  <c r="R584"/>
  <c r="AE583"/>
  <c r="R583"/>
  <c r="AE582"/>
  <c r="V582"/>
  <c r="X582" s="1"/>
  <c r="I582"/>
  <c r="K582" s="1"/>
  <c r="AE581"/>
  <c r="AE580"/>
  <c r="AE579"/>
  <c r="AE578"/>
  <c r="P578"/>
  <c r="R578" s="1"/>
  <c r="AE577"/>
  <c r="AE576"/>
  <c r="AE575"/>
  <c r="AE574"/>
  <c r="AE573"/>
  <c r="AE572"/>
  <c r="AC572"/>
  <c r="AB572"/>
  <c r="AD572" s="1"/>
  <c r="AC566"/>
  <c r="AE564"/>
  <c r="AE563"/>
  <c r="AE562"/>
  <c r="M562"/>
  <c r="AE561"/>
  <c r="M561"/>
  <c r="AE560"/>
  <c r="M560"/>
  <c r="J560"/>
  <c r="W562" s="1"/>
  <c r="AC562" s="1"/>
  <c r="AE559"/>
  <c r="M559"/>
  <c r="M563" s="1"/>
  <c r="AE558"/>
  <c r="AE557"/>
  <c r="AE556"/>
  <c r="AE555"/>
  <c r="V555"/>
  <c r="AE554"/>
  <c r="AE553"/>
  <c r="E553"/>
  <c r="AE552"/>
  <c r="AE551"/>
  <c r="AE550"/>
  <c r="AE549"/>
  <c r="W549"/>
  <c r="AC549" s="1"/>
  <c r="AE548"/>
  <c r="W548"/>
  <c r="AC548" s="1"/>
  <c r="P548"/>
  <c r="R548" s="1"/>
  <c r="AE539"/>
  <c r="P539"/>
  <c r="R539" s="1"/>
  <c r="AE538"/>
  <c r="AE537"/>
  <c r="P537"/>
  <c r="R537" s="1"/>
  <c r="AE536"/>
  <c r="J536"/>
  <c r="J537" s="1"/>
  <c r="J538" s="1"/>
  <c r="AE535"/>
  <c r="AE534"/>
  <c r="AE533"/>
  <c r="AE532"/>
  <c r="AE531"/>
  <c r="AB531"/>
  <c r="AB555" s="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C491"/>
  <c r="AE490"/>
  <c r="W490"/>
  <c r="AC490" s="1"/>
  <c r="AE489"/>
  <c r="W489"/>
  <c r="AC489" s="1"/>
  <c r="AE488"/>
  <c r="W488"/>
  <c r="AC488" s="1"/>
  <c r="AE487"/>
  <c r="W487"/>
  <c r="AC487" s="1"/>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AJ452"/>
  <c r="P452"/>
  <c r="R452" s="1"/>
  <c r="P441"/>
  <c r="R441" s="1"/>
  <c r="P440"/>
  <c r="R440" s="1"/>
  <c r="P439"/>
  <c r="R439" s="1"/>
  <c r="P433"/>
  <c r="R433" s="1"/>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AD278"/>
  <c r="AC278"/>
  <c r="AD277"/>
  <c r="AC277"/>
  <c r="AD276"/>
  <c r="AC276"/>
  <c r="AD275"/>
  <c r="AC275"/>
  <c r="AD274"/>
  <c r="AD280" s="1"/>
  <c r="AC274"/>
  <c r="AC280" s="1"/>
  <c r="K257"/>
  <c r="I256"/>
  <c r="K256" s="1"/>
  <c r="K245"/>
  <c r="I241"/>
  <c r="K241" s="1"/>
  <c r="P219"/>
  <c r="R219" s="1"/>
  <c r="P218"/>
  <c r="R218" s="1"/>
  <c r="AU217"/>
  <c r="AV217" s="1"/>
  <c r="P217"/>
  <c r="R217" s="1"/>
  <c r="AU216"/>
  <c r="AV216" s="1"/>
  <c r="P216"/>
  <c r="R216" s="1"/>
  <c r="AU215"/>
  <c r="AV215" s="1"/>
  <c r="P215"/>
  <c r="R215" s="1"/>
  <c r="AU214"/>
  <c r="AV214" s="1"/>
  <c r="R214"/>
  <c r="P214"/>
  <c r="AU213"/>
  <c r="AV213" s="1"/>
  <c r="AU212"/>
  <c r="AV212" s="1"/>
  <c r="P212"/>
  <c r="R212" s="1"/>
  <c r="AU211"/>
  <c r="AV211" s="1"/>
  <c r="AU210"/>
  <c r="AV210" s="1"/>
  <c r="AU209"/>
  <c r="AV209" s="1"/>
  <c r="AU208"/>
  <c r="AV208" s="1"/>
  <c r="AU207"/>
  <c r="AV207" s="1"/>
  <c r="AU206"/>
  <c r="AV206" s="1"/>
  <c r="AU205"/>
  <c r="AV205" s="1"/>
  <c r="AU204"/>
  <c r="AV204" s="1"/>
  <c r="AU203"/>
  <c r="AV203" s="1"/>
  <c r="AU202"/>
  <c r="AV202" s="1"/>
  <c r="AU201"/>
  <c r="AV201" s="1"/>
  <c r="AU200"/>
  <c r="AV200" s="1"/>
  <c r="AU199"/>
  <c r="AV199" s="1"/>
  <c r="AU198"/>
  <c r="AV198" s="1"/>
  <c r="AU197"/>
  <c r="AV197" s="1"/>
  <c r="AU196"/>
  <c r="AV196" s="1"/>
  <c r="AU195"/>
  <c r="AV195" s="1"/>
  <c r="AU194"/>
  <c r="AV194" s="1"/>
  <c r="AU193"/>
  <c r="AV193" s="1"/>
  <c r="AU192"/>
  <c r="AV192" s="1"/>
  <c r="AU186"/>
  <c r="AV186" s="1"/>
  <c r="I186"/>
  <c r="K186" s="1"/>
  <c r="K185"/>
  <c r="I185"/>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V161"/>
  <c r="AU161"/>
  <c r="AP161"/>
  <c r="AU160"/>
  <c r="AV160" s="1"/>
  <c r="I157"/>
  <c r="K157" s="1"/>
  <c r="I155"/>
  <c r="K155" s="1"/>
  <c r="AU154"/>
  <c r="AV154" s="1"/>
  <c r="K153"/>
  <c r="I153"/>
  <c r="AU152"/>
  <c r="AV152" s="1"/>
  <c r="AU150"/>
  <c r="AV150" s="1"/>
  <c r="P150"/>
  <c r="R150" s="1"/>
  <c r="AU149"/>
  <c r="AV149" s="1"/>
  <c r="AU146"/>
  <c r="AV146" s="1"/>
  <c r="AU145"/>
  <c r="AV145" s="1"/>
  <c r="AU144"/>
  <c r="AV144" s="1"/>
  <c r="AU143"/>
  <c r="AV143" s="1"/>
  <c r="AU141"/>
  <c r="AV141" s="1"/>
  <c r="AU139"/>
  <c r="AV139" s="1"/>
  <c r="AU138"/>
  <c r="AV138" s="1"/>
  <c r="AP132"/>
  <c r="AN132"/>
  <c r="AP130"/>
  <c r="AU118"/>
  <c r="AV118" s="1"/>
  <c r="AU116"/>
  <c r="AV116" s="1"/>
  <c r="M116"/>
  <c r="M133" s="1"/>
  <c r="AU114"/>
  <c r="AV114" s="1"/>
  <c r="AU113"/>
  <c r="AV113" s="1"/>
  <c r="AP107"/>
  <c r="M101"/>
  <c r="AN88"/>
  <c r="AP87"/>
  <c r="AN87"/>
  <c r="AP85"/>
  <c r="AP105" s="1"/>
  <c r="AE81"/>
  <c r="AE80"/>
  <c r="AE79"/>
  <c r="AE78"/>
  <c r="AE77"/>
  <c r="AE76"/>
  <c r="AE75"/>
  <c r="AE74"/>
  <c r="AE73"/>
  <c r="AE72"/>
  <c r="AE71"/>
  <c r="AE70"/>
  <c r="AE69"/>
  <c r="AE68"/>
  <c r="AE67"/>
  <c r="AE66"/>
  <c r="AE65"/>
  <c r="AE64"/>
  <c r="AP63"/>
  <c r="AE63"/>
  <c r="AE62"/>
  <c r="AE61"/>
  <c r="AE60"/>
  <c r="AE59"/>
  <c r="AE58"/>
  <c r="AE57"/>
  <c r="AE56"/>
  <c r="AE55"/>
  <c r="AE54"/>
  <c r="AK53"/>
  <c r="AJ53"/>
  <c r="AI53"/>
  <c r="AH53"/>
  <c r="AG53"/>
  <c r="I3243" s="1"/>
  <c r="K3243" s="1"/>
  <c r="AK52"/>
  <c r="AJ52"/>
  <c r="AI52"/>
  <c r="AH52"/>
  <c r="AG52"/>
  <c r="C461" s="1"/>
  <c r="AK51"/>
  <c r="AJ51"/>
  <c r="AI51"/>
  <c r="AH51"/>
  <c r="AG51"/>
  <c r="C460"/>
  <c r="AK50"/>
  <c r="AJ50"/>
  <c r="AI50"/>
  <c r="AH50"/>
  <c r="AG50"/>
  <c r="AK49"/>
  <c r="AJ49"/>
  <c r="AI49"/>
  <c r="AH49"/>
  <c r="AG49"/>
  <c r="I3212"/>
  <c r="AK47"/>
  <c r="AJ47"/>
  <c r="AI47"/>
  <c r="AH47"/>
  <c r="AG47"/>
  <c r="Y47"/>
  <c r="AF46"/>
  <c r="AJ46" s="1"/>
  <c r="Z46"/>
  <c r="AC46" s="1"/>
  <c r="X46"/>
  <c r="X47" s="1"/>
  <c r="AK45"/>
  <c r="AI45"/>
  <c r="AH45"/>
  <c r="AG45"/>
  <c r="X45"/>
  <c r="AK44"/>
  <c r="AJ44"/>
  <c r="AI44"/>
  <c r="AH44"/>
  <c r="AG44"/>
  <c r="C22" s="1"/>
  <c r="R44"/>
  <c r="R45" s="1"/>
  <c r="AF43"/>
  <c r="AJ43" s="1"/>
  <c r="Z43"/>
  <c r="X43"/>
  <c r="AK42"/>
  <c r="AJ42"/>
  <c r="AI42"/>
  <c r="AH42"/>
  <c r="AG42"/>
  <c r="AK41"/>
  <c r="AJ41"/>
  <c r="AI41"/>
  <c r="AH41"/>
  <c r="AG41"/>
  <c r="Z41"/>
  <c r="Z45" s="1"/>
  <c r="AC45" s="1"/>
  <c r="X41"/>
  <c r="X42" s="1"/>
  <c r="AK39"/>
  <c r="AJ39"/>
  <c r="AI39"/>
  <c r="AH39"/>
  <c r="AG39"/>
  <c r="V81" s="1"/>
  <c r="Z39"/>
  <c r="AC39" s="1"/>
  <c r="P125" s="1"/>
  <c r="R125" s="1"/>
  <c r="X39"/>
  <c r="AK38"/>
  <c r="AJ38"/>
  <c r="AI38"/>
  <c r="AH38"/>
  <c r="AG38"/>
  <c r="Z38"/>
  <c r="AC38" s="1"/>
  <c r="X38"/>
  <c r="AK37"/>
  <c r="AJ37"/>
  <c r="AI37"/>
  <c r="AH37"/>
  <c r="AG37"/>
  <c r="AK36"/>
  <c r="AJ36"/>
  <c r="AI36"/>
  <c r="AH36"/>
  <c r="AG36"/>
  <c r="D61"/>
  <c r="AK35"/>
  <c r="AJ35"/>
  <c r="AI35"/>
  <c r="AH35"/>
  <c r="AG35"/>
  <c r="D33" s="1"/>
  <c r="I2249" s="1"/>
  <c r="K2249" s="1"/>
  <c r="AK34"/>
  <c r="AJ34"/>
  <c r="AI34"/>
  <c r="AH34"/>
  <c r="AG34"/>
  <c r="D32" s="1"/>
  <c r="I1104" s="1"/>
  <c r="K1104" s="1"/>
  <c r="Y34"/>
  <c r="X34"/>
  <c r="W34"/>
  <c r="W41" s="1"/>
  <c r="W45" s="1"/>
  <c r="D34"/>
  <c r="AK33"/>
  <c r="AJ33"/>
  <c r="AI33"/>
  <c r="AH33"/>
  <c r="AG33"/>
  <c r="I2664"/>
  <c r="Y33"/>
  <c r="AK32"/>
  <c r="AJ32"/>
  <c r="AI32"/>
  <c r="AH32"/>
  <c r="AG32"/>
  <c r="V3116"/>
  <c r="X32"/>
  <c r="X33" s="1"/>
  <c r="AK31"/>
  <c r="AJ31"/>
  <c r="AI31"/>
  <c r="AH31"/>
  <c r="AG31"/>
  <c r="Z31"/>
  <c r="Z32" s="1"/>
  <c r="X31"/>
  <c r="D31"/>
  <c r="AK30"/>
  <c r="AJ30"/>
  <c r="AI30"/>
  <c r="AH30"/>
  <c r="AG30"/>
  <c r="C31"/>
  <c r="AC30"/>
  <c r="C137" s="1"/>
  <c r="I1218" s="1"/>
  <c r="K1218" s="1"/>
  <c r="D30"/>
  <c r="C30"/>
  <c r="AK29"/>
  <c r="AJ29"/>
  <c r="AI29"/>
  <c r="AH29"/>
  <c r="AG29"/>
  <c r="C61"/>
  <c r="Z29"/>
  <c r="AC29" s="1"/>
  <c r="C91" s="1"/>
  <c r="W29"/>
  <c r="E29"/>
  <c r="AK28"/>
  <c r="AJ28"/>
  <c r="AI28"/>
  <c r="AH28"/>
  <c r="AG28"/>
  <c r="AK27"/>
  <c r="AJ27"/>
  <c r="AI27"/>
  <c r="AH27"/>
  <c r="AG27"/>
  <c r="V83"/>
  <c r="E27"/>
  <c r="C27"/>
  <c r="I141" s="1"/>
  <c r="K141" s="1"/>
  <c r="AK26"/>
  <c r="AJ26"/>
  <c r="AI26"/>
  <c r="AH26"/>
  <c r="AG26"/>
  <c r="Z26"/>
  <c r="AC26" s="1"/>
  <c r="E26"/>
  <c r="AK25"/>
  <c r="AJ25"/>
  <c r="AI25"/>
  <c r="AH25"/>
  <c r="AG25"/>
  <c r="Z25"/>
  <c r="AC25" s="1"/>
  <c r="C87" s="1"/>
  <c r="X25"/>
  <c r="X26" s="1"/>
  <c r="X27" s="1"/>
  <c r="X28" s="1"/>
  <c r="P25"/>
  <c r="R25" s="1"/>
  <c r="C25"/>
  <c r="AK24"/>
  <c r="AJ24"/>
  <c r="AI24"/>
  <c r="AH24"/>
  <c r="AG24"/>
  <c r="Z24"/>
  <c r="AC24" s="1"/>
  <c r="C86" s="1"/>
  <c r="AK23"/>
  <c r="AJ23"/>
  <c r="AI23"/>
  <c r="AH23"/>
  <c r="AG23"/>
  <c r="C29"/>
  <c r="I1234" s="1"/>
  <c r="K1234" s="1"/>
  <c r="Z23"/>
  <c r="AC23" s="1"/>
  <c r="C85" s="1"/>
  <c r="P9" s="1"/>
  <c r="R9" s="1"/>
  <c r="X23"/>
  <c r="AK22"/>
  <c r="AJ22"/>
  <c r="AI22"/>
  <c r="AH22"/>
  <c r="AG22"/>
  <c r="C41"/>
  <c r="Z22"/>
  <c r="AC22" s="1"/>
  <c r="C84" s="1"/>
  <c r="X22"/>
  <c r="AK21"/>
  <c r="AJ21"/>
  <c r="AI21"/>
  <c r="AH21"/>
  <c r="AG21"/>
  <c r="Z21"/>
  <c r="AC21" s="1"/>
  <c r="C83" s="1"/>
  <c r="I1353" s="1"/>
  <c r="K1353" s="1"/>
  <c r="X21"/>
  <c r="AK20"/>
  <c r="AJ20"/>
  <c r="AI20"/>
  <c r="AH20"/>
  <c r="AG20"/>
  <c r="W20"/>
  <c r="C20"/>
  <c r="AK19"/>
  <c r="AJ19"/>
  <c r="AI19"/>
  <c r="AH19"/>
  <c r="AG19"/>
  <c r="Z19"/>
  <c r="X19"/>
  <c r="X20" s="1"/>
  <c r="W19"/>
  <c r="C19"/>
  <c r="AK18"/>
  <c r="AJ18"/>
  <c r="AI18"/>
  <c r="AH18"/>
  <c r="AG18"/>
  <c r="Z18"/>
  <c r="AC18" s="1"/>
  <c r="C80" s="1"/>
  <c r="X18"/>
  <c r="X29" s="1"/>
  <c r="C18"/>
  <c r="AK17"/>
  <c r="AJ17"/>
  <c r="AI17"/>
  <c r="AH17"/>
  <c r="AG17"/>
  <c r="Y17"/>
  <c r="W17"/>
  <c r="AK16"/>
  <c r="AJ16"/>
  <c r="AI16"/>
  <c r="AH16"/>
  <c r="AG16"/>
  <c r="Z16"/>
  <c r="AC16" s="1"/>
  <c r="X16"/>
  <c r="X17" s="1"/>
  <c r="D16"/>
  <c r="C16"/>
  <c r="AK15"/>
  <c r="AJ15"/>
  <c r="AI15"/>
  <c r="AH15"/>
  <c r="AG15"/>
  <c r="C15"/>
  <c r="AK14"/>
  <c r="AJ14"/>
  <c r="AI14"/>
  <c r="AH14"/>
  <c r="AG14"/>
  <c r="D14"/>
  <c r="AK13"/>
  <c r="AJ13"/>
  <c r="AI13"/>
  <c r="AH13"/>
  <c r="AG13"/>
  <c r="AK12"/>
  <c r="AJ12"/>
  <c r="AI12"/>
  <c r="AH12"/>
  <c r="AG12"/>
  <c r="AN11"/>
  <c r="AN12" s="1"/>
  <c r="AK11"/>
  <c r="AJ11"/>
  <c r="AI11"/>
  <c r="AH11"/>
  <c r="AG11"/>
  <c r="Z11"/>
  <c r="X11"/>
  <c r="X12" s="1"/>
  <c r="P11"/>
  <c r="R11" s="1"/>
  <c r="I11"/>
  <c r="K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K10"/>
  <c r="AJ10"/>
  <c r="AI10"/>
  <c r="AH10"/>
  <c r="AG10"/>
  <c r="X10"/>
  <c r="W10"/>
  <c r="W11" s="1"/>
  <c r="W35" s="1"/>
  <c r="AL9"/>
  <c r="AK9"/>
  <c r="AJ9"/>
  <c r="AI9"/>
  <c r="AH9"/>
  <c r="AG9"/>
  <c r="Z9"/>
  <c r="Z10" s="1"/>
  <c r="AC10" s="1"/>
  <c r="C69" s="1"/>
  <c r="I296" s="1"/>
  <c r="K296" s="1"/>
  <c r="X9"/>
  <c r="W3"/>
  <c r="Q3"/>
  <c r="V3" s="1"/>
  <c r="O3"/>
  <c r="U3" s="1"/>
  <c r="J3"/>
  <c r="H3"/>
  <c r="S2"/>
  <c r="L4076" i="4"/>
  <c r="I4069"/>
  <c r="K4069" s="1"/>
  <c r="I4067"/>
  <c r="J4060"/>
  <c r="J4061" s="1"/>
  <c r="F4067" s="1"/>
  <c r="K4067" s="1"/>
  <c r="K4058"/>
  <c r="J4058"/>
  <c r="F4066" s="1"/>
  <c r="J4055"/>
  <c r="F4065" s="1"/>
  <c r="J4050"/>
  <c r="J4049"/>
  <c r="I4026"/>
  <c r="K4026" s="1"/>
  <c r="K4011"/>
  <c r="I4009"/>
  <c r="K3993"/>
  <c r="I3964"/>
  <c r="I3981" s="1"/>
  <c r="I3962"/>
  <c r="H3962"/>
  <c r="H3958"/>
  <c r="K3948"/>
  <c r="K3946"/>
  <c r="I3943"/>
  <c r="I3942"/>
  <c r="I3941"/>
  <c r="K3941" s="1"/>
  <c r="I3940"/>
  <c r="K3940" s="1"/>
  <c r="K3928"/>
  <c r="K3925"/>
  <c r="K3924"/>
  <c r="K3923"/>
  <c r="K3922"/>
  <c r="E3897"/>
  <c r="G3897" s="1"/>
  <c r="G3896"/>
  <c r="J3892"/>
  <c r="H3892"/>
  <c r="J3891"/>
  <c r="H3891"/>
  <c r="J3890"/>
  <c r="H3890"/>
  <c r="J3889"/>
  <c r="H3889"/>
  <c r="H3885"/>
  <c r="H3866"/>
  <c r="H3865"/>
  <c r="H3864"/>
  <c r="H3863"/>
  <c r="I3861"/>
  <c r="H3855"/>
  <c r="H3845"/>
  <c r="H3844"/>
  <c r="H3843"/>
  <c r="H3842"/>
  <c r="I3840"/>
  <c r="K3821"/>
  <c r="K3805"/>
  <c r="K3789"/>
  <c r="K3788"/>
  <c r="K3787"/>
  <c r="K3786"/>
  <c r="K3785"/>
  <c r="K3784"/>
  <c r="K3783"/>
  <c r="K3782"/>
  <c r="K3766"/>
  <c r="K3765"/>
  <c r="K3763"/>
  <c r="K3764" s="1"/>
  <c r="I3761"/>
  <c r="K3761" s="1"/>
  <c r="K3762" s="1"/>
  <c r="K3750"/>
  <c r="I3745"/>
  <c r="K3745" s="1"/>
  <c r="K3734"/>
  <c r="V3720"/>
  <c r="X3720" s="1"/>
  <c r="V3719"/>
  <c r="X3719" s="1"/>
  <c r="V3718"/>
  <c r="X3718" s="1"/>
  <c r="X3717"/>
  <c r="V3717"/>
  <c r="J3717"/>
  <c r="V3716"/>
  <c r="J3716"/>
  <c r="K3715"/>
  <c r="J3715"/>
  <c r="K3714"/>
  <c r="J3714"/>
  <c r="K3713"/>
  <c r="J3713"/>
  <c r="N3709"/>
  <c r="X3706"/>
  <c r="X3705"/>
  <c r="X3704"/>
  <c r="X3703"/>
  <c r="K3703"/>
  <c r="V3694"/>
  <c r="X3694" s="1"/>
  <c r="V3693"/>
  <c r="X3693" s="1"/>
  <c r="H3693"/>
  <c r="X3692"/>
  <c r="V3692"/>
  <c r="I3692"/>
  <c r="H3692"/>
  <c r="F3692"/>
  <c r="K3692" s="1"/>
  <c r="V3691"/>
  <c r="X3691" s="1"/>
  <c r="I3691"/>
  <c r="H3691"/>
  <c r="F3691"/>
  <c r="K3691" s="1"/>
  <c r="V3690"/>
  <c r="X3690" s="1"/>
  <c r="H3689"/>
  <c r="V3688"/>
  <c r="X3688" s="1"/>
  <c r="H3688"/>
  <c r="V3687"/>
  <c r="X3687" s="1"/>
  <c r="H3687"/>
  <c r="V3686"/>
  <c r="X3686" s="1"/>
  <c r="H3686"/>
  <c r="X3685"/>
  <c r="V3685"/>
  <c r="H3685"/>
  <c r="F3685"/>
  <c r="K3685" s="1"/>
  <c r="V3684"/>
  <c r="X3684" s="1"/>
  <c r="F3683"/>
  <c r="K3683" s="1"/>
  <c r="H3682"/>
  <c r="H3681"/>
  <c r="F3681"/>
  <c r="K3671"/>
  <c r="K3670"/>
  <c r="X3664"/>
  <c r="K3664"/>
  <c r="X3663"/>
  <c r="X3662"/>
  <c r="K3662"/>
  <c r="X3661"/>
  <c r="X3660"/>
  <c r="X3658"/>
  <c r="X3657"/>
  <c r="X3656"/>
  <c r="X3655"/>
  <c r="X3644"/>
  <c r="X3643"/>
  <c r="X3642"/>
  <c r="X3641"/>
  <c r="X3640"/>
  <c r="X3639"/>
  <c r="L3639"/>
  <c r="K3639"/>
  <c r="X3638"/>
  <c r="X3637"/>
  <c r="X3636"/>
  <c r="V3636"/>
  <c r="X3635"/>
  <c r="V3635"/>
  <c r="X3634"/>
  <c r="V3634"/>
  <c r="I3628"/>
  <c r="K3628" s="1"/>
  <c r="I3627"/>
  <c r="K3627" s="1"/>
  <c r="I3626"/>
  <c r="K3626" s="1"/>
  <c r="I3625"/>
  <c r="K3625" s="1"/>
  <c r="H3624"/>
  <c r="I3623"/>
  <c r="K3623" s="1"/>
  <c r="V3618"/>
  <c r="X3619" s="1"/>
  <c r="J3617"/>
  <c r="W3616"/>
  <c r="S3617" s="1"/>
  <c r="S3618" s="1"/>
  <c r="X3611"/>
  <c r="K3607"/>
  <c r="K3606"/>
  <c r="K3605"/>
  <c r="K3604"/>
  <c r="K3603"/>
  <c r="I3602"/>
  <c r="I3624" s="1"/>
  <c r="K3624" s="1"/>
  <c r="V3601"/>
  <c r="S3602" s="1"/>
  <c r="S3603" s="1"/>
  <c r="K3601"/>
  <c r="X3594"/>
  <c r="V3584"/>
  <c r="S3585" s="1"/>
  <c r="S3586" s="1"/>
  <c r="I3574"/>
  <c r="K3574" s="1"/>
  <c r="I3573"/>
  <c r="K3573" s="1"/>
  <c r="V3569"/>
  <c r="S3571" s="1"/>
  <c r="K3562"/>
  <c r="I3560"/>
  <c r="K3560" s="1"/>
  <c r="K3557"/>
  <c r="V3553"/>
  <c r="S3555" s="1"/>
  <c r="P3542"/>
  <c r="P3541"/>
  <c r="M3542" s="1"/>
  <c r="AE3539"/>
  <c r="V3539"/>
  <c r="AE3538"/>
  <c r="V3538"/>
  <c r="V3617" s="1"/>
  <c r="X3617" s="1"/>
  <c r="AE3537"/>
  <c r="AB3539" s="1"/>
  <c r="AG3539" s="1"/>
  <c r="V3537"/>
  <c r="S3539" s="1"/>
  <c r="I3537"/>
  <c r="F3539" s="1"/>
  <c r="K3539" s="1"/>
  <c r="I3529"/>
  <c r="P3533" s="1"/>
  <c r="P3527"/>
  <c r="V3555" s="1"/>
  <c r="I3527"/>
  <c r="P3531" s="1"/>
  <c r="P3526"/>
  <c r="V3554" s="1"/>
  <c r="M3526"/>
  <c r="R3526" s="1"/>
  <c r="I3526"/>
  <c r="I3542" s="1"/>
  <c r="P3525"/>
  <c r="F3522"/>
  <c r="K3510"/>
  <c r="I3508"/>
  <c r="K3508" s="1"/>
  <c r="M3507"/>
  <c r="K3502"/>
  <c r="K3500"/>
  <c r="I3487"/>
  <c r="K3487" s="1"/>
  <c r="I3486"/>
  <c r="K3486" s="1"/>
  <c r="I3485"/>
  <c r="K3485" s="1"/>
  <c r="I3484"/>
  <c r="K3484" s="1"/>
  <c r="K3481"/>
  <c r="J3479"/>
  <c r="J3478"/>
  <c r="J3477"/>
  <c r="I3466"/>
  <c r="P3462"/>
  <c r="R3462" s="1"/>
  <c r="I3462"/>
  <c r="I3806" s="1"/>
  <c r="K3806" s="1"/>
  <c r="P3460"/>
  <c r="R3460" s="1"/>
  <c r="K3454"/>
  <c r="P3441"/>
  <c r="R3441" s="1"/>
  <c r="P3440"/>
  <c r="R3440" s="1"/>
  <c r="P3439"/>
  <c r="R3439" s="1"/>
  <c r="R3438"/>
  <c r="K3428"/>
  <c r="K3427"/>
  <c r="K3426"/>
  <c r="K3425"/>
  <c r="K3424"/>
  <c r="I3422"/>
  <c r="F3420"/>
  <c r="I3416"/>
  <c r="I3415"/>
  <c r="I3417" s="1"/>
  <c r="F3422" s="1"/>
  <c r="K3422" s="1"/>
  <c r="I3411"/>
  <c r="I3410"/>
  <c r="I3412" s="1"/>
  <c r="F3421" s="1"/>
  <c r="I3409"/>
  <c r="I3408"/>
  <c r="F3423" s="1"/>
  <c r="I3389"/>
  <c r="K3366"/>
  <c r="I3366"/>
  <c r="I3353" s="1"/>
  <c r="K3353" s="1"/>
  <c r="K3340"/>
  <c r="P3328"/>
  <c r="P3363" s="1"/>
  <c r="R3363" s="1"/>
  <c r="R3327"/>
  <c r="P3327"/>
  <c r="R3326"/>
  <c r="P3326"/>
  <c r="K3320"/>
  <c r="I3310"/>
  <c r="I3309"/>
  <c r="I3307"/>
  <c r="K3307" s="1"/>
  <c r="I3304"/>
  <c r="K3304" s="1"/>
  <c r="I3303"/>
  <c r="K3303" s="1"/>
  <c r="I3302"/>
  <c r="K3302" s="1"/>
  <c r="I3301"/>
  <c r="K3301" s="1"/>
  <c r="P3293"/>
  <c r="P3325" s="1"/>
  <c r="I3290"/>
  <c r="I3328" s="1"/>
  <c r="I3430" s="1"/>
  <c r="K3289"/>
  <c r="K3288"/>
  <c r="K3287"/>
  <c r="K3286"/>
  <c r="K3285"/>
  <c r="K3284"/>
  <c r="K3281"/>
  <c r="P3267"/>
  <c r="I3327" s="1"/>
  <c r="P3266"/>
  <c r="I3326" s="1"/>
  <c r="I3266"/>
  <c r="K3266" s="1"/>
  <c r="L3232" s="1"/>
  <c r="P3265"/>
  <c r="I3325" s="1"/>
  <c r="P3264"/>
  <c r="I3324" s="1"/>
  <c r="K3262"/>
  <c r="R3260"/>
  <c r="V3258"/>
  <c r="X3258" s="1"/>
  <c r="V3257"/>
  <c r="X3257" s="1"/>
  <c r="V3256"/>
  <c r="X3256" s="1"/>
  <c r="K3256"/>
  <c r="V3255"/>
  <c r="X3255" s="1"/>
  <c r="V3254"/>
  <c r="X3254" s="1"/>
  <c r="V3253"/>
  <c r="X3253" s="1"/>
  <c r="V3252"/>
  <c r="X3252" s="1"/>
  <c r="V3249"/>
  <c r="X3249" s="1"/>
  <c r="K3243"/>
  <c r="L3236"/>
  <c r="P3233"/>
  <c r="P3447" s="1"/>
  <c r="R3447" s="1"/>
  <c r="P3232"/>
  <c r="P3446" s="1"/>
  <c r="R3446" s="1"/>
  <c r="P3231"/>
  <c r="P3445" s="1"/>
  <c r="R3445" s="1"/>
  <c r="P3230"/>
  <c r="P3444" s="1"/>
  <c r="R3444" s="1"/>
  <c r="P3229"/>
  <c r="R3229" s="1"/>
  <c r="P3228"/>
  <c r="P3329" s="1"/>
  <c r="R3329" s="1"/>
  <c r="R3227"/>
  <c r="I3227"/>
  <c r="K3227" s="1"/>
  <c r="R3226"/>
  <c r="R3225"/>
  <c r="R3224"/>
  <c r="P3223"/>
  <c r="P3437" s="1"/>
  <c r="R3437" s="1"/>
  <c r="K3212"/>
  <c r="L3210"/>
  <c r="P3199"/>
  <c r="P3234" s="1"/>
  <c r="S3198"/>
  <c r="T3198" s="1"/>
  <c r="R3198"/>
  <c r="K3198"/>
  <c r="R3197"/>
  <c r="R3196"/>
  <c r="R3195"/>
  <c r="L3194"/>
  <c r="P3193"/>
  <c r="R3193" s="1"/>
  <c r="R3191"/>
  <c r="R3190"/>
  <c r="I3172"/>
  <c r="I3271" s="1"/>
  <c r="K3271" s="1"/>
  <c r="K3156"/>
  <c r="I3155"/>
  <c r="I3154"/>
  <c r="K3154" s="1"/>
  <c r="U3153"/>
  <c r="I3153"/>
  <c r="K3153" s="1"/>
  <c r="U3152"/>
  <c r="I3152"/>
  <c r="P3159" s="1"/>
  <c r="R3159" s="1"/>
  <c r="U3151"/>
  <c r="I3151"/>
  <c r="I3150"/>
  <c r="P3157" s="1"/>
  <c r="R3157" s="1"/>
  <c r="U3149"/>
  <c r="U3148"/>
  <c r="I3148"/>
  <c r="P3155" s="1"/>
  <c r="F3148"/>
  <c r="P3147"/>
  <c r="P3146"/>
  <c r="P3143"/>
  <c r="M3154" s="1"/>
  <c r="P3141"/>
  <c r="M3153" s="1"/>
  <c r="P3140"/>
  <c r="M3156" s="1"/>
  <c r="V3136"/>
  <c r="V3134"/>
  <c r="V3159" s="1"/>
  <c r="X3159" s="1"/>
  <c r="R3120"/>
  <c r="K3120"/>
  <c r="X3119"/>
  <c r="R3119"/>
  <c r="K3119"/>
  <c r="V3118"/>
  <c r="I4068" s="1"/>
  <c r="K4068" s="1"/>
  <c r="X3117"/>
  <c r="V3115"/>
  <c r="I4066" s="1"/>
  <c r="I3110"/>
  <c r="V3122" s="1"/>
  <c r="AU3108"/>
  <c r="AQ3108"/>
  <c r="AS3108" s="1"/>
  <c r="V3108"/>
  <c r="AQ3107"/>
  <c r="AS3107" s="1"/>
  <c r="AH3107"/>
  <c r="V3107"/>
  <c r="K3105"/>
  <c r="V3104"/>
  <c r="V3102"/>
  <c r="V3101"/>
  <c r="K3082"/>
  <c r="F3075"/>
  <c r="I3056"/>
  <c r="I3075" s="1"/>
  <c r="F3056"/>
  <c r="K3055" s="1"/>
  <c r="I3055"/>
  <c r="I3074" s="1"/>
  <c r="K3074" s="1"/>
  <c r="K3038"/>
  <c r="K3017"/>
  <c r="K3041" s="1"/>
  <c r="K3014"/>
  <c r="K3012"/>
  <c r="I3009"/>
  <c r="K3009" s="1"/>
  <c r="K2995"/>
  <c r="I2971"/>
  <c r="K2971" s="1"/>
  <c r="I2970"/>
  <c r="K2970" s="1"/>
  <c r="I2967"/>
  <c r="I2964"/>
  <c r="I2963"/>
  <c r="P2925"/>
  <c r="P2924"/>
  <c r="P2923"/>
  <c r="I2884"/>
  <c r="K2884" s="1"/>
  <c r="K2883"/>
  <c r="I2871"/>
  <c r="K2871" s="1"/>
  <c r="I2870"/>
  <c r="K2870" s="1"/>
  <c r="I2869"/>
  <c r="K2869" s="1"/>
  <c r="I2868"/>
  <c r="K2868" s="1"/>
  <c r="K2867"/>
  <c r="K2866"/>
  <c r="M2855"/>
  <c r="M2854"/>
  <c r="I2854"/>
  <c r="K2835"/>
  <c r="K2834"/>
  <c r="J2831"/>
  <c r="P2828"/>
  <c r="R2828" s="1"/>
  <c r="P2827"/>
  <c r="R2827" s="1"/>
  <c r="R2826"/>
  <c r="P2826"/>
  <c r="P2859" s="1"/>
  <c r="R2859" s="1"/>
  <c r="R2825"/>
  <c r="P2825"/>
  <c r="P2858" s="1"/>
  <c r="R2858" s="1"/>
  <c r="M2822"/>
  <c r="I2822"/>
  <c r="I3489" s="1"/>
  <c r="K3489" s="1"/>
  <c r="M2821"/>
  <c r="K2821"/>
  <c r="K2820"/>
  <c r="K2819"/>
  <c r="K2818"/>
  <c r="F2814"/>
  <c r="S2782" s="1"/>
  <c r="AE2794"/>
  <c r="AG2794" s="1"/>
  <c r="AE2793"/>
  <c r="AG2793" s="1"/>
  <c r="AG2792"/>
  <c r="AE2792"/>
  <c r="S2792"/>
  <c r="K2792"/>
  <c r="AG2791"/>
  <c r="AE2791"/>
  <c r="S2791"/>
  <c r="AE2790"/>
  <c r="AG2790" s="1"/>
  <c r="V2790"/>
  <c r="S2790"/>
  <c r="V2789"/>
  <c r="S2789"/>
  <c r="AG2788"/>
  <c r="V2788"/>
  <c r="S2788"/>
  <c r="X2788" s="1"/>
  <c r="V2787"/>
  <c r="S2787"/>
  <c r="V2786"/>
  <c r="S2786"/>
  <c r="X2786" s="1"/>
  <c r="S2785"/>
  <c r="X2784"/>
  <c r="V2784"/>
  <c r="S2781"/>
  <c r="L2778"/>
  <c r="F2815" s="1"/>
  <c r="Y2777"/>
  <c r="K2774"/>
  <c r="K2773"/>
  <c r="E2757"/>
  <c r="E2759" s="1"/>
  <c r="E2755"/>
  <c r="E2756" s="1"/>
  <c r="I2733"/>
  <c r="K2733" s="1"/>
  <c r="I2717"/>
  <c r="K2717" s="1"/>
  <c r="I2711"/>
  <c r="K2711" s="1"/>
  <c r="L2688"/>
  <c r="K2685"/>
  <c r="I2684"/>
  <c r="K2684" s="1"/>
  <c r="I2681"/>
  <c r="I2696" s="1"/>
  <c r="K2696" s="1"/>
  <c r="I2680"/>
  <c r="K2680" s="1"/>
  <c r="I2670"/>
  <c r="K2670" s="1"/>
  <c r="I2669"/>
  <c r="P2676" s="1"/>
  <c r="I2668"/>
  <c r="P2675" s="1"/>
  <c r="I2667"/>
  <c r="P2674" s="1"/>
  <c r="K2665"/>
  <c r="AE2659"/>
  <c r="AG2659" s="1"/>
  <c r="AG2657"/>
  <c r="AG2656"/>
  <c r="AG2655"/>
  <c r="AG2654"/>
  <c r="AG2653"/>
  <c r="AB2649"/>
  <c r="P2648"/>
  <c r="R2648" s="1"/>
  <c r="R2647"/>
  <c r="P2647"/>
  <c r="P2646"/>
  <c r="R2646" s="1"/>
  <c r="AE2645"/>
  <c r="P2645"/>
  <c r="R2645" s="1"/>
  <c r="AE2644"/>
  <c r="AE2646" s="1"/>
  <c r="AB2651" s="1"/>
  <c r="P2644"/>
  <c r="R2644" s="1"/>
  <c r="P2642"/>
  <c r="K2641"/>
  <c r="AE2640"/>
  <c r="M2640"/>
  <c r="K2640"/>
  <c r="AE2639"/>
  <c r="AE2641" s="1"/>
  <c r="AB2650" s="1"/>
  <c r="K2639"/>
  <c r="K2638"/>
  <c r="AE2637"/>
  <c r="AB2652" s="1"/>
  <c r="P2637"/>
  <c r="M2642" s="1"/>
  <c r="R2642" s="1"/>
  <c r="K2637"/>
  <c r="K2635"/>
  <c r="P2632"/>
  <c r="M2641" s="1"/>
  <c r="K2629"/>
  <c r="I2629"/>
  <c r="I2630" s="1"/>
  <c r="I2625"/>
  <c r="AE2623"/>
  <c r="AG2623" s="1"/>
  <c r="AB2615"/>
  <c r="AE2611"/>
  <c r="AE2610"/>
  <c r="K2610"/>
  <c r="X2609"/>
  <c r="I2609"/>
  <c r="H3854" s="1"/>
  <c r="V2608"/>
  <c r="AE2622" s="1"/>
  <c r="AG2622" s="1"/>
  <c r="Z2607"/>
  <c r="V2607"/>
  <c r="AE2621" s="1"/>
  <c r="AG2621" s="1"/>
  <c r="AE2606"/>
  <c r="V2606"/>
  <c r="AE2620" s="1"/>
  <c r="AG2620" s="1"/>
  <c r="AE2605"/>
  <c r="Z2605"/>
  <c r="V2605"/>
  <c r="AE2619" s="1"/>
  <c r="AG2619" s="1"/>
  <c r="I2604"/>
  <c r="AE2603"/>
  <c r="AB2618" s="1"/>
  <c r="V2603"/>
  <c r="AE2651"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K2469"/>
  <c r="I2469"/>
  <c r="K2468"/>
  <c r="I2468"/>
  <c r="K2467"/>
  <c r="I2467"/>
  <c r="I2538" s="1"/>
  <c r="K2466"/>
  <c r="I2466"/>
  <c r="I2537" s="1"/>
  <c r="I2462"/>
  <c r="I2442"/>
  <c r="K2442" s="1"/>
  <c r="R2437"/>
  <c r="R2429"/>
  <c r="I2426"/>
  <c r="P2433" s="1"/>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D2347"/>
  <c r="P2335"/>
  <c r="R2335" s="1"/>
  <c r="R2334"/>
  <c r="I2328"/>
  <c r="K2328" s="1"/>
  <c r="K2327"/>
  <c r="E2313"/>
  <c r="I2347" s="1"/>
  <c r="K2347" s="1"/>
  <c r="I2312"/>
  <c r="K2312" s="1"/>
  <c r="I2311"/>
  <c r="K2311" s="1"/>
  <c r="I2310"/>
  <c r="K2310" s="1"/>
  <c r="I2309"/>
  <c r="K2309" s="1"/>
  <c r="L2307"/>
  <c r="L2308" s="1"/>
  <c r="I2299"/>
  <c r="H2299"/>
  <c r="I2297"/>
  <c r="I2313" s="1"/>
  <c r="K2313" s="1"/>
  <c r="K2295"/>
  <c r="K2291"/>
  <c r="I3018" s="1"/>
  <c r="K3018" s="1"/>
  <c r="K2290"/>
  <c r="K2289"/>
  <c r="K2287"/>
  <c r="K2286"/>
  <c r="K2285"/>
  <c r="K2283"/>
  <c r="K2282"/>
  <c r="K2281"/>
  <c r="K2280"/>
  <c r="K2277"/>
  <c r="K2276"/>
  <c r="K2275"/>
  <c r="K2273"/>
  <c r="L2270"/>
  <c r="K2269"/>
  <c r="K2268"/>
  <c r="K2267"/>
  <c r="K2266"/>
  <c r="K2265"/>
  <c r="K2264"/>
  <c r="K2263"/>
  <c r="K2262"/>
  <c r="K2261"/>
  <c r="L2260"/>
  <c r="L2259"/>
  <c r="M2255"/>
  <c r="K2248"/>
  <c r="K2247"/>
  <c r="I2247"/>
  <c r="K2246"/>
  <c r="I2246"/>
  <c r="K2245"/>
  <c r="I2245"/>
  <c r="K2244"/>
  <c r="I2244"/>
  <c r="K2221"/>
  <c r="K2225" s="1"/>
  <c r="I2221"/>
  <c r="I2212"/>
  <c r="K2212" s="1"/>
  <c r="K2216" s="1"/>
  <c r="I2202"/>
  <c r="K2202" s="1"/>
  <c r="K2206" s="1"/>
  <c r="J2197"/>
  <c r="K2197" s="1"/>
  <c r="K2200" s="1"/>
  <c r="I2189"/>
  <c r="K2189" s="1"/>
  <c r="K2193" s="1"/>
  <c r="I2176"/>
  <c r="K2176" s="1"/>
  <c r="H2174"/>
  <c r="I2163"/>
  <c r="K2163" s="1"/>
  <c r="R2151"/>
  <c r="I2149"/>
  <c r="K2149" s="1"/>
  <c r="I2144"/>
  <c r="K2144" s="1"/>
  <c r="I2129"/>
  <c r="K2129" s="1"/>
  <c r="I2124"/>
  <c r="K2124" s="1"/>
  <c r="I2116"/>
  <c r="K2116" s="1"/>
  <c r="K2119" s="1"/>
  <c r="I2104"/>
  <c r="K2104" s="1"/>
  <c r="K2096"/>
  <c r="K2095"/>
  <c r="I2094"/>
  <c r="K2094" s="1"/>
  <c r="I2093"/>
  <c r="K2093" s="1"/>
  <c r="I2076"/>
  <c r="K2076" s="1"/>
  <c r="I2075"/>
  <c r="K2075" s="1"/>
  <c r="I2074"/>
  <c r="K2074" s="1"/>
  <c r="I2073"/>
  <c r="K2073" s="1"/>
  <c r="I2052"/>
  <c r="K2052" s="1"/>
  <c r="I2051"/>
  <c r="K2051" s="1"/>
  <c r="K2050"/>
  <c r="I2049"/>
  <c r="K2049" s="1"/>
  <c r="P2032"/>
  <c r="I2024"/>
  <c r="P2024" s="1"/>
  <c r="R2024" s="1"/>
  <c r="P2014"/>
  <c r="I2005"/>
  <c r="P2006" s="1"/>
  <c r="R2006" s="1"/>
  <c r="P1996"/>
  <c r="P1990"/>
  <c r="P1988"/>
  <c r="I1986"/>
  <c r="P1975"/>
  <c r="I1968"/>
  <c r="P1968" s="1"/>
  <c r="R1968" s="1"/>
  <c r="N1943"/>
  <c r="K1941"/>
  <c r="K1939"/>
  <c r="I1936"/>
  <c r="K1936" s="1"/>
  <c r="K1925"/>
  <c r="I1922"/>
  <c r="I1923" s="1"/>
  <c r="K1923" s="1"/>
  <c r="I1909"/>
  <c r="K1909" s="1"/>
  <c r="P1908"/>
  <c r="I1908"/>
  <c r="K1908" s="1"/>
  <c r="I1907"/>
  <c r="K1907" s="1"/>
  <c r="P1897"/>
  <c r="I1895"/>
  <c r="R1890"/>
  <c r="R1889"/>
  <c r="R1887"/>
  <c r="I1887"/>
  <c r="K1887" s="1"/>
  <c r="K1886"/>
  <c r="K1878"/>
  <c r="I1878"/>
  <c r="I1879" s="1"/>
  <c r="K1879" s="1"/>
  <c r="R1877"/>
  <c r="P1877"/>
  <c r="P1878" s="1"/>
  <c r="R1878" s="1"/>
  <c r="I1870"/>
  <c r="P1866"/>
  <c r="P1865"/>
  <c r="P1896" s="1"/>
  <c r="P1864"/>
  <c r="P1895" s="1"/>
  <c r="R1859"/>
  <c r="R1858"/>
  <c r="P1857"/>
  <c r="P1888" s="1"/>
  <c r="K1848"/>
  <c r="I1843"/>
  <c r="K1843" s="1"/>
  <c r="I1842"/>
  <c r="K1842" s="1"/>
  <c r="I1840"/>
  <c r="K1840" s="1"/>
  <c r="K1830"/>
  <c r="I1825"/>
  <c r="K1825" s="1"/>
  <c r="I1824"/>
  <c r="K1824" s="1"/>
  <c r="I1822"/>
  <c r="K1822" s="1"/>
  <c r="K1812"/>
  <c r="K1807"/>
  <c r="I1807"/>
  <c r="I2736" s="1"/>
  <c r="K2736" s="1"/>
  <c r="K1806"/>
  <c r="I1806"/>
  <c r="I2735" s="1"/>
  <c r="K2735" s="1"/>
  <c r="K1804"/>
  <c r="I1804"/>
  <c r="K1797"/>
  <c r="K1796"/>
  <c r="K1793"/>
  <c r="K1786"/>
  <c r="I1785"/>
  <c r="K1785" s="1"/>
  <c r="I1770"/>
  <c r="K1770" s="1"/>
  <c r="I1769"/>
  <c r="K1769" s="1"/>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K1682" s="1"/>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AE1627"/>
  <c r="I1627"/>
  <c r="K1627" s="1"/>
  <c r="AE1626"/>
  <c r="I1626"/>
  <c r="P1628" s="1"/>
  <c r="R1628" s="1"/>
  <c r="AE1625"/>
  <c r="AE1624"/>
  <c r="AE1623"/>
  <c r="AE1622"/>
  <c r="AE1621"/>
  <c r="AE1620"/>
  <c r="AE1619"/>
  <c r="AE1618"/>
  <c r="AE1617"/>
  <c r="AE1616"/>
  <c r="AE1615"/>
  <c r="O1615"/>
  <c r="AE1614"/>
  <c r="I1614"/>
  <c r="K1614" s="1"/>
  <c r="AE1613"/>
  <c r="AE1612"/>
  <c r="AE1611"/>
  <c r="AE1610"/>
  <c r="AE1609"/>
  <c r="AE1608"/>
  <c r="AE1607"/>
  <c r="AE1606"/>
  <c r="AE1605"/>
  <c r="AE1604"/>
  <c r="AE1603"/>
  <c r="P1603"/>
  <c r="P1615" s="1"/>
  <c r="R1615" s="1"/>
  <c r="AE1602"/>
  <c r="AE1601"/>
  <c r="AE1600"/>
  <c r="AE1599"/>
  <c r="AE1598"/>
  <c r="AE1597"/>
  <c r="AE1596"/>
  <c r="AE1595"/>
  <c r="AE1594"/>
  <c r="AE1593"/>
  <c r="AE1592"/>
  <c r="AE1591"/>
  <c r="K1591"/>
  <c r="AE1590"/>
  <c r="AE1589"/>
  <c r="AE1588"/>
  <c r="AE1587"/>
  <c r="I1587"/>
  <c r="AE1586"/>
  <c r="AE1585"/>
  <c r="AE1584"/>
  <c r="AE1583"/>
  <c r="AE1582"/>
  <c r="AE1581"/>
  <c r="AE1580"/>
  <c r="AE1579"/>
  <c r="AE1578"/>
  <c r="K1578"/>
  <c r="AE1577"/>
  <c r="AE1576"/>
  <c r="AE1575"/>
  <c r="AE1574"/>
  <c r="I1574"/>
  <c r="K1574" s="1"/>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P1538"/>
  <c r="R1538" s="1"/>
  <c r="AE1537"/>
  <c r="AE1536"/>
  <c r="AE1535"/>
  <c r="AE1534"/>
  <c r="I1534"/>
  <c r="I3210" s="1"/>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I3168" s="1"/>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R1418"/>
  <c r="P1418"/>
  <c r="P1435" s="1"/>
  <c r="R1435" s="1"/>
  <c r="AE1417"/>
  <c r="Y1417"/>
  <c r="R1417"/>
  <c r="P1417"/>
  <c r="P1434" s="1"/>
  <c r="AE1416"/>
  <c r="P1416"/>
  <c r="AE1415"/>
  <c r="AE1414"/>
  <c r="R1414"/>
  <c r="P1414"/>
  <c r="P1431" s="1"/>
  <c r="P1447" s="1"/>
  <c r="AE1413"/>
  <c r="P1413"/>
  <c r="AE1412"/>
  <c r="P1412"/>
  <c r="AE1411"/>
  <c r="AE1410"/>
  <c r="AE1409"/>
  <c r="AE1408"/>
  <c r="P1408"/>
  <c r="R1408" s="1"/>
  <c r="AE1407"/>
  <c r="AE1406"/>
  <c r="S1406"/>
  <c r="AE1405"/>
  <c r="S1405"/>
  <c r="AE1404"/>
  <c r="S1404"/>
  <c r="L1404"/>
  <c r="AE1403"/>
  <c r="S1403"/>
  <c r="AE1402"/>
  <c r="S1402"/>
  <c r="AE1401"/>
  <c r="R1401"/>
  <c r="AE1400"/>
  <c r="R1400"/>
  <c r="AE1399"/>
  <c r="R1399"/>
  <c r="AE1398"/>
  <c r="AE1397"/>
  <c r="R1397"/>
  <c r="AE1396"/>
  <c r="R1396"/>
  <c r="AE1395"/>
  <c r="R1395"/>
  <c r="AE1394"/>
  <c r="P1394"/>
  <c r="R1394" s="1"/>
  <c r="AE1393"/>
  <c r="P1393"/>
  <c r="AE1392"/>
  <c r="P1392"/>
  <c r="P1409" s="1"/>
  <c r="AE1391"/>
  <c r="R1391"/>
  <c r="AE1390"/>
  <c r="AE1389"/>
  <c r="AE1388"/>
  <c r="AE1387"/>
  <c r="AE1386"/>
  <c r="AE1385"/>
  <c r="AE1384"/>
  <c r="AE1383"/>
  <c r="AE1382"/>
  <c r="AE1381"/>
  <c r="AE1380"/>
  <c r="AE1379"/>
  <c r="V1379"/>
  <c r="V1396" s="1"/>
  <c r="AE1378"/>
  <c r="V1378"/>
  <c r="I1378"/>
  <c r="K1378" s="1"/>
  <c r="AE1377"/>
  <c r="V1377"/>
  <c r="V1394" s="1"/>
  <c r="AE1376"/>
  <c r="AE1375"/>
  <c r="V1375"/>
  <c r="V1392" s="1"/>
  <c r="I1375"/>
  <c r="K1375" s="1"/>
  <c r="AE1374"/>
  <c r="X1374"/>
  <c r="V1374"/>
  <c r="V1391" s="1"/>
  <c r="AE1373"/>
  <c r="AE1372"/>
  <c r="R1372"/>
  <c r="P1372"/>
  <c r="AE1371"/>
  <c r="AE1370"/>
  <c r="AE1369"/>
  <c r="AE1368"/>
  <c r="AE1367"/>
  <c r="AE1366"/>
  <c r="AE1365"/>
  <c r="AE1364"/>
  <c r="AE1363"/>
  <c r="AE1362"/>
  <c r="V1362"/>
  <c r="X1362" s="1"/>
  <c r="AE1361"/>
  <c r="V1361"/>
  <c r="AE1360"/>
  <c r="V1360"/>
  <c r="X1360" s="1"/>
  <c r="AE1359"/>
  <c r="AE1358"/>
  <c r="V1358"/>
  <c r="AE1357"/>
  <c r="X1357"/>
  <c r="V1357"/>
  <c r="AE1356"/>
  <c r="V1356"/>
  <c r="X1356" s="1"/>
  <c r="I1356"/>
  <c r="K1356" s="1"/>
  <c r="AE1355"/>
  <c r="AB1355"/>
  <c r="I3992" s="1"/>
  <c r="V1355"/>
  <c r="X1355" s="1"/>
  <c r="R1355"/>
  <c r="AE1354"/>
  <c r="AE1353"/>
  <c r="V1353"/>
  <c r="R1353"/>
  <c r="R1357" s="1"/>
  <c r="R1358" s="1"/>
  <c r="AE1352"/>
  <c r="V1352"/>
  <c r="AE1351"/>
  <c r="AE1350"/>
  <c r="AE1349"/>
  <c r="AE1348"/>
  <c r="AE1347"/>
  <c r="Y1347"/>
  <c r="AE1346"/>
  <c r="AE1345"/>
  <c r="AE1344"/>
  <c r="AE1343"/>
  <c r="AE1342"/>
  <c r="X1342"/>
  <c r="AE1341"/>
  <c r="X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R1320"/>
  <c r="P1320"/>
  <c r="AE1319"/>
  <c r="R1319"/>
  <c r="AE1318"/>
  <c r="V1318"/>
  <c r="X1318" s="1"/>
  <c r="AE1317"/>
  <c r="AE1316"/>
  <c r="AE1315"/>
  <c r="AE1314"/>
  <c r="AE1313"/>
  <c r="AE1312"/>
  <c r="AE1311"/>
  <c r="AE1310"/>
  <c r="AE1309"/>
  <c r="AE1308"/>
  <c r="AE1307"/>
  <c r="AE1306"/>
  <c r="P1306"/>
  <c r="R1306" s="1"/>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K1270"/>
  <c r="I1270"/>
  <c r="AE1269"/>
  <c r="I1269"/>
  <c r="K1269" s="1"/>
  <c r="AE1268"/>
  <c r="AE1267"/>
  <c r="AD1267"/>
  <c r="AE1266"/>
  <c r="AC1266"/>
  <c r="AE1265"/>
  <c r="AC1265"/>
  <c r="AE1264"/>
  <c r="AC1264"/>
  <c r="P1264"/>
  <c r="AE1263"/>
  <c r="AC1263"/>
  <c r="AB1263"/>
  <c r="AD1263" s="1"/>
  <c r="AE1262"/>
  <c r="AC1262"/>
  <c r="AB1262"/>
  <c r="AD1262" s="1"/>
  <c r="AE1261"/>
  <c r="AE1260"/>
  <c r="AE1259"/>
  <c r="AE1258"/>
  <c r="R1257"/>
  <c r="AE1256"/>
  <c r="K1256"/>
  <c r="AE1255"/>
  <c r="AE1254"/>
  <c r="AE1253"/>
  <c r="AB1253"/>
  <c r="AB1225" s="1"/>
  <c r="AE1252"/>
  <c r="AE1251"/>
  <c r="AE1250"/>
  <c r="AE1249"/>
  <c r="AD1249"/>
  <c r="AE1248"/>
  <c r="I1248"/>
  <c r="K1248" s="1"/>
  <c r="AE1247"/>
  <c r="AE1246"/>
  <c r="AE1245"/>
  <c r="AE1244"/>
  <c r="AE1243"/>
  <c r="AE1242"/>
  <c r="AE1241"/>
  <c r="AD1241"/>
  <c r="P1241"/>
  <c r="R1241" s="1"/>
  <c r="AE1240"/>
  <c r="AE1239"/>
  <c r="AE1238"/>
  <c r="AE1237"/>
  <c r="X1237"/>
  <c r="AE1236"/>
  <c r="AE1235"/>
  <c r="AE1234"/>
  <c r="R1234"/>
  <c r="AE1233"/>
  <c r="I1233"/>
  <c r="K1233" s="1"/>
  <c r="AE1232"/>
  <c r="I1232"/>
  <c r="K1232" s="1"/>
  <c r="AE1231"/>
  <c r="I1231"/>
  <c r="K1231" s="1"/>
  <c r="AE1230"/>
  <c r="AE1229"/>
  <c r="AE1228"/>
  <c r="AE1227"/>
  <c r="AE1226"/>
  <c r="AB1226"/>
  <c r="S1226"/>
  <c r="AE1225"/>
  <c r="AE1224"/>
  <c r="AE1223"/>
  <c r="AE1222"/>
  <c r="P1222"/>
  <c r="R1222" s="1"/>
  <c r="T1222" s="1"/>
  <c r="AE1221"/>
  <c r="AB1221"/>
  <c r="AD1221" s="1"/>
  <c r="AE1220"/>
  <c r="AE1219"/>
  <c r="AE1218"/>
  <c r="AE1217"/>
  <c r="AE1216"/>
  <c r="AE1215"/>
  <c r="AB1215"/>
  <c r="T1215"/>
  <c r="R1215"/>
  <c r="AE1214"/>
  <c r="AE1213"/>
  <c r="AD1213"/>
  <c r="AE1212"/>
  <c r="AC1212"/>
  <c r="AE1211"/>
  <c r="AE1210"/>
  <c r="AE1209"/>
  <c r="AE1203"/>
  <c r="AE1202"/>
  <c r="K1193"/>
  <c r="AE1191"/>
  <c r="K1191"/>
  <c r="AE1190"/>
  <c r="AE1189"/>
  <c r="AK1188"/>
  <c r="AE1188"/>
  <c r="AD1188"/>
  <c r="AE1187"/>
  <c r="AE1186"/>
  <c r="AE1185"/>
  <c r="AE1184"/>
  <c r="AE1183"/>
  <c r="AE1182"/>
  <c r="AE1181"/>
  <c r="AE1180"/>
  <c r="AE1179"/>
  <c r="AE1178"/>
  <c r="K1178"/>
  <c r="AE1177"/>
  <c r="K1177"/>
  <c r="AE1176"/>
  <c r="Q1176"/>
  <c r="K1176"/>
  <c r="AE1175"/>
  <c r="AE1174"/>
  <c r="AE1173"/>
  <c r="AE1172"/>
  <c r="AE1171"/>
  <c r="AE1170"/>
  <c r="AE1169"/>
  <c r="AE1168"/>
  <c r="AE1167"/>
  <c r="AE1166"/>
  <c r="AE1165"/>
  <c r="AE1164"/>
  <c r="AE1163"/>
  <c r="AE1162"/>
  <c r="AE1161"/>
  <c r="AE1160"/>
  <c r="I1160"/>
  <c r="K1160" s="1"/>
  <c r="AE1159"/>
  <c r="I1159"/>
  <c r="K1159" s="1"/>
  <c r="AE1158"/>
  <c r="AE1157"/>
  <c r="AE1156"/>
  <c r="AE1155"/>
  <c r="AE1154"/>
  <c r="AE1153"/>
  <c r="X1153"/>
  <c r="AE1152"/>
  <c r="AE1151"/>
  <c r="P1151"/>
  <c r="AE1150"/>
  <c r="P1150"/>
  <c r="AE1149"/>
  <c r="P1149"/>
  <c r="AE1147"/>
  <c r="AE1146"/>
  <c r="I1146"/>
  <c r="K1146" s="1"/>
  <c r="AE1145"/>
  <c r="I1145"/>
  <c r="K1145" s="1"/>
  <c r="AE1144"/>
  <c r="AE1143"/>
  <c r="AE1142"/>
  <c r="Q1142"/>
  <c r="AE1141"/>
  <c r="AE1140"/>
  <c r="AE1139"/>
  <c r="AE1138"/>
  <c r="AE1137"/>
  <c r="AE1136"/>
  <c r="AE1135"/>
  <c r="K1135"/>
  <c r="AE1134"/>
  <c r="K1134"/>
  <c r="AE1133"/>
  <c r="I1133"/>
  <c r="K1133" s="1"/>
  <c r="AE1132"/>
  <c r="I1132"/>
  <c r="K1132" s="1"/>
  <c r="AE1131"/>
  <c r="AE1130"/>
  <c r="K1130"/>
  <c r="AE1129"/>
  <c r="AE1128"/>
  <c r="AE1127"/>
  <c r="AE1126"/>
  <c r="AE1125"/>
  <c r="AE1124"/>
  <c r="AE1123"/>
  <c r="AE1122"/>
  <c r="AE1121"/>
  <c r="AE1120"/>
  <c r="AE1119"/>
  <c r="AE1118"/>
  <c r="AE1116"/>
  <c r="AE1115"/>
  <c r="AE1114"/>
  <c r="AE1113"/>
  <c r="AE1112"/>
  <c r="AE1111"/>
  <c r="AE1110"/>
  <c r="AE1109"/>
  <c r="AE1108"/>
  <c r="AE1107"/>
  <c r="I1107"/>
  <c r="K1107" s="1"/>
  <c r="AE1106"/>
  <c r="I1106"/>
  <c r="K1106" s="1"/>
  <c r="AE1105"/>
  <c r="K1105"/>
  <c r="I1105"/>
  <c r="AE1104"/>
  <c r="AE1103"/>
  <c r="I1103"/>
  <c r="K1103" s="1"/>
  <c r="AE1101"/>
  <c r="AE1100"/>
  <c r="AE1099"/>
  <c r="AE1098"/>
  <c r="AE1097"/>
  <c r="AE1096"/>
  <c r="AE1095"/>
  <c r="AE1094"/>
  <c r="AE1093"/>
  <c r="AE1092"/>
  <c r="R1092"/>
  <c r="K1092"/>
  <c r="I1092"/>
  <c r="AE1091"/>
  <c r="AE1090"/>
  <c r="K1090"/>
  <c r="I1090"/>
  <c r="AE1089"/>
  <c r="I1089"/>
  <c r="K1089" s="1"/>
  <c r="AE1088"/>
  <c r="AE1087"/>
  <c r="I1087"/>
  <c r="K1087" s="1"/>
  <c r="H1087"/>
  <c r="H1103" s="1"/>
  <c r="AE1086"/>
  <c r="AE1085"/>
  <c r="AE1084"/>
  <c r="AE1083"/>
  <c r="AE1082"/>
  <c r="AE1081"/>
  <c r="AE1080"/>
  <c r="AE1079"/>
  <c r="AE1078"/>
  <c r="AE1077"/>
  <c r="I1077"/>
  <c r="K1077" s="1"/>
  <c r="I1075"/>
  <c r="K1075" s="1"/>
  <c r="I1074"/>
  <c r="K1074" s="1"/>
  <c r="K1072"/>
  <c r="AE1064"/>
  <c r="AG1064" s="1"/>
  <c r="I1062"/>
  <c r="AE1071" s="1"/>
  <c r="AG1071" s="1"/>
  <c r="I1061"/>
  <c r="I1060"/>
  <c r="I1076" s="1"/>
  <c r="I1059"/>
  <c r="P1070" s="1"/>
  <c r="R1070" s="1"/>
  <c r="I1058"/>
  <c r="P1069" s="1"/>
  <c r="R1069" s="1"/>
  <c r="I1057"/>
  <c r="P1068" s="1"/>
  <c r="R1068" s="1"/>
  <c r="I1055"/>
  <c r="P1053"/>
  <c r="R1053" s="1"/>
  <c r="AE1041"/>
  <c r="AE1040"/>
  <c r="AE1039"/>
  <c r="AE1038"/>
  <c r="AE1037"/>
  <c r="AE1036"/>
  <c r="AE1034"/>
  <c r="AE1033"/>
  <c r="AE1032"/>
  <c r="AE1031"/>
  <c r="AE1030"/>
  <c r="AE1029"/>
  <c r="AE1028"/>
  <c r="AE1027"/>
  <c r="AE1026"/>
  <c r="AE1025"/>
  <c r="I1025"/>
  <c r="P1099" s="1"/>
  <c r="AE1024"/>
  <c r="I1024"/>
  <c r="P1098" s="1"/>
  <c r="AE1023"/>
  <c r="I1023"/>
  <c r="AE1022"/>
  <c r="I1022"/>
  <c r="K1022" s="1"/>
  <c r="AE1021"/>
  <c r="K1021"/>
  <c r="I1021"/>
  <c r="P1095" s="1"/>
  <c r="AE1020"/>
  <c r="I1020"/>
  <c r="P1094" s="1"/>
  <c r="AE1019"/>
  <c r="AE1018"/>
  <c r="AE1017"/>
  <c r="AE1016"/>
  <c r="AE1015"/>
  <c r="AE1014"/>
  <c r="AE1013"/>
  <c r="AE1012"/>
  <c r="AE1011"/>
  <c r="AE1010"/>
  <c r="AE1009"/>
  <c r="AE1008"/>
  <c r="AE1007"/>
  <c r="AE1006"/>
  <c r="AE1004"/>
  <c r="AE1003"/>
  <c r="AE1002"/>
  <c r="AE1001"/>
  <c r="AE1000"/>
  <c r="AE999"/>
  <c r="AE998"/>
  <c r="AE997"/>
  <c r="AE996"/>
  <c r="P996"/>
  <c r="R996" s="1"/>
  <c r="I996"/>
  <c r="K996" s="1"/>
  <c r="AE995"/>
  <c r="P995"/>
  <c r="R995" s="1"/>
  <c r="I995"/>
  <c r="I2841" s="1"/>
  <c r="AE994"/>
  <c r="P994"/>
  <c r="R994" s="1"/>
  <c r="I994"/>
  <c r="I2840" s="1"/>
  <c r="AE993"/>
  <c r="P993"/>
  <c r="R993" s="1"/>
  <c r="I993"/>
  <c r="I2839" s="1"/>
  <c r="AE992"/>
  <c r="P992"/>
  <c r="R992" s="1"/>
  <c r="I992"/>
  <c r="I2838" s="1"/>
  <c r="AE991"/>
  <c r="P991"/>
  <c r="R991" s="1"/>
  <c r="I991"/>
  <c r="I2837" s="1"/>
  <c r="AE990"/>
  <c r="I990"/>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K960" s="1"/>
  <c r="AE959"/>
  <c r="I959"/>
  <c r="AE958"/>
  <c r="I958"/>
  <c r="K958" s="1"/>
  <c r="AE957"/>
  <c r="I957"/>
  <c r="AE956"/>
  <c r="I956"/>
  <c r="P949" s="1"/>
  <c r="R949" s="1"/>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R904"/>
  <c r="AE903"/>
  <c r="R903"/>
  <c r="AE902"/>
  <c r="R902"/>
  <c r="AE901"/>
  <c r="K901"/>
  <c r="H901"/>
  <c r="AE900"/>
  <c r="AE899"/>
  <c r="AE898"/>
  <c r="AE897"/>
  <c r="H897"/>
  <c r="AE896"/>
  <c r="AE895"/>
  <c r="AE894"/>
  <c r="AE893"/>
  <c r="AE892"/>
  <c r="AE891"/>
  <c r="AE890"/>
  <c r="AE889"/>
  <c r="AE888"/>
  <c r="AE887"/>
  <c r="AE886"/>
  <c r="AE885"/>
  <c r="V885"/>
  <c r="V901" s="1"/>
  <c r="X901" s="1"/>
  <c r="K885"/>
  <c r="AE884"/>
  <c r="AE883"/>
  <c r="AE882"/>
  <c r="I882"/>
  <c r="V882" s="1"/>
  <c r="AE881"/>
  <c r="I881"/>
  <c r="I897" s="1"/>
  <c r="K897" s="1"/>
  <c r="AE880"/>
  <c r="R880"/>
  <c r="I880"/>
  <c r="I896" s="1"/>
  <c r="K896" s="1"/>
  <c r="AE879"/>
  <c r="R879"/>
  <c r="I879"/>
  <c r="I895" s="1"/>
  <c r="K895" s="1"/>
  <c r="AE878"/>
  <c r="R878"/>
  <c r="AE877"/>
  <c r="R877"/>
  <c r="AE876"/>
  <c r="R876"/>
  <c r="AE875"/>
  <c r="R875"/>
  <c r="AE874"/>
  <c r="P874"/>
  <c r="R874" s="1"/>
  <c r="AE873"/>
  <c r="AE872"/>
  <c r="AE871"/>
  <c r="AE870"/>
  <c r="AE869"/>
  <c r="AE868"/>
  <c r="AE867"/>
  <c r="V867"/>
  <c r="X867" s="1"/>
  <c r="K867"/>
  <c r="AE866"/>
  <c r="AE865"/>
  <c r="AE864"/>
  <c r="V864"/>
  <c r="X864" s="1"/>
  <c r="K864"/>
  <c r="AE863"/>
  <c r="X863"/>
  <c r="V863"/>
  <c r="K863"/>
  <c r="AE862"/>
  <c r="X862"/>
  <c r="V862"/>
  <c r="P862"/>
  <c r="K862"/>
  <c r="AE861"/>
  <c r="V861"/>
  <c r="X861" s="1"/>
  <c r="K861"/>
  <c r="AE860"/>
  <c r="P860"/>
  <c r="R860" s="1"/>
  <c r="AE859"/>
  <c r="AE858"/>
  <c r="AE857"/>
  <c r="R857"/>
  <c r="P857"/>
  <c r="AE856"/>
  <c r="P856"/>
  <c r="R856" s="1"/>
  <c r="AE855"/>
  <c r="P855"/>
  <c r="R855" s="1"/>
  <c r="AE854"/>
  <c r="P854"/>
  <c r="R854" s="1"/>
  <c r="AE853"/>
  <c r="AE852"/>
  <c r="AE851"/>
  <c r="AE850"/>
  <c r="AE849"/>
  <c r="AE848"/>
  <c r="AE847"/>
  <c r="AE846"/>
  <c r="AE845"/>
  <c r="AE844"/>
  <c r="R844"/>
  <c r="AE843"/>
  <c r="R843"/>
  <c r="AE842"/>
  <c r="R842"/>
  <c r="AE841"/>
  <c r="R841"/>
  <c r="AE840"/>
  <c r="R840"/>
  <c r="AE839"/>
  <c r="R839"/>
  <c r="AE838"/>
  <c r="P838"/>
  <c r="R838" s="1"/>
  <c r="AE837"/>
  <c r="AE827"/>
  <c r="AE826"/>
  <c r="AE825"/>
  <c r="V825"/>
  <c r="AE824"/>
  <c r="V824"/>
  <c r="AE823"/>
  <c r="V823"/>
  <c r="AE822"/>
  <c r="AE821"/>
  <c r="AE820"/>
  <c r="AE819"/>
  <c r="W819"/>
  <c r="AE818"/>
  <c r="AE817"/>
  <c r="R817"/>
  <c r="AE816"/>
  <c r="R816"/>
  <c r="AE815"/>
  <c r="R815"/>
  <c r="AE814"/>
  <c r="R814"/>
  <c r="AE813"/>
  <c r="R813"/>
  <c r="AE812"/>
  <c r="R812"/>
  <c r="AE811"/>
  <c r="P811"/>
  <c r="R811" s="1"/>
  <c r="AE810"/>
  <c r="AE809"/>
  <c r="AE808"/>
  <c r="P808"/>
  <c r="P826" s="1"/>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R756"/>
  <c r="P756"/>
  <c r="AE755"/>
  <c r="P755"/>
  <c r="R755" s="1"/>
  <c r="AE754"/>
  <c r="P754"/>
  <c r="R754" s="1"/>
  <c r="AE753"/>
  <c r="P753"/>
  <c r="R753" s="1"/>
  <c r="AE752"/>
  <c r="AE751"/>
  <c r="P751"/>
  <c r="R751" s="1"/>
  <c r="AE750"/>
  <c r="AE749"/>
  <c r="AE748"/>
  <c r="AE747"/>
  <c r="AE746"/>
  <c r="AE745"/>
  <c r="I745"/>
  <c r="AE744"/>
  <c r="AE743"/>
  <c r="I743"/>
  <c r="I1784" s="1"/>
  <c r="K1784" s="1"/>
  <c r="AE742"/>
  <c r="AE741"/>
  <c r="AE740"/>
  <c r="P740"/>
  <c r="R740" s="1"/>
  <c r="AE739"/>
  <c r="R739"/>
  <c r="P739"/>
  <c r="AE738"/>
  <c r="P738"/>
  <c r="R738" s="1"/>
  <c r="AE737"/>
  <c r="P737"/>
  <c r="R737" s="1"/>
  <c r="AE736"/>
  <c r="AE735"/>
  <c r="P735"/>
  <c r="R735" s="1"/>
  <c r="AE734"/>
  <c r="AE733"/>
  <c r="AE732"/>
  <c r="AE731"/>
  <c r="AE730"/>
  <c r="AE729"/>
  <c r="AE728"/>
  <c r="AE727"/>
  <c r="AE726"/>
  <c r="AE725"/>
  <c r="P725"/>
  <c r="R725" s="1"/>
  <c r="AE724"/>
  <c r="P724"/>
  <c r="R724" s="1"/>
  <c r="AE723"/>
  <c r="P723"/>
  <c r="R723" s="1"/>
  <c r="AE722"/>
  <c r="R722"/>
  <c r="P722"/>
  <c r="AE721"/>
  <c r="AE720"/>
  <c r="R720"/>
  <c r="P720"/>
  <c r="K720"/>
  <c r="I720"/>
  <c r="AE719"/>
  <c r="AE718"/>
  <c r="K718"/>
  <c r="I718"/>
  <c r="AE717"/>
  <c r="V717"/>
  <c r="I717"/>
  <c r="K717" s="1"/>
  <c r="K723" s="1"/>
  <c r="I725" s="1"/>
  <c r="K725" s="1"/>
  <c r="AE716"/>
  <c r="V716"/>
  <c r="AE715"/>
  <c r="AE714"/>
  <c r="V714"/>
  <c r="AE713"/>
  <c r="V713"/>
  <c r="AE712"/>
  <c r="AE711"/>
  <c r="AE710"/>
  <c r="W710"/>
  <c r="AE709"/>
  <c r="V709"/>
  <c r="S709"/>
  <c r="P709"/>
  <c r="R709" s="1"/>
  <c r="R713" s="1"/>
  <c r="AE708"/>
  <c r="AE707"/>
  <c r="AE706"/>
  <c r="AE705"/>
  <c r="AE704"/>
  <c r="AE703"/>
  <c r="AE702"/>
  <c r="AE701"/>
  <c r="K701"/>
  <c r="AE700"/>
  <c r="I700"/>
  <c r="K700" s="1"/>
  <c r="AE699"/>
  <c r="K699"/>
  <c r="I699"/>
  <c r="AE698"/>
  <c r="P698"/>
  <c r="R698" s="1"/>
  <c r="R702" s="1"/>
  <c r="AE697"/>
  <c r="AE696"/>
  <c r="AE695"/>
  <c r="AE694"/>
  <c r="AE693"/>
  <c r="AE692"/>
  <c r="AF691"/>
  <c r="AE691"/>
  <c r="AE690"/>
  <c r="AF689"/>
  <c r="AE689"/>
  <c r="AE688"/>
  <c r="P688"/>
  <c r="R688" s="1"/>
  <c r="R692" s="1"/>
  <c r="AE687"/>
  <c r="AE686"/>
  <c r="AE685"/>
  <c r="AC685"/>
  <c r="AE684"/>
  <c r="AC684"/>
  <c r="AE683"/>
  <c r="AA683"/>
  <c r="AE682"/>
  <c r="K682"/>
  <c r="AE681"/>
  <c r="AF684" s="1"/>
  <c r="AF686" s="1"/>
  <c r="I681"/>
  <c r="K681" s="1"/>
  <c r="AE680"/>
  <c r="I680"/>
  <c r="K680" s="1"/>
  <c r="AE679"/>
  <c r="V679"/>
  <c r="X679" s="1"/>
  <c r="AE678"/>
  <c r="P678"/>
  <c r="R678" s="1"/>
  <c r="R682" s="1"/>
  <c r="AE677"/>
  <c r="AE676"/>
  <c r="AE675"/>
  <c r="AE674"/>
  <c r="AE673"/>
  <c r="P660"/>
  <c r="R660" s="1"/>
  <c r="P659"/>
  <c r="R659" s="1"/>
  <c r="P658"/>
  <c r="R658" s="1"/>
  <c r="AD648"/>
  <c r="AF648" s="1"/>
  <c r="X648"/>
  <c r="P642"/>
  <c r="R642" s="1"/>
  <c r="AE637"/>
  <c r="AE636"/>
  <c r="AE635"/>
  <c r="AE634"/>
  <c r="AE633"/>
  <c r="AE632"/>
  <c r="AE631"/>
  <c r="AE630"/>
  <c r="AE629"/>
  <c r="R629"/>
  <c r="P629"/>
  <c r="AE628"/>
  <c r="AE627"/>
  <c r="AE626"/>
  <c r="AE625"/>
  <c r="AE624"/>
  <c r="AE623"/>
  <c r="AE622"/>
  <c r="AE621"/>
  <c r="AE620"/>
  <c r="AE619"/>
  <c r="K619"/>
  <c r="I619"/>
  <c r="AE618"/>
  <c r="AE617"/>
  <c r="AE616"/>
  <c r="AE615"/>
  <c r="C615"/>
  <c r="AE614"/>
  <c r="AE613"/>
  <c r="AE612"/>
  <c r="AE611"/>
  <c r="AE610"/>
  <c r="AE609"/>
  <c r="AE608"/>
  <c r="E608"/>
  <c r="E609" s="1"/>
  <c r="AE607"/>
  <c r="AE606"/>
  <c r="AE605"/>
  <c r="AE604"/>
  <c r="I604"/>
  <c r="K604" s="1"/>
  <c r="AE603"/>
  <c r="AE602"/>
  <c r="E602"/>
  <c r="AE601"/>
  <c r="AE600"/>
  <c r="AE599"/>
  <c r="AE598"/>
  <c r="AE597"/>
  <c r="AE596"/>
  <c r="AE595"/>
  <c r="AE594"/>
  <c r="AE593"/>
  <c r="AE592"/>
  <c r="AE591"/>
  <c r="AE590"/>
  <c r="AE589"/>
  <c r="AE588"/>
  <c r="AE587"/>
  <c r="AE586"/>
  <c r="AE585"/>
  <c r="V585"/>
  <c r="P585"/>
  <c r="R585" s="1"/>
  <c r="AE584"/>
  <c r="R584"/>
  <c r="P584"/>
  <c r="AE583"/>
  <c r="P583"/>
  <c r="R583" s="1"/>
  <c r="AE582"/>
  <c r="X582"/>
  <c r="V582"/>
  <c r="I582"/>
  <c r="K582" s="1"/>
  <c r="AE581"/>
  <c r="AE580"/>
  <c r="AE579"/>
  <c r="AE578"/>
  <c r="P578"/>
  <c r="R578" s="1"/>
  <c r="AE577"/>
  <c r="AE576"/>
  <c r="AE575"/>
  <c r="AE574"/>
  <c r="AE573"/>
  <c r="AE572"/>
  <c r="AC572"/>
  <c r="AB572"/>
  <c r="AC566"/>
  <c r="AE564"/>
  <c r="AE563"/>
  <c r="AE562"/>
  <c r="M562"/>
  <c r="AE561"/>
  <c r="M561"/>
  <c r="AE560"/>
  <c r="M560"/>
  <c r="AE559"/>
  <c r="M559"/>
  <c r="M563" s="1"/>
  <c r="AE558"/>
  <c r="AE557"/>
  <c r="AE556"/>
  <c r="AE555"/>
  <c r="V555"/>
  <c r="AE554"/>
  <c r="AE553"/>
  <c r="R553"/>
  <c r="E553"/>
  <c r="AE552"/>
  <c r="AE551"/>
  <c r="AE550"/>
  <c r="AE549"/>
  <c r="W549"/>
  <c r="AC549" s="1"/>
  <c r="AE548"/>
  <c r="W548"/>
  <c r="AC548" s="1"/>
  <c r="P548"/>
  <c r="R548" s="1"/>
  <c r="AE539"/>
  <c r="P539"/>
  <c r="R539" s="1"/>
  <c r="AE538"/>
  <c r="AE537"/>
  <c r="P537"/>
  <c r="R537" s="1"/>
  <c r="AE536"/>
  <c r="AE535"/>
  <c r="AE534"/>
  <c r="AE533"/>
  <c r="AE532"/>
  <c r="AE531"/>
  <c r="AB531"/>
  <c r="AB555" s="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R501"/>
  <c r="P501"/>
  <c r="AE500"/>
  <c r="AE499"/>
  <c r="R499"/>
  <c r="P499"/>
  <c r="AE498"/>
  <c r="AE497"/>
  <c r="AE496"/>
  <c r="AE495"/>
  <c r="AE494"/>
  <c r="AE493"/>
  <c r="AE492"/>
  <c r="I492"/>
  <c r="K492" s="1"/>
  <c r="AE491"/>
  <c r="AC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R458"/>
  <c r="P458"/>
  <c r="R457"/>
  <c r="P457"/>
  <c r="AJ452"/>
  <c r="P452"/>
  <c r="R452" s="1"/>
  <c r="P441"/>
  <c r="R441" s="1"/>
  <c r="P440"/>
  <c r="R440" s="1"/>
  <c r="P439"/>
  <c r="R439" s="1"/>
  <c r="P433"/>
  <c r="R433" s="1"/>
  <c r="AB432"/>
  <c r="AB431"/>
  <c r="AB430"/>
  <c r="AB429"/>
  <c r="AB428"/>
  <c r="AB424"/>
  <c r="AD422"/>
  <c r="X416"/>
  <c r="F411"/>
  <c r="H410"/>
  <c r="F410"/>
  <c r="H408"/>
  <c r="AD388"/>
  <c r="AB388"/>
  <c r="AD386"/>
  <c r="H379"/>
  <c r="F379"/>
  <c r="H377"/>
  <c r="R367"/>
  <c r="P367"/>
  <c r="AD364"/>
  <c r="H355"/>
  <c r="X341"/>
  <c r="AB336"/>
  <c r="F336"/>
  <c r="AD335"/>
  <c r="AB335"/>
  <c r="H335"/>
  <c r="F335"/>
  <c r="AD333"/>
  <c r="AD362" s="1"/>
  <c r="H333"/>
  <c r="H353" s="1"/>
  <c r="AD311"/>
  <c r="AD424" s="1"/>
  <c r="H311"/>
  <c r="AD278"/>
  <c r="AC278"/>
  <c r="AD277"/>
  <c r="AC277"/>
  <c r="AD276"/>
  <c r="AC276"/>
  <c r="AD275"/>
  <c r="AC275"/>
  <c r="AD274"/>
  <c r="AD280" s="1"/>
  <c r="AC274"/>
  <c r="K257"/>
  <c r="I256"/>
  <c r="K256" s="1"/>
  <c r="K245"/>
  <c r="I241"/>
  <c r="K241" s="1"/>
  <c r="P219"/>
  <c r="R219" s="1"/>
  <c r="P218"/>
  <c r="R218" s="1"/>
  <c r="AU217"/>
  <c r="AV217" s="1"/>
  <c r="P217"/>
  <c r="R217" s="1"/>
  <c r="AU216"/>
  <c r="AV216" s="1"/>
  <c r="P216"/>
  <c r="R216" s="1"/>
  <c r="AU215"/>
  <c r="AV215" s="1"/>
  <c r="P215"/>
  <c r="R215" s="1"/>
  <c r="AU214"/>
  <c r="AV214" s="1"/>
  <c r="P214"/>
  <c r="R214" s="1"/>
  <c r="AU213"/>
  <c r="AV213" s="1"/>
  <c r="AU212"/>
  <c r="AV212" s="1"/>
  <c r="P212"/>
  <c r="R212" s="1"/>
  <c r="AU211"/>
  <c r="AV211" s="1"/>
  <c r="AU210"/>
  <c r="AV210" s="1"/>
  <c r="AU209"/>
  <c r="AV209" s="1"/>
  <c r="AU208"/>
  <c r="AV208" s="1"/>
  <c r="AU207"/>
  <c r="AV207" s="1"/>
  <c r="AU206"/>
  <c r="AV206" s="1"/>
  <c r="AU205"/>
  <c r="AV205" s="1"/>
  <c r="AU204"/>
  <c r="AV204" s="1"/>
  <c r="AU203"/>
  <c r="AV203" s="1"/>
  <c r="AU202"/>
  <c r="AV202" s="1"/>
  <c r="AU201"/>
  <c r="AV201" s="1"/>
  <c r="AU200"/>
  <c r="AV200" s="1"/>
  <c r="AU199"/>
  <c r="AV199" s="1"/>
  <c r="AU198"/>
  <c r="AV198" s="1"/>
  <c r="AU197"/>
  <c r="AV197" s="1"/>
  <c r="AU196"/>
  <c r="AV196" s="1"/>
  <c r="AU195"/>
  <c r="AV195" s="1"/>
  <c r="AU194"/>
  <c r="AV194" s="1"/>
  <c r="AU193"/>
  <c r="AV193" s="1"/>
  <c r="AU192"/>
  <c r="AV192" s="1"/>
  <c r="AU186"/>
  <c r="AV186" s="1"/>
  <c r="I186"/>
  <c r="K186" s="1"/>
  <c r="K185"/>
  <c r="I185"/>
  <c r="AU184"/>
  <c r="AV184" s="1"/>
  <c r="AU182"/>
  <c r="AV182" s="1"/>
  <c r="AU181"/>
  <c r="AV181" s="1"/>
  <c r="AU178"/>
  <c r="AV178" s="1"/>
  <c r="AV177"/>
  <c r="AU177"/>
  <c r="AU176"/>
  <c r="AV176" s="1"/>
  <c r="AV175"/>
  <c r="AU175"/>
  <c r="AU174"/>
  <c r="AV174" s="1"/>
  <c r="AU172"/>
  <c r="AV172" s="1"/>
  <c r="AU170"/>
  <c r="AV170" s="1"/>
  <c r="AU169"/>
  <c r="AV169" s="1"/>
  <c r="AN164"/>
  <c r="AP163"/>
  <c r="AN163"/>
  <c r="AU162"/>
  <c r="AV162" s="1"/>
  <c r="AU161"/>
  <c r="AV161" s="1"/>
  <c r="AP161"/>
  <c r="AU160"/>
  <c r="AV160" s="1"/>
  <c r="I157"/>
  <c r="K157" s="1"/>
  <c r="I155"/>
  <c r="K155" s="1"/>
  <c r="AU154"/>
  <c r="AV154" s="1"/>
  <c r="I153"/>
  <c r="K153" s="1"/>
  <c r="AU152"/>
  <c r="AV152" s="1"/>
  <c r="AU150"/>
  <c r="AV150" s="1"/>
  <c r="AU149"/>
  <c r="AV149" s="1"/>
  <c r="AU146"/>
  <c r="AV146" s="1"/>
  <c r="AU145"/>
  <c r="AV145" s="1"/>
  <c r="AU144"/>
  <c r="AV144" s="1"/>
  <c r="AU143"/>
  <c r="AV143" s="1"/>
  <c r="AU141"/>
  <c r="AV141" s="1"/>
  <c r="AU139"/>
  <c r="AV139" s="1"/>
  <c r="AU138"/>
  <c r="AV138" s="1"/>
  <c r="AP132"/>
  <c r="AN132"/>
  <c r="AP130"/>
  <c r="AU118"/>
  <c r="AV118" s="1"/>
  <c r="AU116"/>
  <c r="AV116" s="1"/>
  <c r="M116"/>
  <c r="M133" s="1"/>
  <c r="AU114"/>
  <c r="AV114" s="1"/>
  <c r="AU113"/>
  <c r="AV113" s="1"/>
  <c r="AP107"/>
  <c r="M101"/>
  <c r="AN88"/>
  <c r="AP87"/>
  <c r="AN87"/>
  <c r="AP85"/>
  <c r="AP105" s="1"/>
  <c r="AP63"/>
  <c r="AE48"/>
  <c r="AK47"/>
  <c r="AJ47"/>
  <c r="AI47"/>
  <c r="AH47"/>
  <c r="AG47"/>
  <c r="Y47"/>
  <c r="AF46"/>
  <c r="AK46" s="1"/>
  <c r="Z46"/>
  <c r="Z47" s="1"/>
  <c r="AK45"/>
  <c r="AI45"/>
  <c r="AH45"/>
  <c r="AG45"/>
  <c r="AE45"/>
  <c r="X45"/>
  <c r="AK44"/>
  <c r="AJ44"/>
  <c r="AI44"/>
  <c r="AH44"/>
  <c r="AG44"/>
  <c r="AE44"/>
  <c r="AF43"/>
  <c r="AK43" s="1"/>
  <c r="Z43"/>
  <c r="AC43" s="1"/>
  <c r="P150" s="1"/>
  <c r="R150" s="1"/>
  <c r="X43"/>
  <c r="AK42"/>
  <c r="AJ42"/>
  <c r="AI42"/>
  <c r="AH42"/>
  <c r="AG42"/>
  <c r="AE42"/>
  <c r="AK41"/>
  <c r="AJ41"/>
  <c r="AI41"/>
  <c r="AH41"/>
  <c r="AG41"/>
  <c r="AE41"/>
  <c r="Z41"/>
  <c r="Z42" s="1"/>
  <c r="AC42" s="1"/>
  <c r="X41"/>
  <c r="X42" s="1"/>
  <c r="W41"/>
  <c r="W42" s="1"/>
  <c r="W45" s="1"/>
  <c r="AE40"/>
  <c r="AK39"/>
  <c r="AJ39"/>
  <c r="AI39"/>
  <c r="AH39"/>
  <c r="AG39"/>
  <c r="AE39"/>
  <c r="V81" s="1"/>
  <c r="Z39"/>
  <c r="AC39" s="1"/>
  <c r="P125" s="1"/>
  <c r="R125" s="1"/>
  <c r="X39"/>
  <c r="AK38"/>
  <c r="AJ38"/>
  <c r="AI38"/>
  <c r="AH38"/>
  <c r="AG38"/>
  <c r="AE38"/>
  <c r="Z38"/>
  <c r="AC38" s="1"/>
  <c r="X38"/>
  <c r="AK37"/>
  <c r="AJ37"/>
  <c r="AI37"/>
  <c r="AH37"/>
  <c r="AG37"/>
  <c r="AE37"/>
  <c r="AK36"/>
  <c r="AJ36"/>
  <c r="AI36"/>
  <c r="AH36"/>
  <c r="AG36"/>
  <c r="AE36"/>
  <c r="D61" s="1"/>
  <c r="AK35"/>
  <c r="AJ35"/>
  <c r="AI35"/>
  <c r="AH35"/>
  <c r="AG35"/>
  <c r="AE35"/>
  <c r="AK34"/>
  <c r="AJ34"/>
  <c r="AI34"/>
  <c r="AH34"/>
  <c r="AG34"/>
  <c r="AE34"/>
  <c r="Y34"/>
  <c r="X34"/>
  <c r="W34"/>
  <c r="D34"/>
  <c r="AK33"/>
  <c r="AJ33"/>
  <c r="AI33"/>
  <c r="AH33"/>
  <c r="AG33"/>
  <c r="AE33"/>
  <c r="I2664" s="1"/>
  <c r="Y33"/>
  <c r="D33"/>
  <c r="I2249" s="1"/>
  <c r="K2249" s="1"/>
  <c r="AK32"/>
  <c r="AJ32"/>
  <c r="AI32"/>
  <c r="AH32"/>
  <c r="AG32"/>
  <c r="AE32"/>
  <c r="V3116" s="1"/>
  <c r="X32"/>
  <c r="X33" s="1"/>
  <c r="D32"/>
  <c r="I1104" s="1"/>
  <c r="K1104" s="1"/>
  <c r="AK31"/>
  <c r="AJ31"/>
  <c r="AI31"/>
  <c r="AH31"/>
  <c r="AG31"/>
  <c r="AE31"/>
  <c r="D30" s="1"/>
  <c r="Z31"/>
  <c r="AC31" s="1"/>
  <c r="X31"/>
  <c r="AK30"/>
  <c r="AJ30"/>
  <c r="AI30"/>
  <c r="AH30"/>
  <c r="AG30"/>
  <c r="AE30"/>
  <c r="AC30"/>
  <c r="C137" s="1"/>
  <c r="I1218" s="1"/>
  <c r="K1218" s="1"/>
  <c r="C30"/>
  <c r="AK29"/>
  <c r="AJ29"/>
  <c r="AI29"/>
  <c r="AH29"/>
  <c r="AG29"/>
  <c r="AE29"/>
  <c r="C61" s="1"/>
  <c r="Z29"/>
  <c r="Z34" s="1"/>
  <c r="W29"/>
  <c r="E29"/>
  <c r="AK28"/>
  <c r="AJ28"/>
  <c r="AI28"/>
  <c r="AH28"/>
  <c r="AG28"/>
  <c r="AE28"/>
  <c r="I3005" s="1"/>
  <c r="K3005" s="1"/>
  <c r="AK27"/>
  <c r="AJ27"/>
  <c r="AI27"/>
  <c r="AH27"/>
  <c r="AG27"/>
  <c r="AE27"/>
  <c r="V83" s="1"/>
  <c r="E27"/>
  <c r="C27"/>
  <c r="I141" s="1"/>
  <c r="K141" s="1"/>
  <c r="AK26"/>
  <c r="AJ26"/>
  <c r="AI26"/>
  <c r="AH26"/>
  <c r="AG26"/>
  <c r="AE26"/>
  <c r="Z26"/>
  <c r="Z27" s="1"/>
  <c r="E26"/>
  <c r="AK25"/>
  <c r="AJ25"/>
  <c r="AI25"/>
  <c r="AH25"/>
  <c r="AG25"/>
  <c r="AE25"/>
  <c r="Z25"/>
  <c r="AC25" s="1"/>
  <c r="C87" s="1"/>
  <c r="X25"/>
  <c r="X24" s="1"/>
  <c r="C25"/>
  <c r="AK24"/>
  <c r="AJ24"/>
  <c r="AI24"/>
  <c r="AH24"/>
  <c r="AG24"/>
  <c r="AE24"/>
  <c r="AK23"/>
  <c r="AJ23"/>
  <c r="AI23"/>
  <c r="AH23"/>
  <c r="AG23"/>
  <c r="AE23"/>
  <c r="C29" s="1"/>
  <c r="I1234" s="1"/>
  <c r="K1234" s="1"/>
  <c r="Z23"/>
  <c r="AC23" s="1"/>
  <c r="C85" s="1"/>
  <c r="X23"/>
  <c r="W23"/>
  <c r="C23"/>
  <c r="J536" s="1"/>
  <c r="J537" s="1"/>
  <c r="J538" s="1"/>
  <c r="AK22"/>
  <c r="AJ22"/>
  <c r="AI22"/>
  <c r="AH22"/>
  <c r="AG22"/>
  <c r="AE22"/>
  <c r="C41" s="1"/>
  <c r="AC22"/>
  <c r="C84" s="1"/>
  <c r="C22"/>
  <c r="AK21"/>
  <c r="AJ21"/>
  <c r="AI21"/>
  <c r="AH21"/>
  <c r="AG21"/>
  <c r="AE21"/>
  <c r="I2697" s="1"/>
  <c r="K2697" s="1"/>
  <c r="Z21"/>
  <c r="AC21" s="1"/>
  <c r="C83" s="1"/>
  <c r="I1353" s="1"/>
  <c r="K1353" s="1"/>
  <c r="X21"/>
  <c r="AK20"/>
  <c r="AJ20"/>
  <c r="AI20"/>
  <c r="AH20"/>
  <c r="AG20"/>
  <c r="AE20"/>
  <c r="W20"/>
  <c r="C20"/>
  <c r="AF412" s="1"/>
  <c r="AF413" s="1"/>
  <c r="AF414" s="1"/>
  <c r="AF415" s="1"/>
  <c r="AF416" s="1"/>
  <c r="AF417" s="1"/>
  <c r="AF418" s="1"/>
  <c r="AF419" s="1"/>
  <c r="AF420" s="1"/>
  <c r="AF421" s="1"/>
  <c r="AF422" s="1"/>
  <c r="AK19"/>
  <c r="AJ19"/>
  <c r="AI19"/>
  <c r="AH19"/>
  <c r="AG19"/>
  <c r="AE19"/>
  <c r="Z19"/>
  <c r="AC19" s="1"/>
  <c r="X19"/>
  <c r="X20" s="1"/>
  <c r="W19"/>
  <c r="C19"/>
  <c r="AF448" s="1"/>
  <c r="AK18"/>
  <c r="AJ18"/>
  <c r="AI18"/>
  <c r="AH18"/>
  <c r="AG18"/>
  <c r="AE18"/>
  <c r="Z18"/>
  <c r="AC18" s="1"/>
  <c r="C80" s="1"/>
  <c r="X18"/>
  <c r="X29" s="1"/>
  <c r="C18"/>
  <c r="I156" s="1"/>
  <c r="K156" s="1"/>
  <c r="AK17"/>
  <c r="AJ17"/>
  <c r="AI17"/>
  <c r="AH17"/>
  <c r="AG17"/>
  <c r="AE17"/>
  <c r="C17" s="1"/>
  <c r="Y17"/>
  <c r="W17"/>
  <c r="W46" s="1"/>
  <c r="W47" s="1"/>
  <c r="AK16"/>
  <c r="AJ16"/>
  <c r="AI16"/>
  <c r="AH16"/>
  <c r="AG16"/>
  <c r="AE16"/>
  <c r="Z16"/>
  <c r="Z17" s="1"/>
  <c r="X16"/>
  <c r="X17" s="1"/>
  <c r="D16"/>
  <c r="C16"/>
  <c r="AK15"/>
  <c r="AJ15"/>
  <c r="AI15"/>
  <c r="AH15"/>
  <c r="AG15"/>
  <c r="AE15"/>
  <c r="C15" s="1"/>
  <c r="AK14"/>
  <c r="AJ14"/>
  <c r="AI14"/>
  <c r="AH14"/>
  <c r="AG14"/>
  <c r="AE14"/>
  <c r="D14"/>
  <c r="AK13"/>
  <c r="AJ13"/>
  <c r="AI13"/>
  <c r="AH13"/>
  <c r="AG13"/>
  <c r="AE13"/>
  <c r="C14" s="1"/>
  <c r="AK12"/>
  <c r="AJ12"/>
  <c r="AI12"/>
  <c r="AH12"/>
  <c r="AG12"/>
  <c r="AE12"/>
  <c r="C13" s="1"/>
  <c r="C12"/>
  <c r="AK11"/>
  <c r="AJ11"/>
  <c r="AI11"/>
  <c r="AH11"/>
  <c r="AG11"/>
  <c r="AE11"/>
  <c r="Z11"/>
  <c r="Z44" s="1"/>
  <c r="AC44" s="1"/>
  <c r="AB1331" s="1"/>
  <c r="AC1331" s="1"/>
  <c r="X11"/>
  <c r="X44" s="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K10"/>
  <c r="AJ10"/>
  <c r="AI10"/>
  <c r="AH10"/>
  <c r="AG10"/>
  <c r="AE10"/>
  <c r="X10"/>
  <c r="W10"/>
  <c r="W11" s="1"/>
  <c r="AK9"/>
  <c r="AJ9"/>
  <c r="AI9"/>
  <c r="AH9"/>
  <c r="AG9"/>
  <c r="AE9"/>
  <c r="D11" s="1"/>
  <c r="Z9"/>
  <c r="Z10" s="1"/>
  <c r="AC10" s="1"/>
  <c r="C69" s="1"/>
  <c r="I296" s="1"/>
  <c r="K296" s="1"/>
  <c r="X9"/>
  <c r="W3"/>
  <c r="Q3"/>
  <c r="V3" s="1"/>
  <c r="O3"/>
  <c r="U3" s="1"/>
  <c r="J3"/>
  <c r="H3"/>
  <c r="S2"/>
  <c r="AD572" l="1"/>
  <c r="K743"/>
  <c r="K882"/>
  <c r="I898"/>
  <c r="K898" s="1"/>
  <c r="P948"/>
  <c r="R948" s="1"/>
  <c r="K956"/>
  <c r="I1026"/>
  <c r="I1063" s="1"/>
  <c r="P1050"/>
  <c r="R1050" s="1"/>
  <c r="K2024"/>
  <c r="P2156"/>
  <c r="R2156" s="1"/>
  <c r="I2485"/>
  <c r="V2593"/>
  <c r="S2602" s="1"/>
  <c r="AE2612"/>
  <c r="AB2617" s="1"/>
  <c r="K2822"/>
  <c r="K3172"/>
  <c r="R3230"/>
  <c r="R3232"/>
  <c r="R3264"/>
  <c r="R3267"/>
  <c r="S3570"/>
  <c r="K3602"/>
  <c r="E2760" i="6"/>
  <c r="Z24" i="4"/>
  <c r="AC24" s="1"/>
  <c r="C86" s="1"/>
  <c r="P25"/>
  <c r="R25" s="1"/>
  <c r="K1025"/>
  <c r="AB1358"/>
  <c r="V1369"/>
  <c r="V1386" s="1"/>
  <c r="K1505"/>
  <c r="K1534"/>
  <c r="K1547"/>
  <c r="K1626"/>
  <c r="K2098"/>
  <c r="V2598"/>
  <c r="S2603" s="1"/>
  <c r="X2603" s="1"/>
  <c r="X2789"/>
  <c r="R3199"/>
  <c r="K3492" s="1"/>
  <c r="R3265"/>
  <c r="R3266"/>
  <c r="R3542"/>
  <c r="C26"/>
  <c r="AE2607"/>
  <c r="AB2616" s="1"/>
  <c r="X3618"/>
  <c r="K4009"/>
  <c r="I4024"/>
  <c r="I3669" i="7"/>
  <c r="K3669" s="1"/>
  <c r="K3662"/>
  <c r="P2156" i="6"/>
  <c r="R2156" s="1"/>
  <c r="I2314"/>
  <c r="K2314" s="1"/>
  <c r="K2485"/>
  <c r="I2487"/>
  <c r="K2487" s="1"/>
  <c r="I2537"/>
  <c r="K2609"/>
  <c r="AE2641"/>
  <c r="AB2650" s="1"/>
  <c r="K2668"/>
  <c r="P2674"/>
  <c r="K2970"/>
  <c r="K3148"/>
  <c r="R3161"/>
  <c r="P3297"/>
  <c r="K3325"/>
  <c r="P3332"/>
  <c r="R3332" s="1"/>
  <c r="I3353"/>
  <c r="K3353" s="1"/>
  <c r="P3445"/>
  <c r="R3445" s="1"/>
  <c r="K3542"/>
  <c r="S3570"/>
  <c r="K3602"/>
  <c r="I3829"/>
  <c r="K3829" s="1"/>
  <c r="J4052"/>
  <c r="F4064" s="1"/>
  <c r="I4070"/>
  <c r="K4070" s="1"/>
  <c r="I11" i="7"/>
  <c r="K11" s="1"/>
  <c r="AC16"/>
  <c r="I2683" s="1"/>
  <c r="K2683" s="1"/>
  <c r="K2021"/>
  <c r="K2761"/>
  <c r="K2810"/>
  <c r="K2811" s="1"/>
  <c r="K2802" s="1"/>
  <c r="R2847"/>
  <c r="R2849"/>
  <c r="K2873"/>
  <c r="R2875"/>
  <c r="R2877" s="1"/>
  <c r="K2907"/>
  <c r="K3478"/>
  <c r="I3535"/>
  <c r="K3535" s="1"/>
  <c r="I3572"/>
  <c r="K3572" s="1"/>
  <c r="K3573" s="1"/>
  <c r="K3564" s="1"/>
  <c r="K3566" s="1"/>
  <c r="I3623"/>
  <c r="I3684" s="1"/>
  <c r="K3684" s="1"/>
  <c r="I3664"/>
  <c r="K3664" s="1"/>
  <c r="J3742"/>
  <c r="K3742" s="1"/>
  <c r="H19" i="8"/>
  <c r="F285" i="5"/>
  <c r="F287" s="1"/>
  <c r="AD1352" i="6"/>
  <c r="R1412"/>
  <c r="K1986"/>
  <c r="K2471"/>
  <c r="I2538"/>
  <c r="AE2651"/>
  <c r="X2786"/>
  <c r="R2828"/>
  <c r="R3223"/>
  <c r="R3264"/>
  <c r="P3298"/>
  <c r="K3326"/>
  <c r="P3333"/>
  <c r="R3333" s="1"/>
  <c r="I3417"/>
  <c r="F3422" s="1"/>
  <c r="K3422" s="1"/>
  <c r="P3446"/>
  <c r="R3446" s="1"/>
  <c r="G3899"/>
  <c r="G3900" s="1"/>
  <c r="K4067"/>
  <c r="K2913" i="7"/>
  <c r="K2917"/>
  <c r="K3376"/>
  <c r="AE43" i="6"/>
  <c r="AE828"/>
  <c r="K994"/>
  <c r="R1414"/>
  <c r="R1908"/>
  <c r="K3151"/>
  <c r="P3299"/>
  <c r="P3402" s="1"/>
  <c r="R3402" s="1"/>
  <c r="P3334"/>
  <c r="R3334" s="1"/>
  <c r="I3393"/>
  <c r="P3442"/>
  <c r="R3442" s="1"/>
  <c r="P3447"/>
  <c r="R3447" s="1"/>
  <c r="I3524"/>
  <c r="J3894"/>
  <c r="J3896" s="1"/>
  <c r="R875" i="7"/>
  <c r="K2241"/>
  <c r="K2736"/>
  <c r="K2745"/>
  <c r="K2829"/>
  <c r="K2830" s="1"/>
  <c r="I2819" s="1"/>
  <c r="K2819" s="1"/>
  <c r="K2822" s="1"/>
  <c r="K2850"/>
  <c r="K2893" s="1"/>
  <c r="K3851" s="1"/>
  <c r="I2915"/>
  <c r="I3038" s="1"/>
  <c r="K3038" s="1"/>
  <c r="P3506"/>
  <c r="R3506" s="1"/>
  <c r="R3507" s="1"/>
  <c r="R3498" s="1"/>
  <c r="I3590"/>
  <c r="AE46" i="6"/>
  <c r="X709"/>
  <c r="Z709" s="1"/>
  <c r="K1025"/>
  <c r="K1059"/>
  <c r="R1408"/>
  <c r="K1626"/>
  <c r="AE2612"/>
  <c r="AB2617" s="1"/>
  <c r="AG2617" s="1"/>
  <c r="AG2651"/>
  <c r="X3134"/>
  <c r="K3153"/>
  <c r="R3160"/>
  <c r="R3228"/>
  <c r="P3295"/>
  <c r="P3331"/>
  <c r="R3331" s="1"/>
  <c r="P3444"/>
  <c r="R3444" s="1"/>
  <c r="K3462"/>
  <c r="I3545"/>
  <c r="K3545" s="1"/>
  <c r="C35" i="7"/>
  <c r="I1683" s="1"/>
  <c r="K1683" s="1"/>
  <c r="I44"/>
  <c r="K44" s="1"/>
  <c r="I63"/>
  <c r="K63" s="1"/>
  <c r="K686"/>
  <c r="I688" s="1"/>
  <c r="K688" s="1"/>
  <c r="K2509"/>
  <c r="K2510" s="1"/>
  <c r="I2499" s="1"/>
  <c r="K2499" s="1"/>
  <c r="K2502" s="1"/>
  <c r="K2727"/>
  <c r="K2728" s="1"/>
  <c r="K2717" s="1"/>
  <c r="K2720" s="1"/>
  <c r="K3222"/>
  <c r="I3218" s="1"/>
  <c r="K3218" s="1"/>
  <c r="K3829"/>
  <c r="H10" i="8"/>
  <c r="H285"/>
  <c r="F67" i="5"/>
  <c r="F68" s="1"/>
  <c r="B11" i="9"/>
  <c r="F11" s="1"/>
  <c r="B12"/>
  <c r="F12" s="1"/>
  <c r="H117" i="2"/>
  <c r="AC9" i="6"/>
  <c r="C68" s="1"/>
  <c r="I295" s="1"/>
  <c r="K295" s="1"/>
  <c r="AC26" i="4"/>
  <c r="I3146" s="1"/>
  <c r="AC29"/>
  <c r="C91" s="1"/>
  <c r="X24" i="6"/>
  <c r="F23" i="9"/>
  <c r="I2617" i="7"/>
  <c r="K2617" s="1"/>
  <c r="I254"/>
  <c r="K254" s="1"/>
  <c r="C79"/>
  <c r="Z34"/>
  <c r="AC34" s="1"/>
  <c r="C77" s="1"/>
  <c r="I443" s="1"/>
  <c r="K443" s="1"/>
  <c r="K451" s="1"/>
  <c r="K453" s="1"/>
  <c r="I458" s="1"/>
  <c r="K458" s="1"/>
  <c r="K462" s="1"/>
  <c r="K464" s="1"/>
  <c r="K466" s="1"/>
  <c r="AC29"/>
  <c r="C91" s="1"/>
  <c r="C81"/>
  <c r="I1254"/>
  <c r="K1254" s="1"/>
  <c r="P9"/>
  <c r="R9" s="1"/>
  <c r="R14" s="1"/>
  <c r="P23"/>
  <c r="R23" s="1"/>
  <c r="I2165"/>
  <c r="K2165" s="1"/>
  <c r="K2175" s="1"/>
  <c r="K2178" s="1"/>
  <c r="K2211" s="1"/>
  <c r="P720"/>
  <c r="R720" s="1"/>
  <c r="P704"/>
  <c r="R704" s="1"/>
  <c r="P689"/>
  <c r="R689"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A206"/>
  <c r="A207" s="1"/>
  <c r="I1421"/>
  <c r="K1421" s="1"/>
  <c r="P389"/>
  <c r="R389" s="1"/>
  <c r="P375"/>
  <c r="R375" s="1"/>
  <c r="I1083"/>
  <c r="I1011"/>
  <c r="I974"/>
  <c r="K974" s="1"/>
  <c r="I945"/>
  <c r="K945" s="1"/>
  <c r="I910"/>
  <c r="I881"/>
  <c r="K881" s="1"/>
  <c r="P209"/>
  <c r="R209" s="1"/>
  <c r="I888"/>
  <c r="K888" s="1"/>
  <c r="I1084"/>
  <c r="I1059"/>
  <c r="K1059" s="1"/>
  <c r="K1066" s="1"/>
  <c r="K1068" s="1"/>
  <c r="I1044"/>
  <c r="K1044" s="1"/>
  <c r="I1029"/>
  <c r="K1029" s="1"/>
  <c r="I1012"/>
  <c r="I975"/>
  <c r="K975" s="1"/>
  <c r="I946"/>
  <c r="K946" s="1"/>
  <c r="I911"/>
  <c r="P210"/>
  <c r="R210" s="1"/>
  <c r="I976"/>
  <c r="K976" s="1"/>
  <c r="I947"/>
  <c r="K947" s="1"/>
  <c r="I912"/>
  <c r="I2624"/>
  <c r="K2624" s="1"/>
  <c r="I2001"/>
  <c r="K2001" s="1"/>
  <c r="I1977"/>
  <c r="K1977" s="1"/>
  <c r="I1895"/>
  <c r="K1895" s="1"/>
  <c r="I1916"/>
  <c r="K1916" s="1"/>
  <c r="I1638"/>
  <c r="K1638" s="1"/>
  <c r="I1422"/>
  <c r="K1422" s="1"/>
  <c r="I1312"/>
  <c r="K1312" s="1"/>
  <c r="I1290"/>
  <c r="K1290" s="1"/>
  <c r="I1269"/>
  <c r="K1269" s="1"/>
  <c r="I1207"/>
  <c r="K1207" s="1"/>
  <c r="I1202"/>
  <c r="K1202" s="1"/>
  <c r="I1177"/>
  <c r="K1177" s="1"/>
  <c r="I1173"/>
  <c r="K1173" s="1"/>
  <c r="I774"/>
  <c r="K774" s="1"/>
  <c r="I498"/>
  <c r="K498" s="1"/>
  <c r="I2789"/>
  <c r="K2789" s="1"/>
  <c r="I2625"/>
  <c r="K2625" s="1"/>
  <c r="I2607"/>
  <c r="K2607" s="1"/>
  <c r="I2428"/>
  <c r="I2372"/>
  <c r="I2327"/>
  <c r="K2327" s="1"/>
  <c r="I2088"/>
  <c r="K2088" s="1"/>
  <c r="I2055"/>
  <c r="K2055" s="1"/>
  <c r="I2030"/>
  <c r="K2030" s="1"/>
  <c r="I2002"/>
  <c r="K2002" s="1"/>
  <c r="I1978"/>
  <c r="K1978" s="1"/>
  <c r="I1935"/>
  <c r="K1935" s="1"/>
  <c r="I1896"/>
  <c r="K1896" s="1"/>
  <c r="I1834"/>
  <c r="K1834" s="1"/>
  <c r="I1578"/>
  <c r="K1578" s="1"/>
  <c r="I1450"/>
  <c r="K1450" s="1"/>
  <c r="I2101"/>
  <c r="K2101" s="1"/>
  <c r="I2075"/>
  <c r="K2075" s="1"/>
  <c r="I1954"/>
  <c r="K1954" s="1"/>
  <c r="I1917"/>
  <c r="K1917" s="1"/>
  <c r="I1866"/>
  <c r="K1866" s="1"/>
  <c r="I1777"/>
  <c r="K1777" s="1"/>
  <c r="I1759"/>
  <c r="K1759" s="1"/>
  <c r="I1741"/>
  <c r="K1741" s="1"/>
  <c r="K1747" s="1"/>
  <c r="K1749" s="1"/>
  <c r="I1803" s="1"/>
  <c r="K1803" s="1"/>
  <c r="I1639"/>
  <c r="K1639" s="1"/>
  <c r="I1438"/>
  <c r="K1438" s="1"/>
  <c r="I1423"/>
  <c r="K1423" s="1"/>
  <c r="I858"/>
  <c r="K858" s="1"/>
  <c r="I840"/>
  <c r="K840" s="1"/>
  <c r="I748"/>
  <c r="K748" s="1"/>
  <c r="I690"/>
  <c r="K690" s="1"/>
  <c r="I623"/>
  <c r="K623" s="1"/>
  <c r="I593"/>
  <c r="K593" s="1"/>
  <c r="I561"/>
  <c r="K561" s="1"/>
  <c r="I536"/>
  <c r="K536" s="1"/>
  <c r="I499"/>
  <c r="K499" s="1"/>
  <c r="P497"/>
  <c r="R497" s="1"/>
  <c r="I482"/>
  <c r="K482" s="1"/>
  <c r="I1411"/>
  <c r="K1411" s="1"/>
  <c r="I1398"/>
  <c r="K1398" s="1"/>
  <c r="I1386"/>
  <c r="K1386" s="1"/>
  <c r="I1366"/>
  <c r="K1366" s="1"/>
  <c r="I1351"/>
  <c r="K1351" s="1"/>
  <c r="I1339"/>
  <c r="K1339" s="1"/>
  <c r="I1326"/>
  <c r="K1326" s="1"/>
  <c r="I1313"/>
  <c r="K1313" s="1"/>
  <c r="I1291"/>
  <c r="K1291" s="1"/>
  <c r="I1270"/>
  <c r="K1270" s="1"/>
  <c r="I1256"/>
  <c r="K1256" s="1"/>
  <c r="I1238"/>
  <c r="K1238" s="1"/>
  <c r="I1223"/>
  <c r="K1223" s="1"/>
  <c r="I1208"/>
  <c r="K1208" s="1"/>
  <c r="I1203"/>
  <c r="K1203" s="1"/>
  <c r="I1178"/>
  <c r="K1178" s="1"/>
  <c r="I1174"/>
  <c r="K1174" s="1"/>
  <c r="I1157"/>
  <c r="K1157" s="1"/>
  <c r="I1117"/>
  <c r="K1117" s="1"/>
  <c r="I1104"/>
  <c r="K1104" s="1"/>
  <c r="I822"/>
  <c r="K822" s="1"/>
  <c r="I775"/>
  <c r="K775" s="1"/>
  <c r="I726"/>
  <c r="K726" s="1"/>
  <c r="I577"/>
  <c r="K577" s="1"/>
  <c r="P535"/>
  <c r="R535" s="1"/>
  <c r="I520"/>
  <c r="K520" s="1"/>
  <c r="P515"/>
  <c r="R515" s="1"/>
  <c r="I1479"/>
  <c r="K1479" s="1"/>
  <c r="I1466"/>
  <c r="K1466" s="1"/>
  <c r="I1464"/>
  <c r="K1464" s="1"/>
  <c r="K1469" s="1"/>
  <c r="K1471" s="1"/>
  <c r="I1449"/>
  <c r="K1449" s="1"/>
  <c r="I1437"/>
  <c r="K1437" s="1"/>
  <c r="I1116"/>
  <c r="K1116" s="1"/>
  <c r="I1103"/>
  <c r="K1103" s="1"/>
  <c r="K1107" s="1"/>
  <c r="K1109" s="1"/>
  <c r="I2427"/>
  <c r="I2371"/>
  <c r="I725"/>
  <c r="K725" s="1"/>
  <c r="P855"/>
  <c r="R855" s="1"/>
  <c r="P764"/>
  <c r="R764" s="1"/>
  <c r="I747"/>
  <c r="K747" s="1"/>
  <c r="I689"/>
  <c r="K689" s="1"/>
  <c r="I2429"/>
  <c r="K2429" s="1"/>
  <c r="I2373"/>
  <c r="K2373" s="1"/>
  <c r="I783"/>
  <c r="K783" s="1"/>
  <c r="K507"/>
  <c r="I2049"/>
  <c r="K2049" s="1"/>
  <c r="I1892"/>
  <c r="K1892" s="1"/>
  <c r="I2069"/>
  <c r="K2069" s="1"/>
  <c r="P554"/>
  <c r="R554" s="1"/>
  <c r="I1087"/>
  <c r="I1014"/>
  <c r="I1046"/>
  <c r="K1046" s="1"/>
  <c r="I1031"/>
  <c r="K1031" s="1"/>
  <c r="I1832"/>
  <c r="K1832" s="1"/>
  <c r="K1837" s="1"/>
  <c r="K1839" s="1"/>
  <c r="I1846" s="1"/>
  <c r="K1846" s="1"/>
  <c r="I1775"/>
  <c r="K1775" s="1"/>
  <c r="I1757"/>
  <c r="K1757" s="1"/>
  <c r="I1739"/>
  <c r="K1739" s="1"/>
  <c r="I578"/>
  <c r="K578" s="1"/>
  <c r="P513"/>
  <c r="R513" s="1"/>
  <c r="P495"/>
  <c r="R495" s="1"/>
  <c r="P533"/>
  <c r="R533" s="1"/>
  <c r="I2048"/>
  <c r="K2048" s="1"/>
  <c r="I1891"/>
  <c r="K1891" s="1"/>
  <c r="I1711"/>
  <c r="K1711" s="1"/>
  <c r="I1681"/>
  <c r="K1681" s="1"/>
  <c r="I2068"/>
  <c r="K2068" s="1"/>
  <c r="P600"/>
  <c r="R600" s="1"/>
  <c r="P553"/>
  <c r="R553" s="1"/>
  <c r="P630"/>
  <c r="R630" s="1"/>
  <c r="P618"/>
  <c r="R618" s="1"/>
  <c r="Z10"/>
  <c r="I20"/>
  <c r="K20" s="1"/>
  <c r="Z20"/>
  <c r="AC20" s="1"/>
  <c r="X29"/>
  <c r="I37"/>
  <c r="K37" s="1"/>
  <c r="I46"/>
  <c r="K46" s="1"/>
  <c r="P53"/>
  <c r="R53" s="1"/>
  <c r="I55"/>
  <c r="K55" s="1"/>
  <c r="I65"/>
  <c r="K65" s="1"/>
  <c r="P67"/>
  <c r="R67" s="1"/>
  <c r="I74"/>
  <c r="K74" s="1"/>
  <c r="I81"/>
  <c r="K81" s="1"/>
  <c r="P81"/>
  <c r="R81" s="1"/>
  <c r="I82"/>
  <c r="K82" s="1"/>
  <c r="P82"/>
  <c r="R82" s="1"/>
  <c r="I83"/>
  <c r="P83"/>
  <c r="R83" s="1"/>
  <c r="P84"/>
  <c r="R84" s="1"/>
  <c r="I110"/>
  <c r="K110" s="1"/>
  <c r="I123"/>
  <c r="K123" s="1"/>
  <c r="K126" s="1"/>
  <c r="K128" s="1"/>
  <c r="K129" s="1"/>
  <c r="C138"/>
  <c r="C140"/>
  <c r="I175"/>
  <c r="K175" s="1"/>
  <c r="P191"/>
  <c r="R191" s="1"/>
  <c r="P193"/>
  <c r="R193" s="1"/>
  <c r="I198"/>
  <c r="K198" s="1"/>
  <c r="I211"/>
  <c r="K211" s="1"/>
  <c r="I212"/>
  <c r="K212" s="1"/>
  <c r="P212"/>
  <c r="R212" s="1"/>
  <c r="I213"/>
  <c r="K213" s="1"/>
  <c r="I226"/>
  <c r="K226" s="1"/>
  <c r="I227"/>
  <c r="K227" s="1"/>
  <c r="I228"/>
  <c r="K228" s="1"/>
  <c r="I274"/>
  <c r="K274" s="1"/>
  <c r="P285"/>
  <c r="R285" s="1"/>
  <c r="P286"/>
  <c r="R286" s="1"/>
  <c r="P296"/>
  <c r="R296" s="1"/>
  <c r="I298"/>
  <c r="K298" s="1"/>
  <c r="P298"/>
  <c r="R298" s="1"/>
  <c r="I300"/>
  <c r="K300" s="1"/>
  <c r="P308"/>
  <c r="R308" s="1"/>
  <c r="I314"/>
  <c r="K314" s="1"/>
  <c r="I315"/>
  <c r="K315" s="1"/>
  <c r="P321"/>
  <c r="R321" s="1"/>
  <c r="I336"/>
  <c r="K336" s="1"/>
  <c r="P336"/>
  <c r="R336" s="1"/>
  <c r="I338"/>
  <c r="K338" s="1"/>
  <c r="P338"/>
  <c r="R338" s="1"/>
  <c r="I357"/>
  <c r="K357" s="1"/>
  <c r="I359"/>
  <c r="K359" s="1"/>
  <c r="P362"/>
  <c r="R362" s="1"/>
  <c r="P365"/>
  <c r="R365" s="1"/>
  <c r="P376"/>
  <c r="R376" s="1"/>
  <c r="P378"/>
  <c r="R378" s="1"/>
  <c r="I380"/>
  <c r="K380" s="1"/>
  <c r="I383"/>
  <c r="K383" s="1"/>
  <c r="P390"/>
  <c r="R390" s="1"/>
  <c r="P392"/>
  <c r="R392" s="1"/>
  <c r="I394"/>
  <c r="K394" s="1"/>
  <c r="I412"/>
  <c r="K412" s="1"/>
  <c r="P430"/>
  <c r="R430" s="1"/>
  <c r="P431"/>
  <c r="R431" s="1"/>
  <c r="I447"/>
  <c r="K447" s="1"/>
  <c r="P449"/>
  <c r="R449" s="1"/>
  <c r="R461" s="1"/>
  <c r="R463" s="1"/>
  <c r="P467"/>
  <c r="R467" s="1"/>
  <c r="P468"/>
  <c r="R468" s="1"/>
  <c r="I474"/>
  <c r="K474" s="1"/>
  <c r="I481"/>
  <c r="K481" s="1"/>
  <c r="K667"/>
  <c r="K669" s="1"/>
  <c r="K670" s="1"/>
  <c r="K671" s="1"/>
  <c r="K672" s="1"/>
  <c r="K673" s="1"/>
  <c r="K693"/>
  <c r="K695" s="1"/>
  <c r="K764" s="1"/>
  <c r="K1120"/>
  <c r="K1122" s="1"/>
  <c r="I2606"/>
  <c r="K2606" s="1"/>
  <c r="I2466"/>
  <c r="K2466" s="1"/>
  <c r="I2307"/>
  <c r="K2307" s="1"/>
  <c r="I2053"/>
  <c r="K2053" s="1"/>
  <c r="K2057" s="1"/>
  <c r="I1930"/>
  <c r="K1930" s="1"/>
  <c r="I1833"/>
  <c r="K1833" s="1"/>
  <c r="I1577"/>
  <c r="K1577" s="1"/>
  <c r="I2073"/>
  <c r="K2073" s="1"/>
  <c r="K2077" s="1"/>
  <c r="I1949"/>
  <c r="K1949" s="1"/>
  <c r="I1867"/>
  <c r="K1867" s="1"/>
  <c r="I1776"/>
  <c r="K1776" s="1"/>
  <c r="I1758"/>
  <c r="K1758" s="1"/>
  <c r="K1765" s="1"/>
  <c r="K1767" s="1"/>
  <c r="I1811" s="1"/>
  <c r="K1811" s="1"/>
  <c r="I1740"/>
  <c r="K1740" s="1"/>
  <c r="I857"/>
  <c r="K857" s="1"/>
  <c r="I592"/>
  <c r="K592" s="1"/>
  <c r="I576"/>
  <c r="K576" s="1"/>
  <c r="K581" s="1"/>
  <c r="P534"/>
  <c r="R534" s="1"/>
  <c r="I519"/>
  <c r="K519" s="1"/>
  <c r="P514"/>
  <c r="R514" s="1"/>
  <c r="I1410"/>
  <c r="K1410" s="1"/>
  <c r="I1397"/>
  <c r="K1397" s="1"/>
  <c r="I1385"/>
  <c r="K1385" s="1"/>
  <c r="I1365"/>
  <c r="K1365" s="1"/>
  <c r="I1350"/>
  <c r="K1350" s="1"/>
  <c r="I1338"/>
  <c r="K1338" s="1"/>
  <c r="I1325"/>
  <c r="K1325" s="1"/>
  <c r="I1311"/>
  <c r="K1311" s="1"/>
  <c r="I1289"/>
  <c r="K1289" s="1"/>
  <c r="I1255"/>
  <c r="K1255" s="1"/>
  <c r="I1237"/>
  <c r="K1237" s="1"/>
  <c r="I1222"/>
  <c r="K1222" s="1"/>
  <c r="I1201"/>
  <c r="K1201" s="1"/>
  <c r="I1172"/>
  <c r="K1172" s="1"/>
  <c r="I1156"/>
  <c r="K1156" s="1"/>
  <c r="I839"/>
  <c r="K839" s="1"/>
  <c r="I821"/>
  <c r="K821" s="1"/>
  <c r="I622"/>
  <c r="K622" s="1"/>
  <c r="I560"/>
  <c r="K560" s="1"/>
  <c r="K564" s="1"/>
  <c r="K567" s="1"/>
  <c r="I568" s="1"/>
  <c r="K568" s="1"/>
  <c r="I569" s="1"/>
  <c r="K569" s="1"/>
  <c r="I570" s="1"/>
  <c r="K570" s="1"/>
  <c r="I571" s="1"/>
  <c r="K571" s="1"/>
  <c r="I572" s="1"/>
  <c r="K572" s="1"/>
  <c r="I535"/>
  <c r="K535" s="1"/>
  <c r="P496"/>
  <c r="R496" s="1"/>
  <c r="R503" s="1"/>
  <c r="R505" s="1"/>
  <c r="I2790"/>
  <c r="K2790" s="1"/>
  <c r="I2467"/>
  <c r="K2467" s="1"/>
  <c r="I2328"/>
  <c r="K2328" s="1"/>
  <c r="I2308"/>
  <c r="K2308" s="1"/>
  <c r="I2056"/>
  <c r="K2056" s="1"/>
  <c r="I2031"/>
  <c r="K2031" s="1"/>
  <c r="I1932"/>
  <c r="K1932" s="1"/>
  <c r="I1835"/>
  <c r="K1835" s="1"/>
  <c r="I1579"/>
  <c r="K1579" s="1"/>
  <c r="I1451"/>
  <c r="K1451" s="1"/>
  <c r="I2076"/>
  <c r="K2076" s="1"/>
  <c r="I1951"/>
  <c r="K1951" s="1"/>
  <c r="I1778"/>
  <c r="K1778" s="1"/>
  <c r="I1760"/>
  <c r="K1760" s="1"/>
  <c r="I1742"/>
  <c r="K1742" s="1"/>
  <c r="I1640"/>
  <c r="K1640" s="1"/>
  <c r="I1439"/>
  <c r="K1439" s="1"/>
  <c r="I1424"/>
  <c r="K1424" s="1"/>
  <c r="P856"/>
  <c r="R856" s="1"/>
  <c r="I824"/>
  <c r="K824" s="1"/>
  <c r="P536"/>
  <c r="R536" s="1"/>
  <c r="P516"/>
  <c r="R516" s="1"/>
  <c r="I500"/>
  <c r="K500" s="1"/>
  <c r="I1367"/>
  <c r="K1367" s="1"/>
  <c r="I1352"/>
  <c r="K1352" s="1"/>
  <c r="I1340"/>
  <c r="K1340" s="1"/>
  <c r="I1327"/>
  <c r="K1327" s="1"/>
  <c r="I1314"/>
  <c r="K1314" s="1"/>
  <c r="I1292"/>
  <c r="K1292" s="1"/>
  <c r="I1271"/>
  <c r="K1271" s="1"/>
  <c r="I1257"/>
  <c r="K1257" s="1"/>
  <c r="I1239"/>
  <c r="K1239" s="1"/>
  <c r="I1209"/>
  <c r="K1209" s="1"/>
  <c r="I1204"/>
  <c r="K1204" s="1"/>
  <c r="I1185"/>
  <c r="K1185" s="1"/>
  <c r="I1179"/>
  <c r="K1179" s="1"/>
  <c r="I1175"/>
  <c r="K1175" s="1"/>
  <c r="I1158"/>
  <c r="K1158" s="1"/>
  <c r="I860"/>
  <c r="K860" s="1"/>
  <c r="I843"/>
  <c r="K843" s="1"/>
  <c r="I776"/>
  <c r="K776" s="1"/>
  <c r="P498"/>
  <c r="R498" s="1"/>
  <c r="I483"/>
  <c r="K483" s="1"/>
  <c r="I1508"/>
  <c r="K1508" s="1"/>
  <c r="I1521"/>
  <c r="K1521" s="1"/>
  <c r="I1495"/>
  <c r="K1495" s="1"/>
  <c r="K1498" s="1"/>
  <c r="I2605"/>
  <c r="K2605" s="1"/>
  <c r="I2029"/>
  <c r="K2029" s="1"/>
  <c r="I2000"/>
  <c r="K2000" s="1"/>
  <c r="I1976"/>
  <c r="K1976" s="1"/>
  <c r="I1934"/>
  <c r="K1934" s="1"/>
  <c r="I1931"/>
  <c r="K1931" s="1"/>
  <c r="I1894"/>
  <c r="K1894" s="1"/>
  <c r="I1562"/>
  <c r="K1562" s="1"/>
  <c r="I1953"/>
  <c r="K1953" s="1"/>
  <c r="I1950"/>
  <c r="K1950" s="1"/>
  <c r="K1957" s="1"/>
  <c r="I1915"/>
  <c r="K1915" s="1"/>
  <c r="I1865"/>
  <c r="K1865" s="1"/>
  <c r="K1870" s="1"/>
  <c r="I1702"/>
  <c r="K1702" s="1"/>
  <c r="I1134"/>
  <c r="K1134" s="1"/>
  <c r="K1138" s="1"/>
  <c r="K1140" s="1"/>
  <c r="I1546"/>
  <c r="K1546" s="1"/>
  <c r="I1534"/>
  <c r="K1534" s="1"/>
  <c r="I1506"/>
  <c r="K1506" s="1"/>
  <c r="I1703"/>
  <c r="K1703" s="1"/>
  <c r="I1519"/>
  <c r="K1519" s="1"/>
  <c r="I887"/>
  <c r="K887" s="1"/>
  <c r="I1085"/>
  <c r="I880"/>
  <c r="K880" s="1"/>
  <c r="K883" s="1"/>
  <c r="P722"/>
  <c r="R722" s="1"/>
  <c r="P706"/>
  <c r="R706" s="1"/>
  <c r="I978"/>
  <c r="K978" s="1"/>
  <c r="I949"/>
  <c r="K949" s="1"/>
  <c r="I914"/>
  <c r="P691"/>
  <c r="R691" s="1"/>
  <c r="I727"/>
  <c r="K727" s="1"/>
  <c r="I749"/>
  <c r="K749" s="1"/>
  <c r="I2050"/>
  <c r="K2050" s="1"/>
  <c r="I1576"/>
  <c r="K1576" s="1"/>
  <c r="I1492"/>
  <c r="K1492" s="1"/>
  <c r="I2070"/>
  <c r="K2070" s="1"/>
  <c r="I1520"/>
  <c r="K1520" s="1"/>
  <c r="I1507"/>
  <c r="K1507" s="1"/>
  <c r="I1236"/>
  <c r="K1236" s="1"/>
  <c r="I1205"/>
  <c r="K1205" s="1"/>
  <c r="I1176"/>
  <c r="K1176" s="1"/>
  <c r="I772"/>
  <c r="K772" s="1"/>
  <c r="I496"/>
  <c r="K496" s="1"/>
  <c r="AC18"/>
  <c r="C80" s="1"/>
  <c r="P24"/>
  <c r="R24" s="1"/>
  <c r="I29"/>
  <c r="K29" s="1"/>
  <c r="P52"/>
  <c r="R52" s="1"/>
  <c r="P54"/>
  <c r="R54" s="1"/>
  <c r="P68"/>
  <c r="R68" s="1"/>
  <c r="P69"/>
  <c r="R69" s="1"/>
  <c r="I72"/>
  <c r="K72" s="1"/>
  <c r="C78"/>
  <c r="I94"/>
  <c r="K94" s="1"/>
  <c r="K132"/>
  <c r="K133" s="1"/>
  <c r="C137"/>
  <c r="I140"/>
  <c r="K140" s="1"/>
  <c r="I153"/>
  <c r="K153" s="1"/>
  <c r="I167"/>
  <c r="K167" s="1"/>
  <c r="P180"/>
  <c r="R180" s="1"/>
  <c r="I183"/>
  <c r="K183" s="1"/>
  <c r="K188" s="1"/>
  <c r="P192"/>
  <c r="R192" s="1"/>
  <c r="I196"/>
  <c r="K196" s="1"/>
  <c r="I197"/>
  <c r="K197" s="1"/>
  <c r="P267"/>
  <c r="R267" s="1"/>
  <c r="I272"/>
  <c r="K272" s="1"/>
  <c r="I273"/>
  <c r="K273" s="1"/>
  <c r="K282"/>
  <c r="P284"/>
  <c r="R284" s="1"/>
  <c r="I297"/>
  <c r="K297" s="1"/>
  <c r="P297"/>
  <c r="R297" s="1"/>
  <c r="I299"/>
  <c r="K299" s="1"/>
  <c r="P307"/>
  <c r="R307" s="1"/>
  <c r="P309"/>
  <c r="R309" s="1"/>
  <c r="I312"/>
  <c r="K312" s="1"/>
  <c r="I313"/>
  <c r="K313" s="1"/>
  <c r="P319"/>
  <c r="R319" s="1"/>
  <c r="P320"/>
  <c r="R320" s="1"/>
  <c r="I337"/>
  <c r="K337" s="1"/>
  <c r="P337"/>
  <c r="R337" s="1"/>
  <c r="I339"/>
  <c r="K339" s="1"/>
  <c r="P348"/>
  <c r="R348" s="1"/>
  <c r="P349"/>
  <c r="R349" s="1"/>
  <c r="P350"/>
  <c r="R350" s="1"/>
  <c r="I356"/>
  <c r="K356" s="1"/>
  <c r="I358"/>
  <c r="K358" s="1"/>
  <c r="P363"/>
  <c r="R363" s="1"/>
  <c r="P364"/>
  <c r="R364" s="1"/>
  <c r="P377"/>
  <c r="R377" s="1"/>
  <c r="I381"/>
  <c r="K381" s="1"/>
  <c r="I382"/>
  <c r="K382" s="1"/>
  <c r="P391"/>
  <c r="R391" s="1"/>
  <c r="I411"/>
  <c r="K411" s="1"/>
  <c r="I413"/>
  <c r="K413" s="1"/>
  <c r="I426"/>
  <c r="K426" s="1"/>
  <c r="I445"/>
  <c r="K445" s="1"/>
  <c r="I446"/>
  <c r="K446" s="1"/>
  <c r="I448"/>
  <c r="K448" s="1"/>
  <c r="P450"/>
  <c r="R450" s="1"/>
  <c r="I480"/>
  <c r="K480" s="1"/>
  <c r="R521"/>
  <c r="R523" s="1"/>
  <c r="K2559"/>
  <c r="I2590"/>
  <c r="K2590" s="1"/>
  <c r="K2560"/>
  <c r="I2591"/>
  <c r="K2591" s="1"/>
  <c r="K2561"/>
  <c r="I2592"/>
  <c r="K2592" s="1"/>
  <c r="K2562"/>
  <c r="I2593"/>
  <c r="K2593" s="1"/>
  <c r="K2563"/>
  <c r="I2594"/>
  <c r="K2594" s="1"/>
  <c r="K2564"/>
  <c r="I2595"/>
  <c r="K2595" s="1"/>
  <c r="I3904"/>
  <c r="K3904" s="1"/>
  <c r="I2972"/>
  <c r="K2972" s="1"/>
  <c r="I2961"/>
  <c r="K2951"/>
  <c r="K706"/>
  <c r="K708"/>
  <c r="K1482"/>
  <c r="K1484" s="1"/>
  <c r="K1566"/>
  <c r="K1569" s="1"/>
  <c r="K1783"/>
  <c r="K1785" s="1"/>
  <c r="I1819" s="1"/>
  <c r="K1819" s="1"/>
  <c r="K1984"/>
  <c r="K1986" s="1"/>
  <c r="K2008"/>
  <c r="K2010" s="1"/>
  <c r="K2090"/>
  <c r="K2092" s="1"/>
  <c r="K2225"/>
  <c r="K2227" s="1"/>
  <c r="K2332"/>
  <c r="K2336" s="1"/>
  <c r="K2609"/>
  <c r="K2748"/>
  <c r="K2804"/>
  <c r="I2408"/>
  <c r="K2408" s="1"/>
  <c r="K2361"/>
  <c r="I2410"/>
  <c r="K2410" s="1"/>
  <c r="K2362"/>
  <c r="H3123"/>
  <c r="I3122"/>
  <c r="K3116" s="1"/>
  <c r="R3116" s="1"/>
  <c r="R3130" s="1"/>
  <c r="K2942"/>
  <c r="K3060" s="1"/>
  <c r="K3076" s="1"/>
  <c r="K3102" s="1"/>
  <c r="R3075" s="1"/>
  <c r="K2918"/>
  <c r="K2975"/>
  <c r="K2857"/>
  <c r="K3008" s="1"/>
  <c r="P2892"/>
  <c r="R2892" s="1"/>
  <c r="P2859"/>
  <c r="R2859" s="1"/>
  <c r="K1442"/>
  <c r="K1444" s="1"/>
  <c r="K1938"/>
  <c r="K2103"/>
  <c r="K2105" s="1"/>
  <c r="K2107" s="1"/>
  <c r="K2792"/>
  <c r="K2794" s="1"/>
  <c r="I3532"/>
  <c r="K3494"/>
  <c r="I3279"/>
  <c r="K3266"/>
  <c r="K3378"/>
  <c r="K3379" s="1"/>
  <c r="K3347"/>
  <c r="K3348" s="1"/>
  <c r="I3446"/>
  <c r="K3424"/>
  <c r="I3447"/>
  <c r="K3426"/>
  <c r="K3536"/>
  <c r="K3498"/>
  <c r="I1802"/>
  <c r="K1802" s="1"/>
  <c r="K1809"/>
  <c r="I1818"/>
  <c r="K1818" s="1"/>
  <c r="K1821" s="1"/>
  <c r="K1844"/>
  <c r="I2425"/>
  <c r="K2739"/>
  <c r="K2764"/>
  <c r="P2852"/>
  <c r="P2879"/>
  <c r="R2879" s="1"/>
  <c r="P2884"/>
  <c r="R2884" s="1"/>
  <c r="I2908"/>
  <c r="I2916"/>
  <c r="I2932"/>
  <c r="I2933"/>
  <c r="K2956"/>
  <c r="K2957"/>
  <c r="I2959"/>
  <c r="I2974"/>
  <c r="K2974" s="1"/>
  <c r="I2986"/>
  <c r="K2986" s="1"/>
  <c r="K2996"/>
  <c r="K3000"/>
  <c r="I3049"/>
  <c r="I3053"/>
  <c r="R3113"/>
  <c r="I3693"/>
  <c r="K3693" s="1"/>
  <c r="K3682"/>
  <c r="I3709"/>
  <c r="K3709" s="1"/>
  <c r="K3712" s="1"/>
  <c r="K3700"/>
  <c r="K3702" s="1"/>
  <c r="L3702" s="1"/>
  <c r="P3494"/>
  <c r="R3494" s="1"/>
  <c r="I3616"/>
  <c r="I3199"/>
  <c r="K3199" s="1"/>
  <c r="K3159"/>
  <c r="I3368"/>
  <c r="K3335"/>
  <c r="I3330" s="1"/>
  <c r="K3330" s="1"/>
  <c r="I3278"/>
  <c r="K3265"/>
  <c r="I3280"/>
  <c r="K3267"/>
  <c r="P3651"/>
  <c r="R3651" s="1"/>
  <c r="R3626"/>
  <c r="K3831"/>
  <c r="K3896"/>
  <c r="K4080"/>
  <c r="K4081" s="1"/>
  <c r="K4085" s="1"/>
  <c r="K2369"/>
  <c r="K2846"/>
  <c r="R2846"/>
  <c r="P2850"/>
  <c r="K2852"/>
  <c r="K2892" s="1"/>
  <c r="K2853"/>
  <c r="R2853"/>
  <c r="K2854"/>
  <c r="P2857"/>
  <c r="K2906"/>
  <c r="I2909"/>
  <c r="K2910"/>
  <c r="I2911"/>
  <c r="I2914"/>
  <c r="K2915"/>
  <c r="K2931"/>
  <c r="I2936"/>
  <c r="I2939"/>
  <c r="I2941"/>
  <c r="I2998"/>
  <c r="K2998" s="1"/>
  <c r="I3001"/>
  <c r="K3001" s="1"/>
  <c r="I3006"/>
  <c r="K3006" s="1"/>
  <c r="I3007"/>
  <c r="K3007" s="1"/>
  <c r="I3115"/>
  <c r="K3115" s="1"/>
  <c r="K3200"/>
  <c r="K3201" s="1"/>
  <c r="K3140"/>
  <c r="K3141" s="1"/>
  <c r="K3142" s="1"/>
  <c r="K3134" s="1"/>
  <c r="K3135" s="1"/>
  <c r="K3158"/>
  <c r="K3247"/>
  <c r="K3248"/>
  <c r="K3249"/>
  <c r="K3405"/>
  <c r="K3406"/>
  <c r="K3407"/>
  <c r="P3623"/>
  <c r="P3624"/>
  <c r="P3625"/>
  <c r="I3730"/>
  <c r="I3731"/>
  <c r="I3732"/>
  <c r="L3759"/>
  <c r="K3259"/>
  <c r="K3623"/>
  <c r="K3626" s="1"/>
  <c r="K3627" s="1"/>
  <c r="K3625"/>
  <c r="J3760"/>
  <c r="K3760" s="1"/>
  <c r="A265" i="6"/>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343"/>
  <c r="K3343" s="1"/>
  <c r="I3724"/>
  <c r="K3724" s="1"/>
  <c r="P3516"/>
  <c r="R3516" s="1"/>
  <c r="P2411"/>
  <c r="R2411" s="1"/>
  <c r="R2414" s="1"/>
  <c r="R2416" s="1"/>
  <c r="I3716" s="1"/>
  <c r="K3716" s="1"/>
  <c r="P1378"/>
  <c r="R1378" s="1"/>
  <c r="V1337"/>
  <c r="C13"/>
  <c r="I3121"/>
  <c r="J3044"/>
  <c r="K3044" s="1"/>
  <c r="I2077"/>
  <c r="K2077" s="1"/>
  <c r="I2053"/>
  <c r="K2053" s="1"/>
  <c r="I2030"/>
  <c r="I2027"/>
  <c r="I1993"/>
  <c r="I1943"/>
  <c r="I2409"/>
  <c r="K2409" s="1"/>
  <c r="I2106"/>
  <c r="K2106" s="1"/>
  <c r="I2008"/>
  <c r="I1972"/>
  <c r="I2011"/>
  <c r="I1631"/>
  <c r="I3748"/>
  <c r="I3253"/>
  <c r="K3253" s="1"/>
  <c r="P1375"/>
  <c r="R1375" s="1"/>
  <c r="V1334"/>
  <c r="X1334" s="1"/>
  <c r="D11"/>
  <c r="C10"/>
  <c r="P3514"/>
  <c r="R3514" s="1"/>
  <c r="P2359"/>
  <c r="R2359" s="1"/>
  <c r="I2298"/>
  <c r="K2298" s="1"/>
  <c r="P1376"/>
  <c r="R1376" s="1"/>
  <c r="V1335"/>
  <c r="AI1191"/>
  <c r="AK1191" s="1"/>
  <c r="C11"/>
  <c r="I3504"/>
  <c r="K3504" s="1"/>
  <c r="C78"/>
  <c r="I36"/>
  <c r="P2373"/>
  <c r="R2373" s="1"/>
  <c r="I2367"/>
  <c r="K2367" s="1"/>
  <c r="C66"/>
  <c r="D17"/>
  <c r="Z44"/>
  <c r="AC44" s="1"/>
  <c r="AB1331" s="1"/>
  <c r="AC1331" s="1"/>
  <c r="Z37"/>
  <c r="AC37" s="1"/>
  <c r="I242" s="1"/>
  <c r="K242" s="1"/>
  <c r="Z36"/>
  <c r="AC36" s="1"/>
  <c r="I243" s="1"/>
  <c r="K243" s="1"/>
  <c r="Z35"/>
  <c r="AC35" s="1"/>
  <c r="I254" s="1"/>
  <c r="K254" s="1"/>
  <c r="I3795"/>
  <c r="I3749"/>
  <c r="K3749" s="1"/>
  <c r="I3723"/>
  <c r="K3723" s="1"/>
  <c r="V3671"/>
  <c r="X3671" s="1"/>
  <c r="I3706"/>
  <c r="K3706" s="1"/>
  <c r="I3342"/>
  <c r="K3342" s="1"/>
  <c r="AF3106"/>
  <c r="I3769"/>
  <c r="K3769" s="1"/>
  <c r="P3515"/>
  <c r="P2360"/>
  <c r="R2360" s="1"/>
  <c r="P1548"/>
  <c r="R1548" s="1"/>
  <c r="P1377"/>
  <c r="R1377" s="1"/>
  <c r="V1336"/>
  <c r="I3735"/>
  <c r="I3341"/>
  <c r="P2409"/>
  <c r="R2409" s="1"/>
  <c r="P1302"/>
  <c r="I1590"/>
  <c r="K1590" s="1"/>
  <c r="I1577"/>
  <c r="K1577" s="1"/>
  <c r="I1564"/>
  <c r="K1564" s="1"/>
  <c r="P2410"/>
  <c r="R2410" s="1"/>
  <c r="P1303"/>
  <c r="R1303" s="1"/>
  <c r="I1771"/>
  <c r="K1771" s="1"/>
  <c r="I1179"/>
  <c r="K1179" s="1"/>
  <c r="I3794"/>
  <c r="K3794" s="1"/>
  <c r="I3722"/>
  <c r="K3722" s="1"/>
  <c r="I3704"/>
  <c r="K3704" s="1"/>
  <c r="K3708" s="1"/>
  <c r="K3709" s="1"/>
  <c r="AF3105"/>
  <c r="I3767"/>
  <c r="K3767" s="1"/>
  <c r="V3670"/>
  <c r="X3670" s="1"/>
  <c r="X3675" s="1"/>
  <c r="P1547"/>
  <c r="R1547" s="1"/>
  <c r="P1402"/>
  <c r="I410"/>
  <c r="I355"/>
  <c r="K355" s="1"/>
  <c r="I335"/>
  <c r="K335" s="1"/>
  <c r="I311"/>
  <c r="K311" s="1"/>
  <c r="I379"/>
  <c r="J706"/>
  <c r="K706" s="1"/>
  <c r="I707" s="1"/>
  <c r="J686"/>
  <c r="AF411"/>
  <c r="W402"/>
  <c r="AF448"/>
  <c r="W434"/>
  <c r="I3796"/>
  <c r="K3796" s="1"/>
  <c r="V3672"/>
  <c r="X3672" s="1"/>
  <c r="P1549"/>
  <c r="R1549" s="1"/>
  <c r="I1490"/>
  <c r="K1490" s="1"/>
  <c r="P390"/>
  <c r="R390" s="1"/>
  <c r="P376"/>
  <c r="R376" s="1"/>
  <c r="I1322"/>
  <c r="K1322" s="1"/>
  <c r="P23"/>
  <c r="I2242"/>
  <c r="K2242" s="1"/>
  <c r="V2781"/>
  <c r="V2782" s="1"/>
  <c r="P750"/>
  <c r="R750" s="1"/>
  <c r="P1046"/>
  <c r="P943"/>
  <c r="P734"/>
  <c r="R734" s="1"/>
  <c r="P719"/>
  <c r="R719" s="1"/>
  <c r="V111"/>
  <c r="X111" s="1"/>
  <c r="X83"/>
  <c r="I3661"/>
  <c r="I3005"/>
  <c r="K3005" s="1"/>
  <c r="P151"/>
  <c r="R151" s="1"/>
  <c r="R154" s="1"/>
  <c r="C26"/>
  <c r="I2145"/>
  <c r="I1969"/>
  <c r="I1780"/>
  <c r="K1780" s="1"/>
  <c r="I2125"/>
  <c r="K2125" s="1"/>
  <c r="I1750"/>
  <c r="K1750" s="1"/>
  <c r="P652"/>
  <c r="R652" s="1"/>
  <c r="P640"/>
  <c r="R640" s="1"/>
  <c r="P622"/>
  <c r="R622" s="1"/>
  <c r="P576"/>
  <c r="R576" s="1"/>
  <c r="P431"/>
  <c r="K133"/>
  <c r="K134" s="1"/>
  <c r="I81"/>
  <c r="K81" s="1"/>
  <c r="P468"/>
  <c r="R468" s="1"/>
  <c r="P450"/>
  <c r="R450" s="1"/>
  <c r="K136"/>
  <c r="I110"/>
  <c r="K110" s="1"/>
  <c r="I82"/>
  <c r="I124"/>
  <c r="K124" s="1"/>
  <c r="K127" s="1"/>
  <c r="K129" s="1"/>
  <c r="K130" s="1"/>
  <c r="I95"/>
  <c r="K95" s="1"/>
  <c r="I94"/>
  <c r="K94" s="1"/>
  <c r="I1772"/>
  <c r="K1772" s="1"/>
  <c r="I1575"/>
  <c r="AQ132"/>
  <c r="AQ87"/>
  <c r="AS87" s="1"/>
  <c r="AQ63"/>
  <c r="AS63" s="1"/>
  <c r="AQ163"/>
  <c r="AS163" s="1"/>
  <c r="AQ107"/>
  <c r="AS107" s="1"/>
  <c r="J659"/>
  <c r="W486" s="1"/>
  <c r="AC486" s="1"/>
  <c r="J628"/>
  <c r="J590"/>
  <c r="J559"/>
  <c r="W561" s="1"/>
  <c r="AC561" s="1"/>
  <c r="AC1197"/>
  <c r="AJ1197" s="1"/>
  <c r="S1182"/>
  <c r="S1158"/>
  <c r="J612"/>
  <c r="V590" s="1"/>
  <c r="J535"/>
  <c r="W537" s="1"/>
  <c r="AC537" s="1"/>
  <c r="I3172"/>
  <c r="P1306"/>
  <c r="R1306" s="1"/>
  <c r="C12"/>
  <c r="Z17"/>
  <c r="AC17" s="1"/>
  <c r="X36"/>
  <c r="X37" s="1"/>
  <c r="X35"/>
  <c r="X44"/>
  <c r="I2348"/>
  <c r="K2348" s="1"/>
  <c r="I2368"/>
  <c r="P890"/>
  <c r="R890" s="1"/>
  <c r="P794"/>
  <c r="R794" s="1"/>
  <c r="R798" s="1"/>
  <c r="R800" s="1"/>
  <c r="I784"/>
  <c r="K784" s="1"/>
  <c r="I762"/>
  <c r="K762" s="1"/>
  <c r="I726"/>
  <c r="K726" s="1"/>
  <c r="I156"/>
  <c r="K156" s="1"/>
  <c r="I74"/>
  <c r="K74" s="1"/>
  <c r="I55"/>
  <c r="K55" s="1"/>
  <c r="I46"/>
  <c r="K46" s="1"/>
  <c r="I20"/>
  <c r="K20" s="1"/>
  <c r="I65"/>
  <c r="K65" s="1"/>
  <c r="I37"/>
  <c r="K37" s="1"/>
  <c r="I29"/>
  <c r="K29" s="1"/>
  <c r="P24"/>
  <c r="Z20"/>
  <c r="AC20" s="1"/>
  <c r="AC19"/>
  <c r="I2737"/>
  <c r="K2737" s="1"/>
  <c r="I1910"/>
  <c r="K1910" s="1"/>
  <c r="I1826"/>
  <c r="K1826" s="1"/>
  <c r="I1844"/>
  <c r="I1808"/>
  <c r="K1808" s="1"/>
  <c r="I607"/>
  <c r="K607" s="1"/>
  <c r="P549"/>
  <c r="R549" s="1"/>
  <c r="P521"/>
  <c r="R521" s="1"/>
  <c r="P503"/>
  <c r="R503" s="1"/>
  <c r="I2243"/>
  <c r="K2243" s="1"/>
  <c r="V2783"/>
  <c r="P945"/>
  <c r="R945" s="1"/>
  <c r="P3188"/>
  <c r="I3318"/>
  <c r="K3318" s="1"/>
  <c r="I2813"/>
  <c r="I2662"/>
  <c r="I3146"/>
  <c r="I2633"/>
  <c r="C88"/>
  <c r="I989"/>
  <c r="K989" s="1"/>
  <c r="I954"/>
  <c r="P721"/>
  <c r="R721" s="1"/>
  <c r="I1019"/>
  <c r="P752"/>
  <c r="R752" s="1"/>
  <c r="P736"/>
  <c r="R736" s="1"/>
  <c r="Z33"/>
  <c r="AC32"/>
  <c r="C139" s="1"/>
  <c r="I3004"/>
  <c r="K3004" s="1"/>
  <c r="K3006" s="1"/>
  <c r="I244"/>
  <c r="K244" s="1"/>
  <c r="C35"/>
  <c r="C141"/>
  <c r="P140"/>
  <c r="R140" s="1"/>
  <c r="X136"/>
  <c r="X133"/>
  <c r="X134" s="1"/>
  <c r="V82"/>
  <c r="X82" s="1"/>
  <c r="V110"/>
  <c r="X110" s="1"/>
  <c r="X81"/>
  <c r="J539"/>
  <c r="W538"/>
  <c r="AC538" s="1"/>
  <c r="AC11"/>
  <c r="W12"/>
  <c r="Z12"/>
  <c r="X13"/>
  <c r="C14"/>
  <c r="X14"/>
  <c r="X15"/>
  <c r="C17"/>
  <c r="AC33"/>
  <c r="AS132"/>
  <c r="K379"/>
  <c r="K410"/>
  <c r="J707"/>
  <c r="J708" s="1"/>
  <c r="J709" s="1"/>
  <c r="J710" s="1"/>
  <c r="J687"/>
  <c r="J688" s="1"/>
  <c r="J689" s="1"/>
  <c r="J690" s="1"/>
  <c r="I2697"/>
  <c r="K2697" s="1"/>
  <c r="AS1222"/>
  <c r="AU1222" s="1"/>
  <c r="I819"/>
  <c r="K819" s="1"/>
  <c r="V715"/>
  <c r="I3149"/>
  <c r="P3294"/>
  <c r="I2666"/>
  <c r="I1131"/>
  <c r="K1131" s="1"/>
  <c r="I1056"/>
  <c r="I2151"/>
  <c r="I2177"/>
  <c r="K2177" s="1"/>
  <c r="I2164"/>
  <c r="K2164" s="1"/>
  <c r="I2131"/>
  <c r="K2131" s="1"/>
  <c r="K3212"/>
  <c r="I3227"/>
  <c r="K3227" s="1"/>
  <c r="R826"/>
  <c r="R847" s="1"/>
  <c r="P871"/>
  <c r="R871" s="1"/>
  <c r="R883" s="1"/>
  <c r="P1115"/>
  <c r="R1115" s="1"/>
  <c r="R1094"/>
  <c r="P1398"/>
  <c r="R1095"/>
  <c r="P1116"/>
  <c r="R1116" s="1"/>
  <c r="R1098"/>
  <c r="P1119"/>
  <c r="R1119" s="1"/>
  <c r="P1120"/>
  <c r="R1120" s="1"/>
  <c r="R1099"/>
  <c r="AD1368"/>
  <c r="AB1385"/>
  <c r="AD1385" s="1"/>
  <c r="AB1386"/>
  <c r="AD1386" s="1"/>
  <c r="AD1369"/>
  <c r="AB1390"/>
  <c r="AD1390" s="1"/>
  <c r="AD1373"/>
  <c r="V1405"/>
  <c r="X1389"/>
  <c r="V1406"/>
  <c r="X1390"/>
  <c r="V1410"/>
  <c r="X1394"/>
  <c r="V1411"/>
  <c r="X1395"/>
  <c r="V1412"/>
  <c r="X1396"/>
  <c r="Z27"/>
  <c r="AC31"/>
  <c r="Z34"/>
  <c r="AC34" s="1"/>
  <c r="C77" s="1"/>
  <c r="I444" s="1"/>
  <c r="K444" s="1"/>
  <c r="AC41"/>
  <c r="W42"/>
  <c r="Z42"/>
  <c r="AC42" s="1"/>
  <c r="AG43"/>
  <c r="C21" s="1"/>
  <c r="AF450" s="1"/>
  <c r="AF451" s="1"/>
  <c r="AF452" s="1"/>
  <c r="AF453" s="1"/>
  <c r="AF454" s="1"/>
  <c r="AF455" s="1"/>
  <c r="AF456" s="1"/>
  <c r="AF457" s="1"/>
  <c r="AF458" s="1"/>
  <c r="AF459" s="1"/>
  <c r="AF460" s="1"/>
  <c r="AF461" s="1"/>
  <c r="AF462" s="1"/>
  <c r="AF463" s="1"/>
  <c r="AI43"/>
  <c r="AK43"/>
  <c r="AG46"/>
  <c r="C24" s="1"/>
  <c r="J616" s="1"/>
  <c r="V594" s="1"/>
  <c r="AI46"/>
  <c r="AK46"/>
  <c r="Z47"/>
  <c r="AC47" s="1"/>
  <c r="W403"/>
  <c r="AF412"/>
  <c r="AF413" s="1"/>
  <c r="AF414" s="1"/>
  <c r="AF415" s="1"/>
  <c r="AF416" s="1"/>
  <c r="AF417" s="1"/>
  <c r="AF418" s="1"/>
  <c r="AF419" s="1"/>
  <c r="AF420" s="1"/>
  <c r="AF421" s="1"/>
  <c r="AF422" s="1"/>
  <c r="K686"/>
  <c r="I687" s="1"/>
  <c r="K687" s="1"/>
  <c r="I688" s="1"/>
  <c r="K688" s="1"/>
  <c r="I689" s="1"/>
  <c r="K689" s="1"/>
  <c r="I690" s="1"/>
  <c r="K690" s="1"/>
  <c r="K723"/>
  <c r="I725" s="1"/>
  <c r="K725" s="1"/>
  <c r="K1183"/>
  <c r="K1185" s="1"/>
  <c r="I3705"/>
  <c r="K3705" s="1"/>
  <c r="I3768"/>
  <c r="K3768" s="1"/>
  <c r="I2865"/>
  <c r="K2865" s="1"/>
  <c r="I927"/>
  <c r="K927" s="1"/>
  <c r="I920"/>
  <c r="K920" s="1"/>
  <c r="I1129"/>
  <c r="K1129" s="1"/>
  <c r="I3283"/>
  <c r="I2636"/>
  <c r="I3483"/>
  <c r="K3483" s="1"/>
  <c r="I1088"/>
  <c r="K1088" s="1"/>
  <c r="I1073"/>
  <c r="K1073" s="1"/>
  <c r="V3133"/>
  <c r="I4065"/>
  <c r="X3116"/>
  <c r="P2671"/>
  <c r="K2664"/>
  <c r="I3102"/>
  <c r="K3102" s="1"/>
  <c r="V897"/>
  <c r="X897" s="1"/>
  <c r="X881"/>
  <c r="I1063"/>
  <c r="K1026"/>
  <c r="P1117"/>
  <c r="R1117" s="1"/>
  <c r="R1096"/>
  <c r="P1118"/>
  <c r="R1118" s="1"/>
  <c r="R1097"/>
  <c r="AC1200"/>
  <c r="AJ1199"/>
  <c r="AB1392"/>
  <c r="AD1392" s="1"/>
  <c r="AD1375"/>
  <c r="AD1376"/>
  <c r="AB1393"/>
  <c r="AD1393" s="1"/>
  <c r="X1386"/>
  <c r="V1402"/>
  <c r="V1404"/>
  <c r="X1388"/>
  <c r="V1408"/>
  <c r="X1392"/>
  <c r="AH43"/>
  <c r="AH46"/>
  <c r="P213"/>
  <c r="R213" s="1"/>
  <c r="K283"/>
  <c r="W435"/>
  <c r="W436" s="1"/>
  <c r="W437" s="1"/>
  <c r="W438" s="1"/>
  <c r="AF449"/>
  <c r="K515"/>
  <c r="I2972"/>
  <c r="K2836"/>
  <c r="I2974"/>
  <c r="K2838"/>
  <c r="I2976"/>
  <c r="K2840"/>
  <c r="I3987"/>
  <c r="I3781"/>
  <c r="K3995"/>
  <c r="P1540"/>
  <c r="R1540" s="1"/>
  <c r="R1410"/>
  <c r="P1427"/>
  <c r="P1441"/>
  <c r="R1425"/>
  <c r="R1429"/>
  <c r="P1445"/>
  <c r="V1423"/>
  <c r="X1423" s="1"/>
  <c r="P1451"/>
  <c r="R1435"/>
  <c r="J561"/>
  <c r="AF684"/>
  <c r="AF686" s="1"/>
  <c r="R808"/>
  <c r="R820" s="1"/>
  <c r="K879"/>
  <c r="V879"/>
  <c r="K880"/>
  <c r="V880"/>
  <c r="K881"/>
  <c r="V882"/>
  <c r="X885"/>
  <c r="I897"/>
  <c r="K897" s="1"/>
  <c r="K995"/>
  <c r="K1020"/>
  <c r="K1022"/>
  <c r="K1024"/>
  <c r="P1055"/>
  <c r="R1055" s="1"/>
  <c r="P1066"/>
  <c r="R1066" s="1"/>
  <c r="AE1066"/>
  <c r="AG1066" s="1"/>
  <c r="AE1067"/>
  <c r="AG1067" s="1"/>
  <c r="P1068"/>
  <c r="R1068" s="1"/>
  <c r="AE1068"/>
  <c r="AG1068" s="1"/>
  <c r="AE1069"/>
  <c r="AG1069" s="1"/>
  <c r="AE1070"/>
  <c r="AG1070" s="1"/>
  <c r="P1071"/>
  <c r="R1071" s="1"/>
  <c r="AE1071"/>
  <c r="AG1071" s="1"/>
  <c r="I1076"/>
  <c r="AJ1198"/>
  <c r="AD1351"/>
  <c r="AD1354"/>
  <c r="AD1355"/>
  <c r="AD1359"/>
  <c r="X1369"/>
  <c r="AB1370"/>
  <c r="X1371"/>
  <c r="AB1372"/>
  <c r="X1373"/>
  <c r="X1375"/>
  <c r="X1377"/>
  <c r="X1379"/>
  <c r="V1387"/>
  <c r="V1391"/>
  <c r="R1392"/>
  <c r="R1394"/>
  <c r="K1697"/>
  <c r="I1782"/>
  <c r="K1782" s="1"/>
  <c r="I1783"/>
  <c r="K1783" s="1"/>
  <c r="I2973"/>
  <c r="K2837"/>
  <c r="I2975"/>
  <c r="K2839"/>
  <c r="I2977"/>
  <c r="K2841"/>
  <c r="I2823"/>
  <c r="I4007"/>
  <c r="K3991"/>
  <c r="I4008"/>
  <c r="K3992"/>
  <c r="P1426"/>
  <c r="R1409"/>
  <c r="P1428"/>
  <c r="R1411"/>
  <c r="P1446"/>
  <c r="R1430"/>
  <c r="P1447"/>
  <c r="R1431"/>
  <c r="P1449"/>
  <c r="R1433"/>
  <c r="S2783"/>
  <c r="X2783" s="1"/>
  <c r="K743"/>
  <c r="K749" s="1"/>
  <c r="K751" s="1"/>
  <c r="I757" s="1"/>
  <c r="K757" s="1"/>
  <c r="K882"/>
  <c r="K990"/>
  <c r="K992"/>
  <c r="K996"/>
  <c r="K1055"/>
  <c r="K1061"/>
  <c r="K1062"/>
  <c r="AE1064"/>
  <c r="AG1064" s="1"/>
  <c r="AD1356"/>
  <c r="AD1358"/>
  <c r="AD1360"/>
  <c r="AB1367"/>
  <c r="AB1371"/>
  <c r="X1372"/>
  <c r="AB1377"/>
  <c r="X1378"/>
  <c r="R1393"/>
  <c r="K2490"/>
  <c r="K2492" s="1"/>
  <c r="X2782"/>
  <c r="K3168"/>
  <c r="I3181"/>
  <c r="K3181" s="1"/>
  <c r="K3210"/>
  <c r="I3225"/>
  <c r="K3225" s="1"/>
  <c r="I3241"/>
  <c r="K3241" s="1"/>
  <c r="K3196"/>
  <c r="I2735"/>
  <c r="K2735" s="1"/>
  <c r="K1806"/>
  <c r="I2763"/>
  <c r="I1871"/>
  <c r="K1871" s="1"/>
  <c r="K1870"/>
  <c r="I1896"/>
  <c r="K1896" s="1"/>
  <c r="K1895"/>
  <c r="I2573"/>
  <c r="K2538"/>
  <c r="AE2620"/>
  <c r="AG2620" s="1"/>
  <c r="X2606"/>
  <c r="Z2604"/>
  <c r="AE2621"/>
  <c r="AG2621" s="1"/>
  <c r="X2607"/>
  <c r="I3108"/>
  <c r="K3108" s="1"/>
  <c r="K2670"/>
  <c r="I2696"/>
  <c r="K2696" s="1"/>
  <c r="K2681"/>
  <c r="P2829"/>
  <c r="K2822"/>
  <c r="V2790"/>
  <c r="X2790" s="1"/>
  <c r="I3489"/>
  <c r="K3489" s="1"/>
  <c r="P2858"/>
  <c r="R2858" s="1"/>
  <c r="R2825"/>
  <c r="R1413"/>
  <c r="R1416"/>
  <c r="P1434"/>
  <c r="K1695"/>
  <c r="P1878"/>
  <c r="R1878" s="1"/>
  <c r="K2486"/>
  <c r="I2507"/>
  <c r="K2508"/>
  <c r="P2677"/>
  <c r="X2781"/>
  <c r="I2736"/>
  <c r="K2736" s="1"/>
  <c r="K1807"/>
  <c r="I3482"/>
  <c r="K3482" s="1"/>
  <c r="I2572"/>
  <c r="K2537"/>
  <c r="AE2619"/>
  <c r="AG2619" s="1"/>
  <c r="X2605"/>
  <c r="Z2603"/>
  <c r="AE2622"/>
  <c r="AG2622" s="1"/>
  <c r="X2608"/>
  <c r="Z2606" s="1"/>
  <c r="P2859"/>
  <c r="R2859" s="1"/>
  <c r="R2826"/>
  <c r="R1418"/>
  <c r="K1505"/>
  <c r="K1534"/>
  <c r="K1547"/>
  <c r="K1587"/>
  <c r="K1630"/>
  <c r="L1601" s="1"/>
  <c r="L1602" s="1"/>
  <c r="I1879"/>
  <c r="K1879" s="1"/>
  <c r="I1923"/>
  <c r="K1923" s="1"/>
  <c r="N1945"/>
  <c r="P2006"/>
  <c r="R2006" s="1"/>
  <c r="I2313"/>
  <c r="K2313" s="1"/>
  <c r="K2318" s="1"/>
  <c r="P2433"/>
  <c r="K2473"/>
  <c r="I2574"/>
  <c r="I2682"/>
  <c r="X2788"/>
  <c r="X2789"/>
  <c r="V3122"/>
  <c r="K3110"/>
  <c r="V3135"/>
  <c r="X3118"/>
  <c r="P3162"/>
  <c r="R3162" s="1"/>
  <c r="K3155"/>
  <c r="P3330"/>
  <c r="R3330" s="1"/>
  <c r="P3263"/>
  <c r="R3229"/>
  <c r="P3268"/>
  <c r="R3234"/>
  <c r="I3328"/>
  <c r="I3430" s="1"/>
  <c r="K3290"/>
  <c r="P3325"/>
  <c r="R3293"/>
  <c r="P3364"/>
  <c r="R3364" s="1"/>
  <c r="R3295"/>
  <c r="P3366"/>
  <c r="R3366" s="1"/>
  <c r="R3297"/>
  <c r="P3363"/>
  <c r="R3363" s="1"/>
  <c r="R3328"/>
  <c r="P3528"/>
  <c r="K3524"/>
  <c r="P3531"/>
  <c r="K3527"/>
  <c r="V3558"/>
  <c r="X3542"/>
  <c r="I3958"/>
  <c r="K3942"/>
  <c r="K3056"/>
  <c r="P3398"/>
  <c r="R3398" s="1"/>
  <c r="P3400"/>
  <c r="R3400" s="1"/>
  <c r="F3539"/>
  <c r="K3539" s="1"/>
  <c r="AG3539"/>
  <c r="I3543"/>
  <c r="V3545"/>
  <c r="I3956"/>
  <c r="I4038"/>
  <c r="K4038" s="1"/>
  <c r="K4065"/>
  <c r="I4068"/>
  <c r="K4068" s="1"/>
  <c r="H3875"/>
  <c r="J3875" s="1"/>
  <c r="J3854"/>
  <c r="I4066"/>
  <c r="K4066" s="1"/>
  <c r="V3132"/>
  <c r="X3115"/>
  <c r="P3159"/>
  <c r="R3159" s="1"/>
  <c r="K3152"/>
  <c r="I4071"/>
  <c r="K4071" s="1"/>
  <c r="V3138"/>
  <c r="P3367"/>
  <c r="R3367" s="1"/>
  <c r="R3298"/>
  <c r="P3368"/>
  <c r="R3368" s="1"/>
  <c r="R3299"/>
  <c r="P3369"/>
  <c r="R3369" s="1"/>
  <c r="R3300"/>
  <c r="V3554"/>
  <c r="R3526"/>
  <c r="K3574"/>
  <c r="K3575" s="1"/>
  <c r="K3576" s="1"/>
  <c r="I3577" s="1"/>
  <c r="K3577" s="1"/>
  <c r="I3584"/>
  <c r="K3584" s="1"/>
  <c r="H3876"/>
  <c r="J3855"/>
  <c r="K3962"/>
  <c r="I3979"/>
  <c r="K3979" s="1"/>
  <c r="K4024"/>
  <c r="I4037"/>
  <c r="K4037" s="1"/>
  <c r="P2675"/>
  <c r="P2676"/>
  <c r="P3062"/>
  <c r="R3062" s="1"/>
  <c r="K3075"/>
  <c r="P3157"/>
  <c r="R3157" s="1"/>
  <c r="P3194"/>
  <c r="R3194" s="1"/>
  <c r="V3258"/>
  <c r="X3258" s="1"/>
  <c r="P3296"/>
  <c r="R3301"/>
  <c r="K3327"/>
  <c r="P3401"/>
  <c r="R3401" s="1"/>
  <c r="P3403"/>
  <c r="P3443"/>
  <c r="R3443" s="1"/>
  <c r="F3523"/>
  <c r="K3523" s="1"/>
  <c r="I3525"/>
  <c r="R3533"/>
  <c r="I3540"/>
  <c r="R3542"/>
  <c r="M3543"/>
  <c r="R3543" s="1"/>
  <c r="AE3545"/>
  <c r="AG3545" s="1"/>
  <c r="V3571"/>
  <c r="I3583"/>
  <c r="K3583" s="1"/>
  <c r="K3585" s="1"/>
  <c r="K3586" s="1"/>
  <c r="J3848"/>
  <c r="I3959"/>
  <c r="K3943"/>
  <c r="P3262"/>
  <c r="P3530"/>
  <c r="AB3538"/>
  <c r="AG3538" s="1"/>
  <c r="H3869"/>
  <c r="E3873" s="1"/>
  <c r="I3957"/>
  <c r="AC11" i="4"/>
  <c r="V642" s="1"/>
  <c r="AD642" s="1"/>
  <c r="AF642" s="1"/>
  <c r="X46"/>
  <c r="X47" s="1"/>
  <c r="AC9"/>
  <c r="C68" s="1"/>
  <c r="I295" s="1"/>
  <c r="K295" s="1"/>
  <c r="AC16"/>
  <c r="I3504" s="1"/>
  <c r="K3504" s="1"/>
  <c r="P952"/>
  <c r="R952" s="1"/>
  <c r="K959"/>
  <c r="AB1351"/>
  <c r="AB1368" s="1"/>
  <c r="X1353"/>
  <c r="I2763"/>
  <c r="I1871"/>
  <c r="K1871" s="1"/>
  <c r="K1870"/>
  <c r="AC46"/>
  <c r="I3103"/>
  <c r="K3103" s="1"/>
  <c r="P989"/>
  <c r="R989" s="1"/>
  <c r="K1055"/>
  <c r="P1380"/>
  <c r="R1380" s="1"/>
  <c r="V1244"/>
  <c r="X1244" s="1"/>
  <c r="AB1350"/>
  <c r="X1352"/>
  <c r="X1361"/>
  <c r="AB1359"/>
  <c r="AB1376" s="1"/>
  <c r="AB1393" s="1"/>
  <c r="AD1393" s="1"/>
  <c r="P1429"/>
  <c r="R1412"/>
  <c r="P1630"/>
  <c r="R1630" s="1"/>
  <c r="K1628"/>
  <c r="P3158"/>
  <c r="K3151"/>
  <c r="F3523"/>
  <c r="K3523" s="1"/>
  <c r="K3522"/>
  <c r="I1602"/>
  <c r="K1602" s="1"/>
  <c r="K1587"/>
  <c r="I11"/>
  <c r="K11" s="1"/>
  <c r="AC280"/>
  <c r="I2836"/>
  <c r="K990"/>
  <c r="P1048"/>
  <c r="R1048" s="1"/>
  <c r="AE1070"/>
  <c r="AG1070" s="1"/>
  <c r="P1054"/>
  <c r="R1054" s="1"/>
  <c r="K1061"/>
  <c r="AB1354"/>
  <c r="I3991" s="1"/>
  <c r="AB1356"/>
  <c r="X1358"/>
  <c r="V1373"/>
  <c r="V1390" s="1"/>
  <c r="I1896"/>
  <c r="K1896" s="1"/>
  <c r="K1895"/>
  <c r="P1909"/>
  <c r="R1909" s="1"/>
  <c r="R1908"/>
  <c r="I2314"/>
  <c r="K2314" s="1"/>
  <c r="K2299"/>
  <c r="V3161"/>
  <c r="X3161" s="1"/>
  <c r="X3136"/>
  <c r="K3962"/>
  <c r="I3979"/>
  <c r="K3979" s="1"/>
  <c r="K957"/>
  <c r="P950"/>
  <c r="R950" s="1"/>
  <c r="V1395"/>
  <c r="X1378"/>
  <c r="P1986"/>
  <c r="R1986" s="1"/>
  <c r="K1986"/>
  <c r="P3162"/>
  <c r="R3162" s="1"/>
  <c r="K3155"/>
  <c r="K4024"/>
  <c r="I4037"/>
  <c r="K4037" s="1"/>
  <c r="D31"/>
  <c r="I3483" s="1"/>
  <c r="K3483" s="1"/>
  <c r="P1097"/>
  <c r="R1097" s="1"/>
  <c r="K1023"/>
  <c r="P1410"/>
  <c r="V1354"/>
  <c r="X1354" s="1"/>
  <c r="R1393"/>
  <c r="R908"/>
  <c r="AE1194"/>
  <c r="AB1360"/>
  <c r="P1856"/>
  <c r="R1856" s="1"/>
  <c r="P3148"/>
  <c r="M3155" s="1"/>
  <c r="R3155" s="1"/>
  <c r="U3150"/>
  <c r="K3575"/>
  <c r="K3576" s="1"/>
  <c r="I3577" s="1"/>
  <c r="K3577" s="1"/>
  <c r="G3899"/>
  <c r="G3900" s="1"/>
  <c r="K684"/>
  <c r="I686" s="1"/>
  <c r="K704"/>
  <c r="I706" s="1"/>
  <c r="P1425"/>
  <c r="R1425" s="1"/>
  <c r="K1670"/>
  <c r="K2471"/>
  <c r="K2473" s="1"/>
  <c r="X2790"/>
  <c r="X3645"/>
  <c r="X3647" s="1"/>
  <c r="H3848"/>
  <c r="E3852" s="1"/>
  <c r="J3894"/>
  <c r="J3896" s="1"/>
  <c r="X709"/>
  <c r="Z709" s="1"/>
  <c r="K992"/>
  <c r="K994"/>
  <c r="K1057"/>
  <c r="K1060"/>
  <c r="K1062"/>
  <c r="P2510"/>
  <c r="M2514" s="1"/>
  <c r="Z2603"/>
  <c r="K2609"/>
  <c r="X2787"/>
  <c r="K2886"/>
  <c r="K2888" s="1"/>
  <c r="K3056"/>
  <c r="V3109"/>
  <c r="X3134"/>
  <c r="K3148"/>
  <c r="K3527"/>
  <c r="J4052"/>
  <c r="F4064" s="1"/>
  <c r="A265"/>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410"/>
  <c r="K410" s="1"/>
  <c r="I355"/>
  <c r="K355" s="1"/>
  <c r="I335"/>
  <c r="K335" s="1"/>
  <c r="I311"/>
  <c r="K311" s="1"/>
  <c r="I379"/>
  <c r="K379" s="1"/>
  <c r="C81"/>
  <c r="I2737"/>
  <c r="K2737" s="1"/>
  <c r="I1826"/>
  <c r="K1826" s="1"/>
  <c r="I1910"/>
  <c r="K1910" s="1"/>
  <c r="I1844"/>
  <c r="I1808"/>
  <c r="K1808" s="1"/>
  <c r="I607"/>
  <c r="K607" s="1"/>
  <c r="P549"/>
  <c r="R549" s="1"/>
  <c r="P521"/>
  <c r="R521" s="1"/>
  <c r="P503"/>
  <c r="R503" s="1"/>
  <c r="J539"/>
  <c r="W538"/>
  <c r="AC538" s="1"/>
  <c r="I1322"/>
  <c r="K1322" s="1"/>
  <c r="P23"/>
  <c r="P9"/>
  <c r="R9" s="1"/>
  <c r="V2783"/>
  <c r="I2243"/>
  <c r="K2243" s="1"/>
  <c r="P945"/>
  <c r="R945" s="1"/>
  <c r="P3294"/>
  <c r="I2666"/>
  <c r="I3149"/>
  <c r="I1056"/>
  <c r="I1131"/>
  <c r="K1131" s="1"/>
  <c r="P213"/>
  <c r="R213" s="1"/>
  <c r="I3004"/>
  <c r="K3004" s="1"/>
  <c r="K3006" s="1"/>
  <c r="I244"/>
  <c r="K244" s="1"/>
  <c r="C141"/>
  <c r="P140"/>
  <c r="R140" s="1"/>
  <c r="C35"/>
  <c r="X136"/>
  <c r="X133"/>
  <c r="X134" s="1"/>
  <c r="V82"/>
  <c r="X82" s="1"/>
  <c r="X81"/>
  <c r="V110"/>
  <c r="X110" s="1"/>
  <c r="AC34"/>
  <c r="C77" s="1"/>
  <c r="I444" s="1"/>
  <c r="K444" s="1"/>
  <c r="W35"/>
  <c r="W12"/>
  <c r="I1490"/>
  <c r="K1490" s="1"/>
  <c r="P390"/>
  <c r="R390" s="1"/>
  <c r="P376"/>
  <c r="R376" s="1"/>
  <c r="V2781"/>
  <c r="V2782" s="1"/>
  <c r="I2242"/>
  <c r="K2242" s="1"/>
  <c r="P1046"/>
  <c r="P943"/>
  <c r="P734"/>
  <c r="R734" s="1"/>
  <c r="P719"/>
  <c r="R719" s="1"/>
  <c r="P750"/>
  <c r="R750" s="1"/>
  <c r="Z28"/>
  <c r="AC28" s="1"/>
  <c r="AC27"/>
  <c r="V111"/>
  <c r="X111" s="1"/>
  <c r="X83"/>
  <c r="I2125"/>
  <c r="K2125" s="1"/>
  <c r="I1969"/>
  <c r="I1780"/>
  <c r="K1780" s="1"/>
  <c r="I1750"/>
  <c r="K1750" s="1"/>
  <c r="I2145"/>
  <c r="P622"/>
  <c r="R622" s="1"/>
  <c r="P576"/>
  <c r="R576" s="1"/>
  <c r="P652"/>
  <c r="R652" s="1"/>
  <c r="P640"/>
  <c r="R640" s="1"/>
  <c r="P431"/>
  <c r="K133"/>
  <c r="K134" s="1"/>
  <c r="P468"/>
  <c r="R468" s="1"/>
  <c r="P450"/>
  <c r="R450" s="1"/>
  <c r="K136"/>
  <c r="I110"/>
  <c r="K110" s="1"/>
  <c r="I82"/>
  <c r="I81"/>
  <c r="K81" s="1"/>
  <c r="I3461"/>
  <c r="I2296"/>
  <c r="K2296" s="1"/>
  <c r="P1379"/>
  <c r="R1379" s="1"/>
  <c r="C67"/>
  <c r="I124"/>
  <c r="K124" s="1"/>
  <c r="K127" s="1"/>
  <c r="K129" s="1"/>
  <c r="K130" s="1"/>
  <c r="I95"/>
  <c r="K95" s="1"/>
  <c r="I94"/>
  <c r="K94" s="1"/>
  <c r="AE388"/>
  <c r="AE424" s="1"/>
  <c r="AG424" s="1"/>
  <c r="AE364"/>
  <c r="AG364" s="1"/>
  <c r="AE335"/>
  <c r="AG335" s="1"/>
  <c r="AE311"/>
  <c r="AG311" s="1"/>
  <c r="AC17"/>
  <c r="AC47"/>
  <c r="AG388"/>
  <c r="P3514"/>
  <c r="R3514" s="1"/>
  <c r="I2298"/>
  <c r="K2298" s="1"/>
  <c r="P2359"/>
  <c r="R2359" s="1"/>
  <c r="AI1191"/>
  <c r="AK1191" s="1"/>
  <c r="P1376"/>
  <c r="R1376" s="1"/>
  <c r="V1335"/>
  <c r="X642"/>
  <c r="I3459"/>
  <c r="I2686"/>
  <c r="K2686" s="1"/>
  <c r="J3045"/>
  <c r="K3045" s="1"/>
  <c r="I2994"/>
  <c r="K2994" s="1"/>
  <c r="I2791"/>
  <c r="K2791" s="1"/>
  <c r="L2757" s="1"/>
  <c r="I2739"/>
  <c r="K2739" s="1"/>
  <c r="I2713"/>
  <c r="I2428"/>
  <c r="I2369"/>
  <c r="P2337"/>
  <c r="R2337" s="1"/>
  <c r="I2178"/>
  <c r="K2178" s="1"/>
  <c r="I2165"/>
  <c r="K2165" s="1"/>
  <c r="I2152"/>
  <c r="I2132"/>
  <c r="K2132" s="1"/>
  <c r="I2107"/>
  <c r="K2107" s="1"/>
  <c r="I2012"/>
  <c r="I1974"/>
  <c r="I1828"/>
  <c r="K1828" s="1"/>
  <c r="I1519"/>
  <c r="K1519" s="1"/>
  <c r="I1507"/>
  <c r="I1492"/>
  <c r="K1492" s="1"/>
  <c r="I1455"/>
  <c r="K1455" s="1"/>
  <c r="I1420"/>
  <c r="K1420" s="1"/>
  <c r="I2399"/>
  <c r="I2349"/>
  <c r="I2335"/>
  <c r="K2335" s="1"/>
  <c r="I2322"/>
  <c r="K2322" s="1"/>
  <c r="I2079"/>
  <c r="K2079" s="1"/>
  <c r="I2055"/>
  <c r="K2055" s="1"/>
  <c r="I2031"/>
  <c r="I1995"/>
  <c r="I1944"/>
  <c r="I1912"/>
  <c r="K1912" s="1"/>
  <c r="I1846"/>
  <c r="I1810"/>
  <c r="K1810" s="1"/>
  <c r="I1708"/>
  <c r="K1708" s="1"/>
  <c r="I1647"/>
  <c r="P1523"/>
  <c r="R1523" s="1"/>
  <c r="I1480"/>
  <c r="K1480" s="1"/>
  <c r="I1467"/>
  <c r="K1467" s="1"/>
  <c r="I1435"/>
  <c r="K1435" s="1"/>
  <c r="I1394"/>
  <c r="K1394" s="1"/>
  <c r="I1359"/>
  <c r="K1359" s="1"/>
  <c r="I1258"/>
  <c r="I1228"/>
  <c r="K1228" s="1"/>
  <c r="I1224"/>
  <c r="I1202"/>
  <c r="K1202" s="1"/>
  <c r="I1162"/>
  <c r="K1162" s="1"/>
  <c r="K1165" s="1"/>
  <c r="K1167" s="1"/>
  <c r="I1149"/>
  <c r="K1149" s="1"/>
  <c r="I811"/>
  <c r="I785"/>
  <c r="K785" s="1"/>
  <c r="I727"/>
  <c r="K727" s="1"/>
  <c r="V646"/>
  <c r="I622"/>
  <c r="K622" s="1"/>
  <c r="I584"/>
  <c r="I1407"/>
  <c r="K1407" s="1"/>
  <c r="I1381"/>
  <c r="K1381" s="1"/>
  <c r="P1360"/>
  <c r="R1360" s="1"/>
  <c r="I1338"/>
  <c r="K1338" s="1"/>
  <c r="I1324"/>
  <c r="K1324" s="1"/>
  <c r="I1306"/>
  <c r="I1273"/>
  <c r="I1253"/>
  <c r="P1146"/>
  <c r="I900"/>
  <c r="K900" s="1"/>
  <c r="P891"/>
  <c r="R891" s="1"/>
  <c r="I884"/>
  <c r="I866"/>
  <c r="I763"/>
  <c r="K763" s="1"/>
  <c r="V711"/>
  <c r="I652"/>
  <c r="K652" s="1"/>
  <c r="I606"/>
  <c r="K606" s="1"/>
  <c r="I552"/>
  <c r="K552" s="1"/>
  <c r="P551"/>
  <c r="R551" s="1"/>
  <c r="I3460"/>
  <c r="I2699"/>
  <c r="K2699" s="1"/>
  <c r="I2687"/>
  <c r="K2687" s="1"/>
  <c r="I2740"/>
  <c r="K2740" s="1"/>
  <c r="I2714"/>
  <c r="I2429"/>
  <c r="I2385"/>
  <c r="K2385" s="1"/>
  <c r="I2153"/>
  <c r="I2133"/>
  <c r="K2133" s="1"/>
  <c r="I2108"/>
  <c r="K2108" s="1"/>
  <c r="I2009"/>
  <c r="I1913"/>
  <c r="K1913" s="1"/>
  <c r="I1829"/>
  <c r="K1829" s="1"/>
  <c r="I1648"/>
  <c r="I1436"/>
  <c r="K1436" s="1"/>
  <c r="I1408"/>
  <c r="K1408" s="1"/>
  <c r="I1395"/>
  <c r="K1395" s="1"/>
  <c r="I2028"/>
  <c r="I1847"/>
  <c r="I1811"/>
  <c r="K1811" s="1"/>
  <c r="I1709"/>
  <c r="K1709" s="1"/>
  <c r="P1524"/>
  <c r="R1524" s="1"/>
  <c r="I1520"/>
  <c r="K1520" s="1"/>
  <c r="I1508"/>
  <c r="I1493"/>
  <c r="K1493" s="1"/>
  <c r="I1421"/>
  <c r="K1421" s="1"/>
  <c r="I1382"/>
  <c r="K1382" s="1"/>
  <c r="I1339"/>
  <c r="K1339" s="1"/>
  <c r="I1235"/>
  <c r="K1235" s="1"/>
  <c r="I1225"/>
  <c r="P1147"/>
  <c r="I886"/>
  <c r="I868"/>
  <c r="I812"/>
  <c r="V712"/>
  <c r="I1360"/>
  <c r="K1360" s="1"/>
  <c r="I1325"/>
  <c r="K1325" s="1"/>
  <c r="I1307"/>
  <c r="I1259"/>
  <c r="I1254"/>
  <c r="I1229"/>
  <c r="K1229" s="1"/>
  <c r="I1203"/>
  <c r="K1203" s="1"/>
  <c r="I902"/>
  <c r="K902" s="1"/>
  <c r="V647"/>
  <c r="P552"/>
  <c r="R552" s="1"/>
  <c r="I2775"/>
  <c r="K2775" s="1"/>
  <c r="K2778" s="1"/>
  <c r="I2718"/>
  <c r="K2718" s="1"/>
  <c r="I2712"/>
  <c r="K2712" s="1"/>
  <c r="P1522"/>
  <c r="R1522" s="1"/>
  <c r="I1548"/>
  <c r="K1548" s="1"/>
  <c r="I1535"/>
  <c r="K1535" s="1"/>
  <c r="K1538" s="1"/>
  <c r="K1540" s="1"/>
  <c r="I1533"/>
  <c r="K1533" s="1"/>
  <c r="I1518"/>
  <c r="K1518" s="1"/>
  <c r="I1506"/>
  <c r="I1161"/>
  <c r="K1161" s="1"/>
  <c r="I1147"/>
  <c r="K1147" s="1"/>
  <c r="I3121"/>
  <c r="J3044"/>
  <c r="K3044" s="1"/>
  <c r="I2409"/>
  <c r="K2409" s="1"/>
  <c r="I2106"/>
  <c r="K2106" s="1"/>
  <c r="I2011"/>
  <c r="I2008"/>
  <c r="I1972"/>
  <c r="I1943"/>
  <c r="I1631"/>
  <c r="I2077"/>
  <c r="K2077" s="1"/>
  <c r="I2053"/>
  <c r="K2053" s="1"/>
  <c r="I2030"/>
  <c r="I2027"/>
  <c r="I1993"/>
  <c r="I2368"/>
  <c r="I2348"/>
  <c r="K2348" s="1"/>
  <c r="I726"/>
  <c r="K726" s="1"/>
  <c r="P890"/>
  <c r="R890" s="1"/>
  <c r="R893" s="1"/>
  <c r="R895" s="1"/>
  <c r="P794"/>
  <c r="R794" s="1"/>
  <c r="I784"/>
  <c r="K784" s="1"/>
  <c r="I762"/>
  <c r="K762" s="1"/>
  <c r="I2321"/>
  <c r="K2321" s="1"/>
  <c r="P2336"/>
  <c r="R2336" s="1"/>
  <c r="R2338" s="1"/>
  <c r="R2339" s="1"/>
  <c r="I2367"/>
  <c r="K2367" s="1"/>
  <c r="P2373"/>
  <c r="R2373" s="1"/>
  <c r="I3705"/>
  <c r="K3705" s="1"/>
  <c r="I3768"/>
  <c r="K3768" s="1"/>
  <c r="I3796"/>
  <c r="K3796" s="1"/>
  <c r="V3672"/>
  <c r="X3672" s="1"/>
  <c r="P1549"/>
  <c r="R1549" s="1"/>
  <c r="AC1197"/>
  <c r="AJ1197" s="1"/>
  <c r="S1182"/>
  <c r="S1158"/>
  <c r="J612"/>
  <c r="V590" s="1"/>
  <c r="J659"/>
  <c r="W486" s="1"/>
  <c r="AC486" s="1"/>
  <c r="J628"/>
  <c r="J590"/>
  <c r="J559"/>
  <c r="W561" s="1"/>
  <c r="AC561" s="1"/>
  <c r="I2126"/>
  <c r="K2126" s="1"/>
  <c r="I1970"/>
  <c r="I1757"/>
  <c r="K1757" s="1"/>
  <c r="I2146"/>
  <c r="P577"/>
  <c r="R577" s="1"/>
  <c r="I3318"/>
  <c r="K3318" s="1"/>
  <c r="I2662"/>
  <c r="I2813"/>
  <c r="I2865"/>
  <c r="K2865" s="1"/>
  <c r="I1129"/>
  <c r="K1129" s="1"/>
  <c r="I927"/>
  <c r="K927" s="1"/>
  <c r="I920"/>
  <c r="K920" s="1"/>
  <c r="I3283"/>
  <c r="I2636"/>
  <c r="I1088"/>
  <c r="K1088" s="1"/>
  <c r="I1073"/>
  <c r="K1073" s="1"/>
  <c r="I4065"/>
  <c r="X3116"/>
  <c r="V3133"/>
  <c r="I3102"/>
  <c r="K3102" s="1"/>
  <c r="P2671"/>
  <c r="K2664"/>
  <c r="I1772"/>
  <c r="K1772" s="1"/>
  <c r="I1603"/>
  <c r="I1575"/>
  <c r="AF690"/>
  <c r="AF688"/>
  <c r="AF687"/>
  <c r="V898"/>
  <c r="X898" s="1"/>
  <c r="X882"/>
  <c r="P1398"/>
  <c r="P1115"/>
  <c r="R1115" s="1"/>
  <c r="R1094"/>
  <c r="P1116"/>
  <c r="R1116" s="1"/>
  <c r="R1095"/>
  <c r="P1119"/>
  <c r="R1119" s="1"/>
  <c r="R1098"/>
  <c r="R1099"/>
  <c r="P1120"/>
  <c r="R1120" s="1"/>
  <c r="AD1376"/>
  <c r="V1407"/>
  <c r="X1391"/>
  <c r="V1408"/>
  <c r="X1392"/>
  <c r="V1410"/>
  <c r="X1394"/>
  <c r="V1412"/>
  <c r="X1396"/>
  <c r="X12"/>
  <c r="X13"/>
  <c r="X14"/>
  <c r="X15"/>
  <c r="I20"/>
  <c r="K20" s="1"/>
  <c r="Z20"/>
  <c r="AC20" s="1"/>
  <c r="X26"/>
  <c r="X27" s="1"/>
  <c r="X28" s="1"/>
  <c r="Z32"/>
  <c r="X35"/>
  <c r="X36"/>
  <c r="X37" s="1"/>
  <c r="AH43"/>
  <c r="AJ43"/>
  <c r="Z45"/>
  <c r="AC45" s="1"/>
  <c r="I46"/>
  <c r="K46" s="1"/>
  <c r="AH46"/>
  <c r="AJ46"/>
  <c r="P53"/>
  <c r="R53" s="1"/>
  <c r="I55"/>
  <c r="K55" s="1"/>
  <c r="C66"/>
  <c r="P68"/>
  <c r="R68" s="1"/>
  <c r="P69"/>
  <c r="R69" s="1"/>
  <c r="I176"/>
  <c r="K176" s="1"/>
  <c r="I199"/>
  <c r="I275"/>
  <c r="K275" s="1"/>
  <c r="P286"/>
  <c r="R286" s="1"/>
  <c r="P287"/>
  <c r="R287" s="1"/>
  <c r="P299"/>
  <c r="R299" s="1"/>
  <c r="I301"/>
  <c r="K301" s="1"/>
  <c r="P309"/>
  <c r="R309" s="1"/>
  <c r="P321"/>
  <c r="R321" s="1"/>
  <c r="P338"/>
  <c r="R338" s="1"/>
  <c r="I340"/>
  <c r="P350"/>
  <c r="R350" s="1"/>
  <c r="I359"/>
  <c r="I360"/>
  <c r="P364"/>
  <c r="R364" s="1"/>
  <c r="P378"/>
  <c r="R378" s="1"/>
  <c r="P379"/>
  <c r="R379" s="1"/>
  <c r="I383"/>
  <c r="P393"/>
  <c r="R393" s="1"/>
  <c r="W403"/>
  <c r="I414"/>
  <c r="K414" s="1"/>
  <c r="P432"/>
  <c r="W434"/>
  <c r="I448"/>
  <c r="K448" s="1"/>
  <c r="I482"/>
  <c r="K482" s="1"/>
  <c r="I490"/>
  <c r="K490" s="1"/>
  <c r="I491"/>
  <c r="K491" s="1"/>
  <c r="P505"/>
  <c r="R505" s="1"/>
  <c r="P506"/>
  <c r="R506" s="1"/>
  <c r="I507"/>
  <c r="P523"/>
  <c r="R523" s="1"/>
  <c r="P524"/>
  <c r="R524" s="1"/>
  <c r="V530"/>
  <c r="R1363"/>
  <c r="R1365" s="1"/>
  <c r="I3748"/>
  <c r="I3253"/>
  <c r="K3253" s="1"/>
  <c r="P1375"/>
  <c r="R1375" s="1"/>
  <c r="V1334"/>
  <c r="X1334" s="1"/>
  <c r="I3795"/>
  <c r="I3749"/>
  <c r="K3749" s="1"/>
  <c r="I3723"/>
  <c r="K3723" s="1"/>
  <c r="I3706"/>
  <c r="K3706" s="1"/>
  <c r="V3671"/>
  <c r="X3671" s="1"/>
  <c r="I3769"/>
  <c r="K3769" s="1"/>
  <c r="P3515"/>
  <c r="I3342"/>
  <c r="K3342" s="1"/>
  <c r="AF3106"/>
  <c r="P2360"/>
  <c r="R2360" s="1"/>
  <c r="P1548"/>
  <c r="R1548" s="1"/>
  <c r="P1377"/>
  <c r="R1377" s="1"/>
  <c r="V1336"/>
  <c r="I3724"/>
  <c r="K3724" s="1"/>
  <c r="P3516"/>
  <c r="R3516" s="1"/>
  <c r="I3343"/>
  <c r="K3343" s="1"/>
  <c r="P2411"/>
  <c r="R2411" s="1"/>
  <c r="P1378"/>
  <c r="R1378" s="1"/>
  <c r="V1337"/>
  <c r="I3735"/>
  <c r="I3341"/>
  <c r="P2409"/>
  <c r="R2409" s="1"/>
  <c r="R2414" s="1"/>
  <c r="R2416" s="1"/>
  <c r="I3716" s="1"/>
  <c r="K3716" s="1"/>
  <c r="P1302"/>
  <c r="I1590"/>
  <c r="K1590" s="1"/>
  <c r="I1577"/>
  <c r="K1577" s="1"/>
  <c r="I1564"/>
  <c r="K1564" s="1"/>
  <c r="P2410"/>
  <c r="R2410" s="1"/>
  <c r="P1303"/>
  <c r="R1303" s="1"/>
  <c r="I1771"/>
  <c r="K1771" s="1"/>
  <c r="I1179"/>
  <c r="K1179" s="1"/>
  <c r="K1183" s="1"/>
  <c r="K1185" s="1"/>
  <c r="I3794"/>
  <c r="K3794" s="1"/>
  <c r="I3722"/>
  <c r="K3722" s="1"/>
  <c r="V3670"/>
  <c r="X3670" s="1"/>
  <c r="I3704"/>
  <c r="K3704" s="1"/>
  <c r="I3767"/>
  <c r="K3767" s="1"/>
  <c r="AF3105"/>
  <c r="P1547"/>
  <c r="R1547" s="1"/>
  <c r="P1402"/>
  <c r="J706"/>
  <c r="K706" s="1"/>
  <c r="I707" s="1"/>
  <c r="K707" s="1"/>
  <c r="I708" s="1"/>
  <c r="K708" s="1"/>
  <c r="I709" s="1"/>
  <c r="K709" s="1"/>
  <c r="I710" s="1"/>
  <c r="K710" s="1"/>
  <c r="J686"/>
  <c r="K686" s="1"/>
  <c r="I687" s="1"/>
  <c r="J707"/>
  <c r="J708" s="1"/>
  <c r="J709" s="1"/>
  <c r="J710" s="1"/>
  <c r="J687"/>
  <c r="J688" s="1"/>
  <c r="J689" s="1"/>
  <c r="J690" s="1"/>
  <c r="AC1198"/>
  <c r="J629"/>
  <c r="J630" s="1"/>
  <c r="J631" s="1"/>
  <c r="J632" s="1"/>
  <c r="J615"/>
  <c r="V593" s="1"/>
  <c r="J614"/>
  <c r="V592" s="1"/>
  <c r="J599"/>
  <c r="J597"/>
  <c r="J593"/>
  <c r="J592"/>
  <c r="J591"/>
  <c r="J560"/>
  <c r="T1182"/>
  <c r="T1158"/>
  <c r="J660"/>
  <c r="J661" s="1"/>
  <c r="J662" s="1"/>
  <c r="J613"/>
  <c r="V591" s="1"/>
  <c r="J598"/>
  <c r="J596"/>
  <c r="J595"/>
  <c r="J594"/>
  <c r="V715"/>
  <c r="I819"/>
  <c r="K819" s="1"/>
  <c r="I2177"/>
  <c r="K2177" s="1"/>
  <c r="K2180" s="1"/>
  <c r="K2182" s="1"/>
  <c r="K2184" s="1"/>
  <c r="I2164"/>
  <c r="K2164" s="1"/>
  <c r="I2131"/>
  <c r="K2131" s="1"/>
  <c r="I2151"/>
  <c r="P871"/>
  <c r="R871" s="1"/>
  <c r="R883" s="1"/>
  <c r="R826"/>
  <c r="R847" s="1"/>
  <c r="P1118"/>
  <c r="R1118" s="1"/>
  <c r="I1078"/>
  <c r="AE1072"/>
  <c r="AG1072" s="1"/>
  <c r="K1063"/>
  <c r="P997"/>
  <c r="R997" s="1"/>
  <c r="I1091"/>
  <c r="K1091" s="1"/>
  <c r="K1076"/>
  <c r="AD1368"/>
  <c r="AB1385"/>
  <c r="AD1385" s="1"/>
  <c r="V1402"/>
  <c r="X1386"/>
  <c r="V1406"/>
  <c r="X1390"/>
  <c r="X1395"/>
  <c r="V1411"/>
  <c r="R1409"/>
  <c r="P1426"/>
  <c r="V1370"/>
  <c r="C10"/>
  <c r="C11"/>
  <c r="Z12"/>
  <c r="D17"/>
  <c r="P24"/>
  <c r="I29"/>
  <c r="K29" s="1"/>
  <c r="C31"/>
  <c r="Z35"/>
  <c r="AC35" s="1"/>
  <c r="I254" s="1"/>
  <c r="K254" s="1"/>
  <c r="I36"/>
  <c r="Z36"/>
  <c r="AC36" s="1"/>
  <c r="I243" s="1"/>
  <c r="K243" s="1"/>
  <c r="I37"/>
  <c r="K37" s="1"/>
  <c r="Z37"/>
  <c r="AC37" s="1"/>
  <c r="I242" s="1"/>
  <c r="K242" s="1"/>
  <c r="AC41"/>
  <c r="AE43"/>
  <c r="C21" s="1"/>
  <c r="AF450" s="1"/>
  <c r="AF451" s="1"/>
  <c r="AF452" s="1"/>
  <c r="AF453" s="1"/>
  <c r="AF454" s="1"/>
  <c r="AF455" s="1"/>
  <c r="AF456" s="1"/>
  <c r="AF457" s="1"/>
  <c r="AF458" s="1"/>
  <c r="AF459" s="1"/>
  <c r="AF460" s="1"/>
  <c r="AF461" s="1"/>
  <c r="AF462" s="1"/>
  <c r="AF463" s="1"/>
  <c r="AG43"/>
  <c r="AI43"/>
  <c r="AE46"/>
  <c r="C24" s="1"/>
  <c r="J616" s="1"/>
  <c r="V594" s="1"/>
  <c r="AG46"/>
  <c r="AI46"/>
  <c r="P54"/>
  <c r="R54" s="1"/>
  <c r="I65"/>
  <c r="K65" s="1"/>
  <c r="C70"/>
  <c r="I74"/>
  <c r="K74" s="1"/>
  <c r="I83"/>
  <c r="P83"/>
  <c r="R83" s="1"/>
  <c r="P84"/>
  <c r="R84" s="1"/>
  <c r="P141"/>
  <c r="P151"/>
  <c r="R151" s="1"/>
  <c r="R154" s="1"/>
  <c r="I168"/>
  <c r="K168" s="1"/>
  <c r="I198"/>
  <c r="I213"/>
  <c r="K213" s="1"/>
  <c r="I214"/>
  <c r="K214" s="1"/>
  <c r="I228"/>
  <c r="I229"/>
  <c r="I274"/>
  <c r="K274" s="1"/>
  <c r="K283"/>
  <c r="P298"/>
  <c r="R298" s="1"/>
  <c r="I300"/>
  <c r="K300" s="1"/>
  <c r="P310"/>
  <c r="R310" s="1"/>
  <c r="I315"/>
  <c r="I316"/>
  <c r="P322"/>
  <c r="R322" s="1"/>
  <c r="I339"/>
  <c r="P339"/>
  <c r="R339" s="1"/>
  <c r="P351"/>
  <c r="R351" s="1"/>
  <c r="P366"/>
  <c r="R366" s="1"/>
  <c r="I384"/>
  <c r="P392"/>
  <c r="R392" s="1"/>
  <c r="W402"/>
  <c r="AF411"/>
  <c r="I415"/>
  <c r="K415" s="1"/>
  <c r="W435"/>
  <c r="W436" s="1"/>
  <c r="W437" s="1"/>
  <c r="W438" s="1"/>
  <c r="I449"/>
  <c r="K449" s="1"/>
  <c r="AF449"/>
  <c r="P451"/>
  <c r="R451" s="1"/>
  <c r="P469"/>
  <c r="R469" s="1"/>
  <c r="V479"/>
  <c r="I508"/>
  <c r="K515"/>
  <c r="I528"/>
  <c r="K528" s="1"/>
  <c r="J535"/>
  <c r="W537" s="1"/>
  <c r="AC537" s="1"/>
  <c r="R798"/>
  <c r="R800" s="1"/>
  <c r="K1152"/>
  <c r="K1154" s="1"/>
  <c r="I1783"/>
  <c r="K1783" s="1"/>
  <c r="I1782"/>
  <c r="K1782" s="1"/>
  <c r="I2973"/>
  <c r="K2837"/>
  <c r="I2975"/>
  <c r="K2839"/>
  <c r="I2977"/>
  <c r="K2841"/>
  <c r="I2823"/>
  <c r="I3987"/>
  <c r="I3781"/>
  <c r="P1433"/>
  <c r="R1416"/>
  <c r="P1450"/>
  <c r="R1434"/>
  <c r="P1464"/>
  <c r="R1447"/>
  <c r="I3747"/>
  <c r="R2433"/>
  <c r="AE828"/>
  <c r="V881"/>
  <c r="P1072"/>
  <c r="R1072" s="1"/>
  <c r="P1073"/>
  <c r="R1073" s="1"/>
  <c r="P1096"/>
  <c r="R1264"/>
  <c r="AD1351"/>
  <c r="AB1352"/>
  <c r="AB1353"/>
  <c r="AD1354"/>
  <c r="AD1355"/>
  <c r="AD1359"/>
  <c r="X1369"/>
  <c r="AB1372"/>
  <c r="X1373"/>
  <c r="X1375"/>
  <c r="X1377"/>
  <c r="X1379"/>
  <c r="R1392"/>
  <c r="R1410"/>
  <c r="P1411"/>
  <c r="K2318"/>
  <c r="I2972"/>
  <c r="K2836"/>
  <c r="I2974"/>
  <c r="K2838"/>
  <c r="I2976"/>
  <c r="K2840"/>
  <c r="I4007"/>
  <c r="K3991"/>
  <c r="I4008"/>
  <c r="K3992"/>
  <c r="P1445"/>
  <c r="V1423"/>
  <c r="X1423" s="1"/>
  <c r="R1429"/>
  <c r="P1430"/>
  <c r="R1413"/>
  <c r="K745"/>
  <c r="K749" s="1"/>
  <c r="K751" s="1"/>
  <c r="I757" s="1"/>
  <c r="K757" s="1"/>
  <c r="R808"/>
  <c r="R820" s="1"/>
  <c r="K879"/>
  <c r="V879"/>
  <c r="K880"/>
  <c r="V880"/>
  <c r="K881"/>
  <c r="X885"/>
  <c r="P951"/>
  <c r="R951" s="1"/>
  <c r="P953"/>
  <c r="K991"/>
  <c r="K993"/>
  <c r="K995"/>
  <c r="K1020"/>
  <c r="K1024"/>
  <c r="K1026"/>
  <c r="P1051"/>
  <c r="R1051" s="1"/>
  <c r="P1052"/>
  <c r="R1052" s="1"/>
  <c r="K1058"/>
  <c r="K1059"/>
  <c r="P1066"/>
  <c r="R1066" s="1"/>
  <c r="AE1066"/>
  <c r="AG1066" s="1"/>
  <c r="AE1067"/>
  <c r="AG1067" s="1"/>
  <c r="AE1068"/>
  <c r="AG1068" s="1"/>
  <c r="AE1069"/>
  <c r="AG1069" s="1"/>
  <c r="P1071"/>
  <c r="R1071" s="1"/>
  <c r="AB1371"/>
  <c r="K1551"/>
  <c r="K1553" s="1"/>
  <c r="I3490" s="1"/>
  <c r="K3490" s="1"/>
  <c r="K2167"/>
  <c r="K2169" s="1"/>
  <c r="K2763"/>
  <c r="I2764"/>
  <c r="K2764" s="1"/>
  <c r="I3482"/>
  <c r="K3482" s="1"/>
  <c r="I2572"/>
  <c r="K2537"/>
  <c r="I2573"/>
  <c r="K2538"/>
  <c r="I2539"/>
  <c r="I2487"/>
  <c r="K2487" s="1"/>
  <c r="S2783"/>
  <c r="X2783" s="1"/>
  <c r="I4072"/>
  <c r="K4072" s="1"/>
  <c r="X3122"/>
  <c r="V3139"/>
  <c r="R3234"/>
  <c r="P3268"/>
  <c r="I3393"/>
  <c r="K3324"/>
  <c r="K3325"/>
  <c r="I3394"/>
  <c r="I3395"/>
  <c r="K3326"/>
  <c r="K3327"/>
  <c r="I3396"/>
  <c r="I3429" s="1"/>
  <c r="K3429" s="1"/>
  <c r="R3325"/>
  <c r="P3362"/>
  <c r="P1441"/>
  <c r="P1451"/>
  <c r="K1630"/>
  <c r="L1601" s="1"/>
  <c r="L1602" s="1"/>
  <c r="K1922"/>
  <c r="N1944"/>
  <c r="N1945" s="1"/>
  <c r="K1968"/>
  <c r="K2005"/>
  <c r="K2297"/>
  <c r="K2426"/>
  <c r="I2486"/>
  <c r="AG2651"/>
  <c r="E2760"/>
  <c r="X2782"/>
  <c r="K3075"/>
  <c r="I3181"/>
  <c r="K3181" s="1"/>
  <c r="K3168"/>
  <c r="K3210"/>
  <c r="I3225"/>
  <c r="K3225" s="1"/>
  <c r="I3241"/>
  <c r="K3241" s="1"/>
  <c r="K3196"/>
  <c r="I2507"/>
  <c r="K2485"/>
  <c r="P3194"/>
  <c r="R3194" s="1"/>
  <c r="R3158"/>
  <c r="I3608"/>
  <c r="K3430"/>
  <c r="R1431"/>
  <c r="R1603"/>
  <c r="K1695"/>
  <c r="K1697" s="1"/>
  <c r="X2781"/>
  <c r="I3525"/>
  <c r="P3443"/>
  <c r="R3443" s="1"/>
  <c r="AE3542"/>
  <c r="AG3542" s="1"/>
  <c r="V3542"/>
  <c r="K3542"/>
  <c r="V3570"/>
  <c r="P3549"/>
  <c r="R3549" s="1"/>
  <c r="R3533"/>
  <c r="K2509"/>
  <c r="AE2617"/>
  <c r="AG2617" s="1"/>
  <c r="K2667"/>
  <c r="K2668"/>
  <c r="K2669"/>
  <c r="P2677"/>
  <c r="I2682"/>
  <c r="P2829"/>
  <c r="P2860"/>
  <c r="R2860" s="1"/>
  <c r="P2861"/>
  <c r="R2861" s="1"/>
  <c r="P2977"/>
  <c r="R2977" s="1"/>
  <c r="P2978"/>
  <c r="R2978" s="1"/>
  <c r="P3062"/>
  <c r="R3062" s="1"/>
  <c r="P3063"/>
  <c r="R3063" s="1"/>
  <c r="I3106"/>
  <c r="K3106" s="1"/>
  <c r="I3107"/>
  <c r="K3107" s="1"/>
  <c r="I3108"/>
  <c r="K3108" s="1"/>
  <c r="K3110"/>
  <c r="X3115"/>
  <c r="X3118"/>
  <c r="V3132"/>
  <c r="V3135"/>
  <c r="K3150"/>
  <c r="K3152"/>
  <c r="P3160"/>
  <c r="P3161"/>
  <c r="I3185"/>
  <c r="R3223"/>
  <c r="R3228"/>
  <c r="R3231"/>
  <c r="R3233"/>
  <c r="P3262"/>
  <c r="P3263"/>
  <c r="K3290"/>
  <c r="R3293"/>
  <c r="R3328"/>
  <c r="P3330"/>
  <c r="R3330" s="1"/>
  <c r="X3539"/>
  <c r="H3875"/>
  <c r="J3875" s="1"/>
  <c r="J3854"/>
  <c r="I3524"/>
  <c r="P3442"/>
  <c r="R3442" s="1"/>
  <c r="P3547"/>
  <c r="R3547" s="1"/>
  <c r="R3531"/>
  <c r="X3555"/>
  <c r="V3571"/>
  <c r="Z2604"/>
  <c r="X2605"/>
  <c r="X2606"/>
  <c r="X2607"/>
  <c r="X2608"/>
  <c r="Z2606" s="1"/>
  <c r="K2681"/>
  <c r="P3295"/>
  <c r="P3296"/>
  <c r="P3297"/>
  <c r="P3298"/>
  <c r="P3299"/>
  <c r="P3300"/>
  <c r="R3301"/>
  <c r="P3331"/>
  <c r="R3331" s="1"/>
  <c r="P3332"/>
  <c r="R3332" s="1"/>
  <c r="P3333"/>
  <c r="R3333" s="1"/>
  <c r="P3334"/>
  <c r="R3334" s="1"/>
  <c r="K4066"/>
  <c r="H3876"/>
  <c r="J3855"/>
  <c r="I3958"/>
  <c r="K3942"/>
  <c r="K3462"/>
  <c r="K3526"/>
  <c r="M3527"/>
  <c r="R3527" s="1"/>
  <c r="K3529"/>
  <c r="F3538"/>
  <c r="K3538" s="1"/>
  <c r="S3538"/>
  <c r="X3538" s="1"/>
  <c r="I3543"/>
  <c r="M3543"/>
  <c r="R3543" s="1"/>
  <c r="I3545"/>
  <c r="S3554"/>
  <c r="X3554" s="1"/>
  <c r="I3583"/>
  <c r="K3583" s="1"/>
  <c r="I3829"/>
  <c r="K3829" s="1"/>
  <c r="J3848"/>
  <c r="I3956"/>
  <c r="I4038"/>
  <c r="K4038" s="1"/>
  <c r="K4065"/>
  <c r="I3959"/>
  <c r="K3943"/>
  <c r="P3530"/>
  <c r="AB3538"/>
  <c r="AG3538" s="1"/>
  <c r="I3584"/>
  <c r="K3584" s="1"/>
  <c r="K3708"/>
  <c r="K3709" s="1"/>
  <c r="H3869"/>
  <c r="E3873" s="1"/>
  <c r="I3957"/>
  <c r="K3567" i="7" l="1"/>
  <c r="M3568"/>
  <c r="L3566"/>
  <c r="K730" i="4"/>
  <c r="K732" s="1"/>
  <c r="K801" s="1"/>
  <c r="K1524"/>
  <c r="K1526" s="1"/>
  <c r="K3046"/>
  <c r="K2542" i="6"/>
  <c r="K2545" s="1"/>
  <c r="K2548" s="1"/>
  <c r="K3010" i="7"/>
  <c r="K1849"/>
  <c r="K890"/>
  <c r="K1455"/>
  <c r="K1457" s="1"/>
  <c r="K2843" i="4"/>
  <c r="K2845" s="1"/>
  <c r="K687"/>
  <c r="I688" s="1"/>
  <c r="K688" s="1"/>
  <c r="I689" s="1"/>
  <c r="K689" s="1"/>
  <c r="I690" s="1"/>
  <c r="K690" s="1"/>
  <c r="K3160" i="7"/>
  <c r="K3161" s="1"/>
  <c r="K2628"/>
  <c r="K2629" s="1"/>
  <c r="I2614" s="1"/>
  <c r="K2614" s="1"/>
  <c r="I3686"/>
  <c r="K3686" s="1"/>
  <c r="K3688" s="1"/>
  <c r="K3590"/>
  <c r="K3591" s="1"/>
  <c r="K3592" s="1"/>
  <c r="K3582" s="1"/>
  <c r="K3583" s="1"/>
  <c r="AD1358" i="4"/>
  <c r="AB1375"/>
  <c r="K2859" i="7"/>
  <c r="K1813"/>
  <c r="X114" i="6"/>
  <c r="X116" s="1"/>
  <c r="X118" s="1"/>
  <c r="X119" s="1"/>
  <c r="K3725"/>
  <c r="I3717" s="1"/>
  <c r="K3717" s="1"/>
  <c r="K3718" s="1"/>
  <c r="K3719" s="1"/>
  <c r="R3500" i="7"/>
  <c r="K1805"/>
  <c r="R541"/>
  <c r="R543" s="1"/>
  <c r="K707" i="6"/>
  <c r="I708" s="1"/>
  <c r="K708" s="1"/>
  <c r="I709" s="1"/>
  <c r="K709" s="1"/>
  <c r="I710" s="1"/>
  <c r="K710" s="1"/>
  <c r="C78" i="4"/>
  <c r="I2148" s="1"/>
  <c r="K247"/>
  <c r="K249" s="1"/>
  <c r="C88"/>
  <c r="I1127" s="1"/>
  <c r="K1127" s="1"/>
  <c r="I2633"/>
  <c r="P3188"/>
  <c r="R3188" s="1"/>
  <c r="K247" i="6"/>
  <c r="K249" s="1"/>
  <c r="K3674" i="7"/>
  <c r="K3648"/>
  <c r="K3617"/>
  <c r="L3135"/>
  <c r="K2192"/>
  <c r="K2879"/>
  <c r="K2860"/>
  <c r="L2859"/>
  <c r="M3011"/>
  <c r="K3011"/>
  <c r="L3012" s="1"/>
  <c r="L3013" s="1"/>
  <c r="K3018"/>
  <c r="K3022" s="1"/>
  <c r="K583"/>
  <c r="I583"/>
  <c r="P635"/>
  <c r="R635" s="1"/>
  <c r="K467"/>
  <c r="K468" s="1"/>
  <c r="K469" s="1"/>
  <c r="K470" s="1"/>
  <c r="K3731"/>
  <c r="P3725"/>
  <c r="R3725" s="1"/>
  <c r="R3625"/>
  <c r="P3650"/>
  <c r="R3650" s="1"/>
  <c r="R3623"/>
  <c r="P3648"/>
  <c r="R3648" s="1"/>
  <c r="K3153"/>
  <c r="K3154" s="1"/>
  <c r="K3183"/>
  <c r="K3184" s="1"/>
  <c r="K3172"/>
  <c r="K3173" s="1"/>
  <c r="M3173" s="1"/>
  <c r="K3209"/>
  <c r="K3210" s="1"/>
  <c r="K3220"/>
  <c r="K3221" s="1"/>
  <c r="K3194"/>
  <c r="K3195" s="1"/>
  <c r="I3057"/>
  <c r="K2939"/>
  <c r="I3037"/>
  <c r="K3037" s="1"/>
  <c r="I2938"/>
  <c r="K2914"/>
  <c r="P2883"/>
  <c r="R2883" s="1"/>
  <c r="R2850"/>
  <c r="I3298"/>
  <c r="K3280"/>
  <c r="I3337"/>
  <c r="K3337" s="1"/>
  <c r="I3322"/>
  <c r="K3322" s="1"/>
  <c r="K3278"/>
  <c r="K3368"/>
  <c r="I3363" s="1"/>
  <c r="K3363" s="1"/>
  <c r="I3402"/>
  <c r="T3501"/>
  <c r="R3501"/>
  <c r="M3712"/>
  <c r="K2208"/>
  <c r="I3889"/>
  <c r="K3889" s="1"/>
  <c r="K3053"/>
  <c r="I3912"/>
  <c r="K3912" s="1"/>
  <c r="K2959"/>
  <c r="I2952"/>
  <c r="K2932"/>
  <c r="I3050"/>
  <c r="I3031"/>
  <c r="K3031" s="1"/>
  <c r="K2908"/>
  <c r="I2934"/>
  <c r="P2885"/>
  <c r="R2885" s="1"/>
  <c r="R2852"/>
  <c r="K3456"/>
  <c r="K3458" s="1"/>
  <c r="K2213" s="1"/>
  <c r="L3348"/>
  <c r="I1544"/>
  <c r="K1544" s="1"/>
  <c r="K1549" s="1"/>
  <c r="K1551" s="1"/>
  <c r="I1517"/>
  <c r="K1517" s="1"/>
  <c r="K1524" s="1"/>
  <c r="K1526" s="1"/>
  <c r="I409"/>
  <c r="K409" s="1"/>
  <c r="K417" s="1"/>
  <c r="K419" s="1"/>
  <c r="I354"/>
  <c r="K354" s="1"/>
  <c r="K362" s="1"/>
  <c r="K364" s="1"/>
  <c r="K366" s="1"/>
  <c r="I334"/>
  <c r="K334" s="1"/>
  <c r="K342" s="1"/>
  <c r="K344" s="1"/>
  <c r="K346" s="1"/>
  <c r="K347" s="1"/>
  <c r="K348" s="1"/>
  <c r="K349" s="1"/>
  <c r="K350" s="1"/>
  <c r="I310"/>
  <c r="K310" s="1"/>
  <c r="K318" s="1"/>
  <c r="K320" s="1"/>
  <c r="I378"/>
  <c r="K378" s="1"/>
  <c r="K386" s="1"/>
  <c r="K388" s="1"/>
  <c r="I393" s="1"/>
  <c r="K393" s="1"/>
  <c r="K397" s="1"/>
  <c r="K399" s="1"/>
  <c r="K401" s="1"/>
  <c r="K402" s="1"/>
  <c r="K403" s="1"/>
  <c r="K404" s="1"/>
  <c r="K405" s="1"/>
  <c r="I2269"/>
  <c r="I1092"/>
  <c r="K1092" s="1"/>
  <c r="I96"/>
  <c r="K96" s="1"/>
  <c r="K83"/>
  <c r="I111"/>
  <c r="K111" s="1"/>
  <c r="AC10"/>
  <c r="C69" s="1"/>
  <c r="I295" s="1"/>
  <c r="K295" s="1"/>
  <c r="Z11"/>
  <c r="I2525"/>
  <c r="K2525" s="1"/>
  <c r="K1014"/>
  <c r="I2441"/>
  <c r="K2441" s="1"/>
  <c r="K2427"/>
  <c r="I2389"/>
  <c r="K2389" s="1"/>
  <c r="K2372"/>
  <c r="I2556"/>
  <c r="K912"/>
  <c r="I2555"/>
  <c r="K911"/>
  <c r="I2522"/>
  <c r="K2522" s="1"/>
  <c r="K1011"/>
  <c r="P619"/>
  <c r="R619" s="1"/>
  <c r="P50"/>
  <c r="R50" s="1"/>
  <c r="R57" s="1"/>
  <c r="R60" s="1"/>
  <c r="P144"/>
  <c r="R144" s="1"/>
  <c r="R196" s="1"/>
  <c r="R198" s="1"/>
  <c r="R201" s="1"/>
  <c r="R202" s="1"/>
  <c r="R203" s="1"/>
  <c r="R204" s="1"/>
  <c r="P79"/>
  <c r="R79" s="1"/>
  <c r="R87" s="1"/>
  <c r="R89" s="1"/>
  <c r="P605"/>
  <c r="R605" s="1"/>
  <c r="I151"/>
  <c r="K151" s="1"/>
  <c r="K160" s="1"/>
  <c r="I139"/>
  <c r="K139" s="1"/>
  <c r="K143" s="1"/>
  <c r="K3427"/>
  <c r="K3428" s="1"/>
  <c r="K3417" s="1"/>
  <c r="L3417" s="1"/>
  <c r="K3500"/>
  <c r="K2414"/>
  <c r="K2416" s="1"/>
  <c r="I2422" s="1"/>
  <c r="K2422" s="1"/>
  <c r="K99"/>
  <c r="K101" s="1"/>
  <c r="K86"/>
  <c r="K88" s="1"/>
  <c r="K1037"/>
  <c r="K1039" s="1"/>
  <c r="K957"/>
  <c r="K959" s="1"/>
  <c r="R381"/>
  <c r="R383" s="1"/>
  <c r="P412" s="1"/>
  <c r="R412" s="1"/>
  <c r="K1427"/>
  <c r="K1429" s="1"/>
  <c r="R713"/>
  <c r="R715" s="1"/>
  <c r="I3748"/>
  <c r="K3748" s="1"/>
  <c r="K3732"/>
  <c r="P3726"/>
  <c r="R3726" s="1"/>
  <c r="I3747"/>
  <c r="K3747" s="1"/>
  <c r="K3749" s="1"/>
  <c r="K3750" s="1"/>
  <c r="K3743" s="1"/>
  <c r="K3730"/>
  <c r="P3724"/>
  <c r="R3724" s="1"/>
  <c r="R3727" s="1"/>
  <c r="R3729" s="1"/>
  <c r="R3721" s="1"/>
  <c r="R3722" s="1"/>
  <c r="R3624"/>
  <c r="P3649"/>
  <c r="R3649" s="1"/>
  <c r="I3059"/>
  <c r="K3059" s="1"/>
  <c r="K2941"/>
  <c r="I3054"/>
  <c r="K2936"/>
  <c r="I3034"/>
  <c r="K3034" s="1"/>
  <c r="K2911"/>
  <c r="I3032"/>
  <c r="K3032" s="1"/>
  <c r="I2937"/>
  <c r="K2909"/>
  <c r="P2890"/>
  <c r="R2890" s="1"/>
  <c r="R2895" s="1"/>
  <c r="R2857"/>
  <c r="K3812"/>
  <c r="K3915"/>
  <c r="I3647"/>
  <c r="K3647" s="1"/>
  <c r="P3617"/>
  <c r="R3617" s="1"/>
  <c r="K3616"/>
  <c r="I3885"/>
  <c r="K3049"/>
  <c r="I3072"/>
  <c r="I2953"/>
  <c r="K2933"/>
  <c r="I3051"/>
  <c r="I3039"/>
  <c r="K3039" s="1"/>
  <c r="I2940"/>
  <c r="K2916"/>
  <c r="I2440"/>
  <c r="K2440" s="1"/>
  <c r="K2425"/>
  <c r="I3487"/>
  <c r="K3487" s="1"/>
  <c r="K3447"/>
  <c r="I3486"/>
  <c r="K3486" s="1"/>
  <c r="K3488" s="1"/>
  <c r="K3489" s="1"/>
  <c r="K3479" s="1"/>
  <c r="K3446"/>
  <c r="K3448" s="1"/>
  <c r="K3449" s="1"/>
  <c r="K3439" s="1"/>
  <c r="K3466"/>
  <c r="K3468" s="1"/>
  <c r="L3468" s="1"/>
  <c r="L3379"/>
  <c r="I3338"/>
  <c r="K3338" s="1"/>
  <c r="I3297"/>
  <c r="K3297" s="1"/>
  <c r="K3279"/>
  <c r="I3962"/>
  <c r="K3962" s="1"/>
  <c r="K3532"/>
  <c r="K3538" s="1"/>
  <c r="K3041"/>
  <c r="K2962"/>
  <c r="I3914"/>
  <c r="K3914" s="1"/>
  <c r="K2961"/>
  <c r="I2051"/>
  <c r="K2051" s="1"/>
  <c r="K2059" s="1"/>
  <c r="K2061" s="1"/>
  <c r="I2071"/>
  <c r="K2071" s="1"/>
  <c r="K2079" s="1"/>
  <c r="K2081" s="1"/>
  <c r="I1684"/>
  <c r="K1684" s="1"/>
  <c r="K1691" s="1"/>
  <c r="K1693" s="1"/>
  <c r="I497"/>
  <c r="K497" s="1"/>
  <c r="I773"/>
  <c r="K773" s="1"/>
  <c r="I64"/>
  <c r="K64" s="1"/>
  <c r="K68" s="1"/>
  <c r="I54"/>
  <c r="K54" s="1"/>
  <c r="K58" s="1"/>
  <c r="I45"/>
  <c r="K45" s="1"/>
  <c r="K49" s="1"/>
  <c r="I271"/>
  <c r="K271" s="1"/>
  <c r="I73"/>
  <c r="K73" s="1"/>
  <c r="K77" s="1"/>
  <c r="I36"/>
  <c r="K36" s="1"/>
  <c r="K40" s="1"/>
  <c r="I28"/>
  <c r="K28" s="1"/>
  <c r="K32" s="1"/>
  <c r="P22"/>
  <c r="R22" s="1"/>
  <c r="R28" s="1"/>
  <c r="R30" s="1"/>
  <c r="I19"/>
  <c r="K19" s="1"/>
  <c r="K23" s="1"/>
  <c r="P10"/>
  <c r="R10" s="1"/>
  <c r="I10"/>
  <c r="K10" s="1"/>
  <c r="I2558"/>
  <c r="K914"/>
  <c r="I2262"/>
  <c r="K1085"/>
  <c r="I1532"/>
  <c r="K1532" s="1"/>
  <c r="K1537" s="1"/>
  <c r="K1539" s="1"/>
  <c r="I1504"/>
  <c r="K1504" s="1"/>
  <c r="K1511" s="1"/>
  <c r="K1513" s="1"/>
  <c r="C82"/>
  <c r="I1253" s="1"/>
  <c r="K1253" s="1"/>
  <c r="K1260" s="1"/>
  <c r="K1262" s="1"/>
  <c r="I1909" s="1"/>
  <c r="K1909" s="1"/>
  <c r="K1920" s="1"/>
  <c r="I224"/>
  <c r="K224" s="1"/>
  <c r="K231" s="1"/>
  <c r="K233" s="1"/>
  <c r="C165"/>
  <c r="I2264"/>
  <c r="K1087"/>
  <c r="I2388"/>
  <c r="K2388" s="1"/>
  <c r="K2391" s="1"/>
  <c r="K2371"/>
  <c r="I2442"/>
  <c r="K2442" s="1"/>
  <c r="K2428"/>
  <c r="I2523"/>
  <c r="K2523" s="1"/>
  <c r="K1012"/>
  <c r="I2261"/>
  <c r="K1084"/>
  <c r="I2554"/>
  <c r="K910"/>
  <c r="K922" s="1"/>
  <c r="K924" s="1"/>
  <c r="I2260"/>
  <c r="K1083"/>
  <c r="K1095" s="1"/>
  <c r="K1097" s="1"/>
  <c r="K3408"/>
  <c r="K3409" s="1"/>
  <c r="K3398" s="1"/>
  <c r="L3398" s="1"/>
  <c r="M3398" s="1"/>
  <c r="N3398" s="1"/>
  <c r="O3398" s="1"/>
  <c r="K3250"/>
  <c r="K3251" s="1"/>
  <c r="K3243" s="1"/>
  <c r="R2861"/>
  <c r="K3268"/>
  <c r="K3269" s="1"/>
  <c r="K3261" s="1"/>
  <c r="K3262" s="1"/>
  <c r="L3262" s="1"/>
  <c r="K2364"/>
  <c r="I2365" s="1"/>
  <c r="I2367" s="1"/>
  <c r="K2367" s="1"/>
  <c r="K712"/>
  <c r="K714" s="1"/>
  <c r="I720" s="1"/>
  <c r="K720" s="1"/>
  <c r="R479"/>
  <c r="R481" s="1"/>
  <c r="R443"/>
  <c r="R445" s="1"/>
  <c r="K114"/>
  <c r="K116" s="1"/>
  <c r="K118" s="1"/>
  <c r="K119" s="1"/>
  <c r="R623"/>
  <c r="R566"/>
  <c r="R568" s="1"/>
  <c r="R858"/>
  <c r="R860" s="1"/>
  <c r="K1052"/>
  <c r="K1054" s="1"/>
  <c r="R220"/>
  <c r="R223" s="1"/>
  <c r="K986"/>
  <c r="K988" s="1"/>
  <c r="R395"/>
  <c r="R397" s="1"/>
  <c r="R698"/>
  <c r="R700" s="1"/>
  <c r="R729"/>
  <c r="R731" s="1"/>
  <c r="C164"/>
  <c r="C79" i="6"/>
  <c r="I255"/>
  <c r="K255" s="1"/>
  <c r="K259" s="1"/>
  <c r="K261" s="1"/>
  <c r="AU163"/>
  <c r="AV163" s="1"/>
  <c r="K3957"/>
  <c r="I3974"/>
  <c r="K3974" s="1"/>
  <c r="P3546"/>
  <c r="R3546" s="1"/>
  <c r="R3530"/>
  <c r="V3586"/>
  <c r="X3571"/>
  <c r="K3540"/>
  <c r="AE3540"/>
  <c r="AG3540" s="1"/>
  <c r="V3540"/>
  <c r="P3529"/>
  <c r="K3525"/>
  <c r="I3541"/>
  <c r="P3365"/>
  <c r="R3365" s="1"/>
  <c r="R3296"/>
  <c r="P3399"/>
  <c r="R3399" s="1"/>
  <c r="V3570"/>
  <c r="X3554"/>
  <c r="X3132"/>
  <c r="V3157"/>
  <c r="X3157" s="1"/>
  <c r="V3561"/>
  <c r="X3545"/>
  <c r="V3160"/>
  <c r="X3160" s="1"/>
  <c r="X3135"/>
  <c r="V3139"/>
  <c r="I4072"/>
  <c r="K4072" s="1"/>
  <c r="X3122"/>
  <c r="K2682"/>
  <c r="I2683"/>
  <c r="K2683" s="1"/>
  <c r="P2514"/>
  <c r="R2514" s="1"/>
  <c r="R2519" s="1"/>
  <c r="R2521" s="1"/>
  <c r="K2507"/>
  <c r="K2512" s="1"/>
  <c r="K2515" s="1"/>
  <c r="R1434"/>
  <c r="P1450"/>
  <c r="P2862"/>
  <c r="R2862" s="1"/>
  <c r="R2829"/>
  <c r="I2764"/>
  <c r="K2764" s="1"/>
  <c r="K2763"/>
  <c r="L3207"/>
  <c r="L3176"/>
  <c r="AB1394"/>
  <c r="AD1394" s="1"/>
  <c r="AD1377"/>
  <c r="AB1388"/>
  <c r="AD1388" s="1"/>
  <c r="AD1371"/>
  <c r="I3488"/>
  <c r="K3488" s="1"/>
  <c r="P2830"/>
  <c r="AE2795"/>
  <c r="AG2795" s="1"/>
  <c r="I2642"/>
  <c r="K2823"/>
  <c r="V2791"/>
  <c r="X2791" s="1"/>
  <c r="I3062"/>
  <c r="P2984"/>
  <c r="R2984" s="1"/>
  <c r="K2977"/>
  <c r="I3060"/>
  <c r="P2982"/>
  <c r="R2982" s="1"/>
  <c r="K2975"/>
  <c r="I3058"/>
  <c r="P2980"/>
  <c r="R2980" s="1"/>
  <c r="K2973"/>
  <c r="V1407"/>
  <c r="X1391"/>
  <c r="AB1389"/>
  <c r="AD1389" s="1"/>
  <c r="AD1372"/>
  <c r="AD1370"/>
  <c r="AB1387"/>
  <c r="AD1387" s="1"/>
  <c r="V898"/>
  <c r="X898" s="1"/>
  <c r="X882"/>
  <c r="X880"/>
  <c r="V896"/>
  <c r="X896" s="1"/>
  <c r="V895"/>
  <c r="X895" s="1"/>
  <c r="X879"/>
  <c r="W563"/>
  <c r="AC563" s="1"/>
  <c r="J562"/>
  <c r="P1468"/>
  <c r="R1451"/>
  <c r="P1462"/>
  <c r="R1445"/>
  <c r="R1427"/>
  <c r="P1443"/>
  <c r="K3781"/>
  <c r="K3791" s="1"/>
  <c r="K3792" s="1"/>
  <c r="V3653"/>
  <c r="X1408"/>
  <c r="AB1406"/>
  <c r="X1404"/>
  <c r="AB1402"/>
  <c r="AC1201"/>
  <c r="AJ1200"/>
  <c r="AE1072"/>
  <c r="AG1072" s="1"/>
  <c r="K1063"/>
  <c r="P997"/>
  <c r="R997" s="1"/>
  <c r="I1078"/>
  <c r="V3158"/>
  <c r="X3158" s="1"/>
  <c r="X3133"/>
  <c r="V2604"/>
  <c r="I3423"/>
  <c r="K3423" s="1"/>
  <c r="K2636"/>
  <c r="P2643"/>
  <c r="R2643" s="1"/>
  <c r="W405"/>
  <c r="W406" s="1"/>
  <c r="W404"/>
  <c r="AE388"/>
  <c r="AE364"/>
  <c r="AG364" s="1"/>
  <c r="AE335"/>
  <c r="AG335" s="1"/>
  <c r="AE311"/>
  <c r="AG311" s="1"/>
  <c r="V355"/>
  <c r="X355" s="1"/>
  <c r="V335"/>
  <c r="X335" s="1"/>
  <c r="V311"/>
  <c r="X311" s="1"/>
  <c r="V379"/>
  <c r="P79"/>
  <c r="R79" s="1"/>
  <c r="I3461"/>
  <c r="I2296"/>
  <c r="K2296" s="1"/>
  <c r="K2302" s="1"/>
  <c r="K2304" s="1"/>
  <c r="P1379"/>
  <c r="R1379" s="1"/>
  <c r="C67"/>
  <c r="P1415"/>
  <c r="R1398"/>
  <c r="V1359"/>
  <c r="P2158"/>
  <c r="R2158" s="1"/>
  <c r="K2151"/>
  <c r="R3294"/>
  <c r="P3397"/>
  <c r="R3397" s="1"/>
  <c r="X715"/>
  <c r="V685"/>
  <c r="X685" s="1"/>
  <c r="C140"/>
  <c r="C138"/>
  <c r="I2775"/>
  <c r="K2775" s="1"/>
  <c r="K2778" s="1"/>
  <c r="I2718"/>
  <c r="K2718" s="1"/>
  <c r="I1548"/>
  <c r="K1548" s="1"/>
  <c r="I1535"/>
  <c r="K1535" s="1"/>
  <c r="I1533"/>
  <c r="K1533" s="1"/>
  <c r="K1538" s="1"/>
  <c r="K1540" s="1"/>
  <c r="I1518"/>
  <c r="K1518" s="1"/>
  <c r="I1506"/>
  <c r="I2712"/>
  <c r="K2712" s="1"/>
  <c r="P1522"/>
  <c r="R1522" s="1"/>
  <c r="I1161"/>
  <c r="K1161" s="1"/>
  <c r="I1147"/>
  <c r="K1147" s="1"/>
  <c r="Z13"/>
  <c r="AC12"/>
  <c r="V642"/>
  <c r="C70"/>
  <c r="J540"/>
  <c r="W539"/>
  <c r="AC539" s="1"/>
  <c r="I1752"/>
  <c r="K1752" s="1"/>
  <c r="I154"/>
  <c r="K154" s="1"/>
  <c r="I184"/>
  <c r="K184" s="1"/>
  <c r="K189" s="1"/>
  <c r="I3420"/>
  <c r="K3420" s="1"/>
  <c r="P2640"/>
  <c r="R2640" s="1"/>
  <c r="K2633"/>
  <c r="V2601"/>
  <c r="I3100"/>
  <c r="K3100" s="1"/>
  <c r="P2669"/>
  <c r="K2662"/>
  <c r="K1844"/>
  <c r="P1860"/>
  <c r="C81"/>
  <c r="W594"/>
  <c r="R24"/>
  <c r="K2368"/>
  <c r="P2374"/>
  <c r="R2374" s="1"/>
  <c r="I3459"/>
  <c r="J3045"/>
  <c r="K3045" s="1"/>
  <c r="K3046" s="1"/>
  <c r="I2994"/>
  <c r="K2994" s="1"/>
  <c r="I2791"/>
  <c r="K2791" s="1"/>
  <c r="L2757" s="1"/>
  <c r="I2739"/>
  <c r="K2739" s="1"/>
  <c r="I2686"/>
  <c r="K2686" s="1"/>
  <c r="I2399"/>
  <c r="I2349"/>
  <c r="I2335"/>
  <c r="K2335" s="1"/>
  <c r="I2322"/>
  <c r="K2322" s="1"/>
  <c r="I2079"/>
  <c r="K2079" s="1"/>
  <c r="I2055"/>
  <c r="K2055" s="1"/>
  <c r="I2031"/>
  <c r="I1995"/>
  <c r="I1912"/>
  <c r="K1912" s="1"/>
  <c r="I2713"/>
  <c r="I2369"/>
  <c r="P2337"/>
  <c r="R2337" s="1"/>
  <c r="I2132"/>
  <c r="K2132" s="1"/>
  <c r="I2012"/>
  <c r="I1974"/>
  <c r="I1944"/>
  <c r="I1828"/>
  <c r="K1828" s="1"/>
  <c r="I1708"/>
  <c r="K1708" s="1"/>
  <c r="I1647"/>
  <c r="P1523"/>
  <c r="R1523" s="1"/>
  <c r="I1480"/>
  <c r="K1480" s="1"/>
  <c r="I1467"/>
  <c r="K1467" s="1"/>
  <c r="I1435"/>
  <c r="K1435" s="1"/>
  <c r="I1407"/>
  <c r="K1407" s="1"/>
  <c r="I2428"/>
  <c r="I2178"/>
  <c r="K2178" s="1"/>
  <c r="K2180" s="1"/>
  <c r="K2182" s="1"/>
  <c r="K2184" s="1"/>
  <c r="I2165"/>
  <c r="K2165" s="1"/>
  <c r="K2167" s="1"/>
  <c r="K2169" s="1"/>
  <c r="I2152"/>
  <c r="I2107"/>
  <c r="K2107" s="1"/>
  <c r="I1846"/>
  <c r="I1810"/>
  <c r="K1810" s="1"/>
  <c r="I1519"/>
  <c r="K1519" s="1"/>
  <c r="I1507"/>
  <c r="I1492"/>
  <c r="K1492" s="1"/>
  <c r="I1455"/>
  <c r="K1455" s="1"/>
  <c r="I1420"/>
  <c r="K1420" s="1"/>
  <c r="I1394"/>
  <c r="K1394" s="1"/>
  <c r="I1359"/>
  <c r="K1359" s="1"/>
  <c r="I1258"/>
  <c r="I1228"/>
  <c r="K1228" s="1"/>
  <c r="I1224"/>
  <c r="P1146"/>
  <c r="I900"/>
  <c r="K900" s="1"/>
  <c r="P891"/>
  <c r="R891" s="1"/>
  <c r="I884"/>
  <c r="I866"/>
  <c r="I763"/>
  <c r="K763" s="1"/>
  <c r="V711"/>
  <c r="I652"/>
  <c r="K652" s="1"/>
  <c r="I606"/>
  <c r="K606" s="1"/>
  <c r="I584"/>
  <c r="I1381"/>
  <c r="K1381" s="1"/>
  <c r="P1360"/>
  <c r="R1360" s="1"/>
  <c r="R1363" s="1"/>
  <c r="R1365" s="1"/>
  <c r="I1338"/>
  <c r="K1338" s="1"/>
  <c r="I1324"/>
  <c r="K1324" s="1"/>
  <c r="I1306"/>
  <c r="I1273"/>
  <c r="I1253"/>
  <c r="I1202"/>
  <c r="K1202" s="1"/>
  <c r="I1162"/>
  <c r="K1162" s="1"/>
  <c r="I1149"/>
  <c r="K1149" s="1"/>
  <c r="I811"/>
  <c r="I785"/>
  <c r="K785" s="1"/>
  <c r="I727"/>
  <c r="K727" s="1"/>
  <c r="V646"/>
  <c r="I622"/>
  <c r="K622" s="1"/>
  <c r="I552"/>
  <c r="K552" s="1"/>
  <c r="P551"/>
  <c r="R551" s="1"/>
  <c r="I528"/>
  <c r="K528" s="1"/>
  <c r="V479"/>
  <c r="P392"/>
  <c r="R392" s="1"/>
  <c r="I339"/>
  <c r="I315"/>
  <c r="I300"/>
  <c r="K300" s="1"/>
  <c r="P298"/>
  <c r="R298" s="1"/>
  <c r="I274"/>
  <c r="K274" s="1"/>
  <c r="I228"/>
  <c r="I213"/>
  <c r="K213" s="1"/>
  <c r="I198"/>
  <c r="P83"/>
  <c r="R83" s="1"/>
  <c r="V530"/>
  <c r="P523"/>
  <c r="R523" s="1"/>
  <c r="I507"/>
  <c r="P505"/>
  <c r="R505" s="1"/>
  <c r="I490"/>
  <c r="K490" s="1"/>
  <c r="I448"/>
  <c r="K448" s="1"/>
  <c r="I414"/>
  <c r="K414" s="1"/>
  <c r="I383"/>
  <c r="P378"/>
  <c r="R378" s="1"/>
  <c r="P364"/>
  <c r="R364" s="1"/>
  <c r="I359"/>
  <c r="P350"/>
  <c r="R350" s="1"/>
  <c r="P338"/>
  <c r="R338" s="1"/>
  <c r="P321"/>
  <c r="R321" s="1"/>
  <c r="P309"/>
  <c r="R309" s="1"/>
  <c r="P286"/>
  <c r="R286" s="1"/>
  <c r="P68"/>
  <c r="R68" s="1"/>
  <c r="P53"/>
  <c r="R53" s="1"/>
  <c r="I1588"/>
  <c r="K1575"/>
  <c r="I3660"/>
  <c r="R431"/>
  <c r="K1969"/>
  <c r="P1969"/>
  <c r="R1969" s="1"/>
  <c r="I2146"/>
  <c r="I2126"/>
  <c r="K2126" s="1"/>
  <c r="I1970"/>
  <c r="I1757"/>
  <c r="K1757" s="1"/>
  <c r="P577"/>
  <c r="R577" s="1"/>
  <c r="P469"/>
  <c r="R469" s="1"/>
  <c r="P451"/>
  <c r="R451" s="1"/>
  <c r="I168"/>
  <c r="K168" s="1"/>
  <c r="P141"/>
  <c r="I83"/>
  <c r="I482"/>
  <c r="K482" s="1"/>
  <c r="P432"/>
  <c r="R432" s="1"/>
  <c r="I176"/>
  <c r="K176" s="1"/>
  <c r="P944"/>
  <c r="R944" s="1"/>
  <c r="R943"/>
  <c r="P1419"/>
  <c r="V1363"/>
  <c r="R1402"/>
  <c r="V3707"/>
  <c r="V3659"/>
  <c r="AQ3105"/>
  <c r="AS3105" s="1"/>
  <c r="AH3105"/>
  <c r="I3759"/>
  <c r="K3759" s="1"/>
  <c r="K3735"/>
  <c r="K3737" s="1"/>
  <c r="K3738" s="1"/>
  <c r="I786"/>
  <c r="K786" s="1"/>
  <c r="I764"/>
  <c r="K764" s="1"/>
  <c r="I2148"/>
  <c r="I1753"/>
  <c r="K1753" s="1"/>
  <c r="I2128"/>
  <c r="K2128" s="1"/>
  <c r="P1143"/>
  <c r="I809"/>
  <c r="I73"/>
  <c r="K73" s="1"/>
  <c r="I54"/>
  <c r="K54" s="1"/>
  <c r="I28"/>
  <c r="K28" s="1"/>
  <c r="I505"/>
  <c r="I272"/>
  <c r="K272" s="1"/>
  <c r="I64"/>
  <c r="K64" s="1"/>
  <c r="P10"/>
  <c r="R10" s="1"/>
  <c r="R14" s="1"/>
  <c r="I10"/>
  <c r="K10" s="1"/>
  <c r="I3458"/>
  <c r="I2993"/>
  <c r="K2993" s="1"/>
  <c r="K2996" s="1"/>
  <c r="I2078"/>
  <c r="K2078" s="1"/>
  <c r="K2085" s="1"/>
  <c r="K2087" s="1"/>
  <c r="I2054"/>
  <c r="K2054" s="1"/>
  <c r="K2061" s="1"/>
  <c r="K2063" s="1"/>
  <c r="I1994"/>
  <c r="I2427"/>
  <c r="I1973"/>
  <c r="I1707"/>
  <c r="K1707" s="1"/>
  <c r="I1491"/>
  <c r="K1491" s="1"/>
  <c r="I2790"/>
  <c r="K2790" s="1"/>
  <c r="L2756" s="1"/>
  <c r="L2759" s="1"/>
  <c r="K2793" s="1"/>
  <c r="I2334"/>
  <c r="K2334" s="1"/>
  <c r="I1358"/>
  <c r="K1358" s="1"/>
  <c r="I1337"/>
  <c r="K1337" s="1"/>
  <c r="I1257"/>
  <c r="I1227"/>
  <c r="K1227" s="1"/>
  <c r="I1223"/>
  <c r="I810"/>
  <c r="V710"/>
  <c r="V645"/>
  <c r="I1380"/>
  <c r="K1380" s="1"/>
  <c r="I1252"/>
  <c r="P1145"/>
  <c r="I489"/>
  <c r="K489" s="1"/>
  <c r="I447"/>
  <c r="K447" s="1"/>
  <c r="I413"/>
  <c r="K413" s="1"/>
  <c r="P285"/>
  <c r="R285" s="1"/>
  <c r="I273"/>
  <c r="K273" s="1"/>
  <c r="I227"/>
  <c r="I212"/>
  <c r="K212" s="1"/>
  <c r="P82"/>
  <c r="R82" s="1"/>
  <c r="P52"/>
  <c r="R52" s="1"/>
  <c r="I506"/>
  <c r="P391"/>
  <c r="R391" s="1"/>
  <c r="I382"/>
  <c r="P377"/>
  <c r="R377" s="1"/>
  <c r="I358"/>
  <c r="I338"/>
  <c r="I314"/>
  <c r="I299"/>
  <c r="K299" s="1"/>
  <c r="I197"/>
  <c r="P67"/>
  <c r="R67" s="1"/>
  <c r="X1335"/>
  <c r="AB1333"/>
  <c r="AC1333" s="1"/>
  <c r="I3808"/>
  <c r="K3808" s="1"/>
  <c r="K3748"/>
  <c r="P1633"/>
  <c r="R1633" s="1"/>
  <c r="R1637" s="1"/>
  <c r="K1631"/>
  <c r="K1635" s="1"/>
  <c r="K1638" s="1"/>
  <c r="K1972"/>
  <c r="P1972"/>
  <c r="R1972" s="1"/>
  <c r="I3564"/>
  <c r="K3564" s="1"/>
  <c r="P1943"/>
  <c r="Q1943" s="1"/>
  <c r="K1943"/>
  <c r="P2027"/>
  <c r="R2027" s="1"/>
  <c r="K2027"/>
  <c r="I3460"/>
  <c r="I2740"/>
  <c r="K2740" s="1"/>
  <c r="I2699"/>
  <c r="K2699" s="1"/>
  <c r="I2687"/>
  <c r="K2687" s="1"/>
  <c r="I2028"/>
  <c r="I2429"/>
  <c r="I2108"/>
  <c r="K2108" s="1"/>
  <c r="I2009"/>
  <c r="I1847"/>
  <c r="I1811"/>
  <c r="K1811" s="1"/>
  <c r="I1709"/>
  <c r="K1709" s="1"/>
  <c r="P1524"/>
  <c r="R1524" s="1"/>
  <c r="I1520"/>
  <c r="K1520" s="1"/>
  <c r="I1508"/>
  <c r="I1493"/>
  <c r="K1493" s="1"/>
  <c r="I1421"/>
  <c r="K1421" s="1"/>
  <c r="I2714"/>
  <c r="I2385"/>
  <c r="K2385" s="1"/>
  <c r="I2153"/>
  <c r="I2133"/>
  <c r="K2133" s="1"/>
  <c r="I1913"/>
  <c r="K1913" s="1"/>
  <c r="I1829"/>
  <c r="K1829" s="1"/>
  <c r="I1648"/>
  <c r="I1436"/>
  <c r="K1436" s="1"/>
  <c r="I1408"/>
  <c r="K1408" s="1"/>
  <c r="I1382"/>
  <c r="K1382" s="1"/>
  <c r="I1339"/>
  <c r="K1339" s="1"/>
  <c r="I1235"/>
  <c r="K1235" s="1"/>
  <c r="I1203"/>
  <c r="K1203" s="1"/>
  <c r="I902"/>
  <c r="K902" s="1"/>
  <c r="V647"/>
  <c r="I1395"/>
  <c r="K1395" s="1"/>
  <c r="I1360"/>
  <c r="K1360" s="1"/>
  <c r="I1325"/>
  <c r="K1325" s="1"/>
  <c r="I1307"/>
  <c r="I1259"/>
  <c r="I1254"/>
  <c r="I1229"/>
  <c r="K1229" s="1"/>
  <c r="I1225"/>
  <c r="P1147"/>
  <c r="I886"/>
  <c r="I868"/>
  <c r="I812"/>
  <c r="V712"/>
  <c r="P552"/>
  <c r="R552" s="1"/>
  <c r="I508"/>
  <c r="I449"/>
  <c r="K449" s="1"/>
  <c r="I415"/>
  <c r="K415" s="1"/>
  <c r="I384"/>
  <c r="P366"/>
  <c r="R366" s="1"/>
  <c r="P351"/>
  <c r="R351" s="1"/>
  <c r="P339"/>
  <c r="R339" s="1"/>
  <c r="P322"/>
  <c r="R322" s="1"/>
  <c r="I316"/>
  <c r="P310"/>
  <c r="R310" s="1"/>
  <c r="I229"/>
  <c r="I214"/>
  <c r="K214" s="1"/>
  <c r="P84"/>
  <c r="R84" s="1"/>
  <c r="P69"/>
  <c r="R69" s="1"/>
  <c r="P54"/>
  <c r="R54" s="1"/>
  <c r="P524"/>
  <c r="R524" s="1"/>
  <c r="P506"/>
  <c r="R506" s="1"/>
  <c r="I491"/>
  <c r="K491" s="1"/>
  <c r="P393"/>
  <c r="R393" s="1"/>
  <c r="P379"/>
  <c r="R379" s="1"/>
  <c r="I360"/>
  <c r="I340"/>
  <c r="I301"/>
  <c r="K301" s="1"/>
  <c r="P299"/>
  <c r="R299" s="1"/>
  <c r="P287"/>
  <c r="R287" s="1"/>
  <c r="I275"/>
  <c r="K275" s="1"/>
  <c r="I199"/>
  <c r="K2843"/>
  <c r="K2845" s="1"/>
  <c r="K730"/>
  <c r="K732" s="1"/>
  <c r="K801" s="1"/>
  <c r="R462"/>
  <c r="R464" s="1"/>
  <c r="R728"/>
  <c r="R730" s="1"/>
  <c r="R759"/>
  <c r="R761" s="1"/>
  <c r="K2252"/>
  <c r="R396"/>
  <c r="R398" s="1"/>
  <c r="I3322"/>
  <c r="R3262"/>
  <c r="I3976"/>
  <c r="K3976" s="1"/>
  <c r="K3959"/>
  <c r="I3530"/>
  <c r="R3403"/>
  <c r="V3163"/>
  <c r="X3163" s="1"/>
  <c r="X3138"/>
  <c r="K3956"/>
  <c r="I3973"/>
  <c r="K3973" s="1"/>
  <c r="K3543"/>
  <c r="AE3543"/>
  <c r="AG3543" s="1"/>
  <c r="V3543"/>
  <c r="I3975"/>
  <c r="K3975" s="1"/>
  <c r="K3958"/>
  <c r="V3574"/>
  <c r="X3558"/>
  <c r="P3547"/>
  <c r="R3547" s="1"/>
  <c r="R3531"/>
  <c r="P3544"/>
  <c r="R3544" s="1"/>
  <c r="R3528"/>
  <c r="P3362"/>
  <c r="R3325"/>
  <c r="I3608"/>
  <c r="K3430"/>
  <c r="R3268"/>
  <c r="P3335"/>
  <c r="I3323"/>
  <c r="R3263"/>
  <c r="P2575"/>
  <c r="R2575" s="1"/>
  <c r="K2574"/>
  <c r="M2581"/>
  <c r="O2581" s="1"/>
  <c r="O2583" s="1"/>
  <c r="O2584" s="1"/>
  <c r="I3747"/>
  <c r="R2433"/>
  <c r="P2573"/>
  <c r="R2573" s="1"/>
  <c r="I2607"/>
  <c r="K2572"/>
  <c r="I2608"/>
  <c r="P2574"/>
  <c r="R2574" s="1"/>
  <c r="K2573"/>
  <c r="L3191"/>
  <c r="AB1384"/>
  <c r="AD1384" s="1"/>
  <c r="AD1367"/>
  <c r="I777"/>
  <c r="K777" s="1"/>
  <c r="K792" s="1"/>
  <c r="K794" s="1"/>
  <c r="K768"/>
  <c r="K770" s="1"/>
  <c r="I2356" s="1"/>
  <c r="P1466"/>
  <c r="R1449"/>
  <c r="R1447"/>
  <c r="P1464"/>
  <c r="P1463"/>
  <c r="R1446"/>
  <c r="P1444"/>
  <c r="R1428"/>
  <c r="P1442"/>
  <c r="R1426"/>
  <c r="I4023"/>
  <c r="K4008"/>
  <c r="I4022"/>
  <c r="K4007"/>
  <c r="X1387"/>
  <c r="V1403"/>
  <c r="K1076"/>
  <c r="I1091"/>
  <c r="K1091" s="1"/>
  <c r="AF688"/>
  <c r="AF687"/>
  <c r="AF690"/>
  <c r="P1458"/>
  <c r="R1441"/>
  <c r="I4006"/>
  <c r="K4006" s="1"/>
  <c r="K3987"/>
  <c r="I3988"/>
  <c r="I4018"/>
  <c r="I3061"/>
  <c r="P2983"/>
  <c r="R2983" s="1"/>
  <c r="K2976"/>
  <c r="I3059"/>
  <c r="P2981"/>
  <c r="R2981" s="1"/>
  <c r="K2974"/>
  <c r="I3057"/>
  <c r="P2979"/>
  <c r="R2979" s="1"/>
  <c r="K2972"/>
  <c r="X1402"/>
  <c r="AB1400"/>
  <c r="K3283"/>
  <c r="V3251"/>
  <c r="X3251" s="1"/>
  <c r="Z28"/>
  <c r="AC28" s="1"/>
  <c r="AC27"/>
  <c r="X1412"/>
  <c r="AB1410"/>
  <c r="AB1409"/>
  <c r="X1411"/>
  <c r="X1410"/>
  <c r="AB1408"/>
  <c r="X1406"/>
  <c r="AB1404"/>
  <c r="X1405"/>
  <c r="AB1403"/>
  <c r="AE1065"/>
  <c r="AG1065" s="1"/>
  <c r="K1056"/>
  <c r="P1067"/>
  <c r="R1067" s="1"/>
  <c r="P1049"/>
  <c r="R1049" s="1"/>
  <c r="P990"/>
  <c r="R990" s="1"/>
  <c r="I3104"/>
  <c r="K3104" s="1"/>
  <c r="P2673"/>
  <c r="K2666"/>
  <c r="P3156"/>
  <c r="R3156" s="1"/>
  <c r="K3149"/>
  <c r="R1148"/>
  <c r="P1179" s="1"/>
  <c r="R1179" s="1"/>
  <c r="V807"/>
  <c r="AU132"/>
  <c r="AV132" s="1"/>
  <c r="P2336"/>
  <c r="R2336" s="1"/>
  <c r="R2338" s="1"/>
  <c r="R2339" s="1"/>
  <c r="I2321"/>
  <c r="K2321" s="1"/>
  <c r="K2323" s="1"/>
  <c r="K2324" s="1"/>
  <c r="I2329" s="1"/>
  <c r="K2329" s="1"/>
  <c r="K2330" s="1"/>
  <c r="K2331" s="1"/>
  <c r="W36"/>
  <c r="W13"/>
  <c r="I1601"/>
  <c r="I1573"/>
  <c r="K1573" s="1"/>
  <c r="P1093"/>
  <c r="K1019"/>
  <c r="P3192"/>
  <c r="I2817"/>
  <c r="K954"/>
  <c r="P947"/>
  <c r="R947" s="1"/>
  <c r="I3387"/>
  <c r="I3477" s="1"/>
  <c r="K3477" s="1"/>
  <c r="I985"/>
  <c r="K985" s="1"/>
  <c r="I950"/>
  <c r="K950" s="1"/>
  <c r="I1127"/>
  <c r="K1127" s="1"/>
  <c r="I1053"/>
  <c r="I1015"/>
  <c r="K1015" s="1"/>
  <c r="I921"/>
  <c r="K921" s="1"/>
  <c r="P210"/>
  <c r="R210" s="1"/>
  <c r="K3146"/>
  <c r="P3153"/>
  <c r="R3153" s="1"/>
  <c r="I2863"/>
  <c r="K2863" s="1"/>
  <c r="K2813"/>
  <c r="P2820"/>
  <c r="AE2786"/>
  <c r="AG2786" s="1"/>
  <c r="P3291"/>
  <c r="P3257"/>
  <c r="R3257" s="1"/>
  <c r="P3221"/>
  <c r="R3188"/>
  <c r="I225"/>
  <c r="K225" s="1"/>
  <c r="C82"/>
  <c r="I1321" s="1"/>
  <c r="K1321" s="1"/>
  <c r="C166"/>
  <c r="I3185"/>
  <c r="I3271"/>
  <c r="K3271" s="1"/>
  <c r="K3172"/>
  <c r="AU107"/>
  <c r="AV107" s="1"/>
  <c r="K82"/>
  <c r="L82"/>
  <c r="P2152"/>
  <c r="R2152" s="1"/>
  <c r="K2145"/>
  <c r="I3682"/>
  <c r="K3682" s="1"/>
  <c r="K3661"/>
  <c r="R1046"/>
  <c r="P1047"/>
  <c r="R1047" s="1"/>
  <c r="W593"/>
  <c r="W592"/>
  <c r="W591"/>
  <c r="R23"/>
  <c r="P1321"/>
  <c r="R1321" s="1"/>
  <c r="R1324" s="1"/>
  <c r="R1326" s="1"/>
  <c r="S1326" s="1"/>
  <c r="R1302"/>
  <c r="I3367"/>
  <c r="K3341"/>
  <c r="K3346" s="1"/>
  <c r="K3348" s="1"/>
  <c r="X1336"/>
  <c r="AB1334"/>
  <c r="AC1334" s="1"/>
  <c r="R3515"/>
  <c r="R3518" s="1"/>
  <c r="R3519" s="1"/>
  <c r="I3506" s="1"/>
  <c r="K3506" s="1"/>
  <c r="K3514" s="1"/>
  <c r="K3515" s="1"/>
  <c r="P3507"/>
  <c r="R3507" s="1"/>
  <c r="R3509" s="1"/>
  <c r="R3510" s="1"/>
  <c r="AQ3106"/>
  <c r="AS3106" s="1"/>
  <c r="AH3106"/>
  <c r="I3809"/>
  <c r="K3809" s="1"/>
  <c r="K3795"/>
  <c r="K36"/>
  <c r="I140"/>
  <c r="I45"/>
  <c r="K45" s="1"/>
  <c r="I19"/>
  <c r="K19" s="1"/>
  <c r="S2321"/>
  <c r="R2361"/>
  <c r="R2363" s="1"/>
  <c r="R2365" s="1"/>
  <c r="P2354" s="1"/>
  <c r="R2354" s="1"/>
  <c r="I3457"/>
  <c r="I2738"/>
  <c r="K2738" s="1"/>
  <c r="K2745" s="1"/>
  <c r="K2747" s="1"/>
  <c r="I2765" s="1"/>
  <c r="K2765" s="1"/>
  <c r="I2698"/>
  <c r="K2698" s="1"/>
  <c r="K2701" s="1"/>
  <c r="K2702" s="1"/>
  <c r="K2703" s="1"/>
  <c r="I2150"/>
  <c r="I2026"/>
  <c r="I1945"/>
  <c r="I1911"/>
  <c r="K1911" s="1"/>
  <c r="K1915" s="1"/>
  <c r="K1917" s="1"/>
  <c r="I1924" s="1"/>
  <c r="K1924" s="1"/>
  <c r="K1927" s="1"/>
  <c r="I2384"/>
  <c r="I2130"/>
  <c r="K2130" s="1"/>
  <c r="K2134" s="1"/>
  <c r="I1845"/>
  <c r="I1809"/>
  <c r="K1809" s="1"/>
  <c r="K1816" s="1"/>
  <c r="K1818" s="1"/>
  <c r="I1872" s="1"/>
  <c r="K1872" s="1"/>
  <c r="K1874" s="1"/>
  <c r="I1479"/>
  <c r="K1479" s="1"/>
  <c r="I1454"/>
  <c r="K1454" s="1"/>
  <c r="I1419"/>
  <c r="K1419" s="1"/>
  <c r="I1406"/>
  <c r="K1406" s="1"/>
  <c r="I2007"/>
  <c r="I1827"/>
  <c r="K1827" s="1"/>
  <c r="K1834" s="1"/>
  <c r="K1836" s="1"/>
  <c r="I1880" s="1"/>
  <c r="K1880" s="1"/>
  <c r="K1882" s="1"/>
  <c r="I1646"/>
  <c r="I1466"/>
  <c r="K1466" s="1"/>
  <c r="I1434"/>
  <c r="K1434" s="1"/>
  <c r="I1379"/>
  <c r="K1379" s="1"/>
  <c r="I1357"/>
  <c r="K1357" s="1"/>
  <c r="I1323"/>
  <c r="K1323" s="1"/>
  <c r="I1251"/>
  <c r="I1222"/>
  <c r="I883"/>
  <c r="I605"/>
  <c r="K605" s="1"/>
  <c r="K610" s="1"/>
  <c r="I1393"/>
  <c r="K1393" s="1"/>
  <c r="I1305"/>
  <c r="I1272"/>
  <c r="I1201"/>
  <c r="K1201" s="1"/>
  <c r="I899"/>
  <c r="K899" s="1"/>
  <c r="I865"/>
  <c r="I651"/>
  <c r="K651" s="1"/>
  <c r="I621"/>
  <c r="K621" s="1"/>
  <c r="I583"/>
  <c r="I551"/>
  <c r="K551" s="1"/>
  <c r="P550"/>
  <c r="R550" s="1"/>
  <c r="R557" s="1"/>
  <c r="R559" s="1"/>
  <c r="I527"/>
  <c r="K527" s="1"/>
  <c r="I488"/>
  <c r="K488" s="1"/>
  <c r="I460"/>
  <c r="K460" s="1"/>
  <c r="P365"/>
  <c r="R365" s="1"/>
  <c r="P337"/>
  <c r="R337" s="1"/>
  <c r="I337"/>
  <c r="P308"/>
  <c r="R308" s="1"/>
  <c r="I298"/>
  <c r="K298" s="1"/>
  <c r="P268"/>
  <c r="R268" s="1"/>
  <c r="P181"/>
  <c r="R181" s="1"/>
  <c r="P81"/>
  <c r="R81" s="1"/>
  <c r="V529"/>
  <c r="P522"/>
  <c r="R522" s="1"/>
  <c r="R529" s="1"/>
  <c r="R531" s="1"/>
  <c r="P504"/>
  <c r="R504" s="1"/>
  <c r="R511" s="1"/>
  <c r="R513" s="1"/>
  <c r="V478"/>
  <c r="I446"/>
  <c r="K446" s="1"/>
  <c r="I427"/>
  <c r="K427" s="1"/>
  <c r="I412"/>
  <c r="K412" s="1"/>
  <c r="I395"/>
  <c r="I381"/>
  <c r="P363"/>
  <c r="R363" s="1"/>
  <c r="I357"/>
  <c r="P349"/>
  <c r="R349" s="1"/>
  <c r="P320"/>
  <c r="R320" s="1"/>
  <c r="I313"/>
  <c r="P297"/>
  <c r="R297" s="1"/>
  <c r="K2011"/>
  <c r="P2012"/>
  <c r="R2012" s="1"/>
  <c r="K2008"/>
  <c r="P2009"/>
  <c r="R2009" s="1"/>
  <c r="P1993"/>
  <c r="R1993" s="1"/>
  <c r="K1993"/>
  <c r="P2030"/>
  <c r="R2030" s="1"/>
  <c r="K2030"/>
  <c r="P3121"/>
  <c r="R3121" s="1"/>
  <c r="R3123" s="1"/>
  <c r="K3121"/>
  <c r="K3123" s="1"/>
  <c r="X1337"/>
  <c r="AB1335"/>
  <c r="AC1335" s="1"/>
  <c r="K1551"/>
  <c r="K1553" s="1"/>
  <c r="I3490" s="1"/>
  <c r="K3490" s="1"/>
  <c r="K923"/>
  <c r="X86"/>
  <c r="X88" s="1"/>
  <c r="R893"/>
  <c r="R895" s="1"/>
  <c r="R487"/>
  <c r="R489" s="1"/>
  <c r="R588"/>
  <c r="R590" s="1"/>
  <c r="R743"/>
  <c r="R745" s="1"/>
  <c r="R382"/>
  <c r="R384" s="1"/>
  <c r="P413" s="1"/>
  <c r="R413" s="1"/>
  <c r="K1496"/>
  <c r="K1498" s="1"/>
  <c r="R1552"/>
  <c r="P1541" s="1"/>
  <c r="R1541" s="1"/>
  <c r="K3799"/>
  <c r="I3789" s="1"/>
  <c r="P1427" i="4"/>
  <c r="V1371"/>
  <c r="R1552"/>
  <c r="P1541" s="1"/>
  <c r="R1541" s="1"/>
  <c r="X3675"/>
  <c r="K2302"/>
  <c r="K2304" s="1"/>
  <c r="K2323"/>
  <c r="K2324" s="1"/>
  <c r="I2329" s="1"/>
  <c r="K2329" s="1"/>
  <c r="K2330" s="1"/>
  <c r="K2331" s="1"/>
  <c r="AD1356"/>
  <c r="AB1373"/>
  <c r="AB1367"/>
  <c r="AD1350"/>
  <c r="I3995"/>
  <c r="AD1360"/>
  <c r="AB1377"/>
  <c r="I777"/>
  <c r="K777" s="1"/>
  <c r="K3956"/>
  <c r="I3973"/>
  <c r="K3973" s="1"/>
  <c r="K3545"/>
  <c r="AE3545"/>
  <c r="AG3545" s="1"/>
  <c r="V3545"/>
  <c r="K3543"/>
  <c r="AE3543"/>
  <c r="AG3543" s="1"/>
  <c r="V3543"/>
  <c r="P3403"/>
  <c r="P3369"/>
  <c r="R3369" s="1"/>
  <c r="R3300"/>
  <c r="P3401"/>
  <c r="R3401" s="1"/>
  <c r="P3367"/>
  <c r="R3367" s="1"/>
  <c r="R3298"/>
  <c r="P3399"/>
  <c r="R3399" s="1"/>
  <c r="P3365"/>
  <c r="R3365" s="1"/>
  <c r="R3296"/>
  <c r="V3586"/>
  <c r="X3571"/>
  <c r="R3262"/>
  <c r="I3322"/>
  <c r="R3161"/>
  <c r="V3120"/>
  <c r="X3135"/>
  <c r="V3160"/>
  <c r="X3160" s="1"/>
  <c r="R2829"/>
  <c r="P2862"/>
  <c r="R2862" s="1"/>
  <c r="P3529"/>
  <c r="K3525"/>
  <c r="I3541"/>
  <c r="L3191"/>
  <c r="R1441"/>
  <c r="P1458"/>
  <c r="I3547"/>
  <c r="I3109"/>
  <c r="K3109" s="1"/>
  <c r="P1055"/>
  <c r="R1055" s="1"/>
  <c r="R953"/>
  <c r="V896"/>
  <c r="X896" s="1"/>
  <c r="X880"/>
  <c r="V895"/>
  <c r="X895" s="1"/>
  <c r="X879"/>
  <c r="P1462"/>
  <c r="R1445"/>
  <c r="I4023"/>
  <c r="K4008"/>
  <c r="I4022"/>
  <c r="K4007"/>
  <c r="K2976"/>
  <c r="I3061"/>
  <c r="P2983"/>
  <c r="R2983" s="1"/>
  <c r="K2974"/>
  <c r="I3059"/>
  <c r="P2981"/>
  <c r="R2981" s="1"/>
  <c r="P2979"/>
  <c r="R2979" s="1"/>
  <c r="K2972"/>
  <c r="I3057"/>
  <c r="AD1353"/>
  <c r="AB1370"/>
  <c r="R1096"/>
  <c r="P1117"/>
  <c r="R1117" s="1"/>
  <c r="K3747"/>
  <c r="I3644"/>
  <c r="P1495"/>
  <c r="R1464"/>
  <c r="V1425"/>
  <c r="X1425" s="1"/>
  <c r="P1467"/>
  <c r="R1450"/>
  <c r="P1449"/>
  <c r="R1433"/>
  <c r="I4006"/>
  <c r="K4006" s="1"/>
  <c r="K3987"/>
  <c r="I3988"/>
  <c r="I4018"/>
  <c r="AB479"/>
  <c r="AD479" s="1"/>
  <c r="X479"/>
  <c r="V384"/>
  <c r="K384"/>
  <c r="V339"/>
  <c r="K339"/>
  <c r="V316"/>
  <c r="K316"/>
  <c r="P234"/>
  <c r="R234" s="1"/>
  <c r="K228"/>
  <c r="R141"/>
  <c r="P126"/>
  <c r="R126" s="1"/>
  <c r="R129" s="1"/>
  <c r="I2128"/>
  <c r="K2128" s="1"/>
  <c r="I1753"/>
  <c r="K1753" s="1"/>
  <c r="I809"/>
  <c r="I505"/>
  <c r="I73"/>
  <c r="K73" s="1"/>
  <c r="I28"/>
  <c r="K28" s="1"/>
  <c r="I10"/>
  <c r="K10" s="1"/>
  <c r="I1644"/>
  <c r="K1644" s="1"/>
  <c r="I1303"/>
  <c r="K1303" s="1"/>
  <c r="I503"/>
  <c r="I3458"/>
  <c r="I2790"/>
  <c r="K2790" s="1"/>
  <c r="L2756" s="1"/>
  <c r="L2759" s="1"/>
  <c r="K2793" s="1"/>
  <c r="I2993"/>
  <c r="K2993" s="1"/>
  <c r="K2996" s="1"/>
  <c r="I2427"/>
  <c r="I2334"/>
  <c r="K2334" s="1"/>
  <c r="I1973"/>
  <c r="I2078"/>
  <c r="K2078" s="1"/>
  <c r="K2085" s="1"/>
  <c r="K2087" s="1"/>
  <c r="I2054"/>
  <c r="K2054" s="1"/>
  <c r="K2061" s="1"/>
  <c r="K2063" s="1"/>
  <c r="I1994"/>
  <c r="I1707"/>
  <c r="K1707" s="1"/>
  <c r="I1491"/>
  <c r="K1491" s="1"/>
  <c r="I1358"/>
  <c r="K1358" s="1"/>
  <c r="I1337"/>
  <c r="K1337" s="1"/>
  <c r="I1257"/>
  <c r="I1227"/>
  <c r="K1227" s="1"/>
  <c r="I1223"/>
  <c r="P1145"/>
  <c r="I1380"/>
  <c r="K1380" s="1"/>
  <c r="I1252"/>
  <c r="I810"/>
  <c r="V710"/>
  <c r="V645"/>
  <c r="I489"/>
  <c r="K489" s="1"/>
  <c r="I447"/>
  <c r="K447" s="1"/>
  <c r="I413"/>
  <c r="K413" s="1"/>
  <c r="P285"/>
  <c r="R285" s="1"/>
  <c r="I273"/>
  <c r="K273" s="1"/>
  <c r="I227"/>
  <c r="I212"/>
  <c r="K212" s="1"/>
  <c r="P82"/>
  <c r="R82" s="1"/>
  <c r="P67"/>
  <c r="R67" s="1"/>
  <c r="P52"/>
  <c r="R52" s="1"/>
  <c r="I506"/>
  <c r="P391"/>
  <c r="R391" s="1"/>
  <c r="I382"/>
  <c r="P377"/>
  <c r="R377" s="1"/>
  <c r="I358"/>
  <c r="I338"/>
  <c r="I314"/>
  <c r="I299"/>
  <c r="K299" s="1"/>
  <c r="I197"/>
  <c r="X1370"/>
  <c r="V1387"/>
  <c r="AB1404"/>
  <c r="X1406"/>
  <c r="AB1400"/>
  <c r="X1402"/>
  <c r="P1074"/>
  <c r="I1093"/>
  <c r="K1078"/>
  <c r="V685"/>
  <c r="X685" s="1"/>
  <c r="X715"/>
  <c r="J663"/>
  <c r="W487"/>
  <c r="AC487" s="1"/>
  <c r="AC1199"/>
  <c r="AJ1198"/>
  <c r="V3707"/>
  <c r="V3659"/>
  <c r="P1321"/>
  <c r="R1321" s="1"/>
  <c r="R1324" s="1"/>
  <c r="R1326" s="1"/>
  <c r="S1326" s="1"/>
  <c r="R1302"/>
  <c r="K3341"/>
  <c r="K3346" s="1"/>
  <c r="K3348" s="1"/>
  <c r="I3367"/>
  <c r="X1337"/>
  <c r="AB1335"/>
  <c r="AC1335" s="1"/>
  <c r="X1336"/>
  <c r="AB1334"/>
  <c r="AC1334" s="1"/>
  <c r="AH3106"/>
  <c r="AQ3106"/>
  <c r="AS3106" s="1"/>
  <c r="R3515"/>
  <c r="P3507"/>
  <c r="R3507" s="1"/>
  <c r="R3509" s="1"/>
  <c r="R3510" s="1"/>
  <c r="I3809"/>
  <c r="K3809" s="1"/>
  <c r="K3795"/>
  <c r="I3808"/>
  <c r="K3808" s="1"/>
  <c r="K3748"/>
  <c r="I3491"/>
  <c r="K3491" s="1"/>
  <c r="I2671"/>
  <c r="I2872"/>
  <c r="K2872" s="1"/>
  <c r="I1136"/>
  <c r="V554"/>
  <c r="X554" s="1"/>
  <c r="X530"/>
  <c r="AB530"/>
  <c r="K359"/>
  <c r="V359"/>
  <c r="K340"/>
  <c r="V340"/>
  <c r="I764"/>
  <c r="K764" s="1"/>
  <c r="K768" s="1"/>
  <c r="K770" s="1"/>
  <c r="I2356" s="1"/>
  <c r="I786"/>
  <c r="K786" s="1"/>
  <c r="AQ132"/>
  <c r="AS132" s="1"/>
  <c r="AQ87"/>
  <c r="AS87" s="1"/>
  <c r="AQ63"/>
  <c r="AS63" s="1"/>
  <c r="AQ163"/>
  <c r="AS163" s="1"/>
  <c r="AQ107"/>
  <c r="AS107" s="1"/>
  <c r="AB1410"/>
  <c r="X1412"/>
  <c r="AB1408"/>
  <c r="X1410"/>
  <c r="AB1406"/>
  <c r="X1408"/>
  <c r="X1407"/>
  <c r="AB1405"/>
  <c r="P1604"/>
  <c r="R1604" s="1"/>
  <c r="K1603"/>
  <c r="I1615"/>
  <c r="V3251"/>
  <c r="X3251" s="1"/>
  <c r="K3283"/>
  <c r="P2820"/>
  <c r="K2813"/>
  <c r="AE2786"/>
  <c r="AG2786" s="1"/>
  <c r="I2863"/>
  <c r="K2863" s="1"/>
  <c r="P2669"/>
  <c r="I3100"/>
  <c r="K3100" s="1"/>
  <c r="K2662"/>
  <c r="P2153"/>
  <c r="R2153" s="1"/>
  <c r="K2146"/>
  <c r="P1970"/>
  <c r="R1970" s="1"/>
  <c r="K1970"/>
  <c r="K1993"/>
  <c r="P1993"/>
  <c r="R1993" s="1"/>
  <c r="K2030"/>
  <c r="P2030"/>
  <c r="R2030" s="1"/>
  <c r="I3564"/>
  <c r="K3564" s="1"/>
  <c r="K1943"/>
  <c r="P2009"/>
  <c r="R2009" s="1"/>
  <c r="K2008"/>
  <c r="I3169"/>
  <c r="K1506"/>
  <c r="X647"/>
  <c r="AD647"/>
  <c r="AF647" s="1"/>
  <c r="V1283"/>
  <c r="X1283" s="1"/>
  <c r="K1254"/>
  <c r="K1307"/>
  <c r="P1305"/>
  <c r="K812"/>
  <c r="V806"/>
  <c r="V886"/>
  <c r="K886"/>
  <c r="P1220"/>
  <c r="K1225"/>
  <c r="I3171"/>
  <c r="K1508"/>
  <c r="K2028"/>
  <c r="P2028"/>
  <c r="R2028" s="1"/>
  <c r="I3643"/>
  <c r="K3643" s="1"/>
  <c r="K1648"/>
  <c r="P2160"/>
  <c r="R2160" s="1"/>
  <c r="K2153"/>
  <c r="P2436"/>
  <c r="R2436" s="1"/>
  <c r="K2429"/>
  <c r="X711"/>
  <c r="Z711" s="1"/>
  <c r="V681"/>
  <c r="X681" s="1"/>
  <c r="I3927"/>
  <c r="I3306"/>
  <c r="K3306" s="1"/>
  <c r="K866"/>
  <c r="P859"/>
  <c r="R859" s="1"/>
  <c r="V866"/>
  <c r="X866" s="1"/>
  <c r="P1177"/>
  <c r="R1177" s="1"/>
  <c r="R1146"/>
  <c r="I1287"/>
  <c r="K1287" s="1"/>
  <c r="K1273"/>
  <c r="AB1266"/>
  <c r="AD1266" s="1"/>
  <c r="V805"/>
  <c r="K811"/>
  <c r="P1219"/>
  <c r="K1224"/>
  <c r="V1287"/>
  <c r="X1287" s="1"/>
  <c r="K1258"/>
  <c r="K1846"/>
  <c r="P1862"/>
  <c r="I3565"/>
  <c r="K3565" s="1"/>
  <c r="K1944"/>
  <c r="K2031"/>
  <c r="P2031"/>
  <c r="R2031" s="1"/>
  <c r="I2411"/>
  <c r="K2411" s="1"/>
  <c r="K2399"/>
  <c r="I3170"/>
  <c r="K1507"/>
  <c r="P2013"/>
  <c r="R2013" s="1"/>
  <c r="K2012"/>
  <c r="P2435"/>
  <c r="R2435" s="1"/>
  <c r="K2428"/>
  <c r="X1335"/>
  <c r="AB1333"/>
  <c r="AC1333" s="1"/>
  <c r="I255"/>
  <c r="K255" s="1"/>
  <c r="C79"/>
  <c r="I3828"/>
  <c r="K3828" s="1"/>
  <c r="P3467"/>
  <c r="R3467" s="1"/>
  <c r="K3461"/>
  <c r="K82"/>
  <c r="L82"/>
  <c r="I3660"/>
  <c r="R431"/>
  <c r="P1969"/>
  <c r="R1969" s="1"/>
  <c r="K1969"/>
  <c r="I3319"/>
  <c r="K3319" s="1"/>
  <c r="I2814"/>
  <c r="I2663"/>
  <c r="P3189"/>
  <c r="I3147"/>
  <c r="I2634"/>
  <c r="C89"/>
  <c r="P1047"/>
  <c r="R1047" s="1"/>
  <c r="R1046"/>
  <c r="W36"/>
  <c r="W13"/>
  <c r="I1752"/>
  <c r="K1752" s="1"/>
  <c r="K1760" s="1"/>
  <c r="K1762" s="1"/>
  <c r="I154"/>
  <c r="K154" s="1"/>
  <c r="I184"/>
  <c r="K184" s="1"/>
  <c r="K189" s="1"/>
  <c r="K3149"/>
  <c r="P3156"/>
  <c r="R3156" s="1"/>
  <c r="P3397"/>
  <c r="R3397" s="1"/>
  <c r="R3294"/>
  <c r="J540"/>
  <c r="W539"/>
  <c r="AC539" s="1"/>
  <c r="K1844"/>
  <c r="P1860"/>
  <c r="P641"/>
  <c r="R641" s="1"/>
  <c r="P50"/>
  <c r="R50" s="1"/>
  <c r="K3585"/>
  <c r="K3586" s="1"/>
  <c r="K259"/>
  <c r="K261" s="1"/>
  <c r="K3799"/>
  <c r="I3789" s="1"/>
  <c r="R487"/>
  <c r="R489" s="1"/>
  <c r="R396"/>
  <c r="R398" s="1"/>
  <c r="X86"/>
  <c r="X88" s="1"/>
  <c r="K3957"/>
  <c r="I3974"/>
  <c r="K3974" s="1"/>
  <c r="P3546"/>
  <c r="R3546" s="1"/>
  <c r="R3530"/>
  <c r="I3976"/>
  <c r="K3976" s="1"/>
  <c r="K3959"/>
  <c r="I3975"/>
  <c r="K3975" s="1"/>
  <c r="K3958"/>
  <c r="P3402"/>
  <c r="R3402" s="1"/>
  <c r="P3368"/>
  <c r="R3368" s="1"/>
  <c r="R3299"/>
  <c r="P3400"/>
  <c r="R3400" s="1"/>
  <c r="P3366"/>
  <c r="R3366" s="1"/>
  <c r="R3297"/>
  <c r="P3398"/>
  <c r="R3398" s="1"/>
  <c r="P3364"/>
  <c r="R3364" s="1"/>
  <c r="R3295"/>
  <c r="P3528"/>
  <c r="K3524"/>
  <c r="I3540"/>
  <c r="R3263"/>
  <c r="I3323"/>
  <c r="K3185"/>
  <c r="I3368"/>
  <c r="R3160"/>
  <c r="V3121"/>
  <c r="V3157"/>
  <c r="X3157" s="1"/>
  <c r="X3132"/>
  <c r="K2682"/>
  <c r="I2683"/>
  <c r="K2683" s="1"/>
  <c r="V3585"/>
  <c r="X3570"/>
  <c r="V3558"/>
  <c r="X3542"/>
  <c r="I3629"/>
  <c r="K3629" s="1"/>
  <c r="K3631" s="1"/>
  <c r="K3633" s="1"/>
  <c r="K3608"/>
  <c r="P2514"/>
  <c r="R2514" s="1"/>
  <c r="K2507"/>
  <c r="L3207"/>
  <c r="L3176"/>
  <c r="I2508"/>
  <c r="K2486"/>
  <c r="K2490" s="1"/>
  <c r="K2492" s="1"/>
  <c r="P1468"/>
  <c r="R1451"/>
  <c r="P3396"/>
  <c r="R3396" s="1"/>
  <c r="R3362"/>
  <c r="P3335"/>
  <c r="R3268"/>
  <c r="V3164"/>
  <c r="X3164" s="1"/>
  <c r="X3139"/>
  <c r="K2539"/>
  <c r="K2542" s="1"/>
  <c r="K2545" s="1"/>
  <c r="K2548" s="1"/>
  <c r="I2574"/>
  <c r="I2608"/>
  <c r="P2574"/>
  <c r="R2574" s="1"/>
  <c r="K2573"/>
  <c r="P2573"/>
  <c r="R2573" s="1"/>
  <c r="I2607"/>
  <c r="K2572"/>
  <c r="AB1388"/>
  <c r="AD1388" s="1"/>
  <c r="AD1371"/>
  <c r="P1446"/>
  <c r="R1430"/>
  <c r="P1428"/>
  <c r="R1411"/>
  <c r="V1372"/>
  <c r="AB1389"/>
  <c r="AD1389" s="1"/>
  <c r="AD1372"/>
  <c r="AB1369"/>
  <c r="AD1352"/>
  <c r="V897"/>
  <c r="X897" s="1"/>
  <c r="X881"/>
  <c r="K3781"/>
  <c r="K3791" s="1"/>
  <c r="K3792" s="1"/>
  <c r="V3653"/>
  <c r="I3488"/>
  <c r="K3488" s="1"/>
  <c r="K2823"/>
  <c r="V2791"/>
  <c r="X2791" s="1"/>
  <c r="I2642"/>
  <c r="P2830"/>
  <c r="AE2795"/>
  <c r="AG2795" s="1"/>
  <c r="K2977"/>
  <c r="I3062"/>
  <c r="P2984"/>
  <c r="R2984" s="1"/>
  <c r="K2975"/>
  <c r="I3060"/>
  <c r="P2982"/>
  <c r="R2982" s="1"/>
  <c r="P2980"/>
  <c r="R2980" s="1"/>
  <c r="K2973"/>
  <c r="I3058"/>
  <c r="I2902"/>
  <c r="K2902" s="1"/>
  <c r="K508"/>
  <c r="V315"/>
  <c r="K315"/>
  <c r="P235"/>
  <c r="R235" s="1"/>
  <c r="K229"/>
  <c r="P198"/>
  <c r="P166"/>
  <c r="R166" s="1"/>
  <c r="K198"/>
  <c r="I111"/>
  <c r="K111" s="1"/>
  <c r="I96"/>
  <c r="K83"/>
  <c r="V355"/>
  <c r="X355" s="1"/>
  <c r="V335"/>
  <c r="X335" s="1"/>
  <c r="V311"/>
  <c r="X311" s="1"/>
  <c r="P79"/>
  <c r="R79" s="1"/>
  <c r="V379"/>
  <c r="I140"/>
  <c r="I45"/>
  <c r="K45" s="1"/>
  <c r="K36"/>
  <c r="I19"/>
  <c r="K19" s="1"/>
  <c r="I1019"/>
  <c r="P752"/>
  <c r="R752" s="1"/>
  <c r="R759" s="1"/>
  <c r="R761" s="1"/>
  <c r="P736"/>
  <c r="R736" s="1"/>
  <c r="R743" s="1"/>
  <c r="R745" s="1"/>
  <c r="I989"/>
  <c r="K989" s="1"/>
  <c r="I954"/>
  <c r="P721"/>
  <c r="R721" s="1"/>
  <c r="W594"/>
  <c r="R24"/>
  <c r="Z13"/>
  <c r="AC12"/>
  <c r="I3457"/>
  <c r="I2698"/>
  <c r="K2698" s="1"/>
  <c r="K2701" s="1"/>
  <c r="K2702" s="1"/>
  <c r="K2703" s="1"/>
  <c r="I2738"/>
  <c r="K2738" s="1"/>
  <c r="K2745" s="1"/>
  <c r="K2747" s="1"/>
  <c r="I2765" s="1"/>
  <c r="K2765" s="1"/>
  <c r="K2767" s="1"/>
  <c r="I2384"/>
  <c r="I2130"/>
  <c r="K2130" s="1"/>
  <c r="K2134" s="1"/>
  <c r="I2007"/>
  <c r="I1945"/>
  <c r="I1827"/>
  <c r="K1827" s="1"/>
  <c r="K1834" s="1"/>
  <c r="K1836" s="1"/>
  <c r="I1880" s="1"/>
  <c r="K1880" s="1"/>
  <c r="K1882" s="1"/>
  <c r="I1646"/>
  <c r="I1466"/>
  <c r="K1466" s="1"/>
  <c r="I1434"/>
  <c r="K1434" s="1"/>
  <c r="I2150"/>
  <c r="I2026"/>
  <c r="I1911"/>
  <c r="K1911" s="1"/>
  <c r="K1915" s="1"/>
  <c r="K1917" s="1"/>
  <c r="I1924" s="1"/>
  <c r="K1924" s="1"/>
  <c r="I1845"/>
  <c r="I1809"/>
  <c r="K1809" s="1"/>
  <c r="K1816" s="1"/>
  <c r="K1818" s="1"/>
  <c r="I1872" s="1"/>
  <c r="K1872" s="1"/>
  <c r="K1874" s="1"/>
  <c r="I1479"/>
  <c r="K1479" s="1"/>
  <c r="I1454"/>
  <c r="K1454" s="1"/>
  <c r="I1406"/>
  <c r="K1406" s="1"/>
  <c r="I1379"/>
  <c r="K1379" s="1"/>
  <c r="I1357"/>
  <c r="K1357" s="1"/>
  <c r="I1323"/>
  <c r="K1323" s="1"/>
  <c r="I1251"/>
  <c r="I1222"/>
  <c r="I1201"/>
  <c r="K1201" s="1"/>
  <c r="I899"/>
  <c r="K899" s="1"/>
  <c r="I865"/>
  <c r="I651"/>
  <c r="K651" s="1"/>
  <c r="I621"/>
  <c r="K621" s="1"/>
  <c r="I583"/>
  <c r="I1419"/>
  <c r="K1419" s="1"/>
  <c r="I1393"/>
  <c r="K1393" s="1"/>
  <c r="I1305"/>
  <c r="I1272"/>
  <c r="I883"/>
  <c r="I605"/>
  <c r="K605" s="1"/>
  <c r="K610" s="1"/>
  <c r="I551"/>
  <c r="K551" s="1"/>
  <c r="P550"/>
  <c r="R550" s="1"/>
  <c r="R557" s="1"/>
  <c r="R559" s="1"/>
  <c r="I527"/>
  <c r="K527" s="1"/>
  <c r="I488"/>
  <c r="K488" s="1"/>
  <c r="P365"/>
  <c r="R365" s="1"/>
  <c r="P337"/>
  <c r="R337" s="1"/>
  <c r="I337"/>
  <c r="P308"/>
  <c r="R308" s="1"/>
  <c r="I298"/>
  <c r="K298" s="1"/>
  <c r="P268"/>
  <c r="R268" s="1"/>
  <c r="P181"/>
  <c r="R181" s="1"/>
  <c r="V529"/>
  <c r="P522"/>
  <c r="R522" s="1"/>
  <c r="R529" s="1"/>
  <c r="R531" s="1"/>
  <c r="P504"/>
  <c r="R504" s="1"/>
  <c r="R511" s="1"/>
  <c r="R513" s="1"/>
  <c r="V478"/>
  <c r="I460"/>
  <c r="K460" s="1"/>
  <c r="I446"/>
  <c r="K446" s="1"/>
  <c r="I427"/>
  <c r="K427" s="1"/>
  <c r="I412"/>
  <c r="K412" s="1"/>
  <c r="I395"/>
  <c r="I381"/>
  <c r="P363"/>
  <c r="R363" s="1"/>
  <c r="I357"/>
  <c r="P349"/>
  <c r="R349" s="1"/>
  <c r="P320"/>
  <c r="R320" s="1"/>
  <c r="I313"/>
  <c r="P297"/>
  <c r="R297" s="1"/>
  <c r="P81"/>
  <c r="R81" s="1"/>
  <c r="R1426"/>
  <c r="P1442"/>
  <c r="X1411"/>
  <c r="AB1409"/>
  <c r="K2151"/>
  <c r="P2158"/>
  <c r="R2158" s="1"/>
  <c r="V807"/>
  <c r="R1148"/>
  <c r="P1179" s="1"/>
  <c r="R1179" s="1"/>
  <c r="W562"/>
  <c r="AC562" s="1"/>
  <c r="J561"/>
  <c r="P1419"/>
  <c r="R1402"/>
  <c r="V1363"/>
  <c r="AH3105"/>
  <c r="AH3109" s="1"/>
  <c r="AQ3105"/>
  <c r="AS3105" s="1"/>
  <c r="AS3109" s="1"/>
  <c r="I3759"/>
  <c r="K3759" s="1"/>
  <c r="K3735"/>
  <c r="K3737" s="1"/>
  <c r="K3738" s="1"/>
  <c r="I2901"/>
  <c r="K2901" s="1"/>
  <c r="K507"/>
  <c r="I3661"/>
  <c r="R432"/>
  <c r="W405"/>
  <c r="W406" s="1"/>
  <c r="W404"/>
  <c r="K383"/>
  <c r="V383"/>
  <c r="K360"/>
  <c r="V360"/>
  <c r="K199"/>
  <c r="P167"/>
  <c r="R167" s="1"/>
  <c r="P199"/>
  <c r="I3387"/>
  <c r="I3477" s="1"/>
  <c r="K3477" s="1"/>
  <c r="I1053"/>
  <c r="I921"/>
  <c r="K921" s="1"/>
  <c r="K923" s="1"/>
  <c r="I950"/>
  <c r="K950" s="1"/>
  <c r="AC32"/>
  <c r="C139" s="1"/>
  <c r="Z33"/>
  <c r="AC33" s="1"/>
  <c r="I225"/>
  <c r="K225" s="1"/>
  <c r="C82"/>
  <c r="I1321" s="1"/>
  <c r="K1321" s="1"/>
  <c r="K1328" s="1"/>
  <c r="K1330" s="1"/>
  <c r="I1987" s="1"/>
  <c r="C166"/>
  <c r="P1415"/>
  <c r="V1359"/>
  <c r="R1398"/>
  <c r="R1404" s="1"/>
  <c r="K1575"/>
  <c r="I1588"/>
  <c r="K1588" s="1"/>
  <c r="V3158"/>
  <c r="X3158" s="1"/>
  <c r="X3133"/>
  <c r="I3423"/>
  <c r="K3423" s="1"/>
  <c r="V2604"/>
  <c r="P2643"/>
  <c r="R2643" s="1"/>
  <c r="K2636"/>
  <c r="P2640"/>
  <c r="R2640" s="1"/>
  <c r="K2633"/>
  <c r="V2601"/>
  <c r="I3420"/>
  <c r="K3420" s="1"/>
  <c r="P3221"/>
  <c r="P3291"/>
  <c r="P3153"/>
  <c r="R3153" s="1"/>
  <c r="K3146"/>
  <c r="P2374"/>
  <c r="R2374" s="1"/>
  <c r="K2368"/>
  <c r="K2027"/>
  <c r="P2027"/>
  <c r="R2027" s="1"/>
  <c r="P1633"/>
  <c r="R1633" s="1"/>
  <c r="R1637" s="1"/>
  <c r="K1631"/>
  <c r="K1635" s="1"/>
  <c r="K1638" s="1"/>
  <c r="P1972"/>
  <c r="R1972" s="1"/>
  <c r="K1972"/>
  <c r="P2012"/>
  <c r="R2012" s="1"/>
  <c r="K2011"/>
  <c r="K3121"/>
  <c r="K3123" s="1"/>
  <c r="P3121"/>
  <c r="R3121" s="1"/>
  <c r="R3123" s="1"/>
  <c r="K1259"/>
  <c r="V1288"/>
  <c r="X1288" s="1"/>
  <c r="X712"/>
  <c r="Z712" s="1"/>
  <c r="V682"/>
  <c r="X682" s="1"/>
  <c r="I3929"/>
  <c r="I3308"/>
  <c r="K3308" s="1"/>
  <c r="V868"/>
  <c r="X868" s="1"/>
  <c r="K868"/>
  <c r="P861"/>
  <c r="R861" s="1"/>
  <c r="P1178"/>
  <c r="R1178" s="1"/>
  <c r="R1147"/>
  <c r="K1847"/>
  <c r="P1863"/>
  <c r="P2010"/>
  <c r="R2010" s="1"/>
  <c r="K2009"/>
  <c r="K2714"/>
  <c r="I2720"/>
  <c r="K2720" s="1"/>
  <c r="I3465"/>
  <c r="I3827"/>
  <c r="K3827" s="1"/>
  <c r="P3466"/>
  <c r="R3466" s="1"/>
  <c r="K3460"/>
  <c r="K884"/>
  <c r="V884"/>
  <c r="V1282"/>
  <c r="X1282" s="1"/>
  <c r="K1253"/>
  <c r="K1306"/>
  <c r="P1335"/>
  <c r="P1304"/>
  <c r="R1304" s="1"/>
  <c r="V584"/>
  <c r="X584" s="1"/>
  <c r="K584"/>
  <c r="AD646"/>
  <c r="AF646" s="1"/>
  <c r="X646"/>
  <c r="I3642"/>
  <c r="K3642" s="1"/>
  <c r="K1647"/>
  <c r="K1995"/>
  <c r="P1995"/>
  <c r="R1995" s="1"/>
  <c r="I3578"/>
  <c r="K2349"/>
  <c r="K2351" s="1"/>
  <c r="K2352" s="1"/>
  <c r="P1974"/>
  <c r="R1974" s="1"/>
  <c r="K1974"/>
  <c r="P2159"/>
  <c r="R2159" s="1"/>
  <c r="K2152"/>
  <c r="P2375"/>
  <c r="R2375" s="1"/>
  <c r="K2369"/>
  <c r="K2713"/>
  <c r="I2719"/>
  <c r="K2719" s="1"/>
  <c r="I3826"/>
  <c r="K3826" s="1"/>
  <c r="P3465"/>
  <c r="R3465" s="1"/>
  <c r="I3464"/>
  <c r="K3459"/>
  <c r="R2361"/>
  <c r="R2363" s="1"/>
  <c r="R2365" s="1"/>
  <c r="P2354" s="1"/>
  <c r="R2354" s="1"/>
  <c r="S2321"/>
  <c r="I2425"/>
  <c r="I2127"/>
  <c r="K2127" s="1"/>
  <c r="I1589"/>
  <c r="K1589" s="1"/>
  <c r="I1576"/>
  <c r="K1576" s="1"/>
  <c r="I2147"/>
  <c r="I1645"/>
  <c r="I1561"/>
  <c r="K1561" s="1"/>
  <c r="K1567" s="1"/>
  <c r="I1255"/>
  <c r="I1304"/>
  <c r="K1304" s="1"/>
  <c r="I1284"/>
  <c r="K1284" s="1"/>
  <c r="I1226"/>
  <c r="I808"/>
  <c r="I72"/>
  <c r="K72" s="1"/>
  <c r="K77" s="1"/>
  <c r="I44"/>
  <c r="K44" s="1"/>
  <c r="K49" s="1"/>
  <c r="I35"/>
  <c r="K35" s="1"/>
  <c r="K40" s="1"/>
  <c r="I18"/>
  <c r="K18" s="1"/>
  <c r="K23" s="1"/>
  <c r="I504"/>
  <c r="I271"/>
  <c r="K271" s="1"/>
  <c r="I63"/>
  <c r="K63" s="1"/>
  <c r="I53"/>
  <c r="K53" s="1"/>
  <c r="I27"/>
  <c r="K27" s="1"/>
  <c r="K32" s="1"/>
  <c r="I9"/>
  <c r="P2152"/>
  <c r="R2152" s="1"/>
  <c r="K2145"/>
  <c r="I3282"/>
  <c r="P3259"/>
  <c r="R3259" s="1"/>
  <c r="I2815"/>
  <c r="C90"/>
  <c r="P944"/>
  <c r="R944" s="1"/>
  <c r="R943"/>
  <c r="P1067"/>
  <c r="R1067" s="1"/>
  <c r="P1049"/>
  <c r="R1049" s="1"/>
  <c r="P990"/>
  <c r="R990" s="1"/>
  <c r="AE1065"/>
  <c r="AG1065" s="1"/>
  <c r="K1056"/>
  <c r="I3104"/>
  <c r="K3104" s="1"/>
  <c r="P2673"/>
  <c r="K2666"/>
  <c r="W593"/>
  <c r="W592"/>
  <c r="W591"/>
  <c r="R23"/>
  <c r="R2986"/>
  <c r="R2988" s="1"/>
  <c r="K1927"/>
  <c r="K3725"/>
  <c r="I3717" s="1"/>
  <c r="K3717" s="1"/>
  <c r="K3718" s="1"/>
  <c r="K3719" s="1"/>
  <c r="R1527"/>
  <c r="R1529" s="1"/>
  <c r="R3518"/>
  <c r="R3519" s="1"/>
  <c r="I3506" s="1"/>
  <c r="K3506" s="1"/>
  <c r="K3514" s="1"/>
  <c r="K3515" s="1"/>
  <c r="K86"/>
  <c r="K88" s="1"/>
  <c r="K114"/>
  <c r="K116" s="1"/>
  <c r="R462"/>
  <c r="R464" s="1"/>
  <c r="R645"/>
  <c r="R588"/>
  <c r="R590" s="1"/>
  <c r="R728"/>
  <c r="R730" s="1"/>
  <c r="K2252"/>
  <c r="R382"/>
  <c r="R384" s="1"/>
  <c r="P413" s="1"/>
  <c r="R413" s="1"/>
  <c r="K1496"/>
  <c r="K1498" s="1"/>
  <c r="X114"/>
  <c r="X116" s="1"/>
  <c r="X118" s="1"/>
  <c r="X119" s="1"/>
  <c r="R144"/>
  <c r="C165"/>
  <c r="M3688" i="7" l="1"/>
  <c r="K3689"/>
  <c r="K3692" s="1"/>
  <c r="K3695" s="1"/>
  <c r="L3690"/>
  <c r="K2723" i="4"/>
  <c r="K2725" s="1"/>
  <c r="AB1392"/>
  <c r="AD1392" s="1"/>
  <c r="AD1375"/>
  <c r="K2376" i="7"/>
  <c r="K2979" i="6"/>
  <c r="K2981" s="1"/>
  <c r="K2920" i="7"/>
  <c r="M3584"/>
  <c r="K3584"/>
  <c r="K1760" i="6"/>
  <c r="K1762" s="1"/>
  <c r="K2689"/>
  <c r="K2690" s="1"/>
  <c r="K2136" i="4"/>
  <c r="K2138" s="1"/>
  <c r="P3257"/>
  <c r="R3257" s="1"/>
  <c r="P210"/>
  <c r="R210" s="1"/>
  <c r="I985"/>
  <c r="K985" s="1"/>
  <c r="I1015"/>
  <c r="K1015" s="1"/>
  <c r="P10"/>
  <c r="R10" s="1"/>
  <c r="R14" s="1"/>
  <c r="I64"/>
  <c r="K64" s="1"/>
  <c r="K68" s="1"/>
  <c r="I272"/>
  <c r="K272" s="1"/>
  <c r="I54"/>
  <c r="K54" s="1"/>
  <c r="K58" s="1"/>
  <c r="P1143"/>
  <c r="I225" i="7"/>
  <c r="K225" s="1"/>
  <c r="P51"/>
  <c r="R51" s="1"/>
  <c r="R2896"/>
  <c r="S2898"/>
  <c r="T2895"/>
  <c r="K2921"/>
  <c r="L2920"/>
  <c r="M2920"/>
  <c r="P402"/>
  <c r="R402" s="1"/>
  <c r="P401"/>
  <c r="R401" s="1"/>
  <c r="I740"/>
  <c r="K740" s="1"/>
  <c r="K755" s="1"/>
  <c r="K757" s="1"/>
  <c r="K731"/>
  <c r="K733" s="1"/>
  <c r="R2863"/>
  <c r="S2860"/>
  <c r="S2864"/>
  <c r="K2260"/>
  <c r="I2662"/>
  <c r="K2662" s="1"/>
  <c r="I2585"/>
  <c r="K2585" s="1"/>
  <c r="K2554"/>
  <c r="K2261"/>
  <c r="I2663"/>
  <c r="K2663" s="1"/>
  <c r="I2392"/>
  <c r="I2393" s="1"/>
  <c r="J2378" s="1"/>
  <c r="I2381"/>
  <c r="I2666"/>
  <c r="K2666" s="1"/>
  <c r="K2264"/>
  <c r="I851"/>
  <c r="K851" s="1"/>
  <c r="I834"/>
  <c r="K834" s="1"/>
  <c r="I816"/>
  <c r="K816" s="1"/>
  <c r="K14"/>
  <c r="N14"/>
  <c r="I1221"/>
  <c r="K1221" s="1"/>
  <c r="K1226" s="1"/>
  <c r="K1228" s="1"/>
  <c r="P318"/>
  <c r="R318" s="1"/>
  <c r="R324" s="1"/>
  <c r="R326" s="1"/>
  <c r="P306"/>
  <c r="R306" s="1"/>
  <c r="R312" s="1"/>
  <c r="R314" s="1"/>
  <c r="I210"/>
  <c r="K210" s="1"/>
  <c r="P66"/>
  <c r="R66" s="1"/>
  <c r="I1637"/>
  <c r="K1637" s="1"/>
  <c r="I1364"/>
  <c r="K1364" s="1"/>
  <c r="K1371" s="1"/>
  <c r="K1373" s="1"/>
  <c r="I1911" s="1"/>
  <c r="K1911" s="1"/>
  <c r="I1349"/>
  <c r="K1349" s="1"/>
  <c r="K1355" s="1"/>
  <c r="K1357" s="1"/>
  <c r="I1308"/>
  <c r="K1308" s="1"/>
  <c r="K1317" s="1"/>
  <c r="K1319" s="1"/>
  <c r="I1286"/>
  <c r="K1286" s="1"/>
  <c r="K1295" s="1"/>
  <c r="K1297" s="1"/>
  <c r="I1268"/>
  <c r="K1268" s="1"/>
  <c r="K1274" s="1"/>
  <c r="K1276" s="1"/>
  <c r="I1199"/>
  <c r="K1199" s="1"/>
  <c r="K1212" s="1"/>
  <c r="K1214" s="1"/>
  <c r="I1170"/>
  <c r="K1170" s="1"/>
  <c r="K1188" s="1"/>
  <c r="K1191" s="1"/>
  <c r="P283" s="1"/>
  <c r="R283" s="1"/>
  <c r="R288" s="1"/>
  <c r="R290" s="1"/>
  <c r="I591"/>
  <c r="K591" s="1"/>
  <c r="K596" s="1"/>
  <c r="K598" s="1"/>
  <c r="K599" s="1"/>
  <c r="K600" s="1"/>
  <c r="K601" s="1"/>
  <c r="K602" s="1"/>
  <c r="K603" s="1"/>
  <c r="P347"/>
  <c r="R347" s="1"/>
  <c r="R353" s="1"/>
  <c r="R355" s="1"/>
  <c r="P295"/>
  <c r="R295" s="1"/>
  <c r="R301" s="1"/>
  <c r="R303" s="1"/>
  <c r="I1409"/>
  <c r="K1409" s="1"/>
  <c r="K1414" s="1"/>
  <c r="K1416" s="1"/>
  <c r="I1396"/>
  <c r="K1396" s="1"/>
  <c r="K1401" s="1"/>
  <c r="K1403" s="1"/>
  <c r="I1384"/>
  <c r="K1384" s="1"/>
  <c r="K1389" s="1"/>
  <c r="K1391" s="1"/>
  <c r="I1324"/>
  <c r="K1324" s="1"/>
  <c r="K1330" s="1"/>
  <c r="K1332" s="1"/>
  <c r="P606" s="1"/>
  <c r="R606" s="1"/>
  <c r="P335"/>
  <c r="R335" s="1"/>
  <c r="R341" s="1"/>
  <c r="R343" s="1"/>
  <c r="I311"/>
  <c r="K311" s="1"/>
  <c r="I296"/>
  <c r="K296" s="1"/>
  <c r="I195"/>
  <c r="K195" s="1"/>
  <c r="P80"/>
  <c r="R80" s="1"/>
  <c r="L3540"/>
  <c r="K3539"/>
  <c r="I3058"/>
  <c r="I2960"/>
  <c r="K2940"/>
  <c r="I3887"/>
  <c r="K3887" s="1"/>
  <c r="K3051"/>
  <c r="I3906"/>
  <c r="K3906" s="1"/>
  <c r="K2953"/>
  <c r="I3891"/>
  <c r="K3891" s="1"/>
  <c r="K3054"/>
  <c r="P632"/>
  <c r="R632" s="1"/>
  <c r="P589"/>
  <c r="R589" s="1"/>
  <c r="P575"/>
  <c r="R575" s="1"/>
  <c r="R136"/>
  <c r="R137" s="1"/>
  <c r="R138" s="1"/>
  <c r="R139" s="1"/>
  <c r="R140" s="1"/>
  <c r="I2028"/>
  <c r="K2028" s="1"/>
  <c r="K2034" s="1"/>
  <c r="I1893"/>
  <c r="K1893" s="1"/>
  <c r="K1899" s="1"/>
  <c r="I1913"/>
  <c r="K1913" s="1"/>
  <c r="P601"/>
  <c r="R601" s="1"/>
  <c r="R612" s="1"/>
  <c r="P588"/>
  <c r="R588" s="1"/>
  <c r="P574"/>
  <c r="R574" s="1"/>
  <c r="Z35"/>
  <c r="AC35" s="1"/>
  <c r="I253" s="1"/>
  <c r="K253" s="1"/>
  <c r="K258" s="1"/>
  <c r="K260" s="1"/>
  <c r="Z12"/>
  <c r="AC11"/>
  <c r="C70" s="1"/>
  <c r="I2671"/>
  <c r="K2671" s="1"/>
  <c r="K2269"/>
  <c r="P603"/>
  <c r="R603" s="1"/>
  <c r="P602"/>
  <c r="R602" s="1"/>
  <c r="K322"/>
  <c r="K323" s="1"/>
  <c r="K324" s="1"/>
  <c r="K325" s="1"/>
  <c r="K326" s="1"/>
  <c r="K367"/>
  <c r="K368" s="1"/>
  <c r="K369" s="1"/>
  <c r="K370" s="1"/>
  <c r="I2954"/>
  <c r="K2934"/>
  <c r="I3052"/>
  <c r="I3421"/>
  <c r="K3402"/>
  <c r="I3397" s="1"/>
  <c r="K3397" s="1"/>
  <c r="I3323"/>
  <c r="K3323" s="1"/>
  <c r="K3298"/>
  <c r="I2955"/>
  <c r="I3056"/>
  <c r="K3056" s="1"/>
  <c r="K2938"/>
  <c r="M3195"/>
  <c r="L3195"/>
  <c r="L3210"/>
  <c r="M3210"/>
  <c r="M3184"/>
  <c r="L3184"/>
  <c r="K584"/>
  <c r="I584"/>
  <c r="K2883"/>
  <c r="K2890"/>
  <c r="K2898" s="1"/>
  <c r="K2444"/>
  <c r="K2446" s="1"/>
  <c r="K3733"/>
  <c r="K3726" s="1"/>
  <c r="K3727" s="1"/>
  <c r="L3727" s="1"/>
  <c r="K2433"/>
  <c r="K2435" s="1"/>
  <c r="K1022"/>
  <c r="K1024" s="1"/>
  <c r="K3043"/>
  <c r="K3044" s="1"/>
  <c r="K3281"/>
  <c r="K3282" s="1"/>
  <c r="K3275" s="1"/>
  <c r="K3277" s="1"/>
  <c r="K3339"/>
  <c r="K3340" s="1"/>
  <c r="R3652"/>
  <c r="R3653" s="1"/>
  <c r="P3644" s="1"/>
  <c r="R3644" s="1"/>
  <c r="R3646" s="1"/>
  <c r="S3646" s="1"/>
  <c r="I2380"/>
  <c r="I2382" s="1"/>
  <c r="I2383" s="1"/>
  <c r="I2355" s="1"/>
  <c r="K2355" s="1"/>
  <c r="I2377"/>
  <c r="K3772"/>
  <c r="K3244"/>
  <c r="K2262"/>
  <c r="I2664"/>
  <c r="K2664" s="1"/>
  <c r="K2558"/>
  <c r="I2589"/>
  <c r="K2589" s="1"/>
  <c r="I1337"/>
  <c r="K1337" s="1"/>
  <c r="K1343" s="1"/>
  <c r="K1345" s="1"/>
  <c r="I1155"/>
  <c r="K1155" s="1"/>
  <c r="K1161" s="1"/>
  <c r="K1163" s="1"/>
  <c r="I479"/>
  <c r="K479" s="1"/>
  <c r="K487" s="1"/>
  <c r="K489" s="1"/>
  <c r="I379"/>
  <c r="K379" s="1"/>
  <c r="I355"/>
  <c r="K355" s="1"/>
  <c r="I444"/>
  <c r="K444" s="1"/>
  <c r="I410"/>
  <c r="K410" s="1"/>
  <c r="P361"/>
  <c r="R361" s="1"/>
  <c r="R369" s="1"/>
  <c r="R371" s="1"/>
  <c r="I335"/>
  <c r="K335" s="1"/>
  <c r="P179"/>
  <c r="R179" s="1"/>
  <c r="I3931"/>
  <c r="I3075"/>
  <c r="K3072"/>
  <c r="I3895"/>
  <c r="K3895" s="1"/>
  <c r="K3885"/>
  <c r="I3055"/>
  <c r="K3055" s="1"/>
  <c r="K2937"/>
  <c r="K3761"/>
  <c r="K3762" s="1"/>
  <c r="L3762" s="1"/>
  <c r="K3744"/>
  <c r="I2613"/>
  <c r="P586"/>
  <c r="R586" s="1"/>
  <c r="R595" s="1"/>
  <c r="P573"/>
  <c r="R573" s="1"/>
  <c r="R581" s="1"/>
  <c r="K90"/>
  <c r="K89"/>
  <c r="K102"/>
  <c r="K104"/>
  <c r="K105" s="1"/>
  <c r="K3501"/>
  <c r="L3501" s="1"/>
  <c r="L3502"/>
  <c r="L3500" s="1"/>
  <c r="I2586"/>
  <c r="K2586" s="1"/>
  <c r="K2555"/>
  <c r="I2587"/>
  <c r="K2587" s="1"/>
  <c r="K2556"/>
  <c r="I425"/>
  <c r="K425" s="1"/>
  <c r="K429" s="1"/>
  <c r="K431" s="1"/>
  <c r="K433" s="1"/>
  <c r="K434" s="1"/>
  <c r="K435" s="1"/>
  <c r="K436" s="1"/>
  <c r="K437" s="1"/>
  <c r="P266"/>
  <c r="R266" s="1"/>
  <c r="R270" s="1"/>
  <c r="R272" s="1"/>
  <c r="R274" s="1"/>
  <c r="R275" s="1"/>
  <c r="R276" s="1"/>
  <c r="R277" s="1"/>
  <c r="I3886"/>
  <c r="K3886" s="1"/>
  <c r="K3050"/>
  <c r="I3073"/>
  <c r="I3905"/>
  <c r="K3905" s="1"/>
  <c r="I2973"/>
  <c r="K2973" s="1"/>
  <c r="K2977" s="1"/>
  <c r="K2952"/>
  <c r="I3892"/>
  <c r="K3892" s="1"/>
  <c r="K3057"/>
  <c r="K3229"/>
  <c r="K3233" s="1"/>
  <c r="M3221"/>
  <c r="L3221"/>
  <c r="K2199"/>
  <c r="L3154"/>
  <c r="K2196"/>
  <c r="K3023"/>
  <c r="L3023" s="1"/>
  <c r="L3024" s="1"/>
  <c r="L3022"/>
  <c r="L2860"/>
  <c r="L2861" s="1"/>
  <c r="K2184"/>
  <c r="K3299"/>
  <c r="K3291" s="1"/>
  <c r="K3293" s="1"/>
  <c r="K2533"/>
  <c r="K2535" s="1"/>
  <c r="K3324"/>
  <c r="K3318" s="1"/>
  <c r="K3319" s="1"/>
  <c r="R3627"/>
  <c r="R3628" s="1"/>
  <c r="K357" i="6"/>
  <c r="V357"/>
  <c r="K381"/>
  <c r="V381"/>
  <c r="V553"/>
  <c r="X553" s="1"/>
  <c r="X529"/>
  <c r="AB529"/>
  <c r="V337"/>
  <c r="K337"/>
  <c r="V583"/>
  <c r="X583" s="1"/>
  <c r="K583"/>
  <c r="K1272"/>
  <c r="AB1265"/>
  <c r="AD1265" s="1"/>
  <c r="I1286"/>
  <c r="K1286" s="1"/>
  <c r="V883"/>
  <c r="K883"/>
  <c r="V1280"/>
  <c r="X1280" s="1"/>
  <c r="K1251"/>
  <c r="I3641"/>
  <c r="K3641" s="1"/>
  <c r="K1646"/>
  <c r="K2007"/>
  <c r="P2008"/>
  <c r="R2008" s="1"/>
  <c r="K1845"/>
  <c r="P1861"/>
  <c r="K2384"/>
  <c r="I2398"/>
  <c r="I3566"/>
  <c r="K3566" s="1"/>
  <c r="P1945"/>
  <c r="Q1945" s="1"/>
  <c r="K1945"/>
  <c r="K2150"/>
  <c r="P2157"/>
  <c r="R2157" s="1"/>
  <c r="I3354"/>
  <c r="K3354" s="1"/>
  <c r="K3367"/>
  <c r="I3368"/>
  <c r="K3185"/>
  <c r="P2824"/>
  <c r="V2785"/>
  <c r="X2785" s="1"/>
  <c r="AE2789"/>
  <c r="AG2789" s="1"/>
  <c r="K2817"/>
  <c r="W37"/>
  <c r="W38" s="1"/>
  <c r="W39" s="1"/>
  <c r="W14"/>
  <c r="W15" s="1"/>
  <c r="AB1426"/>
  <c r="AD1426" s="1"/>
  <c r="AD1409"/>
  <c r="I2815"/>
  <c r="I3282"/>
  <c r="P3259"/>
  <c r="R3259" s="1"/>
  <c r="C90"/>
  <c r="P3066"/>
  <c r="R3066" s="1"/>
  <c r="I3078"/>
  <c r="K3078" s="1"/>
  <c r="K3059"/>
  <c r="K4018"/>
  <c r="I4033"/>
  <c r="K4033" s="1"/>
  <c r="I4019"/>
  <c r="K4022"/>
  <c r="I4035"/>
  <c r="K4035" s="1"/>
  <c r="K4023"/>
  <c r="I4034"/>
  <c r="K4034" s="1"/>
  <c r="P1459"/>
  <c r="R1442"/>
  <c r="P1461"/>
  <c r="R1444"/>
  <c r="P1494"/>
  <c r="R1463"/>
  <c r="V1424"/>
  <c r="X1424" s="1"/>
  <c r="P1497"/>
  <c r="R1466"/>
  <c r="I3644"/>
  <c r="K3747"/>
  <c r="R3335"/>
  <c r="P3370"/>
  <c r="V3559"/>
  <c r="X3543"/>
  <c r="P3534"/>
  <c r="K3530"/>
  <c r="I3546"/>
  <c r="I3391"/>
  <c r="K3322"/>
  <c r="K2255"/>
  <c r="K2288" s="1"/>
  <c r="L2221"/>
  <c r="M2256"/>
  <c r="K199"/>
  <c r="P167"/>
  <c r="R167" s="1"/>
  <c r="P199"/>
  <c r="K360"/>
  <c r="V360"/>
  <c r="P235"/>
  <c r="R235" s="1"/>
  <c r="K229"/>
  <c r="V316"/>
  <c r="K316"/>
  <c r="I2902"/>
  <c r="K2902" s="1"/>
  <c r="K508"/>
  <c r="X712"/>
  <c r="Z712" s="1"/>
  <c r="V682"/>
  <c r="X682" s="1"/>
  <c r="I3929"/>
  <c r="I3308"/>
  <c r="K3308" s="1"/>
  <c r="K868"/>
  <c r="P861"/>
  <c r="R861" s="1"/>
  <c r="V868"/>
  <c r="X868" s="1"/>
  <c r="R1147"/>
  <c r="P1178"/>
  <c r="R1178" s="1"/>
  <c r="K1259"/>
  <c r="V1288"/>
  <c r="X1288" s="1"/>
  <c r="I3171"/>
  <c r="K1508"/>
  <c r="K2009"/>
  <c r="P2010"/>
  <c r="R2010" s="1"/>
  <c r="P2436"/>
  <c r="R2436" s="1"/>
  <c r="K2429"/>
  <c r="R1640"/>
  <c r="T1640"/>
  <c r="K197"/>
  <c r="P197"/>
  <c r="P165"/>
  <c r="R165" s="1"/>
  <c r="K314"/>
  <c r="V314"/>
  <c r="K358"/>
  <c r="V358"/>
  <c r="V382"/>
  <c r="K382"/>
  <c r="I2900"/>
  <c r="K2900" s="1"/>
  <c r="K506"/>
  <c r="P233"/>
  <c r="R233" s="1"/>
  <c r="K227"/>
  <c r="P1176"/>
  <c r="R1176" s="1"/>
  <c r="R1145"/>
  <c r="X710"/>
  <c r="Z710" s="1"/>
  <c r="V680"/>
  <c r="X680" s="1"/>
  <c r="P1218"/>
  <c r="K1223"/>
  <c r="V1286"/>
  <c r="X1286" s="1"/>
  <c r="K1257"/>
  <c r="K2427"/>
  <c r="P2434"/>
  <c r="R2434" s="1"/>
  <c r="I2899"/>
  <c r="K2899" s="1"/>
  <c r="K505"/>
  <c r="K809"/>
  <c r="V644"/>
  <c r="V802"/>
  <c r="P2155"/>
  <c r="R2155" s="1"/>
  <c r="K2148"/>
  <c r="K3760"/>
  <c r="K3772" s="1"/>
  <c r="K3774" s="1"/>
  <c r="V3721"/>
  <c r="X3721" s="1"/>
  <c r="X3707"/>
  <c r="AB1361"/>
  <c r="X1363"/>
  <c r="R141"/>
  <c r="R144" s="1"/>
  <c r="P126"/>
  <c r="R126" s="1"/>
  <c r="R129" s="1"/>
  <c r="K1970"/>
  <c r="P1970"/>
  <c r="R1970" s="1"/>
  <c r="P2153"/>
  <c r="R2153" s="1"/>
  <c r="K2146"/>
  <c r="K3660"/>
  <c r="K3675" s="1"/>
  <c r="K3677" s="1"/>
  <c r="I3681"/>
  <c r="K3681" s="1"/>
  <c r="K3695" s="1"/>
  <c r="K3697" s="1"/>
  <c r="I1603"/>
  <c r="K1588"/>
  <c r="K359"/>
  <c r="V359"/>
  <c r="I2901"/>
  <c r="K2901" s="1"/>
  <c r="K507"/>
  <c r="V554"/>
  <c r="X554" s="1"/>
  <c r="X530"/>
  <c r="AB530"/>
  <c r="P198"/>
  <c r="P166"/>
  <c r="R166" s="1"/>
  <c r="K198"/>
  <c r="P234"/>
  <c r="R234" s="1"/>
  <c r="K228"/>
  <c r="V315"/>
  <c r="K315"/>
  <c r="X646"/>
  <c r="AD646"/>
  <c r="AF646" s="1"/>
  <c r="I1287"/>
  <c r="K1287" s="1"/>
  <c r="K1273"/>
  <c r="AB1266"/>
  <c r="AD1266" s="1"/>
  <c r="V584"/>
  <c r="X584" s="1"/>
  <c r="K584"/>
  <c r="V884"/>
  <c r="K884"/>
  <c r="P1219"/>
  <c r="K1224"/>
  <c r="V1287"/>
  <c r="X1287" s="1"/>
  <c r="K1258"/>
  <c r="I3170"/>
  <c r="K1507"/>
  <c r="P2435"/>
  <c r="R2435" s="1"/>
  <c r="K2428"/>
  <c r="I3642"/>
  <c r="K3642" s="1"/>
  <c r="K1647"/>
  <c r="K1974"/>
  <c r="P1974"/>
  <c r="R1974" s="1"/>
  <c r="K2369"/>
  <c r="P2375"/>
  <c r="R2375" s="1"/>
  <c r="P2031"/>
  <c r="R2031" s="1"/>
  <c r="K2031"/>
  <c r="I2411"/>
  <c r="K2411" s="1"/>
  <c r="K2399"/>
  <c r="I3826"/>
  <c r="K3826" s="1"/>
  <c r="P3465"/>
  <c r="R3465" s="1"/>
  <c r="I3464"/>
  <c r="K3459"/>
  <c r="AE2615"/>
  <c r="AG2615" s="1"/>
  <c r="AE2649"/>
  <c r="AG2649" s="1"/>
  <c r="X2601"/>
  <c r="Z2599"/>
  <c r="J541"/>
  <c r="W540"/>
  <c r="AC540" s="1"/>
  <c r="X642"/>
  <c r="AD642"/>
  <c r="AF642" s="1"/>
  <c r="AC13"/>
  <c r="C72" s="1"/>
  <c r="Z14"/>
  <c r="I1613"/>
  <c r="I1586"/>
  <c r="K1586" s="1"/>
  <c r="I3994"/>
  <c r="X1359"/>
  <c r="X1365" s="1"/>
  <c r="AB1357"/>
  <c r="P1432"/>
  <c r="R1415"/>
  <c r="V1376"/>
  <c r="I3828"/>
  <c r="K3828" s="1"/>
  <c r="P3467"/>
  <c r="R3467" s="1"/>
  <c r="K3461"/>
  <c r="V410"/>
  <c r="X410" s="1"/>
  <c r="X379"/>
  <c r="I1093"/>
  <c r="K1078"/>
  <c r="P1074"/>
  <c r="AB1419"/>
  <c r="AD1419" s="1"/>
  <c r="AD1402"/>
  <c r="AD1406"/>
  <c r="AB1423"/>
  <c r="AD1423" s="1"/>
  <c r="V3683"/>
  <c r="X3653"/>
  <c r="R1443"/>
  <c r="P1460"/>
  <c r="J563"/>
  <c r="W564"/>
  <c r="AC564" s="1"/>
  <c r="I3077"/>
  <c r="K3077" s="1"/>
  <c r="P3065"/>
  <c r="R3065" s="1"/>
  <c r="K3058"/>
  <c r="P3069"/>
  <c r="R3069" s="1"/>
  <c r="I3081"/>
  <c r="K3081" s="1"/>
  <c r="K3062"/>
  <c r="X3540"/>
  <c r="V3556"/>
  <c r="V3603"/>
  <c r="X3603" s="1"/>
  <c r="X3586"/>
  <c r="P627"/>
  <c r="R627" s="1"/>
  <c r="I152"/>
  <c r="K152" s="1"/>
  <c r="K161" s="1"/>
  <c r="P22"/>
  <c r="R1057"/>
  <c r="R1059" s="1"/>
  <c r="K1328"/>
  <c r="K1330" s="1"/>
  <c r="I1987" s="1"/>
  <c r="R2986"/>
  <c r="R2988" s="1"/>
  <c r="K2577"/>
  <c r="K2580" s="1"/>
  <c r="K2583" s="1"/>
  <c r="R2578"/>
  <c r="R2580" s="1"/>
  <c r="AS3109"/>
  <c r="R955"/>
  <c r="R957" s="1"/>
  <c r="K2372"/>
  <c r="K2374" s="1"/>
  <c r="C165"/>
  <c r="K1165"/>
  <c r="K1167" s="1"/>
  <c r="K1524"/>
  <c r="K1526" s="1"/>
  <c r="X90"/>
  <c r="X91" s="1"/>
  <c r="X89"/>
  <c r="T3123"/>
  <c r="R3124"/>
  <c r="V313"/>
  <c r="K313"/>
  <c r="K395"/>
  <c r="V395"/>
  <c r="X478"/>
  <c r="AB478"/>
  <c r="AD478" s="1"/>
  <c r="I3926"/>
  <c r="I3305"/>
  <c r="K3305" s="1"/>
  <c r="K865"/>
  <c r="P858"/>
  <c r="R858" s="1"/>
  <c r="V865"/>
  <c r="X865" s="1"/>
  <c r="K1305"/>
  <c r="P1334"/>
  <c r="K612"/>
  <c r="I612"/>
  <c r="K1222"/>
  <c r="P1217"/>
  <c r="P2026"/>
  <c r="R2026" s="1"/>
  <c r="K2026"/>
  <c r="I3824"/>
  <c r="K3824" s="1"/>
  <c r="P3463"/>
  <c r="R3463" s="1"/>
  <c r="K3457"/>
  <c r="P2348"/>
  <c r="R2348" s="1"/>
  <c r="K140"/>
  <c r="K144" s="1"/>
  <c r="AS1223" s="1"/>
  <c r="AU1223" s="1"/>
  <c r="P3435"/>
  <c r="R3435" s="1"/>
  <c r="P3323"/>
  <c r="R3323" s="1"/>
  <c r="R3221"/>
  <c r="P3360"/>
  <c r="R3360" s="1"/>
  <c r="P3394"/>
  <c r="R3394" s="1"/>
  <c r="V3247"/>
  <c r="X3247" s="1"/>
  <c r="R3291"/>
  <c r="R2820"/>
  <c r="P2853"/>
  <c r="R2853" s="1"/>
  <c r="P1064"/>
  <c r="R1064" s="1"/>
  <c r="K1053"/>
  <c r="P987"/>
  <c r="R987" s="1"/>
  <c r="P1089"/>
  <c r="AE1062"/>
  <c r="AG1062" s="1"/>
  <c r="P3261"/>
  <c r="R3192"/>
  <c r="P1114"/>
  <c r="R1114" s="1"/>
  <c r="R1093"/>
  <c r="P1602"/>
  <c r="R1602" s="1"/>
  <c r="K1601"/>
  <c r="X807"/>
  <c r="V822"/>
  <c r="X822" s="1"/>
  <c r="AD1403"/>
  <c r="AB1420"/>
  <c r="AD1420" s="1"/>
  <c r="AD1404"/>
  <c r="AB1421"/>
  <c r="AD1421" s="1"/>
  <c r="AB1425"/>
  <c r="AD1425" s="1"/>
  <c r="AD1408"/>
  <c r="AB1427"/>
  <c r="AD1427" s="1"/>
  <c r="AD1410"/>
  <c r="P3189"/>
  <c r="I3147"/>
  <c r="I2663"/>
  <c r="I3319"/>
  <c r="K3319" s="1"/>
  <c r="I2814"/>
  <c r="I2634"/>
  <c r="C89"/>
  <c r="AB1417"/>
  <c r="AD1417" s="1"/>
  <c r="AD1400"/>
  <c r="I3076"/>
  <c r="K3076" s="1"/>
  <c r="P3064"/>
  <c r="R3064" s="1"/>
  <c r="K3057"/>
  <c r="P3068"/>
  <c r="R3068" s="1"/>
  <c r="I3080"/>
  <c r="K3080" s="1"/>
  <c r="K3061"/>
  <c r="K3988"/>
  <c r="I3989"/>
  <c r="P1489"/>
  <c r="P1475"/>
  <c r="R1458"/>
  <c r="V1419"/>
  <c r="X1419" s="1"/>
  <c r="X1403"/>
  <c r="AB1401"/>
  <c r="P1495"/>
  <c r="R1464"/>
  <c r="V1425"/>
  <c r="X1425" s="1"/>
  <c r="I2360"/>
  <c r="I2358"/>
  <c r="K2608"/>
  <c r="H3853"/>
  <c r="H3852"/>
  <c r="K2607"/>
  <c r="I3392"/>
  <c r="K3323"/>
  <c r="I3629"/>
  <c r="K3629" s="1"/>
  <c r="K3631" s="1"/>
  <c r="K3633" s="1"/>
  <c r="K3608"/>
  <c r="P3396"/>
  <c r="R3396" s="1"/>
  <c r="R3362"/>
  <c r="X3574"/>
  <c r="V3589"/>
  <c r="P402"/>
  <c r="R402" s="1"/>
  <c r="P403"/>
  <c r="R403" s="1"/>
  <c r="K340"/>
  <c r="V340"/>
  <c r="V384"/>
  <c r="K384"/>
  <c r="K812"/>
  <c r="V806"/>
  <c r="K886"/>
  <c r="V886"/>
  <c r="K1225"/>
  <c r="P1220"/>
  <c r="V1283"/>
  <c r="X1283" s="1"/>
  <c r="K1254"/>
  <c r="K1307"/>
  <c r="P1305"/>
  <c r="AD647"/>
  <c r="AF647" s="1"/>
  <c r="X647"/>
  <c r="I3643"/>
  <c r="K3643" s="1"/>
  <c r="K1648"/>
  <c r="P2160"/>
  <c r="R2160" s="1"/>
  <c r="K2153"/>
  <c r="K2714"/>
  <c r="I2720"/>
  <c r="K2720" s="1"/>
  <c r="K1847"/>
  <c r="P1863"/>
  <c r="P2028"/>
  <c r="R2028" s="1"/>
  <c r="K2028"/>
  <c r="I3465"/>
  <c r="P3466"/>
  <c r="R3466" s="1"/>
  <c r="K3460"/>
  <c r="I3827"/>
  <c r="K3827" s="1"/>
  <c r="K338"/>
  <c r="V338"/>
  <c r="K1252"/>
  <c r="V1281"/>
  <c r="X1281" s="1"/>
  <c r="AD645"/>
  <c r="AF645" s="1"/>
  <c r="X645"/>
  <c r="K810"/>
  <c r="V804"/>
  <c r="I2336"/>
  <c r="K2336" s="1"/>
  <c r="K2337" s="1"/>
  <c r="K2338" s="1"/>
  <c r="I2342" s="1"/>
  <c r="K2342" s="1"/>
  <c r="K1973"/>
  <c r="P1973"/>
  <c r="R1973" s="1"/>
  <c r="P1994"/>
  <c r="R1994" s="1"/>
  <c r="K1994"/>
  <c r="P3464"/>
  <c r="R3464" s="1"/>
  <c r="I3463"/>
  <c r="I3825"/>
  <c r="K3825" s="1"/>
  <c r="K3458"/>
  <c r="R1143"/>
  <c r="P1174"/>
  <c r="R1174" s="1"/>
  <c r="V3689"/>
  <c r="X3689" s="1"/>
  <c r="X3659"/>
  <c r="R1419"/>
  <c r="P1436"/>
  <c r="V1380"/>
  <c r="I111"/>
  <c r="K111" s="1"/>
  <c r="K114" s="1"/>
  <c r="K116" s="1"/>
  <c r="I96"/>
  <c r="K83"/>
  <c r="K86" s="1"/>
  <c r="K88" s="1"/>
  <c r="K383"/>
  <c r="V383"/>
  <c r="V339"/>
  <c r="K339"/>
  <c r="AB479"/>
  <c r="AD479" s="1"/>
  <c r="X479"/>
  <c r="K811"/>
  <c r="V805"/>
  <c r="V1282"/>
  <c r="X1282" s="1"/>
  <c r="K1253"/>
  <c r="K1306"/>
  <c r="P1335"/>
  <c r="P1304"/>
  <c r="R1304" s="1"/>
  <c r="V681"/>
  <c r="X681" s="1"/>
  <c r="X711"/>
  <c r="Z711" s="1"/>
  <c r="I3927"/>
  <c r="I3306"/>
  <c r="K3306" s="1"/>
  <c r="V866"/>
  <c r="X866" s="1"/>
  <c r="K866"/>
  <c r="P859"/>
  <c r="R859" s="1"/>
  <c r="P1177"/>
  <c r="R1177" s="1"/>
  <c r="R1146"/>
  <c r="K1846"/>
  <c r="K1852" s="1"/>
  <c r="K1854" s="1"/>
  <c r="I1888" s="1"/>
  <c r="P1862"/>
  <c r="P2159"/>
  <c r="R2159" s="1"/>
  <c r="K2152"/>
  <c r="I3565"/>
  <c r="K3565" s="1"/>
  <c r="K3569" s="1"/>
  <c r="P1944"/>
  <c r="Q1944" s="1"/>
  <c r="K1944"/>
  <c r="K1948" s="1"/>
  <c r="K2012"/>
  <c r="P2013"/>
  <c r="R2013" s="1"/>
  <c r="K2713"/>
  <c r="K2715" s="1"/>
  <c r="K2716" s="1"/>
  <c r="I2719"/>
  <c r="K2719" s="1"/>
  <c r="K2723" s="1"/>
  <c r="K2725" s="1"/>
  <c r="L2691" s="1"/>
  <c r="P1995"/>
  <c r="R1995" s="1"/>
  <c r="K1995"/>
  <c r="I3578"/>
  <c r="K2349"/>
  <c r="K2351" s="1"/>
  <c r="K2352" s="1"/>
  <c r="P641"/>
  <c r="R641" s="1"/>
  <c r="R645" s="1"/>
  <c r="P50"/>
  <c r="R50" s="1"/>
  <c r="R1860"/>
  <c r="P1891"/>
  <c r="R1891" s="1"/>
  <c r="I1644"/>
  <c r="K1644" s="1"/>
  <c r="I1303"/>
  <c r="K1303" s="1"/>
  <c r="I503"/>
  <c r="V801"/>
  <c r="V706"/>
  <c r="C71"/>
  <c r="P1142" s="1"/>
  <c r="I3169"/>
  <c r="K1506"/>
  <c r="K1511" s="1"/>
  <c r="K1513" s="1"/>
  <c r="I3109"/>
  <c r="K3109" s="1"/>
  <c r="I3547"/>
  <c r="I2147"/>
  <c r="I2425"/>
  <c r="I1645"/>
  <c r="I1561"/>
  <c r="K1561" s="1"/>
  <c r="K1567" s="1"/>
  <c r="I2127"/>
  <c r="K2127" s="1"/>
  <c r="I1589"/>
  <c r="K1589" s="1"/>
  <c r="I1576"/>
  <c r="K1576" s="1"/>
  <c r="K1580" s="1"/>
  <c r="K1582" s="1"/>
  <c r="I1255"/>
  <c r="I808"/>
  <c r="I1304"/>
  <c r="K1304" s="1"/>
  <c r="I1284"/>
  <c r="K1284" s="1"/>
  <c r="I1226"/>
  <c r="I72"/>
  <c r="K72" s="1"/>
  <c r="K77" s="1"/>
  <c r="I63"/>
  <c r="K63" s="1"/>
  <c r="K68" s="1"/>
  <c r="I27"/>
  <c r="K27" s="1"/>
  <c r="K32" s="1"/>
  <c r="I504"/>
  <c r="I271"/>
  <c r="K271" s="1"/>
  <c r="I53"/>
  <c r="K53" s="1"/>
  <c r="K58" s="1"/>
  <c r="I44"/>
  <c r="K44" s="1"/>
  <c r="K49" s="1"/>
  <c r="I35"/>
  <c r="K35" s="1"/>
  <c r="K40" s="1"/>
  <c r="I18"/>
  <c r="K18" s="1"/>
  <c r="K23" s="1"/>
  <c r="I9"/>
  <c r="AE424"/>
  <c r="AG424" s="1"/>
  <c r="AG388"/>
  <c r="AE2618"/>
  <c r="AG2618" s="1"/>
  <c r="Z2602"/>
  <c r="AE2652"/>
  <c r="AG2652" s="1"/>
  <c r="X2604"/>
  <c r="AC1202"/>
  <c r="AJ1201"/>
  <c r="P1493"/>
  <c r="P1476"/>
  <c r="R1462"/>
  <c r="R1468"/>
  <c r="P1499"/>
  <c r="X1407"/>
  <c r="AB1405"/>
  <c r="P3067"/>
  <c r="R3067" s="1"/>
  <c r="I3079"/>
  <c r="K3079" s="1"/>
  <c r="K3060"/>
  <c r="P2649"/>
  <c r="R2649" s="1"/>
  <c r="V2610"/>
  <c r="K2642"/>
  <c r="P2863"/>
  <c r="R2863" s="1"/>
  <c r="R2830"/>
  <c r="P1467"/>
  <c r="R1450"/>
  <c r="V3164"/>
  <c r="X3164" s="1"/>
  <c r="X3139"/>
  <c r="X3561"/>
  <c r="V3577"/>
  <c r="V3585"/>
  <c r="X3570"/>
  <c r="AE3541"/>
  <c r="AG3541" s="1"/>
  <c r="V3541"/>
  <c r="K3541"/>
  <c r="P3545"/>
  <c r="R3545" s="1"/>
  <c r="R3529"/>
  <c r="Q1947"/>
  <c r="AH3109"/>
  <c r="K2136"/>
  <c r="K2138" s="1"/>
  <c r="R444"/>
  <c r="R446" s="1"/>
  <c r="R2379"/>
  <c r="R2381" s="1"/>
  <c r="K1152"/>
  <c r="K1154" s="1"/>
  <c r="R1527"/>
  <c r="R1529" s="1"/>
  <c r="R1404"/>
  <c r="K2767"/>
  <c r="AB1390" i="4"/>
  <c r="AD1390" s="1"/>
  <c r="AD1373"/>
  <c r="P1540"/>
  <c r="R1540" s="1"/>
  <c r="K3995"/>
  <c r="V1388"/>
  <c r="X1371"/>
  <c r="K2689"/>
  <c r="K2690" s="1"/>
  <c r="AB1394"/>
  <c r="AD1394" s="1"/>
  <c r="AD1377"/>
  <c r="AB1384"/>
  <c r="AD1384" s="1"/>
  <c r="AD1367"/>
  <c r="P1443"/>
  <c r="R1427"/>
  <c r="I2358"/>
  <c r="I2360"/>
  <c r="I2354"/>
  <c r="I2386" s="1"/>
  <c r="K2386" s="1"/>
  <c r="K2255"/>
  <c r="K2288" s="1"/>
  <c r="L2221"/>
  <c r="M2256"/>
  <c r="K118"/>
  <c r="K119" s="1"/>
  <c r="K120" s="1"/>
  <c r="K121" s="1"/>
  <c r="L116"/>
  <c r="I1017"/>
  <c r="I987"/>
  <c r="K987" s="1"/>
  <c r="I952"/>
  <c r="K952" s="1"/>
  <c r="I3746"/>
  <c r="K3746" s="1"/>
  <c r="K3752" s="1"/>
  <c r="K3753" s="1"/>
  <c r="K9"/>
  <c r="I3807"/>
  <c r="K3807" s="1"/>
  <c r="K3812" s="1"/>
  <c r="K3814" s="1"/>
  <c r="AB1332"/>
  <c r="AC1332" s="1"/>
  <c r="AC1336" s="1"/>
  <c r="AC1337" s="1"/>
  <c r="I1271"/>
  <c r="P319"/>
  <c r="R319" s="1"/>
  <c r="R325" s="1"/>
  <c r="R327" s="1"/>
  <c r="I211"/>
  <c r="K211" s="1"/>
  <c r="P66"/>
  <c r="R66" s="1"/>
  <c r="P307"/>
  <c r="R307" s="1"/>
  <c r="R313" s="1"/>
  <c r="R315" s="1"/>
  <c r="I3252"/>
  <c r="K3252" s="1"/>
  <c r="I1453"/>
  <c r="K1453" s="1"/>
  <c r="K1458" s="1"/>
  <c r="K1460" s="1"/>
  <c r="I1478"/>
  <c r="K1478" s="1"/>
  <c r="K1483" s="1"/>
  <c r="K1485" s="1"/>
  <c r="I1465"/>
  <c r="K1465" s="1"/>
  <c r="K1470" s="1"/>
  <c r="K1472" s="1"/>
  <c r="I1392"/>
  <c r="K1392" s="1"/>
  <c r="K1398" s="1"/>
  <c r="K1400" s="1"/>
  <c r="P628" s="1"/>
  <c r="R628" s="1"/>
  <c r="P336"/>
  <c r="R336" s="1"/>
  <c r="R342" s="1"/>
  <c r="R344" s="1"/>
  <c r="AE312"/>
  <c r="AG312" s="1"/>
  <c r="V312"/>
  <c r="X312" s="1"/>
  <c r="I312"/>
  <c r="K312" s="1"/>
  <c r="I196"/>
  <c r="K196" s="1"/>
  <c r="I297"/>
  <c r="K297" s="1"/>
  <c r="K304" s="1"/>
  <c r="K306" s="1"/>
  <c r="P80"/>
  <c r="R80" s="1"/>
  <c r="AQ64"/>
  <c r="AS64" s="1"/>
  <c r="K808"/>
  <c r="V643"/>
  <c r="P1144"/>
  <c r="V803"/>
  <c r="V1284"/>
  <c r="X1284" s="1"/>
  <c r="K1255"/>
  <c r="I3640"/>
  <c r="K3640" s="1"/>
  <c r="K1645"/>
  <c r="I3831"/>
  <c r="K3831" s="1"/>
  <c r="P3470"/>
  <c r="R3470" s="1"/>
  <c r="K3464"/>
  <c r="I3587"/>
  <c r="K3587" s="1"/>
  <c r="K3578"/>
  <c r="K3580" s="1"/>
  <c r="K3581" s="1"/>
  <c r="K3591" s="1"/>
  <c r="I3592" s="1"/>
  <c r="R1335"/>
  <c r="V1302"/>
  <c r="AB1191"/>
  <c r="AD1191" s="1"/>
  <c r="X884"/>
  <c r="V900"/>
  <c r="X900" s="1"/>
  <c r="R1863"/>
  <c r="P1894"/>
  <c r="R1894" s="1"/>
  <c r="I3947"/>
  <c r="K3929"/>
  <c r="R1640"/>
  <c r="T1640"/>
  <c r="P3394"/>
  <c r="R3394" s="1"/>
  <c r="R3291"/>
  <c r="V3247"/>
  <c r="X3247" s="1"/>
  <c r="P3360"/>
  <c r="R3360" s="1"/>
  <c r="P3435"/>
  <c r="R3435" s="1"/>
  <c r="P3323"/>
  <c r="R3323" s="1"/>
  <c r="R3221"/>
  <c r="AE2649"/>
  <c r="AG2649" s="1"/>
  <c r="AE2615"/>
  <c r="AG2615" s="1"/>
  <c r="Z2599"/>
  <c r="X2601"/>
  <c r="I3994"/>
  <c r="X1359"/>
  <c r="AB1357"/>
  <c r="I1601"/>
  <c r="I1573"/>
  <c r="K1573" s="1"/>
  <c r="K1580" s="1"/>
  <c r="K1582" s="1"/>
  <c r="P1089"/>
  <c r="AE1062"/>
  <c r="AG1062" s="1"/>
  <c r="P1064"/>
  <c r="R1064" s="1"/>
  <c r="K1053"/>
  <c r="P987"/>
  <c r="R987" s="1"/>
  <c r="X360"/>
  <c r="AE369"/>
  <c r="AG369" s="1"/>
  <c r="AE392"/>
  <c r="X383"/>
  <c r="V414"/>
  <c r="X414" s="1"/>
  <c r="AQ3114"/>
  <c r="AQ3115" s="1"/>
  <c r="AQ3116" s="1"/>
  <c r="AR3114"/>
  <c r="AR3115" s="1"/>
  <c r="AR3116" s="1"/>
  <c r="AB1361"/>
  <c r="X1363"/>
  <c r="P1436"/>
  <c r="R1419"/>
  <c r="V1380"/>
  <c r="V822"/>
  <c r="X822" s="1"/>
  <c r="X807"/>
  <c r="K357"/>
  <c r="V357"/>
  <c r="K381"/>
  <c r="V381"/>
  <c r="X478"/>
  <c r="AB478"/>
  <c r="AD478" s="1"/>
  <c r="V337"/>
  <c r="K337"/>
  <c r="V883"/>
  <c r="K883"/>
  <c r="K1305"/>
  <c r="P1334"/>
  <c r="I3926"/>
  <c r="I3305"/>
  <c r="K3305" s="1"/>
  <c r="V865"/>
  <c r="X865" s="1"/>
  <c r="K865"/>
  <c r="P858"/>
  <c r="R858" s="1"/>
  <c r="V1280"/>
  <c r="X1280" s="1"/>
  <c r="K1251"/>
  <c r="K1845"/>
  <c r="P1861"/>
  <c r="K2026"/>
  <c r="K2034" s="1"/>
  <c r="P2026"/>
  <c r="R2026" s="1"/>
  <c r="R2037" s="1"/>
  <c r="I3641"/>
  <c r="K3641" s="1"/>
  <c r="K1646"/>
  <c r="I3566"/>
  <c r="K3566" s="1"/>
  <c r="K1945"/>
  <c r="I3824"/>
  <c r="K3824" s="1"/>
  <c r="P3463"/>
  <c r="R3463" s="1"/>
  <c r="K3457"/>
  <c r="Z14"/>
  <c r="AC13"/>
  <c r="C72" s="1"/>
  <c r="P3192"/>
  <c r="I2817"/>
  <c r="K954"/>
  <c r="P947"/>
  <c r="R947" s="1"/>
  <c r="R955" s="1"/>
  <c r="R957" s="1"/>
  <c r="P1093"/>
  <c r="K1019"/>
  <c r="P2348"/>
  <c r="R2348" s="1"/>
  <c r="K140"/>
  <c r="K144" s="1"/>
  <c r="I3077"/>
  <c r="K3077" s="1"/>
  <c r="P3065"/>
  <c r="R3065" s="1"/>
  <c r="K3058"/>
  <c r="I3079"/>
  <c r="K3079" s="1"/>
  <c r="K3060"/>
  <c r="P3067"/>
  <c r="R3067" s="1"/>
  <c r="R2830"/>
  <c r="P2863"/>
  <c r="R2863" s="1"/>
  <c r="AB1386"/>
  <c r="AD1386" s="1"/>
  <c r="AD1369"/>
  <c r="P2575"/>
  <c r="R2575" s="1"/>
  <c r="K2574"/>
  <c r="K2577" s="1"/>
  <c r="K2580" s="1"/>
  <c r="K2583" s="1"/>
  <c r="M2581"/>
  <c r="O2581" s="1"/>
  <c r="O2583" s="1"/>
  <c r="O2584" s="1"/>
  <c r="I4071"/>
  <c r="K4071" s="1"/>
  <c r="X3121"/>
  <c r="V3138"/>
  <c r="K3368"/>
  <c r="I3355"/>
  <c r="K3355" s="1"/>
  <c r="K3323"/>
  <c r="I3392"/>
  <c r="K3540"/>
  <c r="AE3540"/>
  <c r="AG3540" s="1"/>
  <c r="V3540"/>
  <c r="P3544"/>
  <c r="R3544" s="1"/>
  <c r="R3528"/>
  <c r="X90"/>
  <c r="X91" s="1"/>
  <c r="X89"/>
  <c r="J541"/>
  <c r="W540"/>
  <c r="AC540" s="1"/>
  <c r="W37"/>
  <c r="W14"/>
  <c r="I3388"/>
  <c r="I3478" s="1"/>
  <c r="K3478" s="1"/>
  <c r="I1086"/>
  <c r="K1086" s="1"/>
  <c r="I1071"/>
  <c r="K1071" s="1"/>
  <c r="K1079" s="1"/>
  <c r="K1081" s="1"/>
  <c r="I1054"/>
  <c r="I986"/>
  <c r="K986" s="1"/>
  <c r="K998" s="1"/>
  <c r="K1000" s="1"/>
  <c r="I951"/>
  <c r="K951" s="1"/>
  <c r="I928"/>
  <c r="K928" s="1"/>
  <c r="K930" s="1"/>
  <c r="I1128"/>
  <c r="K1128" s="1"/>
  <c r="I1102"/>
  <c r="I1016"/>
  <c r="K1016" s="1"/>
  <c r="P211"/>
  <c r="R211" s="1"/>
  <c r="P3154"/>
  <c r="K3147"/>
  <c r="I3101"/>
  <c r="K3101" s="1"/>
  <c r="P2670"/>
  <c r="K2663"/>
  <c r="I3681"/>
  <c r="K3681" s="1"/>
  <c r="K3660"/>
  <c r="P627"/>
  <c r="R627" s="1"/>
  <c r="P22"/>
  <c r="I152"/>
  <c r="K152" s="1"/>
  <c r="K161" s="1"/>
  <c r="R1862"/>
  <c r="P1893"/>
  <c r="R1893" s="1"/>
  <c r="V821"/>
  <c r="X821" s="1"/>
  <c r="X806"/>
  <c r="R1305"/>
  <c r="V1303"/>
  <c r="P2853"/>
  <c r="R2853" s="1"/>
  <c r="R2820"/>
  <c r="AB1422"/>
  <c r="AD1422" s="1"/>
  <c r="AD1405"/>
  <c r="AU107"/>
  <c r="AV107" s="1"/>
  <c r="AU132"/>
  <c r="AV132" s="1"/>
  <c r="I3531"/>
  <c r="K1136"/>
  <c r="P2678"/>
  <c r="K2671"/>
  <c r="K3367"/>
  <c r="I3354"/>
  <c r="K3354" s="1"/>
  <c r="K3357" s="1"/>
  <c r="K3358" s="1"/>
  <c r="V3689"/>
  <c r="X3689" s="1"/>
  <c r="X3659"/>
  <c r="P1100"/>
  <c r="R1074"/>
  <c r="AB1417"/>
  <c r="AD1417" s="1"/>
  <c r="AD1400"/>
  <c r="AB1421"/>
  <c r="AD1421" s="1"/>
  <c r="AD1404"/>
  <c r="K338"/>
  <c r="V338"/>
  <c r="P233"/>
  <c r="R233" s="1"/>
  <c r="K227"/>
  <c r="X645"/>
  <c r="AD645"/>
  <c r="AF645" s="1"/>
  <c r="K810"/>
  <c r="V804"/>
  <c r="P1218"/>
  <c r="K1223"/>
  <c r="V1286"/>
  <c r="X1286" s="1"/>
  <c r="K1257"/>
  <c r="P1973"/>
  <c r="R1973" s="1"/>
  <c r="K1973"/>
  <c r="P2434"/>
  <c r="R2434" s="1"/>
  <c r="K2427"/>
  <c r="I2897"/>
  <c r="K2897" s="1"/>
  <c r="K503"/>
  <c r="P1174"/>
  <c r="R1174" s="1"/>
  <c r="R1143"/>
  <c r="K2148"/>
  <c r="P2155"/>
  <c r="R2155" s="1"/>
  <c r="K4018"/>
  <c r="I4033"/>
  <c r="K4033" s="1"/>
  <c r="I4019"/>
  <c r="R1495"/>
  <c r="V1456"/>
  <c r="I3080"/>
  <c r="K3080" s="1"/>
  <c r="K3061"/>
  <c r="P3068"/>
  <c r="R3068" s="1"/>
  <c r="P1475"/>
  <c r="R1458"/>
  <c r="V1419"/>
  <c r="X1419" s="1"/>
  <c r="P1489"/>
  <c r="AE3541"/>
  <c r="AG3541" s="1"/>
  <c r="V3541"/>
  <c r="K3541"/>
  <c r="P3545"/>
  <c r="R3545" s="1"/>
  <c r="R3529"/>
  <c r="V3603"/>
  <c r="X3603" s="1"/>
  <c r="X3586"/>
  <c r="V3559"/>
  <c r="X3543"/>
  <c r="K2715"/>
  <c r="K2716" s="1"/>
  <c r="R2379"/>
  <c r="R2381" s="1"/>
  <c r="R87"/>
  <c r="R89" s="1"/>
  <c r="R2578"/>
  <c r="R2580" s="1"/>
  <c r="K3589"/>
  <c r="K3590" s="1"/>
  <c r="J3592" s="1"/>
  <c r="J3593" s="1"/>
  <c r="J3594" s="1"/>
  <c r="J3595" s="1"/>
  <c r="K1852"/>
  <c r="K1854" s="1"/>
  <c r="I1888" s="1"/>
  <c r="R1057"/>
  <c r="R1059" s="1"/>
  <c r="K1511"/>
  <c r="K1513" s="1"/>
  <c r="K1948"/>
  <c r="R1309"/>
  <c r="R1311" s="1"/>
  <c r="K2979"/>
  <c r="K2981" s="1"/>
  <c r="P608"/>
  <c r="R608" s="1"/>
  <c r="P595"/>
  <c r="R595" s="1"/>
  <c r="K90"/>
  <c r="K89"/>
  <c r="I3479"/>
  <c r="K3479" s="1"/>
  <c r="P2822"/>
  <c r="K2815"/>
  <c r="V3250"/>
  <c r="X3250" s="1"/>
  <c r="K3282"/>
  <c r="I3455"/>
  <c r="I2424"/>
  <c r="I1433"/>
  <c r="K1433" s="1"/>
  <c r="I1418"/>
  <c r="K1418" s="1"/>
  <c r="K1424" s="1"/>
  <c r="K1426" s="1"/>
  <c r="I1706"/>
  <c r="K1706" s="1"/>
  <c r="I1354"/>
  <c r="K1354" s="1"/>
  <c r="I1336"/>
  <c r="K1336" s="1"/>
  <c r="K1342" s="1"/>
  <c r="K1344" s="1"/>
  <c r="P1333"/>
  <c r="I1220"/>
  <c r="I620"/>
  <c r="K620" s="1"/>
  <c r="K625" s="1"/>
  <c r="K627" s="1"/>
  <c r="I628" s="1"/>
  <c r="K628" s="1"/>
  <c r="I629" s="1"/>
  <c r="K629" s="1"/>
  <c r="I630" s="1"/>
  <c r="K630" s="1"/>
  <c r="I631" s="1"/>
  <c r="K631" s="1"/>
  <c r="I632" s="1"/>
  <c r="K632" s="1"/>
  <c r="I1376"/>
  <c r="K1376" s="1"/>
  <c r="I1249"/>
  <c r="P348"/>
  <c r="R348" s="1"/>
  <c r="R354" s="1"/>
  <c r="R356" s="1"/>
  <c r="P296"/>
  <c r="R296" s="1"/>
  <c r="R302" s="1"/>
  <c r="R304" s="1"/>
  <c r="P196"/>
  <c r="I2898"/>
  <c r="K2898" s="1"/>
  <c r="K504"/>
  <c r="I1200"/>
  <c r="K1200" s="1"/>
  <c r="K1211" s="1"/>
  <c r="K1213" s="1"/>
  <c r="I2441" s="1"/>
  <c r="K2441" s="1"/>
  <c r="I1405"/>
  <c r="K1405" s="1"/>
  <c r="K1412" s="1"/>
  <c r="K1414" s="1"/>
  <c r="I445"/>
  <c r="K445" s="1"/>
  <c r="K452" s="1"/>
  <c r="K454" s="1"/>
  <c r="I459" s="1"/>
  <c r="K459" s="1"/>
  <c r="K463" s="1"/>
  <c r="K465" s="1"/>
  <c r="K467" s="1"/>
  <c r="I411"/>
  <c r="K411" s="1"/>
  <c r="K418" s="1"/>
  <c r="K420" s="1"/>
  <c r="P362"/>
  <c r="R362" s="1"/>
  <c r="R370" s="1"/>
  <c r="R372" s="1"/>
  <c r="I356"/>
  <c r="I487"/>
  <c r="K487" s="1"/>
  <c r="K495" s="1"/>
  <c r="K497" s="1"/>
  <c r="I380"/>
  <c r="P232"/>
  <c r="R232" s="1"/>
  <c r="P164"/>
  <c r="R164" s="1"/>
  <c r="AQ133"/>
  <c r="AQ108"/>
  <c r="AS108" s="1"/>
  <c r="I226"/>
  <c r="K226" s="1"/>
  <c r="K232" s="1"/>
  <c r="K234" s="1"/>
  <c r="P51"/>
  <c r="R51" s="1"/>
  <c r="R57" s="1"/>
  <c r="R60" s="1"/>
  <c r="K1226"/>
  <c r="P1221"/>
  <c r="K2147"/>
  <c r="P2154"/>
  <c r="R2154" s="1"/>
  <c r="P2432"/>
  <c r="R2432" s="1"/>
  <c r="K2425"/>
  <c r="K2353"/>
  <c r="L2318"/>
  <c r="I3832"/>
  <c r="K3832" s="1"/>
  <c r="P3471"/>
  <c r="R3471" s="1"/>
  <c r="K3465"/>
  <c r="R3124"/>
  <c r="T3123"/>
  <c r="AE2618"/>
  <c r="AG2618" s="1"/>
  <c r="Z2602"/>
  <c r="AE2652"/>
  <c r="AG2652" s="1"/>
  <c r="X2604"/>
  <c r="P1432"/>
  <c r="R1415"/>
  <c r="V1376"/>
  <c r="K1987"/>
  <c r="P1987"/>
  <c r="R1987" s="1"/>
  <c r="C140"/>
  <c r="C138"/>
  <c r="R199"/>
  <c r="V199"/>
  <c r="X199" s="1"/>
  <c r="K3661"/>
  <c r="I3682"/>
  <c r="K3682" s="1"/>
  <c r="K3760"/>
  <c r="K3772" s="1"/>
  <c r="K3774" s="1"/>
  <c r="AG3113"/>
  <c r="AG3114" s="1"/>
  <c r="AG3115" s="1"/>
  <c r="AH3113"/>
  <c r="AH3114" s="1"/>
  <c r="AH3115" s="1"/>
  <c r="AF3113"/>
  <c r="AF3114" s="1"/>
  <c r="AF3115" s="1"/>
  <c r="J562"/>
  <c r="W563"/>
  <c r="AC563" s="1"/>
  <c r="AD1409"/>
  <c r="AB1426"/>
  <c r="AD1426" s="1"/>
  <c r="P1459"/>
  <c r="R1442"/>
  <c r="V313"/>
  <c r="K313"/>
  <c r="K395"/>
  <c r="V395"/>
  <c r="V553"/>
  <c r="X553" s="1"/>
  <c r="X529"/>
  <c r="AB529"/>
  <c r="K612"/>
  <c r="I612"/>
  <c r="K1272"/>
  <c r="AB1265"/>
  <c r="AD1265" s="1"/>
  <c r="I1286"/>
  <c r="K1286" s="1"/>
  <c r="V583"/>
  <c r="X583" s="1"/>
  <c r="X587" s="1"/>
  <c r="X589" s="1"/>
  <c r="X590" s="1"/>
  <c r="X591" s="1"/>
  <c r="X592" s="1"/>
  <c r="X593" s="1"/>
  <c r="X594" s="1"/>
  <c r="X595" s="1"/>
  <c r="K583"/>
  <c r="K587" s="1"/>
  <c r="K589" s="1"/>
  <c r="I590" s="1"/>
  <c r="K590" s="1"/>
  <c r="I591" s="1"/>
  <c r="K591" s="1"/>
  <c r="I592" s="1"/>
  <c r="K592" s="1"/>
  <c r="I593" s="1"/>
  <c r="K593" s="1"/>
  <c r="I594" s="1"/>
  <c r="K594" s="1"/>
  <c r="P1217"/>
  <c r="K1222"/>
  <c r="P2157"/>
  <c r="R2157" s="1"/>
  <c r="K2150"/>
  <c r="K2154" s="1"/>
  <c r="P2008"/>
  <c r="R2008" s="1"/>
  <c r="R2018" s="1"/>
  <c r="K2007"/>
  <c r="K2015" s="1"/>
  <c r="I2398"/>
  <c r="K2384"/>
  <c r="V801"/>
  <c r="C71"/>
  <c r="P1142" s="1"/>
  <c r="V410"/>
  <c r="X410" s="1"/>
  <c r="X379"/>
  <c r="K96"/>
  <c r="K99" s="1"/>
  <c r="K101" s="1"/>
  <c r="M96"/>
  <c r="M97" s="1"/>
  <c r="V198"/>
  <c r="X198" s="1"/>
  <c r="R198"/>
  <c r="X315"/>
  <c r="AQ67"/>
  <c r="AE315"/>
  <c r="AG315" s="1"/>
  <c r="I3081"/>
  <c r="K3081" s="1"/>
  <c r="K3062"/>
  <c r="P3069"/>
  <c r="R3069" s="1"/>
  <c r="P2649"/>
  <c r="R2649" s="1"/>
  <c r="V2610"/>
  <c r="K2642"/>
  <c r="V3683"/>
  <c r="X3653"/>
  <c r="X3667" s="1"/>
  <c r="X3668" s="1"/>
  <c r="V1389"/>
  <c r="X1372"/>
  <c r="P1444"/>
  <c r="R1428"/>
  <c r="P1463"/>
  <c r="R1446"/>
  <c r="H3852"/>
  <c r="K2607"/>
  <c r="H3853"/>
  <c r="K2608"/>
  <c r="P3370"/>
  <c r="R3335"/>
  <c r="P1499"/>
  <c r="R1468"/>
  <c r="P2515"/>
  <c r="R2515" s="1"/>
  <c r="K2508"/>
  <c r="K2512" s="1"/>
  <c r="K2515" s="1"/>
  <c r="V3574"/>
  <c r="X3558"/>
  <c r="V3602"/>
  <c r="X3602" s="1"/>
  <c r="X3585"/>
  <c r="P402"/>
  <c r="R402" s="1"/>
  <c r="P403"/>
  <c r="R403" s="1"/>
  <c r="R1860"/>
  <c r="P1891"/>
  <c r="R1891" s="1"/>
  <c r="I3421"/>
  <c r="K3421" s="1"/>
  <c r="K3432" s="1"/>
  <c r="K3434" s="1"/>
  <c r="K2634"/>
  <c r="V2602"/>
  <c r="P2641"/>
  <c r="R2641" s="1"/>
  <c r="R2652" s="1"/>
  <c r="R2654" s="1"/>
  <c r="P3258"/>
  <c r="R3258" s="1"/>
  <c r="P3222"/>
  <c r="R3189"/>
  <c r="P3292"/>
  <c r="I3600"/>
  <c r="K3600" s="1"/>
  <c r="K3610" s="1"/>
  <c r="K3612" s="1"/>
  <c r="P2821"/>
  <c r="I2864"/>
  <c r="K2864" s="1"/>
  <c r="K2875" s="1"/>
  <c r="K2877" s="1"/>
  <c r="AE2787"/>
  <c r="AG2787" s="1"/>
  <c r="K2814"/>
  <c r="K3170"/>
  <c r="I3183"/>
  <c r="P1224"/>
  <c r="P1261"/>
  <c r="R1219"/>
  <c r="T1219" s="1"/>
  <c r="V820"/>
  <c r="X820" s="1"/>
  <c r="X805"/>
  <c r="K3927"/>
  <c r="I3945"/>
  <c r="K3171"/>
  <c r="I3184"/>
  <c r="P1225"/>
  <c r="P1262"/>
  <c r="R1220"/>
  <c r="T1220" s="1"/>
  <c r="V902"/>
  <c r="X902" s="1"/>
  <c r="X886"/>
  <c r="I3182"/>
  <c r="K3169"/>
  <c r="K1615"/>
  <c r="P1616"/>
  <c r="R1616" s="1"/>
  <c r="AB1423"/>
  <c r="AD1423" s="1"/>
  <c r="AD1406"/>
  <c r="AB1425"/>
  <c r="AD1425" s="1"/>
  <c r="AD1408"/>
  <c r="AB1427"/>
  <c r="AD1427" s="1"/>
  <c r="AD1410"/>
  <c r="AU163"/>
  <c r="AV163" s="1"/>
  <c r="X340"/>
  <c r="AE340"/>
  <c r="AG340" s="1"/>
  <c r="AE368"/>
  <c r="AG368" s="1"/>
  <c r="X359"/>
  <c r="AB554"/>
  <c r="AD554" s="1"/>
  <c r="AD530"/>
  <c r="V3721"/>
  <c r="X3721" s="1"/>
  <c r="X3707"/>
  <c r="AC1200"/>
  <c r="AJ1199"/>
  <c r="J664"/>
  <c r="W488"/>
  <c r="AC488" s="1"/>
  <c r="I1108"/>
  <c r="K1108" s="1"/>
  <c r="K1093"/>
  <c r="V1403"/>
  <c r="X1387"/>
  <c r="K197"/>
  <c r="P197"/>
  <c r="P165"/>
  <c r="R165" s="1"/>
  <c r="K314"/>
  <c r="V314"/>
  <c r="K358"/>
  <c r="V358"/>
  <c r="V382"/>
  <c r="K382"/>
  <c r="I2900"/>
  <c r="K2900" s="1"/>
  <c r="K506"/>
  <c r="X710"/>
  <c r="Z710" s="1"/>
  <c r="V680"/>
  <c r="X680" s="1"/>
  <c r="K1252"/>
  <c r="V1281"/>
  <c r="X1281" s="1"/>
  <c r="P1176"/>
  <c r="R1176" s="1"/>
  <c r="R1145"/>
  <c r="K1994"/>
  <c r="P1994"/>
  <c r="R1994" s="1"/>
  <c r="K2337"/>
  <c r="K2338" s="1"/>
  <c r="I2342" s="1"/>
  <c r="K2342" s="1"/>
  <c r="I2336"/>
  <c r="K2336" s="1"/>
  <c r="P3464"/>
  <c r="R3464" s="1"/>
  <c r="I3463"/>
  <c r="I3825"/>
  <c r="K3825" s="1"/>
  <c r="K3458"/>
  <c r="I2899"/>
  <c r="K2899" s="1"/>
  <c r="K505"/>
  <c r="V802"/>
  <c r="K809"/>
  <c r="V644"/>
  <c r="AE316"/>
  <c r="AG316" s="1"/>
  <c r="X316"/>
  <c r="AQ68"/>
  <c r="AE339"/>
  <c r="AG339" s="1"/>
  <c r="X339"/>
  <c r="V415"/>
  <c r="X415" s="1"/>
  <c r="X384"/>
  <c r="AE393"/>
  <c r="K3988"/>
  <c r="I3989"/>
  <c r="P1466"/>
  <c r="R1449"/>
  <c r="R1467"/>
  <c r="P1498"/>
  <c r="K3644"/>
  <c r="P3468"/>
  <c r="R3468" s="1"/>
  <c r="AD1370"/>
  <c r="AB1387"/>
  <c r="AD1387" s="1"/>
  <c r="I3076"/>
  <c r="K3076" s="1"/>
  <c r="P3064"/>
  <c r="R3064" s="1"/>
  <c r="K3057"/>
  <c r="I3078"/>
  <c r="K3078" s="1"/>
  <c r="K3059"/>
  <c r="P3066"/>
  <c r="R3066" s="1"/>
  <c r="K4022"/>
  <c r="I4035"/>
  <c r="K4035" s="1"/>
  <c r="K4023"/>
  <c r="I4034"/>
  <c r="K4034" s="1"/>
  <c r="R1462"/>
  <c r="P1493"/>
  <c r="P1476"/>
  <c r="V3547"/>
  <c r="V3563" s="1"/>
  <c r="AE3547"/>
  <c r="I4070"/>
  <c r="K4070" s="1"/>
  <c r="X3120"/>
  <c r="V3137"/>
  <c r="I3391"/>
  <c r="K3322"/>
  <c r="I3530"/>
  <c r="R3403"/>
  <c r="V3561"/>
  <c r="X3545"/>
  <c r="L2691"/>
  <c r="K2372"/>
  <c r="K2374" s="1"/>
  <c r="K3157"/>
  <c r="K3159" s="1"/>
  <c r="R221"/>
  <c r="R224" s="1"/>
  <c r="R2519"/>
  <c r="R2521" s="1"/>
  <c r="R444"/>
  <c r="R446" s="1"/>
  <c r="K3569"/>
  <c r="K3112"/>
  <c r="K3114" s="1"/>
  <c r="K1310"/>
  <c r="K1312" s="1"/>
  <c r="K792"/>
  <c r="K794" s="1"/>
  <c r="K1139" l="1"/>
  <c r="K1141" s="1"/>
  <c r="K3083"/>
  <c r="K3085" s="1"/>
  <c r="R2163"/>
  <c r="R2165" s="1"/>
  <c r="K2944" i="7"/>
  <c r="K1651" i="4"/>
  <c r="K1653" s="1"/>
  <c r="K2156"/>
  <c r="K2158" s="1"/>
  <c r="K2674"/>
  <c r="K2676" s="1"/>
  <c r="K962"/>
  <c r="K964" s="1"/>
  <c r="I336"/>
  <c r="K336" s="1"/>
  <c r="K343" s="1"/>
  <c r="K345" s="1"/>
  <c r="K347" s="1"/>
  <c r="AQ88"/>
  <c r="AS88" s="1"/>
  <c r="P180"/>
  <c r="R180" s="1"/>
  <c r="V706"/>
  <c r="K3494"/>
  <c r="R405" i="6"/>
  <c r="R407" s="1"/>
  <c r="P414" s="1"/>
  <c r="R414" s="1"/>
  <c r="R416" s="1"/>
  <c r="R418" s="1"/>
  <c r="L2944" i="7"/>
  <c r="K2945"/>
  <c r="P3618"/>
  <c r="R3618"/>
  <c r="R3620" s="1"/>
  <c r="P3636" s="1"/>
  <c r="R3636" s="1"/>
  <c r="R3638" s="1"/>
  <c r="S3638" s="1"/>
  <c r="K3234"/>
  <c r="L3233"/>
  <c r="K2198"/>
  <c r="K2189"/>
  <c r="L2977"/>
  <c r="I3932"/>
  <c r="K3932" s="1"/>
  <c r="I3099"/>
  <c r="K3073"/>
  <c r="I2691"/>
  <c r="K2691" s="1"/>
  <c r="K2613"/>
  <c r="I3937"/>
  <c r="K3937" s="1"/>
  <c r="I3089"/>
  <c r="K3089" s="1"/>
  <c r="K3075"/>
  <c r="K3785"/>
  <c r="K3787" s="1"/>
  <c r="L3244"/>
  <c r="I2396"/>
  <c r="I2395"/>
  <c r="I2378"/>
  <c r="K2378" s="1"/>
  <c r="I2354" s="1"/>
  <c r="K2354" s="1"/>
  <c r="K2356" s="1"/>
  <c r="K2357" s="1"/>
  <c r="L3277"/>
  <c r="K2200"/>
  <c r="K2899"/>
  <c r="L2898"/>
  <c r="I3908"/>
  <c r="K3908" s="1"/>
  <c r="I2985"/>
  <c r="K2985" s="1"/>
  <c r="K2988" s="1"/>
  <c r="I2958"/>
  <c r="K2955"/>
  <c r="I3443"/>
  <c r="K3421"/>
  <c r="I3416" s="1"/>
  <c r="K3416" s="1"/>
  <c r="Z36"/>
  <c r="AC36" s="1"/>
  <c r="I242" s="1"/>
  <c r="K242" s="1"/>
  <c r="Z13"/>
  <c r="AC12"/>
  <c r="C71" s="1"/>
  <c r="K3058"/>
  <c r="I3074"/>
  <c r="P590"/>
  <c r="R590" s="1"/>
  <c r="P576"/>
  <c r="R576" s="1"/>
  <c r="P633"/>
  <c r="R633" s="1"/>
  <c r="M3023"/>
  <c r="K371"/>
  <c r="K2597"/>
  <c r="K2599" s="1"/>
  <c r="K2272"/>
  <c r="K2274" s="1"/>
  <c r="R404"/>
  <c r="R406" s="1"/>
  <c r="P413" s="1"/>
  <c r="R413" s="1"/>
  <c r="R415" s="1"/>
  <c r="R417" s="1"/>
  <c r="L3319"/>
  <c r="K2209"/>
  <c r="K3294"/>
  <c r="K2204" s="1"/>
  <c r="N3292"/>
  <c r="M3294"/>
  <c r="L3295"/>
  <c r="I1698"/>
  <c r="K1698" s="1"/>
  <c r="K1706" s="1"/>
  <c r="K91"/>
  <c r="M3744"/>
  <c r="K2203"/>
  <c r="I3950"/>
  <c r="K3931"/>
  <c r="K3774"/>
  <c r="L3774" s="1"/>
  <c r="K3779"/>
  <c r="K3781" s="1"/>
  <c r="L3781" s="1"/>
  <c r="K3365"/>
  <c r="K3366" s="1"/>
  <c r="L3366" s="1"/>
  <c r="K3332"/>
  <c r="K3333" s="1"/>
  <c r="L3333" s="1"/>
  <c r="K2448"/>
  <c r="K2451"/>
  <c r="K2884"/>
  <c r="L2883"/>
  <c r="K585"/>
  <c r="I585"/>
  <c r="K3400"/>
  <c r="L3402" s="1"/>
  <c r="L3397"/>
  <c r="I3888"/>
  <c r="K3888" s="1"/>
  <c r="K3052"/>
  <c r="K3062" s="1"/>
  <c r="K3063" s="1"/>
  <c r="L3062" s="1"/>
  <c r="L3063" s="1"/>
  <c r="I3907"/>
  <c r="K3907" s="1"/>
  <c r="K2954"/>
  <c r="I1575"/>
  <c r="K1575" s="1"/>
  <c r="K1582" s="1"/>
  <c r="K1584" s="1"/>
  <c r="I495"/>
  <c r="K495" s="1"/>
  <c r="K503" s="1"/>
  <c r="K505" s="1"/>
  <c r="I1235"/>
  <c r="K1235" s="1"/>
  <c r="K1242" s="1"/>
  <c r="K1244" s="1"/>
  <c r="I3913"/>
  <c r="K3913" s="1"/>
  <c r="K2960"/>
  <c r="I1309"/>
  <c r="K1309" s="1"/>
  <c r="I1287"/>
  <c r="K1287" s="1"/>
  <c r="K2187"/>
  <c r="L2921"/>
  <c r="L2922" s="1"/>
  <c r="K3898"/>
  <c r="K2566"/>
  <c r="K2568" s="1"/>
  <c r="K2674"/>
  <c r="K2676" s="1"/>
  <c r="K1888" i="6"/>
  <c r="K1890" s="1"/>
  <c r="I1897"/>
  <c r="K1897" s="1"/>
  <c r="K1899" s="1"/>
  <c r="I2937"/>
  <c r="K2937" s="1"/>
  <c r="I2928"/>
  <c r="P595"/>
  <c r="R595" s="1"/>
  <c r="P608"/>
  <c r="R608" s="1"/>
  <c r="K90"/>
  <c r="K89"/>
  <c r="V3557"/>
  <c r="X3541"/>
  <c r="V3592"/>
  <c r="X3577"/>
  <c r="AB1422"/>
  <c r="AD1422" s="1"/>
  <c r="AD1405"/>
  <c r="R1499"/>
  <c r="V1460"/>
  <c r="V1454"/>
  <c r="P1536"/>
  <c r="R1536" s="1"/>
  <c r="R1493"/>
  <c r="AC1203"/>
  <c r="AJ1202"/>
  <c r="I3807"/>
  <c r="K3807" s="1"/>
  <c r="K3812" s="1"/>
  <c r="K3814" s="1"/>
  <c r="AB1332"/>
  <c r="AC1332" s="1"/>
  <c r="AC1336" s="1"/>
  <c r="AC1337" s="1"/>
  <c r="V1341" s="1"/>
  <c r="I1271"/>
  <c r="P319"/>
  <c r="R319" s="1"/>
  <c r="R325" s="1"/>
  <c r="R327" s="1"/>
  <c r="I211"/>
  <c r="K211" s="1"/>
  <c r="P66"/>
  <c r="R66" s="1"/>
  <c r="P307"/>
  <c r="R307" s="1"/>
  <c r="R313" s="1"/>
  <c r="R315" s="1"/>
  <c r="I3252"/>
  <c r="K3252" s="1"/>
  <c r="I1478"/>
  <c r="K1478" s="1"/>
  <c r="K1483" s="1"/>
  <c r="K1485" s="1"/>
  <c r="I1465"/>
  <c r="K1465" s="1"/>
  <c r="K1470" s="1"/>
  <c r="K1472" s="1"/>
  <c r="I1453"/>
  <c r="K1453" s="1"/>
  <c r="K1458" s="1"/>
  <c r="K1460" s="1"/>
  <c r="I1392"/>
  <c r="K1392" s="1"/>
  <c r="K1398" s="1"/>
  <c r="K1400" s="1"/>
  <c r="P336"/>
  <c r="R336" s="1"/>
  <c r="R342" s="1"/>
  <c r="R344" s="1"/>
  <c r="AE312"/>
  <c r="AG312" s="1"/>
  <c r="V312"/>
  <c r="X312" s="1"/>
  <c r="I312"/>
  <c r="K312" s="1"/>
  <c r="K319" s="1"/>
  <c r="K321" s="1"/>
  <c r="I196"/>
  <c r="K196" s="1"/>
  <c r="AQ64"/>
  <c r="AS64" s="1"/>
  <c r="I297"/>
  <c r="K297" s="1"/>
  <c r="K304" s="1"/>
  <c r="K306" s="1"/>
  <c r="P80"/>
  <c r="R80" s="1"/>
  <c r="R87" s="1"/>
  <c r="R89" s="1"/>
  <c r="I3455"/>
  <c r="I1706"/>
  <c r="K1706" s="1"/>
  <c r="I2424"/>
  <c r="I1433"/>
  <c r="K1433" s="1"/>
  <c r="I1418"/>
  <c r="K1418" s="1"/>
  <c r="K1424" s="1"/>
  <c r="K1426" s="1"/>
  <c r="I1354"/>
  <c r="K1354" s="1"/>
  <c r="I1336"/>
  <c r="K1336" s="1"/>
  <c r="K1342" s="1"/>
  <c r="K1344" s="1"/>
  <c r="P1333"/>
  <c r="I1220"/>
  <c r="I1376"/>
  <c r="K1376" s="1"/>
  <c r="I1249"/>
  <c r="I620"/>
  <c r="K620" s="1"/>
  <c r="K625" s="1"/>
  <c r="K627" s="1"/>
  <c r="I628" s="1"/>
  <c r="K628" s="1"/>
  <c r="I629" s="1"/>
  <c r="K629" s="1"/>
  <c r="I630" s="1"/>
  <c r="K630" s="1"/>
  <c r="I631" s="1"/>
  <c r="K631" s="1"/>
  <c r="I632" s="1"/>
  <c r="K632" s="1"/>
  <c r="P348"/>
  <c r="R348" s="1"/>
  <c r="R354" s="1"/>
  <c r="R356" s="1"/>
  <c r="P296"/>
  <c r="R296" s="1"/>
  <c r="R302" s="1"/>
  <c r="R304" s="1"/>
  <c r="P196"/>
  <c r="I226"/>
  <c r="K226" s="1"/>
  <c r="K232" s="1"/>
  <c r="K234" s="1"/>
  <c r="P51"/>
  <c r="R51" s="1"/>
  <c r="P1144"/>
  <c r="V803"/>
  <c r="K808"/>
  <c r="V643"/>
  <c r="I3640"/>
  <c r="K3640" s="1"/>
  <c r="K1645"/>
  <c r="K1651" s="1"/>
  <c r="K1653" s="1"/>
  <c r="P2154"/>
  <c r="R2154" s="1"/>
  <c r="R2163" s="1"/>
  <c r="R2165" s="1"/>
  <c r="K2147"/>
  <c r="I3182"/>
  <c r="K3169"/>
  <c r="X706"/>
  <c r="Z706" s="1"/>
  <c r="V676"/>
  <c r="X676" s="1"/>
  <c r="I2897"/>
  <c r="K2897" s="1"/>
  <c r="K503"/>
  <c r="I3587"/>
  <c r="K3587" s="1"/>
  <c r="K3589" s="1"/>
  <c r="K3590" s="1"/>
  <c r="J3592" s="1"/>
  <c r="J3593" s="1"/>
  <c r="J3594" s="1"/>
  <c r="J3595" s="1"/>
  <c r="K3578"/>
  <c r="K3580" s="1"/>
  <c r="K3581" s="1"/>
  <c r="K3591" s="1"/>
  <c r="I3592" s="1"/>
  <c r="R1862"/>
  <c r="P1893"/>
  <c r="R1893" s="1"/>
  <c r="K3927"/>
  <c r="I3945"/>
  <c r="R1335"/>
  <c r="AB1191"/>
  <c r="AD1191" s="1"/>
  <c r="V1302"/>
  <c r="V820"/>
  <c r="X820" s="1"/>
  <c r="X805"/>
  <c r="AE392"/>
  <c r="X383"/>
  <c r="V414"/>
  <c r="X414" s="1"/>
  <c r="K118"/>
  <c r="K119" s="1"/>
  <c r="K120" s="1"/>
  <c r="K121" s="1"/>
  <c r="L116"/>
  <c r="P1452"/>
  <c r="R1436"/>
  <c r="I3830"/>
  <c r="K3830" s="1"/>
  <c r="P3469"/>
  <c r="R3469" s="1"/>
  <c r="K3463"/>
  <c r="V819"/>
  <c r="X819" s="1"/>
  <c r="X804"/>
  <c r="X338"/>
  <c r="AE338"/>
  <c r="AG338" s="1"/>
  <c r="R1863"/>
  <c r="P1894"/>
  <c r="R1894" s="1"/>
  <c r="R1305"/>
  <c r="R1309" s="1"/>
  <c r="R1311" s="1"/>
  <c r="V1303"/>
  <c r="P1262"/>
  <c r="P1225"/>
  <c r="R1220"/>
  <c r="T1220" s="1"/>
  <c r="X886"/>
  <c r="V902"/>
  <c r="X902" s="1"/>
  <c r="V821"/>
  <c r="X821" s="1"/>
  <c r="X806"/>
  <c r="X340"/>
  <c r="AE340"/>
  <c r="AG340" s="1"/>
  <c r="V3606"/>
  <c r="X3589"/>
  <c r="H3874"/>
  <c r="J3874" s="1"/>
  <c r="J3853"/>
  <c r="I2938"/>
  <c r="K2938" s="1"/>
  <c r="I2929"/>
  <c r="AB1418"/>
  <c r="AD1418" s="1"/>
  <c r="AD1401"/>
  <c r="P1482"/>
  <c r="R1475"/>
  <c r="V1436"/>
  <c r="K3989"/>
  <c r="I3990"/>
  <c r="K3990" s="1"/>
  <c r="I3388"/>
  <c r="I3478" s="1"/>
  <c r="K3478" s="1"/>
  <c r="I1128"/>
  <c r="K1128" s="1"/>
  <c r="I1102"/>
  <c r="I1016"/>
  <c r="K1016" s="1"/>
  <c r="I1086"/>
  <c r="K1086" s="1"/>
  <c r="I1071"/>
  <c r="K1071" s="1"/>
  <c r="K1079" s="1"/>
  <c r="K1081" s="1"/>
  <c r="I1054"/>
  <c r="I986"/>
  <c r="K986" s="1"/>
  <c r="I951"/>
  <c r="K951" s="1"/>
  <c r="I928"/>
  <c r="K928" s="1"/>
  <c r="K930" s="1"/>
  <c r="P211"/>
  <c r="R211" s="1"/>
  <c r="R221" s="1"/>
  <c r="R224" s="1"/>
  <c r="I3600"/>
  <c r="K3600" s="1"/>
  <c r="K3610" s="1"/>
  <c r="K3612" s="1"/>
  <c r="I2864"/>
  <c r="K2864" s="1"/>
  <c r="AE2787"/>
  <c r="AG2787" s="1"/>
  <c r="P2821"/>
  <c r="K2814"/>
  <c r="I3101"/>
  <c r="K3101" s="1"/>
  <c r="K3112" s="1"/>
  <c r="K3114" s="1"/>
  <c r="P2670"/>
  <c r="K2663"/>
  <c r="P3292"/>
  <c r="P3222"/>
  <c r="P3258"/>
  <c r="R3258" s="1"/>
  <c r="R3270" s="1"/>
  <c r="R3272" s="1"/>
  <c r="R3189"/>
  <c r="R3201" s="1"/>
  <c r="R3203" s="1"/>
  <c r="I3321"/>
  <c r="K3321" s="1"/>
  <c r="R3261"/>
  <c r="R1089"/>
  <c r="P1111"/>
  <c r="R1111" s="1"/>
  <c r="R1217"/>
  <c r="T1217" s="1"/>
  <c r="P1259"/>
  <c r="R1334"/>
  <c r="AB1190"/>
  <c r="V1300"/>
  <c r="K3926"/>
  <c r="I3944"/>
  <c r="AE313"/>
  <c r="AG313" s="1"/>
  <c r="AQ65"/>
  <c r="X313"/>
  <c r="I2872"/>
  <c r="K2872" s="1"/>
  <c r="I2671"/>
  <c r="I3491"/>
  <c r="K3491" s="1"/>
  <c r="I1136"/>
  <c r="V3572"/>
  <c r="X3556"/>
  <c r="P1491"/>
  <c r="R1460"/>
  <c r="V1421"/>
  <c r="X1421" s="1"/>
  <c r="R1074"/>
  <c r="P1100"/>
  <c r="I1108"/>
  <c r="K1108" s="1"/>
  <c r="K1093"/>
  <c r="X1376"/>
  <c r="V1393"/>
  <c r="R1432"/>
  <c r="R1438" s="1"/>
  <c r="P1448"/>
  <c r="AC14"/>
  <c r="Z15"/>
  <c r="AC15" s="1"/>
  <c r="X315"/>
  <c r="AQ67"/>
  <c r="AE315"/>
  <c r="AG315" s="1"/>
  <c r="AB554"/>
  <c r="AD554" s="1"/>
  <c r="AD530"/>
  <c r="I1615"/>
  <c r="P1604"/>
  <c r="R1604" s="1"/>
  <c r="K1603"/>
  <c r="I3996"/>
  <c r="AB1378"/>
  <c r="AD1361"/>
  <c r="AD644"/>
  <c r="AF644" s="1"/>
  <c r="V707"/>
  <c r="X644"/>
  <c r="AE367"/>
  <c r="AG367" s="1"/>
  <c r="X358"/>
  <c r="X314"/>
  <c r="AE314"/>
  <c r="AG314" s="1"/>
  <c r="AQ66"/>
  <c r="I3184"/>
  <c r="K3171"/>
  <c r="X360"/>
  <c r="AE369"/>
  <c r="AG369" s="1"/>
  <c r="R199"/>
  <c r="V199"/>
  <c r="X199" s="1"/>
  <c r="K3546"/>
  <c r="AE3546"/>
  <c r="AG3546" s="1"/>
  <c r="V3546"/>
  <c r="P3550"/>
  <c r="R3550" s="1"/>
  <c r="R3534"/>
  <c r="V3575"/>
  <c r="X3559"/>
  <c r="K3644"/>
  <c r="P3468"/>
  <c r="R3468" s="1"/>
  <c r="V1458"/>
  <c r="R1497"/>
  <c r="K4019"/>
  <c r="I4020"/>
  <c r="I987"/>
  <c r="K987" s="1"/>
  <c r="I952"/>
  <c r="K952" s="1"/>
  <c r="I1017"/>
  <c r="K3282"/>
  <c r="V3250"/>
  <c r="X3250" s="1"/>
  <c r="X883"/>
  <c r="V899"/>
  <c r="X899" s="1"/>
  <c r="AB553"/>
  <c r="AD553" s="1"/>
  <c r="AD529"/>
  <c r="K2612"/>
  <c r="K2615" s="1"/>
  <c r="M2615" s="1"/>
  <c r="R3071"/>
  <c r="R3073" s="1"/>
  <c r="R1607"/>
  <c r="R1609" s="1"/>
  <c r="C878" s="1"/>
  <c r="K2034"/>
  <c r="X3667"/>
  <c r="X3668" s="1"/>
  <c r="K1593"/>
  <c r="K1595" s="1"/>
  <c r="K2015"/>
  <c r="K587"/>
  <c r="K589" s="1"/>
  <c r="I590" s="1"/>
  <c r="K590" s="1"/>
  <c r="I591" s="1"/>
  <c r="K591" s="1"/>
  <c r="I592" s="1"/>
  <c r="K592" s="1"/>
  <c r="I593" s="1"/>
  <c r="K593" s="1"/>
  <c r="I594" s="1"/>
  <c r="K594" s="1"/>
  <c r="AH3113"/>
  <c r="AH3114" s="1"/>
  <c r="AH3115" s="1"/>
  <c r="AF3113"/>
  <c r="AF3114" s="1"/>
  <c r="AF3115" s="1"/>
  <c r="AG3113"/>
  <c r="AG3114" s="1"/>
  <c r="AG3115" s="1"/>
  <c r="V3602"/>
  <c r="X3602" s="1"/>
  <c r="X3585"/>
  <c r="P1498"/>
  <c r="R1467"/>
  <c r="AE2624"/>
  <c r="AG2624" s="1"/>
  <c r="AE2658"/>
  <c r="AG2658" s="1"/>
  <c r="X2610"/>
  <c r="Z2608"/>
  <c r="V1437"/>
  <c r="P1483"/>
  <c r="R1476"/>
  <c r="I3746"/>
  <c r="K3746" s="1"/>
  <c r="K3752" s="1"/>
  <c r="K3753" s="1"/>
  <c r="K9"/>
  <c r="I1405"/>
  <c r="K1405" s="1"/>
  <c r="K1412" s="1"/>
  <c r="K1414" s="1"/>
  <c r="I1200"/>
  <c r="K1200" s="1"/>
  <c r="K1211" s="1"/>
  <c r="K1213" s="1"/>
  <c r="I2441" s="1"/>
  <c r="K2441" s="1"/>
  <c r="I445"/>
  <c r="K445" s="1"/>
  <c r="K452" s="1"/>
  <c r="K454" s="1"/>
  <c r="I459" s="1"/>
  <c r="K459" s="1"/>
  <c r="K463" s="1"/>
  <c r="K465" s="1"/>
  <c r="K467" s="1"/>
  <c r="I411"/>
  <c r="K411" s="1"/>
  <c r="K418" s="1"/>
  <c r="K420" s="1"/>
  <c r="P362"/>
  <c r="R362" s="1"/>
  <c r="R370" s="1"/>
  <c r="R372" s="1"/>
  <c r="I356"/>
  <c r="I487"/>
  <c r="K487" s="1"/>
  <c r="K495" s="1"/>
  <c r="K497" s="1"/>
  <c r="I380"/>
  <c r="P232"/>
  <c r="R232" s="1"/>
  <c r="P164"/>
  <c r="R164" s="1"/>
  <c r="AQ133"/>
  <c r="AQ108"/>
  <c r="AS108" s="1"/>
  <c r="I336"/>
  <c r="P180"/>
  <c r="R180" s="1"/>
  <c r="AQ88"/>
  <c r="AS88" s="1"/>
  <c r="I2898"/>
  <c r="K2898" s="1"/>
  <c r="K504"/>
  <c r="K1226"/>
  <c r="P1221"/>
  <c r="V1284"/>
  <c r="X1284" s="1"/>
  <c r="K1255"/>
  <c r="P2432"/>
  <c r="R2432" s="1"/>
  <c r="K2425"/>
  <c r="V3547"/>
  <c r="V3563" s="1"/>
  <c r="AE3547"/>
  <c r="P1173"/>
  <c r="R1173" s="1"/>
  <c r="R1142"/>
  <c r="V816"/>
  <c r="X816" s="1"/>
  <c r="X801"/>
  <c r="L2318"/>
  <c r="K2353"/>
  <c r="AE339"/>
  <c r="AG339" s="1"/>
  <c r="X339"/>
  <c r="K96"/>
  <c r="K99" s="1"/>
  <c r="K101" s="1"/>
  <c r="M96"/>
  <c r="M97" s="1"/>
  <c r="V1397"/>
  <c r="X1380"/>
  <c r="I3832"/>
  <c r="K3832" s="1"/>
  <c r="P3471"/>
  <c r="R3471" s="1"/>
  <c r="K3465"/>
  <c r="V415"/>
  <c r="X415" s="1"/>
  <c r="X384"/>
  <c r="AE393"/>
  <c r="H3873"/>
  <c r="J3873" s="1"/>
  <c r="J3878" s="1"/>
  <c r="J3880" s="1"/>
  <c r="J3852"/>
  <c r="J3857" s="1"/>
  <c r="J3859" s="1"/>
  <c r="R1495"/>
  <c r="V1456"/>
  <c r="P1535"/>
  <c r="R1535" s="1"/>
  <c r="R1489"/>
  <c r="V1450"/>
  <c r="K2634"/>
  <c r="V2602"/>
  <c r="I3421"/>
  <c r="K3421" s="1"/>
  <c r="K3432" s="1"/>
  <c r="K3434" s="1"/>
  <c r="P2641"/>
  <c r="R2641" s="1"/>
  <c r="R2652" s="1"/>
  <c r="R2654" s="1"/>
  <c r="P3154"/>
  <c r="K3147"/>
  <c r="K3157" s="1"/>
  <c r="K3159" s="1"/>
  <c r="K613"/>
  <c r="I613"/>
  <c r="X395"/>
  <c r="V427"/>
  <c r="X427" s="1"/>
  <c r="AR3114"/>
  <c r="AR3115" s="1"/>
  <c r="AR3116" s="1"/>
  <c r="AQ3114"/>
  <c r="AQ3115" s="1"/>
  <c r="AQ3116" s="1"/>
  <c r="P1987"/>
  <c r="R1987" s="1"/>
  <c r="K1987"/>
  <c r="W590"/>
  <c r="R22"/>
  <c r="R28" s="1"/>
  <c r="R30" s="1"/>
  <c r="J564"/>
  <c r="J565" s="1"/>
  <c r="J566" s="1"/>
  <c r="J567" s="1"/>
  <c r="J568" s="1"/>
  <c r="J569" s="1"/>
  <c r="J570" s="1"/>
  <c r="J571" s="1"/>
  <c r="W565"/>
  <c r="AC565" s="1"/>
  <c r="X3683"/>
  <c r="X3695" s="1"/>
  <c r="X3696" s="1"/>
  <c r="V3701"/>
  <c r="AD1357"/>
  <c r="AD1363" s="1"/>
  <c r="AB1374"/>
  <c r="I4010"/>
  <c r="K3994"/>
  <c r="P1614"/>
  <c r="R1614" s="1"/>
  <c r="K1613"/>
  <c r="J542"/>
  <c r="W541"/>
  <c r="AC541" s="1"/>
  <c r="I3831"/>
  <c r="K3831" s="1"/>
  <c r="P3470"/>
  <c r="R3470" s="1"/>
  <c r="K3464"/>
  <c r="I3183"/>
  <c r="K3170"/>
  <c r="P1224"/>
  <c r="P1261"/>
  <c r="R1219"/>
  <c r="T1219" s="1"/>
  <c r="V900"/>
  <c r="X900" s="1"/>
  <c r="X884"/>
  <c r="V198"/>
  <c r="X198" s="1"/>
  <c r="R198"/>
  <c r="AE368"/>
  <c r="AG368" s="1"/>
  <c r="X359"/>
  <c r="V817"/>
  <c r="X817" s="1"/>
  <c r="X802"/>
  <c r="P1260"/>
  <c r="P1223"/>
  <c r="R1218"/>
  <c r="T1218" s="1"/>
  <c r="V413"/>
  <c r="X413" s="1"/>
  <c r="AE391"/>
  <c r="X382"/>
  <c r="R197"/>
  <c r="V197"/>
  <c r="X197" s="1"/>
  <c r="I3947"/>
  <c r="K3929"/>
  <c r="AE316"/>
  <c r="AG316" s="1"/>
  <c r="AQ68"/>
  <c r="X316"/>
  <c r="R3370"/>
  <c r="P3404"/>
  <c r="P1537"/>
  <c r="R1537" s="1"/>
  <c r="V1455"/>
  <c r="R1494"/>
  <c r="V1422"/>
  <c r="X1422" s="1"/>
  <c r="P1492"/>
  <c r="R1461"/>
  <c r="R1459"/>
  <c r="P1490"/>
  <c r="V1420"/>
  <c r="X1420" s="1"/>
  <c r="I3479"/>
  <c r="K3479" s="1"/>
  <c r="P2822"/>
  <c r="K2815"/>
  <c r="W44"/>
  <c r="W43"/>
  <c r="P2857"/>
  <c r="R2857" s="1"/>
  <c r="R2824"/>
  <c r="I3355"/>
  <c r="K3355" s="1"/>
  <c r="K3368"/>
  <c r="K3370" s="1"/>
  <c r="K3371" s="1"/>
  <c r="K2398"/>
  <c r="K2403" s="1"/>
  <c r="I2410"/>
  <c r="R1861"/>
  <c r="R1868" s="1"/>
  <c r="R1870" s="1"/>
  <c r="P1879" s="1"/>
  <c r="R1879" s="1"/>
  <c r="R1881" s="1"/>
  <c r="P1892"/>
  <c r="R1892" s="1"/>
  <c r="R1899" s="1"/>
  <c r="R1901" s="1"/>
  <c r="P1910" s="1"/>
  <c r="R1910" s="1"/>
  <c r="R1912" s="1"/>
  <c r="AE337"/>
  <c r="AG337" s="1"/>
  <c r="X337"/>
  <c r="AE390"/>
  <c r="X381"/>
  <c r="V412"/>
  <c r="X412" s="1"/>
  <c r="AE366"/>
  <c r="AG366" s="1"/>
  <c r="X357"/>
  <c r="K1310"/>
  <c r="K1312" s="1"/>
  <c r="R57"/>
  <c r="R60" s="1"/>
  <c r="I2354"/>
  <c r="I2386" s="1"/>
  <c r="K2386" s="1"/>
  <c r="K3064"/>
  <c r="K3066" s="1"/>
  <c r="K3083"/>
  <c r="K3085" s="1"/>
  <c r="K3329"/>
  <c r="K3331" s="1"/>
  <c r="K1606"/>
  <c r="K1608" s="1"/>
  <c r="R2037"/>
  <c r="R1421"/>
  <c r="K3357"/>
  <c r="K2154"/>
  <c r="R2018"/>
  <c r="X587"/>
  <c r="X589" s="1"/>
  <c r="X590" s="1"/>
  <c r="X591" s="1"/>
  <c r="X592" s="1"/>
  <c r="X593" s="1"/>
  <c r="X594" s="1"/>
  <c r="X595" s="1"/>
  <c r="R1443" i="4"/>
  <c r="P1460"/>
  <c r="K3370"/>
  <c r="K3371" s="1"/>
  <c r="R1421"/>
  <c r="X1388"/>
  <c r="V1404"/>
  <c r="V3577"/>
  <c r="X3561"/>
  <c r="P3534"/>
  <c r="I3546"/>
  <c r="K3530"/>
  <c r="P1483"/>
  <c r="R1476"/>
  <c r="V1437"/>
  <c r="P1497"/>
  <c r="R1466"/>
  <c r="K3989"/>
  <c r="I3990"/>
  <c r="K3990" s="1"/>
  <c r="AG393"/>
  <c r="AE429"/>
  <c r="AG429" s="1"/>
  <c r="V707"/>
  <c r="X644"/>
  <c r="AD644"/>
  <c r="AF644" s="1"/>
  <c r="V817"/>
  <c r="X817" s="1"/>
  <c r="X802"/>
  <c r="V413"/>
  <c r="X413" s="1"/>
  <c r="AE391"/>
  <c r="X382"/>
  <c r="R197"/>
  <c r="V197"/>
  <c r="X197" s="1"/>
  <c r="I3197"/>
  <c r="K3182"/>
  <c r="R1262"/>
  <c r="P1239"/>
  <c r="R1239" s="1"/>
  <c r="V1242"/>
  <c r="I3255"/>
  <c r="K3255" s="1"/>
  <c r="K3184"/>
  <c r="I3269"/>
  <c r="K3269" s="1"/>
  <c r="L3235" s="1"/>
  <c r="I3961"/>
  <c r="K3945"/>
  <c r="P1266"/>
  <c r="R1224"/>
  <c r="T1224" s="1"/>
  <c r="P2854"/>
  <c r="R2854" s="1"/>
  <c r="R2821"/>
  <c r="R3292"/>
  <c r="P3395"/>
  <c r="R3395" s="1"/>
  <c r="P3361"/>
  <c r="R3361" s="1"/>
  <c r="P3436"/>
  <c r="R3436" s="1"/>
  <c r="P3324"/>
  <c r="R3324" s="1"/>
  <c r="R3222"/>
  <c r="K102"/>
  <c r="K104"/>
  <c r="K105" s="1"/>
  <c r="X801"/>
  <c r="V816"/>
  <c r="X816" s="1"/>
  <c r="I595"/>
  <c r="K595" s="1"/>
  <c r="I596" s="1"/>
  <c r="K596" s="1"/>
  <c r="I597" s="1"/>
  <c r="K597" s="1"/>
  <c r="I598" s="1"/>
  <c r="K598" s="1"/>
  <c r="I599" s="1"/>
  <c r="K599" s="1"/>
  <c r="K602"/>
  <c r="K613"/>
  <c r="I613"/>
  <c r="X395"/>
  <c r="V427"/>
  <c r="X427" s="1"/>
  <c r="AQ164"/>
  <c r="AS164" s="1"/>
  <c r="AS133"/>
  <c r="P657"/>
  <c r="R657" s="1"/>
  <c r="K468"/>
  <c r="K469" s="1"/>
  <c r="K470" s="1"/>
  <c r="P612"/>
  <c r="R612" s="1"/>
  <c r="P655"/>
  <c r="R655" s="1"/>
  <c r="P598"/>
  <c r="R598" s="1"/>
  <c r="K1249"/>
  <c r="K1262" s="1"/>
  <c r="K1264" s="1"/>
  <c r="V1278"/>
  <c r="X1278" s="1"/>
  <c r="X1291" s="1"/>
  <c r="X1293" s="1"/>
  <c r="P1373"/>
  <c r="R1373" s="1"/>
  <c r="AB1189"/>
  <c r="R1333"/>
  <c r="V1332"/>
  <c r="X1332" s="1"/>
  <c r="V1299"/>
  <c r="P2431"/>
  <c r="R2431" s="1"/>
  <c r="R2440" s="1"/>
  <c r="R2442" s="1"/>
  <c r="K2424"/>
  <c r="K2433" s="1"/>
  <c r="K2435" s="1"/>
  <c r="P2344"/>
  <c r="R2344" s="1"/>
  <c r="I1767"/>
  <c r="K1767" s="1"/>
  <c r="K1775" s="1"/>
  <c r="K91"/>
  <c r="P597"/>
  <c r="R597" s="1"/>
  <c r="P654"/>
  <c r="R654" s="1"/>
  <c r="P611"/>
  <c r="R611" s="1"/>
  <c r="V3575"/>
  <c r="X3559"/>
  <c r="V3557"/>
  <c r="X3541"/>
  <c r="R1489"/>
  <c r="V1450"/>
  <c r="P1535"/>
  <c r="R1535" s="1"/>
  <c r="X804"/>
  <c r="V819"/>
  <c r="X819" s="1"/>
  <c r="X338"/>
  <c r="AE338"/>
  <c r="AG338" s="1"/>
  <c r="V1323"/>
  <c r="X1323" s="1"/>
  <c r="X1303"/>
  <c r="I3280"/>
  <c r="K1102"/>
  <c r="K1110" s="1"/>
  <c r="K1112" s="1"/>
  <c r="J542"/>
  <c r="W541"/>
  <c r="AC541" s="1"/>
  <c r="X3138"/>
  <c r="V3163"/>
  <c r="X3163" s="1"/>
  <c r="K2817"/>
  <c r="AE2789"/>
  <c r="AG2789" s="1"/>
  <c r="P2824"/>
  <c r="V2785"/>
  <c r="X2785" s="1"/>
  <c r="R1334"/>
  <c r="V1300"/>
  <c r="AB1190"/>
  <c r="AE390"/>
  <c r="X381"/>
  <c r="V412"/>
  <c r="X412" s="1"/>
  <c r="AE366"/>
  <c r="AG366" s="1"/>
  <c r="X357"/>
  <c r="X1380"/>
  <c r="V1397"/>
  <c r="P1452"/>
  <c r="R1436"/>
  <c r="I3996"/>
  <c r="AB1378"/>
  <c r="AD1361"/>
  <c r="P1111"/>
  <c r="R1111" s="1"/>
  <c r="R1089"/>
  <c r="P1602"/>
  <c r="R1602" s="1"/>
  <c r="R1607" s="1"/>
  <c r="R1609" s="1"/>
  <c r="C878" s="1"/>
  <c r="K1601"/>
  <c r="K1606" s="1"/>
  <c r="K1608" s="1"/>
  <c r="I3963"/>
  <c r="K3947"/>
  <c r="X1302"/>
  <c r="V1322"/>
  <c r="X1322" s="1"/>
  <c r="R1144"/>
  <c r="P1175"/>
  <c r="R1175" s="1"/>
  <c r="I1285"/>
  <c r="K1285" s="1"/>
  <c r="K1290" s="1"/>
  <c r="K1292" s="1"/>
  <c r="K1271"/>
  <c r="K1276" s="1"/>
  <c r="K1278" s="1"/>
  <c r="AB1264"/>
  <c r="AD1264" s="1"/>
  <c r="AD1269" s="1"/>
  <c r="AD1271" s="1"/>
  <c r="N14"/>
  <c r="K14"/>
  <c r="P1091"/>
  <c r="K1017"/>
  <c r="K1028" s="1"/>
  <c r="K1030" s="1"/>
  <c r="K3064"/>
  <c r="K3066" s="1"/>
  <c r="K2612"/>
  <c r="K2615" s="1"/>
  <c r="M2615" s="1"/>
  <c r="K511"/>
  <c r="K513" s="1"/>
  <c r="K3695"/>
  <c r="K3697" s="1"/>
  <c r="X1365"/>
  <c r="R3236"/>
  <c r="R3238" s="1"/>
  <c r="K3592"/>
  <c r="I3593" s="1"/>
  <c r="K3593" s="1"/>
  <c r="I3594" s="1"/>
  <c r="K3594" s="1"/>
  <c r="I3595" s="1"/>
  <c r="K3595" s="1"/>
  <c r="K3647"/>
  <c r="K3648" s="1"/>
  <c r="I2105"/>
  <c r="K2105" s="1"/>
  <c r="K2111" s="1"/>
  <c r="I1971"/>
  <c r="I1991"/>
  <c r="P623"/>
  <c r="R623" s="1"/>
  <c r="P610"/>
  <c r="R610" s="1"/>
  <c r="P596"/>
  <c r="R596" s="1"/>
  <c r="X3137"/>
  <c r="V3162"/>
  <c r="X3162" s="1"/>
  <c r="V3579"/>
  <c r="X3579" s="1"/>
  <c r="X3563"/>
  <c r="P1536"/>
  <c r="R1536" s="1"/>
  <c r="R1493"/>
  <c r="V1454"/>
  <c r="R1498"/>
  <c r="V1459"/>
  <c r="AQ92"/>
  <c r="AS68"/>
  <c r="I3830"/>
  <c r="K3830" s="1"/>
  <c r="P3469"/>
  <c r="R3469" s="1"/>
  <c r="K3463"/>
  <c r="AE367"/>
  <c r="AG367" s="1"/>
  <c r="X358"/>
  <c r="X314"/>
  <c r="AQ66"/>
  <c r="AE314"/>
  <c r="AG314" s="1"/>
  <c r="AB1401"/>
  <c r="X1403"/>
  <c r="J665"/>
  <c r="W489"/>
  <c r="AC489" s="1"/>
  <c r="AC1201"/>
  <c r="AJ1200"/>
  <c r="P1267"/>
  <c r="R1225"/>
  <c r="T1225" s="1"/>
  <c r="R1261"/>
  <c r="V1241"/>
  <c r="P1238"/>
  <c r="R1238" s="1"/>
  <c r="I3254"/>
  <c r="K3254" s="1"/>
  <c r="K3183"/>
  <c r="I3268"/>
  <c r="K3268" s="1"/>
  <c r="L3234" s="1"/>
  <c r="AE2650"/>
  <c r="AG2650" s="1"/>
  <c r="AE2616"/>
  <c r="AG2616" s="1"/>
  <c r="Z2600"/>
  <c r="X2602"/>
  <c r="X3574"/>
  <c r="V3589"/>
  <c r="V1460"/>
  <c r="R1499"/>
  <c r="P3404"/>
  <c r="R3370"/>
  <c r="H3874"/>
  <c r="J3874" s="1"/>
  <c r="J3853"/>
  <c r="H3873"/>
  <c r="J3873" s="1"/>
  <c r="J3852"/>
  <c r="V1424"/>
  <c r="X1424" s="1"/>
  <c r="P1494"/>
  <c r="R1463"/>
  <c r="R1444"/>
  <c r="P1461"/>
  <c r="V1405"/>
  <c r="X1389"/>
  <c r="X3683"/>
  <c r="X3695" s="1"/>
  <c r="X3696" s="1"/>
  <c r="V3701"/>
  <c r="AE2624"/>
  <c r="AG2624" s="1"/>
  <c r="AE2658"/>
  <c r="AG2658" s="1"/>
  <c r="X2610"/>
  <c r="Z2608"/>
  <c r="AQ91"/>
  <c r="AS67"/>
  <c r="R1142"/>
  <c r="P1173"/>
  <c r="R1173" s="1"/>
  <c r="X706"/>
  <c r="Z706" s="1"/>
  <c r="V676"/>
  <c r="X676" s="1"/>
  <c r="I2410"/>
  <c r="K2398"/>
  <c r="K2403" s="1"/>
  <c r="P1259"/>
  <c r="R1217"/>
  <c r="T1217" s="1"/>
  <c r="AB553"/>
  <c r="AD553" s="1"/>
  <c r="AD529"/>
  <c r="AE313"/>
  <c r="AG313" s="1"/>
  <c r="AQ65"/>
  <c r="X313"/>
  <c r="X319" s="1"/>
  <c r="X321" s="1"/>
  <c r="X323" s="1"/>
  <c r="P1490"/>
  <c r="V1420"/>
  <c r="X1420" s="1"/>
  <c r="R1459"/>
  <c r="W564"/>
  <c r="AC564" s="1"/>
  <c r="J563"/>
  <c r="I1613"/>
  <c r="I1586"/>
  <c r="K1586" s="1"/>
  <c r="K1593" s="1"/>
  <c r="K1595" s="1"/>
  <c r="X1376"/>
  <c r="X1382" s="1"/>
  <c r="V1393"/>
  <c r="P1448"/>
  <c r="R1432"/>
  <c r="P1263"/>
  <c r="R1221"/>
  <c r="T1221" s="1"/>
  <c r="AU108"/>
  <c r="AV108" s="1"/>
  <c r="K380"/>
  <c r="K387" s="1"/>
  <c r="K389" s="1"/>
  <c r="I394" s="1"/>
  <c r="K394" s="1"/>
  <c r="K398" s="1"/>
  <c r="K400" s="1"/>
  <c r="K402" s="1"/>
  <c r="V380"/>
  <c r="V356"/>
  <c r="K356"/>
  <c r="K363" s="1"/>
  <c r="K365" s="1"/>
  <c r="K367" s="1"/>
  <c r="I426"/>
  <c r="K426" s="1"/>
  <c r="K430" s="1"/>
  <c r="K432" s="1"/>
  <c r="K434" s="1"/>
  <c r="K435" s="1"/>
  <c r="K436" s="1"/>
  <c r="K437" s="1"/>
  <c r="K438" s="1"/>
  <c r="P267"/>
  <c r="R267" s="1"/>
  <c r="R271" s="1"/>
  <c r="R273" s="1"/>
  <c r="R275" s="1"/>
  <c r="R276" s="1"/>
  <c r="R277" s="1"/>
  <c r="R278" s="1"/>
  <c r="V196"/>
  <c r="X196" s="1"/>
  <c r="R196"/>
  <c r="P1216"/>
  <c r="K1220"/>
  <c r="K1238" s="1"/>
  <c r="K1241" s="1"/>
  <c r="P284" s="1"/>
  <c r="R284" s="1"/>
  <c r="R289" s="1"/>
  <c r="R291" s="1"/>
  <c r="I1377"/>
  <c r="K1377" s="1"/>
  <c r="K1385" s="1"/>
  <c r="K1387" s="1"/>
  <c r="V1333"/>
  <c r="X1333" s="1"/>
  <c r="I1355"/>
  <c r="K1355" s="1"/>
  <c r="K1440"/>
  <c r="K1442" s="1"/>
  <c r="I1989" s="1"/>
  <c r="L1412"/>
  <c r="P3461"/>
  <c r="R3461" s="1"/>
  <c r="R3474" s="1"/>
  <c r="R3476" s="1"/>
  <c r="I3822"/>
  <c r="K3822" s="1"/>
  <c r="K3835" s="1"/>
  <c r="K3837" s="1"/>
  <c r="K3455"/>
  <c r="K3468" s="1"/>
  <c r="K3470" s="1"/>
  <c r="P2855"/>
  <c r="R2855" s="1"/>
  <c r="R2822"/>
  <c r="K1888"/>
  <c r="K1890" s="1"/>
  <c r="I1897"/>
  <c r="K1897" s="1"/>
  <c r="K1899" s="1"/>
  <c r="V1436"/>
  <c r="P1482"/>
  <c r="R1475"/>
  <c r="X1456"/>
  <c r="AB1454"/>
  <c r="AD1454" s="1"/>
  <c r="K4019"/>
  <c r="I4020"/>
  <c r="P1260"/>
  <c r="P1223"/>
  <c r="R1218"/>
  <c r="T1218" s="1"/>
  <c r="P1121"/>
  <c r="R1100"/>
  <c r="P3535"/>
  <c r="K3531"/>
  <c r="W590"/>
  <c r="R22"/>
  <c r="R28" s="1"/>
  <c r="R30" s="1"/>
  <c r="R3154"/>
  <c r="V3114"/>
  <c r="AE1063"/>
  <c r="AG1063" s="1"/>
  <c r="P988"/>
  <c r="R988" s="1"/>
  <c r="R998" s="1"/>
  <c r="R1000" s="1"/>
  <c r="P1090"/>
  <c r="P1065"/>
  <c r="R1065" s="1"/>
  <c r="R1075" s="1"/>
  <c r="R1077" s="1"/>
  <c r="K1054"/>
  <c r="K1064" s="1"/>
  <c r="K1066" s="1"/>
  <c r="W15"/>
  <c r="W39" s="1"/>
  <c r="W44" s="1"/>
  <c r="W38"/>
  <c r="X3540"/>
  <c r="V3556"/>
  <c r="P1114"/>
  <c r="R1114" s="1"/>
  <c r="R1093"/>
  <c r="R3192"/>
  <c r="R3201" s="1"/>
  <c r="R3203" s="1"/>
  <c r="P3261"/>
  <c r="Z15"/>
  <c r="AC15" s="1"/>
  <c r="AC14"/>
  <c r="R1861"/>
  <c r="R1868" s="1"/>
  <c r="R1870" s="1"/>
  <c r="P1879" s="1"/>
  <c r="R1879" s="1"/>
  <c r="R1881" s="1"/>
  <c r="P1892"/>
  <c r="R1892" s="1"/>
  <c r="R1899" s="1"/>
  <c r="R1901" s="1"/>
  <c r="P1910" s="1"/>
  <c r="R1910" s="1"/>
  <c r="R1912" s="1"/>
  <c r="K3926"/>
  <c r="I3944"/>
  <c r="V899"/>
  <c r="X899" s="1"/>
  <c r="X883"/>
  <c r="AE337"/>
  <c r="AG337" s="1"/>
  <c r="X337"/>
  <c r="AE428"/>
  <c r="AG428" s="1"/>
  <c r="AG392"/>
  <c r="I2937"/>
  <c r="K2937" s="1"/>
  <c r="I2928"/>
  <c r="AD1357"/>
  <c r="AB1374"/>
  <c r="I4010"/>
  <c r="K3994"/>
  <c r="X803"/>
  <c r="V818"/>
  <c r="X818" s="1"/>
  <c r="V708"/>
  <c r="AD643"/>
  <c r="AF643" s="1"/>
  <c r="AF650" s="1"/>
  <c r="AF652" s="1"/>
  <c r="AF654" s="1"/>
  <c r="X643"/>
  <c r="X650" s="1"/>
  <c r="X652" s="1"/>
  <c r="X654" s="1"/>
  <c r="V336"/>
  <c r="I2938"/>
  <c r="K2938" s="1"/>
  <c r="I2929"/>
  <c r="R3071"/>
  <c r="R3073" s="1"/>
  <c r="K3174"/>
  <c r="K3175" s="1"/>
  <c r="R405"/>
  <c r="R407" s="1"/>
  <c r="P414" s="1"/>
  <c r="R414" s="1"/>
  <c r="R416" s="1"/>
  <c r="R418" s="1"/>
  <c r="K2905"/>
  <c r="K2907" s="1"/>
  <c r="K2911" s="1"/>
  <c r="K2913" s="1"/>
  <c r="K3675"/>
  <c r="K3677" s="1"/>
  <c r="K1095"/>
  <c r="K1097" s="1"/>
  <c r="AG1073"/>
  <c r="AG1075" s="1"/>
  <c r="R3337"/>
  <c r="R3339" s="1"/>
  <c r="R3303"/>
  <c r="R3305" s="1"/>
  <c r="K319"/>
  <c r="K321" s="1"/>
  <c r="AG319"/>
  <c r="AG321" s="1"/>
  <c r="AG323" s="1"/>
  <c r="K3258"/>
  <c r="K3260" s="1"/>
  <c r="H125" i="2"/>
  <c r="H122"/>
  <c r="Z2610" i="4" l="1"/>
  <c r="Z2611" s="1"/>
  <c r="R3372"/>
  <c r="R3374" s="1"/>
  <c r="J3878"/>
  <c r="J3880" s="1"/>
  <c r="P628" i="6"/>
  <c r="R628" s="1"/>
  <c r="D7" i="9"/>
  <c r="K998" i="6"/>
  <c r="K1000" s="1"/>
  <c r="B18" i="9"/>
  <c r="F18" s="1"/>
  <c r="B21"/>
  <c r="F21" s="1"/>
  <c r="B22"/>
  <c r="F22" s="1"/>
  <c r="B19"/>
  <c r="F19" s="1"/>
  <c r="B20"/>
  <c r="F20" s="1"/>
  <c r="B24"/>
  <c r="F24" s="1"/>
  <c r="K586" i="7"/>
  <c r="I586"/>
  <c r="K2185"/>
  <c r="L2884"/>
  <c r="L2885" s="1"/>
  <c r="I2468"/>
  <c r="K2468" s="1"/>
  <c r="I2311"/>
  <c r="K2311" s="1"/>
  <c r="K3950"/>
  <c r="I3963"/>
  <c r="K3963" s="1"/>
  <c r="Z37"/>
  <c r="AC37" s="1"/>
  <c r="I241" s="1"/>
  <c r="K241" s="1"/>
  <c r="K246" s="1"/>
  <c r="K248" s="1"/>
  <c r="Z14"/>
  <c r="AC13"/>
  <c r="C72" s="1"/>
  <c r="L3416"/>
  <c r="L3419" s="1"/>
  <c r="K3419"/>
  <c r="L3420" s="1"/>
  <c r="L2988"/>
  <c r="K2191"/>
  <c r="K2989"/>
  <c r="L3900"/>
  <c r="M3899"/>
  <c r="K3899"/>
  <c r="I534"/>
  <c r="K534" s="1"/>
  <c r="K539" s="1"/>
  <c r="K541" s="1"/>
  <c r="I543" s="1"/>
  <c r="K543" s="1"/>
  <c r="I544" s="1"/>
  <c r="K544" s="1"/>
  <c r="I545" s="1"/>
  <c r="K545" s="1"/>
  <c r="I546" s="1"/>
  <c r="K546" s="1"/>
  <c r="I547" s="1"/>
  <c r="K547" s="1"/>
  <c r="K509"/>
  <c r="K511" s="1"/>
  <c r="K512" s="1"/>
  <c r="K513" s="1"/>
  <c r="K514" s="1"/>
  <c r="I518"/>
  <c r="K518" s="1"/>
  <c r="K523" s="1"/>
  <c r="K525" s="1"/>
  <c r="I527" s="1"/>
  <c r="K527" s="1"/>
  <c r="I528" s="1"/>
  <c r="K528" s="1"/>
  <c r="I529" s="1"/>
  <c r="K529" s="1"/>
  <c r="I530" s="1"/>
  <c r="K530" s="1"/>
  <c r="I531" s="1"/>
  <c r="K531" s="1"/>
  <c r="M3397"/>
  <c r="L3400"/>
  <c r="K2453"/>
  <c r="K2455"/>
  <c r="I3936"/>
  <c r="K3936" s="1"/>
  <c r="I3100"/>
  <c r="K3074"/>
  <c r="K3077" s="1"/>
  <c r="I3483"/>
  <c r="K3443"/>
  <c r="I3437" s="1"/>
  <c r="K3437" s="1"/>
  <c r="K3441" s="1"/>
  <c r="I3911"/>
  <c r="K3911" s="1"/>
  <c r="K3917" s="1"/>
  <c r="K3918" s="1"/>
  <c r="L3918" s="1"/>
  <c r="K2958"/>
  <c r="K2964" s="1"/>
  <c r="L2899"/>
  <c r="L2900" s="1"/>
  <c r="K2186"/>
  <c r="K3099"/>
  <c r="P3072"/>
  <c r="R3072" s="1"/>
  <c r="L2945"/>
  <c r="L2946" s="1"/>
  <c r="K2188"/>
  <c r="K3939"/>
  <c r="K3941" s="1"/>
  <c r="I1991" i="6"/>
  <c r="I1971"/>
  <c r="I2105"/>
  <c r="K2105" s="1"/>
  <c r="K2111" s="1"/>
  <c r="P610"/>
  <c r="R610" s="1"/>
  <c r="P596"/>
  <c r="R596" s="1"/>
  <c r="P623"/>
  <c r="R623" s="1"/>
  <c r="K2410"/>
  <c r="K2415" s="1"/>
  <c r="I2443"/>
  <c r="K2443" s="1"/>
  <c r="R1490"/>
  <c r="V1451"/>
  <c r="X1455"/>
  <c r="AB1453"/>
  <c r="AD1453" s="1"/>
  <c r="R3404"/>
  <c r="P3448"/>
  <c r="I3963"/>
  <c r="K3947"/>
  <c r="AG391"/>
  <c r="AE427"/>
  <c r="AG427" s="1"/>
  <c r="V1301"/>
  <c r="P1237"/>
  <c r="R1237" s="1"/>
  <c r="R1260"/>
  <c r="V1240"/>
  <c r="R1261"/>
  <c r="V1241"/>
  <c r="P1238"/>
  <c r="R1238" s="1"/>
  <c r="J543"/>
  <c r="W542"/>
  <c r="AC542" s="1"/>
  <c r="I4025"/>
  <c r="K4010"/>
  <c r="P1539"/>
  <c r="R1539" s="1"/>
  <c r="K614"/>
  <c r="I614"/>
  <c r="R3154"/>
  <c r="V3114"/>
  <c r="X1456"/>
  <c r="AB1454"/>
  <c r="AD1454" s="1"/>
  <c r="AG393"/>
  <c r="AE429"/>
  <c r="AG429" s="1"/>
  <c r="P1263"/>
  <c r="R1221"/>
  <c r="T1221" s="1"/>
  <c r="V336"/>
  <c r="K336"/>
  <c r="K343" s="1"/>
  <c r="K345" s="1"/>
  <c r="K347" s="1"/>
  <c r="AQ164"/>
  <c r="AS164" s="1"/>
  <c r="AS133"/>
  <c r="P657"/>
  <c r="R657" s="1"/>
  <c r="K468"/>
  <c r="K469" s="1"/>
  <c r="K470" s="1"/>
  <c r="R1483"/>
  <c r="V1444"/>
  <c r="K1017"/>
  <c r="P1091"/>
  <c r="X1458"/>
  <c r="AB1456"/>
  <c r="AD1456" s="1"/>
  <c r="V3590"/>
  <c r="X3575"/>
  <c r="AQ90"/>
  <c r="AS66"/>
  <c r="X707"/>
  <c r="Z707" s="1"/>
  <c r="V677"/>
  <c r="X677" s="1"/>
  <c r="K3996"/>
  <c r="K3998" s="1"/>
  <c r="K3999" s="1"/>
  <c r="I4012"/>
  <c r="V800"/>
  <c r="V705"/>
  <c r="I175"/>
  <c r="K175" s="1"/>
  <c r="K179" s="1"/>
  <c r="C73"/>
  <c r="I3531"/>
  <c r="K1136"/>
  <c r="P2678"/>
  <c r="K2671"/>
  <c r="AI1190"/>
  <c r="AK1190" s="1"/>
  <c r="AD1190"/>
  <c r="R1259"/>
  <c r="V1239"/>
  <c r="P1236"/>
  <c r="R1236" s="1"/>
  <c r="P3436"/>
  <c r="R3436" s="1"/>
  <c r="P3324"/>
  <c r="R3324" s="1"/>
  <c r="R3337" s="1"/>
  <c r="R3339" s="1"/>
  <c r="R3222"/>
  <c r="R3236" s="1"/>
  <c r="R3238" s="1"/>
  <c r="P2854"/>
  <c r="R2854" s="1"/>
  <c r="R2821"/>
  <c r="P1090"/>
  <c r="P1065"/>
  <c r="R1065" s="1"/>
  <c r="R1075" s="1"/>
  <c r="R1077" s="1"/>
  <c r="K1054"/>
  <c r="K1064" s="1"/>
  <c r="K1066" s="1"/>
  <c r="AE1063"/>
  <c r="AG1063" s="1"/>
  <c r="AG1073" s="1"/>
  <c r="AG1075" s="1"/>
  <c r="P988"/>
  <c r="R988" s="1"/>
  <c r="R998" s="1"/>
  <c r="R1000" s="1"/>
  <c r="I3280"/>
  <c r="K1102"/>
  <c r="K1110" s="1"/>
  <c r="K1112" s="1"/>
  <c r="K2929"/>
  <c r="I2948"/>
  <c r="R1262"/>
  <c r="P1239"/>
  <c r="R1239" s="1"/>
  <c r="V1242"/>
  <c r="AE428"/>
  <c r="AG428" s="1"/>
  <c r="AG392"/>
  <c r="I3961"/>
  <c r="K3945"/>
  <c r="X643"/>
  <c r="X650" s="1"/>
  <c r="X652" s="1"/>
  <c r="X654" s="1"/>
  <c r="V708"/>
  <c r="AD643"/>
  <c r="AF643" s="1"/>
  <c r="AF650" s="1"/>
  <c r="AF652" s="1"/>
  <c r="AF654" s="1"/>
  <c r="V818"/>
  <c r="X818" s="1"/>
  <c r="X803"/>
  <c r="V196"/>
  <c r="X196" s="1"/>
  <c r="R196"/>
  <c r="K1249"/>
  <c r="K1262" s="1"/>
  <c r="K1264" s="1"/>
  <c r="V1278"/>
  <c r="X1278" s="1"/>
  <c r="X1291" s="1"/>
  <c r="X1293" s="1"/>
  <c r="K1220"/>
  <c r="K1238" s="1"/>
  <c r="K1241" s="1"/>
  <c r="P284" s="1"/>
  <c r="R284" s="1"/>
  <c r="R289" s="1"/>
  <c r="R291" s="1"/>
  <c r="P1216"/>
  <c r="I1377"/>
  <c r="K1377" s="1"/>
  <c r="K1385" s="1"/>
  <c r="K1387" s="1"/>
  <c r="V1333"/>
  <c r="X1333" s="1"/>
  <c r="I1355"/>
  <c r="K1355" s="1"/>
  <c r="K1363" s="1"/>
  <c r="K1365" s="1"/>
  <c r="P2431"/>
  <c r="R2431" s="1"/>
  <c r="R2440" s="1"/>
  <c r="R2442" s="1"/>
  <c r="K2424"/>
  <c r="K2433" s="1"/>
  <c r="K2435" s="1"/>
  <c r="P3461"/>
  <c r="R3461" s="1"/>
  <c r="R3474" s="1"/>
  <c r="R3476" s="1"/>
  <c r="K3455"/>
  <c r="K3468" s="1"/>
  <c r="K3470" s="1"/>
  <c r="I3822"/>
  <c r="K3822" s="1"/>
  <c r="K3835" s="1"/>
  <c r="K3837" s="1"/>
  <c r="I1285"/>
  <c r="K1285" s="1"/>
  <c r="K1290" s="1"/>
  <c r="K1292" s="1"/>
  <c r="K1271"/>
  <c r="K1276" s="1"/>
  <c r="K1278" s="1"/>
  <c r="AB1264"/>
  <c r="AD1264" s="1"/>
  <c r="AD1269" s="1"/>
  <c r="AD1271" s="1"/>
  <c r="AC1204"/>
  <c r="AJ1203"/>
  <c r="X1460"/>
  <c r="AB1458"/>
  <c r="AD1458" s="1"/>
  <c r="K2928"/>
  <c r="I2947"/>
  <c r="X1382"/>
  <c r="K2674"/>
  <c r="K2676" s="1"/>
  <c r="K2875"/>
  <c r="K2877" s="1"/>
  <c r="K962"/>
  <c r="K964" s="1"/>
  <c r="K1095"/>
  <c r="K1097" s="1"/>
  <c r="K3494"/>
  <c r="K3592"/>
  <c r="I3593" s="1"/>
  <c r="K3593" s="1"/>
  <c r="I3594" s="1"/>
  <c r="K3594" s="1"/>
  <c r="I3595" s="1"/>
  <c r="K3595" s="1"/>
  <c r="K511"/>
  <c r="K513" s="1"/>
  <c r="K3174"/>
  <c r="K3175" s="1"/>
  <c r="K2156"/>
  <c r="K2158" s="1"/>
  <c r="X319"/>
  <c r="X321" s="1"/>
  <c r="X323" s="1"/>
  <c r="I3360"/>
  <c r="K3358"/>
  <c r="I3921"/>
  <c r="I878"/>
  <c r="AE426"/>
  <c r="AE404"/>
  <c r="AG404" s="1"/>
  <c r="AG390"/>
  <c r="P2855"/>
  <c r="R2855" s="1"/>
  <c r="R2822"/>
  <c r="R1492"/>
  <c r="V1453"/>
  <c r="AQ92"/>
  <c r="AS68"/>
  <c r="P1265"/>
  <c r="R1223"/>
  <c r="T1223" s="1"/>
  <c r="P1266"/>
  <c r="R1224"/>
  <c r="T1224" s="1"/>
  <c r="I3268"/>
  <c r="K3268" s="1"/>
  <c r="L3234" s="1"/>
  <c r="K3183"/>
  <c r="I3254"/>
  <c r="K3254" s="1"/>
  <c r="AD1374"/>
  <c r="AB1391"/>
  <c r="AD1391" s="1"/>
  <c r="X3701"/>
  <c r="X3709" s="1"/>
  <c r="X3710" s="1"/>
  <c r="V3715"/>
  <c r="X3715" s="1"/>
  <c r="X3723" s="1"/>
  <c r="X3724" s="1"/>
  <c r="AE2650"/>
  <c r="AG2650" s="1"/>
  <c r="AE2616"/>
  <c r="AG2616" s="1"/>
  <c r="AG2627" s="1"/>
  <c r="AG2629" s="1"/>
  <c r="Z2600"/>
  <c r="Z2610" s="1"/>
  <c r="Z2611" s="1"/>
  <c r="X2602"/>
  <c r="X1450"/>
  <c r="AB1448"/>
  <c r="AD1448" s="1"/>
  <c r="V1413"/>
  <c r="X1397"/>
  <c r="K102"/>
  <c r="K104"/>
  <c r="K105" s="1"/>
  <c r="V3579"/>
  <c r="X3579" s="1"/>
  <c r="X3563"/>
  <c r="AU108"/>
  <c r="AV108" s="1"/>
  <c r="K380"/>
  <c r="K387" s="1"/>
  <c r="K389" s="1"/>
  <c r="I394" s="1"/>
  <c r="K394" s="1"/>
  <c r="K398" s="1"/>
  <c r="K400" s="1"/>
  <c r="K402" s="1"/>
  <c r="V380"/>
  <c r="V356"/>
  <c r="K356"/>
  <c r="K363" s="1"/>
  <c r="K365" s="1"/>
  <c r="K367" s="1"/>
  <c r="I426"/>
  <c r="K426" s="1"/>
  <c r="K430" s="1"/>
  <c r="K432" s="1"/>
  <c r="K434" s="1"/>
  <c r="K435" s="1"/>
  <c r="K436" s="1"/>
  <c r="K437" s="1"/>
  <c r="K438" s="1"/>
  <c r="P267"/>
  <c r="R267" s="1"/>
  <c r="R271" s="1"/>
  <c r="R273" s="1"/>
  <c r="R275" s="1"/>
  <c r="R276" s="1"/>
  <c r="R277" s="1"/>
  <c r="R278" s="1"/>
  <c r="K14"/>
  <c r="N14"/>
  <c r="AB1435"/>
  <c r="AD1435" s="1"/>
  <c r="X1437"/>
  <c r="R1498"/>
  <c r="V1459"/>
  <c r="K602"/>
  <c r="I595"/>
  <c r="K595" s="1"/>
  <c r="I596" s="1"/>
  <c r="K596" s="1"/>
  <c r="I597" s="1"/>
  <c r="K597" s="1"/>
  <c r="I598" s="1"/>
  <c r="K598" s="1"/>
  <c r="I599" s="1"/>
  <c r="K599" s="1"/>
  <c r="K4020"/>
  <c r="I4021"/>
  <c r="K4021" s="1"/>
  <c r="X3546"/>
  <c r="V3562"/>
  <c r="I3269"/>
  <c r="K3269" s="1"/>
  <c r="L3235" s="1"/>
  <c r="I3255"/>
  <c r="K3255" s="1"/>
  <c r="K3184"/>
  <c r="AB1395"/>
  <c r="AD1395" s="1"/>
  <c r="AD1378"/>
  <c r="P1616"/>
  <c r="R1616" s="1"/>
  <c r="R1619" s="1"/>
  <c r="R1621" s="1"/>
  <c r="K1615"/>
  <c r="AQ91"/>
  <c r="AS67"/>
  <c r="P2346"/>
  <c r="P231"/>
  <c r="R231" s="1"/>
  <c r="R238" s="1"/>
  <c r="R240" s="1"/>
  <c r="I167"/>
  <c r="K167" s="1"/>
  <c r="K171" s="1"/>
  <c r="C74"/>
  <c r="P1465"/>
  <c r="R1448"/>
  <c r="V1409"/>
  <c r="X1393"/>
  <c r="X1399" s="1"/>
  <c r="R1100"/>
  <c r="P1121"/>
  <c r="V1452"/>
  <c r="R1491"/>
  <c r="V3587"/>
  <c r="X3572"/>
  <c r="AQ89"/>
  <c r="AS65"/>
  <c r="I3960"/>
  <c r="K3944"/>
  <c r="X1300"/>
  <c r="V1320"/>
  <c r="X1320" s="1"/>
  <c r="P3395"/>
  <c r="R3395" s="1"/>
  <c r="R3406" s="1"/>
  <c r="R3408" s="1"/>
  <c r="P3361"/>
  <c r="R3361" s="1"/>
  <c r="R3372" s="1"/>
  <c r="R3374" s="1"/>
  <c r="R3292"/>
  <c r="R3303" s="1"/>
  <c r="R3305" s="1"/>
  <c r="X1436"/>
  <c r="AB1434"/>
  <c r="AD1434" s="1"/>
  <c r="R1482"/>
  <c r="V1443"/>
  <c r="V3621"/>
  <c r="X3622" s="1"/>
  <c r="X3606"/>
  <c r="P1267"/>
  <c r="R1225"/>
  <c r="T1225" s="1"/>
  <c r="V1323"/>
  <c r="X1323" s="1"/>
  <c r="X1303"/>
  <c r="P1469"/>
  <c r="R1452"/>
  <c r="X1302"/>
  <c r="V1322"/>
  <c r="X1322" s="1"/>
  <c r="I3197"/>
  <c r="K3182"/>
  <c r="P1175"/>
  <c r="R1175" s="1"/>
  <c r="R1144"/>
  <c r="P655"/>
  <c r="R655" s="1"/>
  <c r="P598"/>
  <c r="R598" s="1"/>
  <c r="P612"/>
  <c r="R612" s="1"/>
  <c r="P1373"/>
  <c r="R1373" s="1"/>
  <c r="R1333"/>
  <c r="R1338" s="1"/>
  <c r="R1340" s="1"/>
  <c r="R1341" s="1"/>
  <c r="R1342" s="1"/>
  <c r="R1343" s="1"/>
  <c r="R1344" s="1"/>
  <c r="R1345" s="1"/>
  <c r="Q1341" s="1"/>
  <c r="Q1342" s="1"/>
  <c r="V1332"/>
  <c r="X1332" s="1"/>
  <c r="X1345" s="1"/>
  <c r="X1347" s="1"/>
  <c r="V1299"/>
  <c r="AB1189"/>
  <c r="L1412"/>
  <c r="K1440"/>
  <c r="K1442" s="1"/>
  <c r="P654"/>
  <c r="R654" s="1"/>
  <c r="P611"/>
  <c r="R611" s="1"/>
  <c r="P597"/>
  <c r="R597" s="1"/>
  <c r="P625"/>
  <c r="R625" s="1"/>
  <c r="P624"/>
  <c r="R624" s="1"/>
  <c r="K323"/>
  <c r="AB1452"/>
  <c r="AD1452" s="1"/>
  <c r="X1454"/>
  <c r="V3609"/>
  <c r="X3592"/>
  <c r="V3573"/>
  <c r="X3557"/>
  <c r="I1767"/>
  <c r="K1767" s="1"/>
  <c r="K1775" s="1"/>
  <c r="P2344"/>
  <c r="R2344" s="1"/>
  <c r="K91"/>
  <c r="K1618"/>
  <c r="K1620" s="1"/>
  <c r="R1543"/>
  <c r="R1545" s="1"/>
  <c r="S1545" s="1"/>
  <c r="K2446"/>
  <c r="K2448" s="1"/>
  <c r="K1028"/>
  <c r="K1030" s="1"/>
  <c r="K1139"/>
  <c r="K1141" s="1"/>
  <c r="K2905"/>
  <c r="K2907" s="1"/>
  <c r="K2911" s="1"/>
  <c r="K2913" s="1"/>
  <c r="K3647"/>
  <c r="K3648" s="1"/>
  <c r="AS71"/>
  <c r="AS73" s="1"/>
  <c r="AS75" s="1"/>
  <c r="AS76" s="1"/>
  <c r="AS77" s="1"/>
  <c r="AS78" s="1"/>
  <c r="AS79" s="1"/>
  <c r="AG319"/>
  <c r="AG321" s="1"/>
  <c r="AG323" s="1"/>
  <c r="K3258"/>
  <c r="K3260" s="1"/>
  <c r="J3857" i="4"/>
  <c r="J3859" s="1"/>
  <c r="AG2627"/>
  <c r="AG2629" s="1"/>
  <c r="R1438"/>
  <c r="AB1402"/>
  <c r="X1404"/>
  <c r="V1421"/>
  <c r="X1421" s="1"/>
  <c r="P1491"/>
  <c r="R1460"/>
  <c r="P624"/>
  <c r="R624" s="1"/>
  <c r="P625"/>
  <c r="R625" s="1"/>
  <c r="K323"/>
  <c r="AE336"/>
  <c r="AG336" s="1"/>
  <c r="AG343" s="1"/>
  <c r="AG345" s="1"/>
  <c r="AG347" s="1"/>
  <c r="AG348" s="1"/>
  <c r="AG349" s="1"/>
  <c r="AG350" s="1"/>
  <c r="AG351" s="1"/>
  <c r="AG352" s="1"/>
  <c r="AG353" s="1"/>
  <c r="AG354" s="1"/>
  <c r="AG355" s="1"/>
  <c r="AG356" s="1"/>
  <c r="AG357" s="1"/>
  <c r="AG358" s="1"/>
  <c r="AG359" s="1"/>
  <c r="AG360" s="1"/>
  <c r="X336"/>
  <c r="X343" s="1"/>
  <c r="X345" s="1"/>
  <c r="X347" s="1"/>
  <c r="X348" s="1"/>
  <c r="X349" s="1"/>
  <c r="X350" s="1"/>
  <c r="X351" s="1"/>
  <c r="AF655"/>
  <c r="AF657" s="1"/>
  <c r="AD1374"/>
  <c r="AB1391"/>
  <c r="AD1391" s="1"/>
  <c r="I2947"/>
  <c r="K2928"/>
  <c r="I3960"/>
  <c r="K3944"/>
  <c r="V705"/>
  <c r="V800"/>
  <c r="C73"/>
  <c r="I175"/>
  <c r="K175" s="1"/>
  <c r="K179" s="1"/>
  <c r="R3261"/>
  <c r="R3270" s="1"/>
  <c r="R3272" s="1"/>
  <c r="I3321"/>
  <c r="K3321" s="1"/>
  <c r="K3329" s="1"/>
  <c r="K3331" s="1"/>
  <c r="V3572"/>
  <c r="X3556"/>
  <c r="P1112"/>
  <c r="R1112" s="1"/>
  <c r="R1090"/>
  <c r="P3551"/>
  <c r="R3551" s="1"/>
  <c r="R3535"/>
  <c r="P2831"/>
  <c r="I2824"/>
  <c r="K2824" s="1"/>
  <c r="R1121"/>
  <c r="P1265"/>
  <c r="R1223"/>
  <c r="T1223" s="1"/>
  <c r="K4020"/>
  <c r="I4021"/>
  <c r="K4021" s="1"/>
  <c r="AB1434"/>
  <c r="AD1434" s="1"/>
  <c r="X1436"/>
  <c r="L1337"/>
  <c r="L1335"/>
  <c r="P1258"/>
  <c r="R1216"/>
  <c r="X356"/>
  <c r="X363" s="1"/>
  <c r="X365" s="1"/>
  <c r="AE365"/>
  <c r="AG365" s="1"/>
  <c r="AG372" s="1"/>
  <c r="AG374" s="1"/>
  <c r="AG376" s="1"/>
  <c r="K403"/>
  <c r="J402"/>
  <c r="R1263"/>
  <c r="V1243"/>
  <c r="P1240"/>
  <c r="R1240" s="1"/>
  <c r="P1465"/>
  <c r="R1448"/>
  <c r="P1614"/>
  <c r="R1614" s="1"/>
  <c r="R1619" s="1"/>
  <c r="R1621" s="1"/>
  <c r="K1613"/>
  <c r="K1618" s="1"/>
  <c r="K1620" s="1"/>
  <c r="X324"/>
  <c r="Y323"/>
  <c r="R1259"/>
  <c r="V1239"/>
  <c r="P1236"/>
  <c r="R1236" s="1"/>
  <c r="I2443"/>
  <c r="K2443" s="1"/>
  <c r="K2446" s="1"/>
  <c r="K2448" s="1"/>
  <c r="K2410"/>
  <c r="K2415" s="1"/>
  <c r="AQ111"/>
  <c r="AS91"/>
  <c r="AB1403"/>
  <c r="X1405"/>
  <c r="R1494"/>
  <c r="P1537"/>
  <c r="R1537" s="1"/>
  <c r="V1455"/>
  <c r="V3606"/>
  <c r="X3589"/>
  <c r="X1241"/>
  <c r="AB1246"/>
  <c r="X1459"/>
  <c r="AB1457"/>
  <c r="AD1457" s="1"/>
  <c r="X1454"/>
  <c r="AB1452"/>
  <c r="AD1452" s="1"/>
  <c r="K1991"/>
  <c r="P1991"/>
  <c r="R1991" s="1"/>
  <c r="I550"/>
  <c r="K550" s="1"/>
  <c r="K555" s="1"/>
  <c r="K557" s="1"/>
  <c r="I559" s="1"/>
  <c r="K559" s="1"/>
  <c r="I560" s="1"/>
  <c r="K560" s="1"/>
  <c r="I561" s="1"/>
  <c r="K561" s="1"/>
  <c r="I562" s="1"/>
  <c r="K562" s="1"/>
  <c r="I563" s="1"/>
  <c r="K563" s="1"/>
  <c r="I564" s="1"/>
  <c r="I526"/>
  <c r="K526" s="1"/>
  <c r="K531" s="1"/>
  <c r="K533" s="1"/>
  <c r="I535" s="1"/>
  <c r="K535" s="1"/>
  <c r="I536" s="1"/>
  <c r="K536" s="1"/>
  <c r="I537" s="1"/>
  <c r="K537" s="1"/>
  <c r="I538" s="1"/>
  <c r="K538" s="1"/>
  <c r="I539" s="1"/>
  <c r="K539" s="1"/>
  <c r="I540" s="1"/>
  <c r="K540" s="1"/>
  <c r="I541" s="1"/>
  <c r="K541" s="1"/>
  <c r="I542" s="1"/>
  <c r="K542" s="1"/>
  <c r="I543" s="1"/>
  <c r="K517"/>
  <c r="K519" s="1"/>
  <c r="K3963"/>
  <c r="I3980"/>
  <c r="K3980" s="1"/>
  <c r="AD1378"/>
  <c r="AB1395"/>
  <c r="AD1395" s="1"/>
  <c r="X1397"/>
  <c r="V1413"/>
  <c r="AE426"/>
  <c r="AE404"/>
  <c r="AG404" s="1"/>
  <c r="AG390"/>
  <c r="X1300"/>
  <c r="V1320"/>
  <c r="X1320" s="1"/>
  <c r="V3573"/>
  <c r="X3557"/>
  <c r="V3590"/>
  <c r="X3575"/>
  <c r="AI1189"/>
  <c r="AK1189" s="1"/>
  <c r="AD1189"/>
  <c r="AU164"/>
  <c r="AV164" s="1"/>
  <c r="K614"/>
  <c r="I614"/>
  <c r="P1382"/>
  <c r="R1382" s="1"/>
  <c r="P1243"/>
  <c r="R1243" s="1"/>
  <c r="R1266"/>
  <c r="V1246"/>
  <c r="I3978"/>
  <c r="K3978" s="1"/>
  <c r="K3961"/>
  <c r="X1242"/>
  <c r="AB1247"/>
  <c r="I3211"/>
  <c r="K3197"/>
  <c r="K3200" s="1"/>
  <c r="K3202" s="1"/>
  <c r="I3242"/>
  <c r="AG391"/>
  <c r="AE427"/>
  <c r="AG427" s="1"/>
  <c r="X707"/>
  <c r="Z707" s="1"/>
  <c r="V677"/>
  <c r="X677" s="1"/>
  <c r="R1497"/>
  <c r="V1458"/>
  <c r="P3550"/>
  <c r="R3550" s="1"/>
  <c r="R3534"/>
  <c r="V3592"/>
  <c r="X3577"/>
  <c r="K1363"/>
  <c r="K1365" s="1"/>
  <c r="X1345"/>
  <c r="X1347" s="1"/>
  <c r="AG324"/>
  <c r="AH323"/>
  <c r="I2927"/>
  <c r="K2927" s="1"/>
  <c r="K2914"/>
  <c r="I2948"/>
  <c r="K2929"/>
  <c r="K348"/>
  <c r="L347"/>
  <c r="X655"/>
  <c r="X657" s="1"/>
  <c r="X708"/>
  <c r="Z708" s="1"/>
  <c r="V678"/>
  <c r="X678" s="1"/>
  <c r="I4025"/>
  <c r="K4010"/>
  <c r="P1539"/>
  <c r="R1539" s="1"/>
  <c r="R1543" s="1"/>
  <c r="R1545" s="1"/>
  <c r="S1545" s="1"/>
  <c r="P2346"/>
  <c r="P231"/>
  <c r="R231" s="1"/>
  <c r="R238" s="1"/>
  <c r="R240" s="1"/>
  <c r="I167"/>
  <c r="K167" s="1"/>
  <c r="K171" s="1"/>
  <c r="C74"/>
  <c r="I4064"/>
  <c r="K4064" s="1"/>
  <c r="K4074" s="1"/>
  <c r="K4076" s="1"/>
  <c r="X3114"/>
  <c r="X3124" s="1"/>
  <c r="X3126" s="1"/>
  <c r="V3131"/>
  <c r="V1301"/>
  <c r="P1237"/>
  <c r="R1237" s="1"/>
  <c r="R1260"/>
  <c r="V1240"/>
  <c r="R1482"/>
  <c r="V1443"/>
  <c r="P1989"/>
  <c r="R1989" s="1"/>
  <c r="R1999" s="1"/>
  <c r="K1989"/>
  <c r="K368"/>
  <c r="L368" s="1"/>
  <c r="J367"/>
  <c r="V411"/>
  <c r="X411" s="1"/>
  <c r="X418" s="1"/>
  <c r="X420" s="1"/>
  <c r="V426" s="1"/>
  <c r="X426" s="1"/>
  <c r="X430" s="1"/>
  <c r="X432" s="1"/>
  <c r="X434" s="1"/>
  <c r="X435" s="1"/>
  <c r="X436" s="1"/>
  <c r="X437" s="1"/>
  <c r="X438" s="1"/>
  <c r="X380"/>
  <c r="X387" s="1"/>
  <c r="X389" s="1"/>
  <c r="V394" s="1"/>
  <c r="X394" s="1"/>
  <c r="X398" s="1"/>
  <c r="X400" s="1"/>
  <c r="X402" s="1"/>
  <c r="X403" s="1"/>
  <c r="X404" s="1"/>
  <c r="X405" s="1"/>
  <c r="X406" s="1"/>
  <c r="AE389"/>
  <c r="V1409"/>
  <c r="X1393"/>
  <c r="W565"/>
  <c r="AC565" s="1"/>
  <c r="J564"/>
  <c r="J565" s="1"/>
  <c r="J566" s="1"/>
  <c r="J567" s="1"/>
  <c r="J568" s="1"/>
  <c r="J569" s="1"/>
  <c r="J570" s="1"/>
  <c r="J571" s="1"/>
  <c r="R1490"/>
  <c r="V1451"/>
  <c r="AQ89"/>
  <c r="AS65"/>
  <c r="AS71" s="1"/>
  <c r="AS73" s="1"/>
  <c r="AS75" s="1"/>
  <c r="AS76" s="1"/>
  <c r="AS77" s="1"/>
  <c r="AS78" s="1"/>
  <c r="AS79" s="1"/>
  <c r="X3701"/>
  <c r="X3709" s="1"/>
  <c r="X3710" s="1"/>
  <c r="V3715"/>
  <c r="X3715" s="1"/>
  <c r="X3723" s="1"/>
  <c r="X3724" s="1"/>
  <c r="P1492"/>
  <c r="R1461"/>
  <c r="V1422"/>
  <c r="X1422" s="1"/>
  <c r="P3448"/>
  <c r="R3404"/>
  <c r="R3406" s="1"/>
  <c r="R3408" s="1"/>
  <c r="X1460"/>
  <c r="AB1458"/>
  <c r="AD1458" s="1"/>
  <c r="P1383"/>
  <c r="R1383" s="1"/>
  <c r="R1267"/>
  <c r="V1247"/>
  <c r="P1244"/>
  <c r="R1244" s="1"/>
  <c r="AC1202"/>
  <c r="AJ1201"/>
  <c r="J666"/>
  <c r="J667" s="1"/>
  <c r="J668" s="1"/>
  <c r="J669" s="1"/>
  <c r="J670" s="1"/>
  <c r="W490"/>
  <c r="AC490" s="1"/>
  <c r="AB1418"/>
  <c r="AD1418" s="1"/>
  <c r="AD1401"/>
  <c r="AQ90"/>
  <c r="AS66"/>
  <c r="AQ112"/>
  <c r="AS92"/>
  <c r="P1971"/>
  <c r="R1971" s="1"/>
  <c r="R1978" s="1"/>
  <c r="K1971"/>
  <c r="K1977" s="1"/>
  <c r="P1113"/>
  <c r="R1113" s="1"/>
  <c r="R1091"/>
  <c r="R1101" s="1"/>
  <c r="R1103" s="1"/>
  <c r="I3921"/>
  <c r="I878"/>
  <c r="K3996"/>
  <c r="K3998" s="1"/>
  <c r="K3999" s="1"/>
  <c r="I4012"/>
  <c r="R1452"/>
  <c r="R1454" s="1"/>
  <c r="R1455" s="1"/>
  <c r="P1469"/>
  <c r="AI1190"/>
  <c r="AK1190" s="1"/>
  <c r="AD1190"/>
  <c r="R2824"/>
  <c r="P2857"/>
  <c r="R2857" s="1"/>
  <c r="J543"/>
  <c r="W542"/>
  <c r="AC542" s="1"/>
  <c r="K3280"/>
  <c r="K3291" s="1"/>
  <c r="K3293" s="1"/>
  <c r="V3248"/>
  <c r="X3248" s="1"/>
  <c r="X3259" s="1"/>
  <c r="X3261" s="1"/>
  <c r="AB1448"/>
  <c r="AD1448" s="1"/>
  <c r="X1450"/>
  <c r="V1319"/>
  <c r="X1319" s="1"/>
  <c r="X1299"/>
  <c r="K471"/>
  <c r="L470"/>
  <c r="AU133"/>
  <c r="AV133" s="1"/>
  <c r="X1437"/>
  <c r="AB1435"/>
  <c r="AD1435" s="1"/>
  <c r="R1483"/>
  <c r="V1444"/>
  <c r="K3546"/>
  <c r="AE3546"/>
  <c r="AG3546" s="1"/>
  <c r="V3546"/>
  <c r="AD1363"/>
  <c r="K2825"/>
  <c r="K2827" s="1"/>
  <c r="R1338"/>
  <c r="R1340" s="1"/>
  <c r="R1341" s="1"/>
  <c r="R1342" s="1"/>
  <c r="R1343" s="1"/>
  <c r="R1344" s="1"/>
  <c r="R1345" s="1"/>
  <c r="Q1341" s="1"/>
  <c r="Q1342" s="1"/>
  <c r="K3187"/>
  <c r="K3188" s="1"/>
  <c r="H11" i="2"/>
  <c r="H91"/>
  <c r="H92"/>
  <c r="H90"/>
  <c r="H88"/>
  <c r="H89"/>
  <c r="H93"/>
  <c r="H83"/>
  <c r="K2930" i="4" l="1"/>
  <c r="K2931" s="1"/>
  <c r="AD1397"/>
  <c r="I1989" i="6"/>
  <c r="R1454"/>
  <c r="R1455" s="1"/>
  <c r="AD1397"/>
  <c r="R1122" i="4"/>
  <c r="R1124" s="1"/>
  <c r="K1998"/>
  <c r="D5" i="9"/>
  <c r="B13"/>
  <c r="F13" s="1"/>
  <c r="B16"/>
  <c r="F16" s="1"/>
  <c r="B6"/>
  <c r="F6" s="1"/>
  <c r="B17"/>
  <c r="F17" s="1"/>
  <c r="B7"/>
  <c r="F7" s="1"/>
  <c r="L3919" i="7"/>
  <c r="M3918"/>
  <c r="K2965"/>
  <c r="L2964"/>
  <c r="L3441"/>
  <c r="K2210"/>
  <c r="K3079"/>
  <c r="K3087"/>
  <c r="K3091" s="1"/>
  <c r="M3400"/>
  <c r="M3402" s="1"/>
  <c r="N3397"/>
  <c r="Z15"/>
  <c r="AC15" s="1"/>
  <c r="AC14"/>
  <c r="K3948"/>
  <c r="M3941"/>
  <c r="L3943"/>
  <c r="K3942"/>
  <c r="I3628"/>
  <c r="K3483"/>
  <c r="I3477" s="1"/>
  <c r="K3477" s="1"/>
  <c r="K3481" s="1"/>
  <c r="L3481" s="1"/>
  <c r="I3806"/>
  <c r="K3806" s="1"/>
  <c r="K3814" s="1"/>
  <c r="I3114"/>
  <c r="K3100"/>
  <c r="P3073"/>
  <c r="R3073" s="1"/>
  <c r="R3077" s="1"/>
  <c r="K587"/>
  <c r="I587"/>
  <c r="K3104"/>
  <c r="AG324" i="6"/>
  <c r="AH323"/>
  <c r="K324"/>
  <c r="L323"/>
  <c r="K1989"/>
  <c r="P1989"/>
  <c r="R1989" s="1"/>
  <c r="AI1189"/>
  <c r="AK1189" s="1"/>
  <c r="AK1194" s="1"/>
  <c r="AK1196" s="1"/>
  <c r="AK1197" s="1"/>
  <c r="AK1198" s="1"/>
  <c r="AK1199" s="1"/>
  <c r="AK1200" s="1"/>
  <c r="AK1201" s="1"/>
  <c r="AK1202" s="1"/>
  <c r="AK1203" s="1"/>
  <c r="AD1189"/>
  <c r="AD1194" s="1"/>
  <c r="AD1196" s="1"/>
  <c r="AD1197" s="1"/>
  <c r="AD1198" s="1"/>
  <c r="AD1199" s="1"/>
  <c r="AD1200" s="1"/>
  <c r="AD1201" s="1"/>
  <c r="AD1202" s="1"/>
  <c r="AD1203" s="1"/>
  <c r="AD1204" s="1"/>
  <c r="V1467"/>
  <c r="X1467" s="1"/>
  <c r="X1443"/>
  <c r="I3977"/>
  <c r="K3977" s="1"/>
  <c r="K3960"/>
  <c r="AQ109"/>
  <c r="AS89"/>
  <c r="V3604"/>
  <c r="X3587"/>
  <c r="X1452"/>
  <c r="AB1450"/>
  <c r="AD1450" s="1"/>
  <c r="AB1407"/>
  <c r="X1409"/>
  <c r="V1426"/>
  <c r="X1426" s="1"/>
  <c r="P1496"/>
  <c r="R1465"/>
  <c r="R2346"/>
  <c r="P2355"/>
  <c r="R2355" s="1"/>
  <c r="R2357" s="1"/>
  <c r="AQ111"/>
  <c r="AS91"/>
  <c r="X3562"/>
  <c r="V3578"/>
  <c r="X1459"/>
  <c r="AB1457"/>
  <c r="AD1457" s="1"/>
  <c r="K368"/>
  <c r="L368" s="1"/>
  <c r="J367"/>
  <c r="V411"/>
  <c r="X411" s="1"/>
  <c r="X418" s="1"/>
  <c r="X420" s="1"/>
  <c r="V426" s="1"/>
  <c r="X426" s="1"/>
  <c r="X430" s="1"/>
  <c r="X432" s="1"/>
  <c r="X434" s="1"/>
  <c r="X435" s="1"/>
  <c r="X436" s="1"/>
  <c r="X437" s="1"/>
  <c r="X438" s="1"/>
  <c r="X380"/>
  <c r="X387" s="1"/>
  <c r="X389" s="1"/>
  <c r="V394" s="1"/>
  <c r="X394" s="1"/>
  <c r="X398" s="1"/>
  <c r="X400" s="1"/>
  <c r="X402" s="1"/>
  <c r="X403" s="1"/>
  <c r="X404" s="1"/>
  <c r="X405" s="1"/>
  <c r="X406" s="1"/>
  <c r="AE389"/>
  <c r="AB1411"/>
  <c r="X1413"/>
  <c r="X1453"/>
  <c r="AB1451"/>
  <c r="AD1451" s="1"/>
  <c r="AE441"/>
  <c r="AG441" s="1"/>
  <c r="AG426"/>
  <c r="K3921"/>
  <c r="I3939"/>
  <c r="X324"/>
  <c r="Y323"/>
  <c r="K2947"/>
  <c r="I2956"/>
  <c r="K2956" s="1"/>
  <c r="L1337"/>
  <c r="L1335"/>
  <c r="X708"/>
  <c r="Z708" s="1"/>
  <c r="V678"/>
  <c r="X678" s="1"/>
  <c r="X1242"/>
  <c r="AB1247"/>
  <c r="K3280"/>
  <c r="K3291" s="1"/>
  <c r="K3293" s="1"/>
  <c r="V3248"/>
  <c r="X3248" s="1"/>
  <c r="X3259" s="1"/>
  <c r="X3261" s="1"/>
  <c r="AB1244"/>
  <c r="X1239"/>
  <c r="I1705"/>
  <c r="K1705" s="1"/>
  <c r="K1711" s="1"/>
  <c r="K1713" s="1"/>
  <c r="P1141"/>
  <c r="P626"/>
  <c r="R626" s="1"/>
  <c r="I807"/>
  <c r="K807" s="1"/>
  <c r="K815" s="1"/>
  <c r="K817" s="1"/>
  <c r="I270"/>
  <c r="K270" s="1"/>
  <c r="K278" s="1"/>
  <c r="K280" s="1"/>
  <c r="I210"/>
  <c r="K210" s="1"/>
  <c r="K217" s="1"/>
  <c r="K219" s="1"/>
  <c r="P195"/>
  <c r="R195" s="1"/>
  <c r="R202" s="1"/>
  <c r="R204" s="1"/>
  <c r="P65"/>
  <c r="R65" s="1"/>
  <c r="R72" s="1"/>
  <c r="R74" s="1"/>
  <c r="P653" s="1"/>
  <c r="R653" s="1"/>
  <c r="X705"/>
  <c r="V675"/>
  <c r="X675" s="1"/>
  <c r="X683" s="1"/>
  <c r="X684" s="1"/>
  <c r="K4012"/>
  <c r="I4027"/>
  <c r="P1113"/>
  <c r="R1113" s="1"/>
  <c r="R1091"/>
  <c r="V1468"/>
  <c r="X1468" s="1"/>
  <c r="X1444"/>
  <c r="K471"/>
  <c r="L470"/>
  <c r="AU133"/>
  <c r="AV133" s="1"/>
  <c r="K348"/>
  <c r="L347"/>
  <c r="I4064"/>
  <c r="K4064" s="1"/>
  <c r="K4074" s="1"/>
  <c r="K4076" s="1"/>
  <c r="V3131"/>
  <c r="X3114"/>
  <c r="X3124" s="1"/>
  <c r="X3126" s="1"/>
  <c r="K4025"/>
  <c r="I4036"/>
  <c r="K4036" s="1"/>
  <c r="J544"/>
  <c r="W543"/>
  <c r="AC543" s="1"/>
  <c r="X1241"/>
  <c r="AB1246"/>
  <c r="AB1245"/>
  <c r="X1240"/>
  <c r="I3528"/>
  <c r="R3448"/>
  <c r="AB1449"/>
  <c r="AD1449" s="1"/>
  <c r="X1451"/>
  <c r="K1971"/>
  <c r="K1977" s="1"/>
  <c r="P1971"/>
  <c r="R1971" s="1"/>
  <c r="R1978" s="1"/>
  <c r="K3187"/>
  <c r="K3188" s="1"/>
  <c r="AD1380"/>
  <c r="R3450"/>
  <c r="R3452" s="1"/>
  <c r="K2914"/>
  <c r="I2927"/>
  <c r="K2927" s="1"/>
  <c r="K2930" s="1"/>
  <c r="K2931" s="1"/>
  <c r="V3588"/>
  <c r="X3573"/>
  <c r="X3609"/>
  <c r="V3624"/>
  <c r="X3625" s="1"/>
  <c r="V1319"/>
  <c r="X1319" s="1"/>
  <c r="X1299"/>
  <c r="I3211"/>
  <c r="I3242"/>
  <c r="K3197"/>
  <c r="K3200" s="1"/>
  <c r="K3202" s="1"/>
  <c r="V1430"/>
  <c r="X1430" s="1"/>
  <c r="P1500"/>
  <c r="P1477"/>
  <c r="R1469"/>
  <c r="P1383"/>
  <c r="R1383" s="1"/>
  <c r="R1267"/>
  <c r="V1247"/>
  <c r="P1244"/>
  <c r="R1244" s="1"/>
  <c r="I2824"/>
  <c r="K2824" s="1"/>
  <c r="K2825" s="1"/>
  <c r="K2827" s="1"/>
  <c r="P2831"/>
  <c r="R1121"/>
  <c r="V195"/>
  <c r="X195" s="1"/>
  <c r="X202" s="1"/>
  <c r="X204" s="1"/>
  <c r="I195"/>
  <c r="X356"/>
  <c r="X363" s="1"/>
  <c r="X365" s="1"/>
  <c r="AE365"/>
  <c r="AG365" s="1"/>
  <c r="AG372" s="1"/>
  <c r="AG374" s="1"/>
  <c r="AG376" s="1"/>
  <c r="K403"/>
  <c r="J402"/>
  <c r="P1382"/>
  <c r="R1382" s="1"/>
  <c r="P1243"/>
  <c r="R1243" s="1"/>
  <c r="R1266"/>
  <c r="V1246"/>
  <c r="V1245"/>
  <c r="P1381"/>
  <c r="R1381" s="1"/>
  <c r="R1265"/>
  <c r="P1242"/>
  <c r="R1242" s="1"/>
  <c r="AQ112"/>
  <c r="AS92"/>
  <c r="I894"/>
  <c r="K894" s="1"/>
  <c r="I860"/>
  <c r="V878"/>
  <c r="K878"/>
  <c r="I550"/>
  <c r="K550" s="1"/>
  <c r="K555" s="1"/>
  <c r="K557" s="1"/>
  <c r="I559" s="1"/>
  <c r="K559" s="1"/>
  <c r="I560" s="1"/>
  <c r="K560" s="1"/>
  <c r="I561" s="1"/>
  <c r="K561" s="1"/>
  <c r="I562" s="1"/>
  <c r="K562" s="1"/>
  <c r="I563" s="1"/>
  <c r="K563" s="1"/>
  <c r="I564" s="1"/>
  <c r="K564" s="1"/>
  <c r="I565" s="1"/>
  <c r="K565" s="1"/>
  <c r="I566" s="1"/>
  <c r="K566" s="1"/>
  <c r="I567" s="1"/>
  <c r="K567" s="1"/>
  <c r="I568" s="1"/>
  <c r="K568" s="1"/>
  <c r="I569" s="1"/>
  <c r="K569" s="1"/>
  <c r="I570" s="1"/>
  <c r="K570" s="1"/>
  <c r="I571" s="1"/>
  <c r="K571" s="1"/>
  <c r="I526"/>
  <c r="K526" s="1"/>
  <c r="K531" s="1"/>
  <c r="K533" s="1"/>
  <c r="I535" s="1"/>
  <c r="K535" s="1"/>
  <c r="I536" s="1"/>
  <c r="K536" s="1"/>
  <c r="I537" s="1"/>
  <c r="K537" s="1"/>
  <c r="I538" s="1"/>
  <c r="K538" s="1"/>
  <c r="I539" s="1"/>
  <c r="K539" s="1"/>
  <c r="I540" s="1"/>
  <c r="K540" s="1"/>
  <c r="I541" s="1"/>
  <c r="K541" s="1"/>
  <c r="I542" s="1"/>
  <c r="K542" s="1"/>
  <c r="I543" s="1"/>
  <c r="K543" s="1"/>
  <c r="I544" s="1"/>
  <c r="K544" s="1"/>
  <c r="I545" s="1"/>
  <c r="K517"/>
  <c r="K519" s="1"/>
  <c r="AC1205"/>
  <c r="AJ1204"/>
  <c r="P1258"/>
  <c r="R1216"/>
  <c r="AF655"/>
  <c r="AF657" s="1"/>
  <c r="X655"/>
  <c r="X657" s="1"/>
  <c r="K3961"/>
  <c r="I3978"/>
  <c r="K3978" s="1"/>
  <c r="K2948"/>
  <c r="I2957"/>
  <c r="K2957" s="1"/>
  <c r="P1112"/>
  <c r="R1112" s="1"/>
  <c r="R1122" s="1"/>
  <c r="R1124" s="1"/>
  <c r="R1090"/>
  <c r="R1101" s="1"/>
  <c r="R1103" s="1"/>
  <c r="P3535"/>
  <c r="K3531"/>
  <c r="V815"/>
  <c r="X815" s="1"/>
  <c r="X826" s="1"/>
  <c r="Z815" s="1"/>
  <c r="Z816" s="1"/>
  <c r="Z817" s="1"/>
  <c r="Z818" s="1"/>
  <c r="Z819" s="1"/>
  <c r="Z820" s="1"/>
  <c r="Z821" s="1"/>
  <c r="Z822" s="1"/>
  <c r="Z823" s="1"/>
  <c r="Z824" s="1"/>
  <c r="X800"/>
  <c r="X811" s="1"/>
  <c r="AQ110"/>
  <c r="AS90"/>
  <c r="V3607"/>
  <c r="X3590"/>
  <c r="AU164"/>
  <c r="AV164" s="1"/>
  <c r="AE336"/>
  <c r="AG336" s="1"/>
  <c r="AG343" s="1"/>
  <c r="AG345" s="1"/>
  <c r="AG347" s="1"/>
  <c r="AG348" s="1"/>
  <c r="X336"/>
  <c r="X343" s="1"/>
  <c r="X345" s="1"/>
  <c r="X347" s="1"/>
  <c r="X348" s="1"/>
  <c r="X349" s="1"/>
  <c r="X350" s="1"/>
  <c r="X351" s="1"/>
  <c r="R1263"/>
  <c r="V1243"/>
  <c r="P1240"/>
  <c r="R1240" s="1"/>
  <c r="K615"/>
  <c r="I615"/>
  <c r="V1321"/>
  <c r="X1321" s="1"/>
  <c r="X1301"/>
  <c r="K3963"/>
  <c r="I3980"/>
  <c r="K3980" s="1"/>
  <c r="P1991"/>
  <c r="R1991" s="1"/>
  <c r="K1991"/>
  <c r="K4014"/>
  <c r="K4015" s="1"/>
  <c r="R1491" i="4"/>
  <c r="V1452"/>
  <c r="X1399"/>
  <c r="AB1419"/>
  <c r="AD1419" s="1"/>
  <c r="AD1402"/>
  <c r="X3546"/>
  <c r="V3562"/>
  <c r="P1500"/>
  <c r="P1477"/>
  <c r="R1469"/>
  <c r="V1430"/>
  <c r="X1430" s="1"/>
  <c r="K4012"/>
  <c r="K4014" s="1"/>
  <c r="K4015" s="1"/>
  <c r="I4027"/>
  <c r="V878"/>
  <c r="K878"/>
  <c r="I894"/>
  <c r="K894" s="1"/>
  <c r="I860"/>
  <c r="V1453"/>
  <c r="R1492"/>
  <c r="AQ109"/>
  <c r="AS89"/>
  <c r="X1409"/>
  <c r="AB1407"/>
  <c r="V1467"/>
  <c r="X1467" s="1"/>
  <c r="X1443"/>
  <c r="AB1245"/>
  <c r="X1240"/>
  <c r="X3131"/>
  <c r="X3141" s="1"/>
  <c r="X3143" s="1"/>
  <c r="V3156"/>
  <c r="X3156" s="1"/>
  <c r="X3166" s="1"/>
  <c r="X3168" s="1"/>
  <c r="P2355"/>
  <c r="R2355" s="1"/>
  <c r="R2357" s="1"/>
  <c r="R2346"/>
  <c r="I2936"/>
  <c r="K2936" s="1"/>
  <c r="K2939" s="1"/>
  <c r="K2940" s="1"/>
  <c r="K2915"/>
  <c r="V3609"/>
  <c r="X3592"/>
  <c r="AD1247"/>
  <c r="AB1219"/>
  <c r="AD1219" s="1"/>
  <c r="AB1251"/>
  <c r="X1246"/>
  <c r="V3607"/>
  <c r="X3590"/>
  <c r="V3588"/>
  <c r="X3573"/>
  <c r="X1413"/>
  <c r="AB1411"/>
  <c r="K520"/>
  <c r="K521" s="1"/>
  <c r="K522" s="1"/>
  <c r="L519"/>
  <c r="V3621"/>
  <c r="X3622" s="1"/>
  <c r="X3606"/>
  <c r="X325"/>
  <c r="X326" s="1"/>
  <c r="X327" s="1"/>
  <c r="Y324"/>
  <c r="P1496"/>
  <c r="R1465"/>
  <c r="R1471" s="1"/>
  <c r="V1426"/>
  <c r="X1426" s="1"/>
  <c r="AB1248"/>
  <c r="X1243"/>
  <c r="AG377"/>
  <c r="T1216"/>
  <c r="T1228" s="1"/>
  <c r="T1230" s="1"/>
  <c r="R1228"/>
  <c r="R1230" s="1"/>
  <c r="S1230" s="1"/>
  <c r="V2792"/>
  <c r="P2864"/>
  <c r="R2831"/>
  <c r="R2832" s="1"/>
  <c r="R2834" s="1"/>
  <c r="I2643"/>
  <c r="V3587"/>
  <c r="X3572"/>
  <c r="I1705"/>
  <c r="K1705" s="1"/>
  <c r="K1711" s="1"/>
  <c r="K1713" s="1"/>
  <c r="I807"/>
  <c r="K807" s="1"/>
  <c r="K815" s="1"/>
  <c r="K817" s="1"/>
  <c r="P1141"/>
  <c r="P626"/>
  <c r="R626" s="1"/>
  <c r="I270"/>
  <c r="K270" s="1"/>
  <c r="K278" s="1"/>
  <c r="K280" s="1"/>
  <c r="I210"/>
  <c r="K210" s="1"/>
  <c r="K217" s="1"/>
  <c r="K219" s="1"/>
  <c r="P65"/>
  <c r="R65" s="1"/>
  <c r="R72" s="1"/>
  <c r="R74" s="1"/>
  <c r="P653" s="1"/>
  <c r="R653" s="1"/>
  <c r="P195"/>
  <c r="R195" s="1"/>
  <c r="R202" s="1"/>
  <c r="R204" s="1"/>
  <c r="X705"/>
  <c r="V675"/>
  <c r="X675" s="1"/>
  <c r="X683" s="1"/>
  <c r="X684" s="1"/>
  <c r="I3977"/>
  <c r="K3977" s="1"/>
  <c r="K3960"/>
  <c r="I2956"/>
  <c r="K2956" s="1"/>
  <c r="K2947"/>
  <c r="X1432"/>
  <c r="AK1194"/>
  <c r="AK1196" s="1"/>
  <c r="AK1197" s="1"/>
  <c r="AK1198" s="1"/>
  <c r="AK1199" s="1"/>
  <c r="AK1200" s="1"/>
  <c r="AK1201" s="1"/>
  <c r="K564"/>
  <c r="I565" s="1"/>
  <c r="K565" s="1"/>
  <c r="I566" s="1"/>
  <c r="K566" s="1"/>
  <c r="I567" s="1"/>
  <c r="K567" s="1"/>
  <c r="I568" s="1"/>
  <c r="K568" s="1"/>
  <c r="I569" s="1"/>
  <c r="K569" s="1"/>
  <c r="I570" s="1"/>
  <c r="K570" s="1"/>
  <c r="I571" s="1"/>
  <c r="K571" s="1"/>
  <c r="AD1380"/>
  <c r="V1468"/>
  <c r="X1468" s="1"/>
  <c r="X1444"/>
  <c r="K472"/>
  <c r="L471"/>
  <c r="J544"/>
  <c r="W543"/>
  <c r="AC543" s="1"/>
  <c r="K3921"/>
  <c r="I3939"/>
  <c r="AS112"/>
  <c r="AQ137"/>
  <c r="AQ110"/>
  <c r="AS90"/>
  <c r="AC1203"/>
  <c r="AJ1202"/>
  <c r="AB1252"/>
  <c r="X1247"/>
  <c r="I3528"/>
  <c r="R3448"/>
  <c r="R3450" s="1"/>
  <c r="R3452" s="1"/>
  <c r="X1451"/>
  <c r="AB1449"/>
  <c r="AD1449" s="1"/>
  <c r="AG389"/>
  <c r="AG396" s="1"/>
  <c r="AG398" s="1"/>
  <c r="AE403" s="1"/>
  <c r="AG403" s="1"/>
  <c r="AG407" s="1"/>
  <c r="AG409" s="1"/>
  <c r="AG411" s="1"/>
  <c r="AG412" s="1"/>
  <c r="AG413" s="1"/>
  <c r="AG414" s="1"/>
  <c r="AG415" s="1"/>
  <c r="AG416" s="1"/>
  <c r="AG417" s="1"/>
  <c r="AG418" s="1"/>
  <c r="AG419" s="1"/>
  <c r="AG420" s="1"/>
  <c r="AG421" s="1"/>
  <c r="AG422" s="1"/>
  <c r="AI422" s="1"/>
  <c r="AI423" s="1"/>
  <c r="AE425"/>
  <c r="AG425" s="1"/>
  <c r="K369"/>
  <c r="J368"/>
  <c r="V1321"/>
  <c r="X1321" s="1"/>
  <c r="X1301"/>
  <c r="X1306" s="1"/>
  <c r="X1308" s="1"/>
  <c r="X1309" s="1"/>
  <c r="X1310" s="1"/>
  <c r="X1311" s="1"/>
  <c r="X1312" s="1"/>
  <c r="X1313" s="1"/>
  <c r="W1309" s="1"/>
  <c r="W1310" s="1"/>
  <c r="V195"/>
  <c r="X195" s="1"/>
  <c r="X202" s="1"/>
  <c r="X204" s="1"/>
  <c r="I195"/>
  <c r="K4025"/>
  <c r="I4036"/>
  <c r="K4036" s="1"/>
  <c r="X659"/>
  <c r="X660" s="1"/>
  <c r="X661" s="1"/>
  <c r="X662" s="1"/>
  <c r="X663" s="1"/>
  <c r="X664" s="1"/>
  <c r="V528"/>
  <c r="K349"/>
  <c r="L348"/>
  <c r="I2957"/>
  <c r="K2957" s="1"/>
  <c r="K2948"/>
  <c r="AH325"/>
  <c r="AG325"/>
  <c r="AG326" s="1"/>
  <c r="AG327" s="1"/>
  <c r="AH324"/>
  <c r="X1458"/>
  <c r="AB1456"/>
  <c r="AD1456" s="1"/>
  <c r="K3242"/>
  <c r="I3267"/>
  <c r="K3267" s="1"/>
  <c r="I3226"/>
  <c r="K3226" s="1"/>
  <c r="K3211"/>
  <c r="K615"/>
  <c r="I615"/>
  <c r="AE441"/>
  <c r="AG441" s="1"/>
  <c r="AG426"/>
  <c r="AD1246"/>
  <c r="AB1218"/>
  <c r="AD1218" s="1"/>
  <c r="X1455"/>
  <c r="AB1453"/>
  <c r="AD1453" s="1"/>
  <c r="AB1420"/>
  <c r="AD1420" s="1"/>
  <c r="AD1403"/>
  <c r="AS111"/>
  <c r="AQ136"/>
  <c r="AB1244"/>
  <c r="X1239"/>
  <c r="K404"/>
  <c r="K405" s="1"/>
  <c r="K406" s="1"/>
  <c r="J403"/>
  <c r="X367"/>
  <c r="P1235"/>
  <c r="R1235" s="1"/>
  <c r="R1258"/>
  <c r="V1238"/>
  <c r="V1245"/>
  <c r="P1381"/>
  <c r="R1381" s="1"/>
  <c r="R1386" s="1"/>
  <c r="R1388" s="1"/>
  <c r="R1265"/>
  <c r="P1242"/>
  <c r="R1242" s="1"/>
  <c r="V815"/>
  <c r="X815" s="1"/>
  <c r="X826" s="1"/>
  <c r="Z815" s="1"/>
  <c r="Z816" s="1"/>
  <c r="Z817" s="1"/>
  <c r="Z818" s="1"/>
  <c r="Z819" s="1"/>
  <c r="Z820" s="1"/>
  <c r="Z821" s="1"/>
  <c r="Z822" s="1"/>
  <c r="Z823" s="1"/>
  <c r="Z824" s="1"/>
  <c r="X800"/>
  <c r="X811" s="1"/>
  <c r="AF659"/>
  <c r="AF660" s="1"/>
  <c r="AF661" s="1"/>
  <c r="AF662" s="1"/>
  <c r="AF663" s="1"/>
  <c r="AF664" s="1"/>
  <c r="AB528"/>
  <c r="K324"/>
  <c r="L323"/>
  <c r="X1326"/>
  <c r="X1328" s="1"/>
  <c r="J372"/>
  <c r="AD1194"/>
  <c r="AD1196" s="1"/>
  <c r="AD1197" s="1"/>
  <c r="AD1198" s="1"/>
  <c r="AD1199" s="1"/>
  <c r="AD1200" s="1"/>
  <c r="AD1201" s="1"/>
  <c r="AD1202" s="1"/>
  <c r="AD1203" s="1"/>
  <c r="K543"/>
  <c r="I544" s="1"/>
  <c r="K544" s="1"/>
  <c r="I545" s="1"/>
  <c r="R1386" i="6" l="1"/>
  <c r="R1388" s="1"/>
  <c r="AG349"/>
  <c r="AG350" s="1"/>
  <c r="AG351" s="1"/>
  <c r="AG352" s="1"/>
  <c r="AG353" s="1"/>
  <c r="AG354" s="1"/>
  <c r="AG355" s="1"/>
  <c r="AG356" s="1"/>
  <c r="AG357" s="1"/>
  <c r="AG358" s="1"/>
  <c r="AG359" s="1"/>
  <c r="AG360" s="1"/>
  <c r="B9" i="9"/>
  <c r="F9" s="1"/>
  <c r="B14"/>
  <c r="B8"/>
  <c r="F8" s="1"/>
  <c r="B10"/>
  <c r="F10" s="1"/>
  <c r="B5"/>
  <c r="F5" s="1"/>
  <c r="R3078" i="7"/>
  <c r="S3079"/>
  <c r="T3078"/>
  <c r="S3081"/>
  <c r="P3114"/>
  <c r="K3114"/>
  <c r="K3118" s="1"/>
  <c r="I2692"/>
  <c r="K2692" s="1"/>
  <c r="K2696" s="1"/>
  <c r="I2681"/>
  <c r="K2681" s="1"/>
  <c r="K2685" s="1"/>
  <c r="K2687" s="1"/>
  <c r="I2615"/>
  <c r="K2615" s="1"/>
  <c r="K2620" s="1"/>
  <c r="I166"/>
  <c r="K166" s="1"/>
  <c r="K170" s="1"/>
  <c r="C74"/>
  <c r="I194" s="1"/>
  <c r="K194" s="1"/>
  <c r="K201" s="1"/>
  <c r="K203" s="1"/>
  <c r="I1712" s="1"/>
  <c r="K1712" s="1"/>
  <c r="K1721" s="1"/>
  <c r="K3080"/>
  <c r="K2205" s="1"/>
  <c r="L3081"/>
  <c r="L2965"/>
  <c r="L2966" s="1"/>
  <c r="K2190"/>
  <c r="L3106"/>
  <c r="K3105"/>
  <c r="K2206" s="1"/>
  <c r="M3817"/>
  <c r="M3815"/>
  <c r="K3815"/>
  <c r="K3836"/>
  <c r="I3677"/>
  <c r="K3677" s="1"/>
  <c r="K3628"/>
  <c r="I3615" s="1"/>
  <c r="K3961"/>
  <c r="K3952"/>
  <c r="K3953" s="1"/>
  <c r="L3953" s="1"/>
  <c r="I2682"/>
  <c r="K2682" s="1"/>
  <c r="C73"/>
  <c r="I174"/>
  <c r="K174" s="1"/>
  <c r="K178" s="1"/>
  <c r="O3397"/>
  <c r="O3400" s="1"/>
  <c r="N3400"/>
  <c r="N3402" s="1"/>
  <c r="L3094"/>
  <c r="M3092"/>
  <c r="K3092"/>
  <c r="X659" i="6"/>
  <c r="X660" s="1"/>
  <c r="X661" s="1"/>
  <c r="X662" s="1"/>
  <c r="X663" s="1"/>
  <c r="X664" s="1"/>
  <c r="V528"/>
  <c r="T1216"/>
  <c r="T1228" s="1"/>
  <c r="T1230" s="1"/>
  <c r="R1228"/>
  <c r="R1230" s="1"/>
  <c r="S1230" s="1"/>
  <c r="K520"/>
  <c r="K521" s="1"/>
  <c r="K522" s="1"/>
  <c r="L519"/>
  <c r="V894"/>
  <c r="X894" s="1"/>
  <c r="X878"/>
  <c r="AS112"/>
  <c r="AQ137"/>
  <c r="AB1250"/>
  <c r="X1245"/>
  <c r="K404"/>
  <c r="K405" s="1"/>
  <c r="K406" s="1"/>
  <c r="J403"/>
  <c r="X367"/>
  <c r="P2864"/>
  <c r="R2831"/>
  <c r="R2832" s="1"/>
  <c r="R2834" s="1"/>
  <c r="V2792"/>
  <c r="I2643"/>
  <c r="R1500"/>
  <c r="V1461"/>
  <c r="I3226"/>
  <c r="K3226" s="1"/>
  <c r="K3211"/>
  <c r="X3588"/>
  <c r="V3605"/>
  <c r="K2915"/>
  <c r="I2936"/>
  <c r="K2936" s="1"/>
  <c r="K2939" s="1"/>
  <c r="K2940" s="1"/>
  <c r="P3532"/>
  <c r="I3544"/>
  <c r="K3528"/>
  <c r="K3532" s="1"/>
  <c r="K3533" s="1"/>
  <c r="AB1217"/>
  <c r="AD1245"/>
  <c r="J545"/>
  <c r="W544"/>
  <c r="AC544" s="1"/>
  <c r="V3156"/>
  <c r="X3156" s="1"/>
  <c r="X3166" s="1"/>
  <c r="X3168" s="1"/>
  <c r="X3131"/>
  <c r="X3141" s="1"/>
  <c r="X3143" s="1"/>
  <c r="K472"/>
  <c r="L471"/>
  <c r="X713"/>
  <c r="Z705"/>
  <c r="I637"/>
  <c r="K637" s="1"/>
  <c r="K641" s="1"/>
  <c r="K643" s="1"/>
  <c r="P656"/>
  <c r="R656" s="1"/>
  <c r="R672" s="1"/>
  <c r="K285"/>
  <c r="K287" s="1"/>
  <c r="K288" s="1"/>
  <c r="K289" s="1"/>
  <c r="K290" s="1"/>
  <c r="K291" s="1"/>
  <c r="I1720"/>
  <c r="K1720" s="1"/>
  <c r="K1725" s="1"/>
  <c r="K1727" s="1"/>
  <c r="I2383"/>
  <c r="K2383" s="1"/>
  <c r="K2390" s="1"/>
  <c r="K2392" s="1"/>
  <c r="I1731"/>
  <c r="K1731" s="1"/>
  <c r="K1734" s="1"/>
  <c r="K1736" s="1"/>
  <c r="I1741" s="1"/>
  <c r="K1741" s="1"/>
  <c r="K1744" s="1"/>
  <c r="K1746" s="1"/>
  <c r="AD1244"/>
  <c r="AB1216"/>
  <c r="X325"/>
  <c r="X326" s="1"/>
  <c r="X327" s="1"/>
  <c r="Y324"/>
  <c r="AB1428"/>
  <c r="AD1428" s="1"/>
  <c r="AD1411"/>
  <c r="X3578"/>
  <c r="V3593"/>
  <c r="AB1424"/>
  <c r="AD1424" s="1"/>
  <c r="AD1430" s="1"/>
  <c r="AD1407"/>
  <c r="AD1413" s="1"/>
  <c r="V3619"/>
  <c r="X3620" s="1"/>
  <c r="X3604"/>
  <c r="AS109"/>
  <c r="AQ134"/>
  <c r="K325"/>
  <c r="L324"/>
  <c r="AH325"/>
  <c r="AG325"/>
  <c r="AG326" s="1"/>
  <c r="AG327" s="1"/>
  <c r="AH324"/>
  <c r="X1326"/>
  <c r="X1328" s="1"/>
  <c r="R1471"/>
  <c r="X1432"/>
  <c r="AK1204"/>
  <c r="K1998"/>
  <c r="K616"/>
  <c r="I616"/>
  <c r="AB1248"/>
  <c r="X1243"/>
  <c r="V3622"/>
  <c r="X3607"/>
  <c r="AS110"/>
  <c r="AQ135"/>
  <c r="P3551"/>
  <c r="R3551" s="1"/>
  <c r="R3535"/>
  <c r="AF659"/>
  <c r="AF660" s="1"/>
  <c r="AF661" s="1"/>
  <c r="AF662" s="1"/>
  <c r="AF663" s="1"/>
  <c r="AF664" s="1"/>
  <c r="AB528"/>
  <c r="P1235"/>
  <c r="R1235" s="1"/>
  <c r="R1247" s="1"/>
  <c r="R1249" s="1"/>
  <c r="R1258"/>
  <c r="R1270" s="1"/>
  <c r="R1272" s="1"/>
  <c r="V1238"/>
  <c r="AC1206"/>
  <c r="AJ1205"/>
  <c r="I3300"/>
  <c r="K3300" s="1"/>
  <c r="V860"/>
  <c r="X860" s="1"/>
  <c r="K860"/>
  <c r="P853"/>
  <c r="R853" s="1"/>
  <c r="AB1251"/>
  <c r="X1246"/>
  <c r="AG377"/>
  <c r="K195"/>
  <c r="K202" s="1"/>
  <c r="K204" s="1"/>
  <c r="I1781" s="1"/>
  <c r="K1781" s="1"/>
  <c r="K1790" s="1"/>
  <c r="P163"/>
  <c r="R163" s="1"/>
  <c r="R170" s="1"/>
  <c r="R172" s="1"/>
  <c r="AB1252"/>
  <c r="X1247"/>
  <c r="P1484"/>
  <c r="R1477"/>
  <c r="R1478" s="1"/>
  <c r="R1479" s="1"/>
  <c r="V1438"/>
  <c r="I3267"/>
  <c r="K3267" s="1"/>
  <c r="K3242"/>
  <c r="AD1246"/>
  <c r="AB1218"/>
  <c r="K349"/>
  <c r="L348"/>
  <c r="K4027"/>
  <c r="K4029" s="1"/>
  <c r="K4030" s="1"/>
  <c r="I4039"/>
  <c r="K4039" s="1"/>
  <c r="Y684"/>
  <c r="Y686" s="1"/>
  <c r="X686"/>
  <c r="I2992"/>
  <c r="K821"/>
  <c r="P1172"/>
  <c r="R1172" s="1"/>
  <c r="R1183" s="1"/>
  <c r="R1184" s="1"/>
  <c r="R1185" s="1"/>
  <c r="R1141"/>
  <c r="R1152" s="1"/>
  <c r="R1156" s="1"/>
  <c r="AD1247"/>
  <c r="AB1219"/>
  <c r="AD1219" s="1"/>
  <c r="K3939"/>
  <c r="I3955"/>
  <c r="AG389"/>
  <c r="AG396" s="1"/>
  <c r="AG398" s="1"/>
  <c r="AE403" s="1"/>
  <c r="AG403" s="1"/>
  <c r="AG407" s="1"/>
  <c r="AG409" s="1"/>
  <c r="AG411" s="1"/>
  <c r="AG412" s="1"/>
  <c r="AG413" s="1"/>
  <c r="AG414" s="1"/>
  <c r="AG415" s="1"/>
  <c r="AG416" s="1"/>
  <c r="AG417" s="1"/>
  <c r="AG418" s="1"/>
  <c r="AG419" s="1"/>
  <c r="AG420" s="1"/>
  <c r="AG421" s="1"/>
  <c r="AG422" s="1"/>
  <c r="AI422" s="1"/>
  <c r="AI423" s="1"/>
  <c r="AE425"/>
  <c r="AG425" s="1"/>
  <c r="AG432" s="1"/>
  <c r="AG434" s="1"/>
  <c r="AE440" s="1"/>
  <c r="AG440" s="1"/>
  <c r="AG444" s="1"/>
  <c r="AG446" s="1"/>
  <c r="AG448" s="1"/>
  <c r="AG449" s="1"/>
  <c r="AG450" s="1"/>
  <c r="AG451" s="1"/>
  <c r="AG452" s="1"/>
  <c r="AG453" s="1"/>
  <c r="K369"/>
  <c r="J372" s="1"/>
  <c r="J368"/>
  <c r="AS111"/>
  <c r="AQ136"/>
  <c r="R1496"/>
  <c r="R1502" s="1"/>
  <c r="V1457"/>
  <c r="K545"/>
  <c r="I546" s="1"/>
  <c r="X1306"/>
  <c r="X1308" s="1"/>
  <c r="X1309" s="1"/>
  <c r="X1310" s="1"/>
  <c r="X1311" s="1"/>
  <c r="X1312" s="1"/>
  <c r="X1313" s="1"/>
  <c r="W1309" s="1"/>
  <c r="W1310" s="1"/>
  <c r="K4041"/>
  <c r="K4042" s="1"/>
  <c r="X1415"/>
  <c r="AS95"/>
  <c r="AS97" s="1"/>
  <c r="AS99" s="1"/>
  <c r="AD1205"/>
  <c r="AD1206" s="1"/>
  <c r="R1999"/>
  <c r="AG432" i="4"/>
  <c r="AG434" s="1"/>
  <c r="AE440" s="1"/>
  <c r="AG440" s="1"/>
  <c r="X1452"/>
  <c r="AB1450"/>
  <c r="AD1450" s="1"/>
  <c r="K325"/>
  <c r="L324"/>
  <c r="AB1250"/>
  <c r="X1245"/>
  <c r="X368"/>
  <c r="Y368" s="1"/>
  <c r="AQ167"/>
  <c r="AS167" s="1"/>
  <c r="AS136"/>
  <c r="L3177"/>
  <c r="L3180" s="1"/>
  <c r="L3182" s="1"/>
  <c r="K3214"/>
  <c r="K3216" s="1"/>
  <c r="L3233"/>
  <c r="L3239" s="1"/>
  <c r="L3241" s="1"/>
  <c r="K3273"/>
  <c r="K3275" s="1"/>
  <c r="K350"/>
  <c r="K351" s="1"/>
  <c r="L349"/>
  <c r="K370"/>
  <c r="J369"/>
  <c r="I3544"/>
  <c r="P3532"/>
  <c r="K3528"/>
  <c r="K3532" s="1"/>
  <c r="K3533" s="1"/>
  <c r="AD1252"/>
  <c r="AB1224"/>
  <c r="AD1224" s="1"/>
  <c r="AC1204"/>
  <c r="AJ1203"/>
  <c r="AS110"/>
  <c r="AQ135"/>
  <c r="AU112"/>
  <c r="AV112" s="1"/>
  <c r="J545"/>
  <c r="W544"/>
  <c r="AC544" s="1"/>
  <c r="L472"/>
  <c r="K473"/>
  <c r="Z705"/>
  <c r="X713"/>
  <c r="I2341"/>
  <c r="K2341" s="1"/>
  <c r="K2343" s="1"/>
  <c r="P656"/>
  <c r="R656" s="1"/>
  <c r="I637"/>
  <c r="K637" s="1"/>
  <c r="K641" s="1"/>
  <c r="K643" s="1"/>
  <c r="K285"/>
  <c r="K287" s="1"/>
  <c r="K288" s="1"/>
  <c r="K289" s="1"/>
  <c r="K290" s="1"/>
  <c r="K291" s="1"/>
  <c r="P1172"/>
  <c r="R1172" s="1"/>
  <c r="R1183" s="1"/>
  <c r="R1184" s="1"/>
  <c r="R1185" s="1"/>
  <c r="R1141"/>
  <c r="R1152" s="1"/>
  <c r="R1156" s="1"/>
  <c r="I2383"/>
  <c r="K2383" s="1"/>
  <c r="K2390" s="1"/>
  <c r="K2392" s="1"/>
  <c r="I1731"/>
  <c r="K1731" s="1"/>
  <c r="K1734" s="1"/>
  <c r="K1736" s="1"/>
  <c r="I1741" s="1"/>
  <c r="K1741" s="1"/>
  <c r="K1744" s="1"/>
  <c r="K1746" s="1"/>
  <c r="I1720"/>
  <c r="K1720" s="1"/>
  <c r="K1725" s="1"/>
  <c r="K1727" s="1"/>
  <c r="V3604"/>
  <c r="X3587"/>
  <c r="AE2796"/>
  <c r="AG2796" s="1"/>
  <c r="AG2797" s="1"/>
  <c r="AG2799" s="1"/>
  <c r="X2792"/>
  <c r="X2793" s="1"/>
  <c r="X2795" s="1"/>
  <c r="AH368"/>
  <c r="AG378"/>
  <c r="R1496"/>
  <c r="V1457"/>
  <c r="X3588"/>
  <c r="V3605"/>
  <c r="V3622"/>
  <c r="X3607"/>
  <c r="AD1251"/>
  <c r="AB1223"/>
  <c r="AD1223" s="1"/>
  <c r="X3609"/>
  <c r="V3624"/>
  <c r="X3625" s="1"/>
  <c r="AD1245"/>
  <c r="AB1217"/>
  <c r="AD1217" s="1"/>
  <c r="AS109"/>
  <c r="AQ134"/>
  <c r="X1453"/>
  <c r="AB1451"/>
  <c r="AD1451" s="1"/>
  <c r="V894"/>
  <c r="X894" s="1"/>
  <c r="X878"/>
  <c r="R1500"/>
  <c r="V1461"/>
  <c r="K545"/>
  <c r="I546" s="1"/>
  <c r="R1270"/>
  <c r="R1272" s="1"/>
  <c r="R672"/>
  <c r="X1415"/>
  <c r="AB552"/>
  <c r="AD552" s="1"/>
  <c r="AD557" s="1"/>
  <c r="AD559" s="1"/>
  <c r="AB561" s="1"/>
  <c r="AD561" s="1"/>
  <c r="AB562" s="1"/>
  <c r="AD562" s="1"/>
  <c r="AB563" s="1"/>
  <c r="AD563" s="1"/>
  <c r="AB564" s="1"/>
  <c r="AD564" s="1"/>
  <c r="AB565" s="1"/>
  <c r="AD565" s="1"/>
  <c r="AB566" s="1"/>
  <c r="AD566" s="1"/>
  <c r="AD528"/>
  <c r="AD533" s="1"/>
  <c r="AD535" s="1"/>
  <c r="AB537" s="1"/>
  <c r="AD537" s="1"/>
  <c r="AB538" s="1"/>
  <c r="AD538" s="1"/>
  <c r="AB539" s="1"/>
  <c r="AD539" s="1"/>
  <c r="AB540" s="1"/>
  <c r="AD540" s="1"/>
  <c r="AB541" s="1"/>
  <c r="AD541" s="1"/>
  <c r="AB542" s="1"/>
  <c r="AD542" s="1"/>
  <c r="AB543" s="1"/>
  <c r="AD543" s="1"/>
  <c r="AB544" s="1"/>
  <c r="AD544" s="1"/>
  <c r="AB545" s="1"/>
  <c r="X1238"/>
  <c r="X1250" s="1"/>
  <c r="X1252" s="1"/>
  <c r="AB1242"/>
  <c r="L406"/>
  <c r="L407" s="1"/>
  <c r="AD1244"/>
  <c r="AB1216"/>
  <c r="AD1216" s="1"/>
  <c r="AU111"/>
  <c r="AV111" s="1"/>
  <c r="K616"/>
  <c r="I616"/>
  <c r="L3192"/>
  <c r="L3195" s="1"/>
  <c r="L3197" s="1"/>
  <c r="K3229"/>
  <c r="K3231" s="1"/>
  <c r="L3208"/>
  <c r="L3211" s="1"/>
  <c r="K3245"/>
  <c r="K3247" s="1"/>
  <c r="D14" i="9" s="1"/>
  <c r="V552" i="4"/>
  <c r="X552" s="1"/>
  <c r="X557" s="1"/>
  <c r="X559" s="1"/>
  <c r="X528"/>
  <c r="X533" s="1"/>
  <c r="X535" s="1"/>
  <c r="V537" s="1"/>
  <c r="X537" s="1"/>
  <c r="V538" s="1"/>
  <c r="X538" s="1"/>
  <c r="V539" s="1"/>
  <c r="X539" s="1"/>
  <c r="V540" s="1"/>
  <c r="X540" s="1"/>
  <c r="V541" s="1"/>
  <c r="X541" s="1"/>
  <c r="V542" s="1"/>
  <c r="X542" s="1"/>
  <c r="V543" s="1"/>
  <c r="X543" s="1"/>
  <c r="V544" s="1"/>
  <c r="X544" s="1"/>
  <c r="V545" s="1"/>
  <c r="K195"/>
  <c r="K202" s="1"/>
  <c r="K204" s="1"/>
  <c r="I1781" s="1"/>
  <c r="K1781" s="1"/>
  <c r="K1790" s="1"/>
  <c r="P163"/>
  <c r="R163" s="1"/>
  <c r="R170" s="1"/>
  <c r="R172" s="1"/>
  <c r="AQ168"/>
  <c r="AS168" s="1"/>
  <c r="AS137"/>
  <c r="K3939"/>
  <c r="I3955"/>
  <c r="X686"/>
  <c r="Y684"/>
  <c r="Y686" s="1"/>
  <c r="I2992"/>
  <c r="K821"/>
  <c r="K2643"/>
  <c r="K2645" s="1"/>
  <c r="K2647" s="1"/>
  <c r="V2612"/>
  <c r="R2864"/>
  <c r="R2865" s="1"/>
  <c r="R2867" s="1"/>
  <c r="P3163"/>
  <c r="R3163" s="1"/>
  <c r="R3164" s="1"/>
  <c r="R3166" s="1"/>
  <c r="AD1248"/>
  <c r="AB1220"/>
  <c r="AD1220" s="1"/>
  <c r="AD1411"/>
  <c r="AB1428"/>
  <c r="AD1428" s="1"/>
  <c r="I2946"/>
  <c r="K2946" s="1"/>
  <c r="K2949" s="1"/>
  <c r="K2950" s="1"/>
  <c r="K2916"/>
  <c r="I2955" s="1"/>
  <c r="K2955" s="1"/>
  <c r="K2958" s="1"/>
  <c r="K2959" s="1"/>
  <c r="AB1424"/>
  <c r="AD1424" s="1"/>
  <c r="AD1407"/>
  <c r="I3300"/>
  <c r="K3300" s="1"/>
  <c r="K860"/>
  <c r="P853"/>
  <c r="R853" s="1"/>
  <c r="V860"/>
  <c r="X860" s="1"/>
  <c r="K4027"/>
  <c r="K4029" s="1"/>
  <c r="K4030" s="1"/>
  <c r="I4039"/>
  <c r="K4039" s="1"/>
  <c r="V1438"/>
  <c r="P1484"/>
  <c r="R1477"/>
  <c r="R1478" s="1"/>
  <c r="R1479" s="1"/>
  <c r="X3562"/>
  <c r="V3578"/>
  <c r="AD1204"/>
  <c r="R1247"/>
  <c r="R1249" s="1"/>
  <c r="K4041"/>
  <c r="K4042" s="1"/>
  <c r="AG444"/>
  <c r="AG446" s="1"/>
  <c r="AG448" s="1"/>
  <c r="AG449" s="1"/>
  <c r="AG450" s="1"/>
  <c r="AG451" s="1"/>
  <c r="AG452" s="1"/>
  <c r="AG453" s="1"/>
  <c r="AK1202"/>
  <c r="AK1203" s="1"/>
  <c r="AS95"/>
  <c r="AS97" s="1"/>
  <c r="AS99" s="1"/>
  <c r="L369"/>
  <c r="F14" i="9" l="1"/>
  <c r="AD1430" i="4"/>
  <c r="I1636" i="7"/>
  <c r="K1636" s="1"/>
  <c r="K1642" s="1"/>
  <c r="K1644" s="1"/>
  <c r="I771"/>
  <c r="K771" s="1"/>
  <c r="K779" s="1"/>
  <c r="K781" s="1"/>
  <c r="P604"/>
  <c r="R604" s="1"/>
  <c r="I269"/>
  <c r="K269" s="1"/>
  <c r="K277" s="1"/>
  <c r="K279" s="1"/>
  <c r="I209"/>
  <c r="K209" s="1"/>
  <c r="K216" s="1"/>
  <c r="K218" s="1"/>
  <c r="P65"/>
  <c r="R65" s="1"/>
  <c r="R72" s="1"/>
  <c r="R74" s="1"/>
  <c r="P631" s="1"/>
  <c r="R631" s="1"/>
  <c r="R642" s="1"/>
  <c r="I3646"/>
  <c r="K3646" s="1"/>
  <c r="K3650" s="1"/>
  <c r="L3650" s="1"/>
  <c r="K3615"/>
  <c r="K3619" s="1"/>
  <c r="K3848"/>
  <c r="K3840"/>
  <c r="P3128"/>
  <c r="R3128" s="1"/>
  <c r="R3132" s="1"/>
  <c r="R3114"/>
  <c r="R3118" s="1"/>
  <c r="K3973"/>
  <c r="K3965"/>
  <c r="K3966" s="1"/>
  <c r="I3673"/>
  <c r="K3673" s="1"/>
  <c r="I3663"/>
  <c r="K3663" s="1"/>
  <c r="K3676" s="1"/>
  <c r="L3120"/>
  <c r="K3119"/>
  <c r="AS100" i="6"/>
  <c r="AU99"/>
  <c r="AV99" s="1"/>
  <c r="AB1455"/>
  <c r="AD1455" s="1"/>
  <c r="X1457"/>
  <c r="AQ167"/>
  <c r="AS167" s="1"/>
  <c r="AS136"/>
  <c r="AE453"/>
  <c r="AG454"/>
  <c r="K3955"/>
  <c r="I3972"/>
  <c r="K3972" s="1"/>
  <c r="R1158"/>
  <c r="R1159" s="1"/>
  <c r="R1160" s="1"/>
  <c r="R1161" s="1"/>
  <c r="R1162" s="1"/>
  <c r="R1163" s="1"/>
  <c r="R1164" s="1"/>
  <c r="R1165" s="1"/>
  <c r="R1166" s="1"/>
  <c r="R1167" s="1"/>
  <c r="R1168" s="1"/>
  <c r="R1169" s="1"/>
  <c r="R1170" s="1"/>
  <c r="R1171" s="1"/>
  <c r="S1159"/>
  <c r="I3920"/>
  <c r="K823"/>
  <c r="K824" s="1"/>
  <c r="K825" s="1"/>
  <c r="K826" s="1"/>
  <c r="K827" s="1"/>
  <c r="K828" s="1"/>
  <c r="K829" s="1"/>
  <c r="K830" s="1"/>
  <c r="K831" s="1"/>
  <c r="K832" s="1"/>
  <c r="K833" s="1"/>
  <c r="K834" s="1"/>
  <c r="K835" s="1"/>
  <c r="X687"/>
  <c r="X688" s="1"/>
  <c r="X690" s="1"/>
  <c r="X691" s="1"/>
  <c r="X692" s="1"/>
  <c r="X693" s="1"/>
  <c r="X694" s="1"/>
  <c r="AS1221"/>
  <c r="AU1221" s="1"/>
  <c r="AD1218"/>
  <c r="L3208"/>
  <c r="L3211" s="1"/>
  <c r="K3245"/>
  <c r="K3247" s="1"/>
  <c r="X1438"/>
  <c r="X1439" s="1"/>
  <c r="X1440" s="1"/>
  <c r="AB1436"/>
  <c r="AD1436" s="1"/>
  <c r="AD1437" s="1"/>
  <c r="AD1438" s="1"/>
  <c r="R1484"/>
  <c r="R1485" s="1"/>
  <c r="V1445"/>
  <c r="AD1252"/>
  <c r="AB1224"/>
  <c r="AD1224" s="1"/>
  <c r="AH368"/>
  <c r="AG378"/>
  <c r="AG379" s="1"/>
  <c r="AG380" s="1"/>
  <c r="X1238"/>
  <c r="X1250" s="1"/>
  <c r="X1252" s="1"/>
  <c r="AB1242"/>
  <c r="AU110"/>
  <c r="AV110" s="1"/>
  <c r="AD1248"/>
  <c r="AB1220"/>
  <c r="AD1220" s="1"/>
  <c r="AQ148"/>
  <c r="AS148" s="1"/>
  <c r="AS134"/>
  <c r="AQ165"/>
  <c r="V3610"/>
  <c r="X3593"/>
  <c r="AS1219"/>
  <c r="AU1219" s="1"/>
  <c r="AD1216"/>
  <c r="R3532"/>
  <c r="R3536" s="1"/>
  <c r="R3537" s="1"/>
  <c r="P3548"/>
  <c r="R3548" s="1"/>
  <c r="R3552" s="1"/>
  <c r="R3553" s="1"/>
  <c r="I2946"/>
  <c r="K2946" s="1"/>
  <c r="K2949" s="1"/>
  <c r="K2950" s="1"/>
  <c r="K2916"/>
  <c r="I2955" s="1"/>
  <c r="K2955" s="1"/>
  <c r="K2958" s="1"/>
  <c r="K2959" s="1"/>
  <c r="L3192"/>
  <c r="L3195" s="1"/>
  <c r="L3197" s="1"/>
  <c r="K3229"/>
  <c r="K3231" s="1"/>
  <c r="AE2796"/>
  <c r="AG2796" s="1"/>
  <c r="AG2797" s="1"/>
  <c r="AG2799" s="1"/>
  <c r="X2792"/>
  <c r="X2793" s="1"/>
  <c r="X2795" s="1"/>
  <c r="P3163"/>
  <c r="R3163" s="1"/>
  <c r="R3164" s="1"/>
  <c r="R3166" s="1"/>
  <c r="R2864"/>
  <c r="R2865" s="1"/>
  <c r="R2867" s="1"/>
  <c r="L406"/>
  <c r="L407" s="1"/>
  <c r="AD1250"/>
  <c r="AB1222"/>
  <c r="AD1222" s="1"/>
  <c r="AU112"/>
  <c r="AV112" s="1"/>
  <c r="V552"/>
  <c r="X552" s="1"/>
  <c r="X557" s="1"/>
  <c r="X559" s="1"/>
  <c r="V561" s="1"/>
  <c r="X561" s="1"/>
  <c r="V562" s="1"/>
  <c r="X562" s="1"/>
  <c r="V563" s="1"/>
  <c r="X563" s="1"/>
  <c r="V564" s="1"/>
  <c r="X564" s="1"/>
  <c r="V565" s="1"/>
  <c r="X565" s="1"/>
  <c r="X528"/>
  <c r="X533" s="1"/>
  <c r="X535" s="1"/>
  <c r="V537" s="1"/>
  <c r="X537" s="1"/>
  <c r="V538" s="1"/>
  <c r="X538" s="1"/>
  <c r="V539" s="1"/>
  <c r="X539" s="1"/>
  <c r="V540" s="1"/>
  <c r="X540" s="1"/>
  <c r="V541" s="1"/>
  <c r="X541" s="1"/>
  <c r="V542" s="1"/>
  <c r="X542" s="1"/>
  <c r="V543" s="1"/>
  <c r="X543" s="1"/>
  <c r="V544" s="1"/>
  <c r="X544" s="1"/>
  <c r="V545" s="1"/>
  <c r="AK1205"/>
  <c r="AU111"/>
  <c r="AV111" s="1"/>
  <c r="K370"/>
  <c r="J369"/>
  <c r="L369"/>
  <c r="I2789"/>
  <c r="K2789" s="1"/>
  <c r="K2796" s="1"/>
  <c r="K2798" s="1"/>
  <c r="K2992"/>
  <c r="K2999" s="1"/>
  <c r="K3001" s="1"/>
  <c r="Y687"/>
  <c r="Y688" s="1"/>
  <c r="K350"/>
  <c r="K351" s="1"/>
  <c r="L349"/>
  <c r="L3233"/>
  <c r="L3239" s="1"/>
  <c r="L3241" s="1"/>
  <c r="K3273"/>
  <c r="K3275" s="1"/>
  <c r="AD1251"/>
  <c r="AB1223"/>
  <c r="AD1223" s="1"/>
  <c r="AC1207"/>
  <c r="AC1208" s="1"/>
  <c r="AJ1206"/>
  <c r="AB552"/>
  <c r="AD552" s="1"/>
  <c r="AD557" s="1"/>
  <c r="AD559" s="1"/>
  <c r="AD528"/>
  <c r="AD533" s="1"/>
  <c r="AD535" s="1"/>
  <c r="AB537" s="1"/>
  <c r="AD537" s="1"/>
  <c r="AB538" s="1"/>
  <c r="AD538" s="1"/>
  <c r="AB539" s="1"/>
  <c r="AD539" s="1"/>
  <c r="AB540" s="1"/>
  <c r="AD540" s="1"/>
  <c r="AB541" s="1"/>
  <c r="AD541" s="1"/>
  <c r="AB542" s="1"/>
  <c r="AD542" s="1"/>
  <c r="AB543" s="1"/>
  <c r="AD543" s="1"/>
  <c r="AB544" s="1"/>
  <c r="AD544" s="1"/>
  <c r="AB545" s="1"/>
  <c r="AQ166"/>
  <c r="AS166" s="1"/>
  <c r="AS135"/>
  <c r="K326"/>
  <c r="K327" s="1"/>
  <c r="M325"/>
  <c r="AU109"/>
  <c r="AV109" s="1"/>
  <c r="AS115"/>
  <c r="P630"/>
  <c r="R630" s="1"/>
  <c r="R634" s="1"/>
  <c r="P613"/>
  <c r="R613" s="1"/>
  <c r="R617" s="1"/>
  <c r="I649"/>
  <c r="K649" s="1"/>
  <c r="K655" s="1"/>
  <c r="K657" s="1"/>
  <c r="I659" s="1"/>
  <c r="K659" s="1"/>
  <c r="I660" s="1"/>
  <c r="K660" s="1"/>
  <c r="I661" s="1"/>
  <c r="K661" s="1"/>
  <c r="I662" s="1"/>
  <c r="K662" s="1"/>
  <c r="I663" s="1"/>
  <c r="K663" s="1"/>
  <c r="I664" s="1"/>
  <c r="K664" s="1"/>
  <c r="I665" s="1"/>
  <c r="K665" s="1"/>
  <c r="I666" s="1"/>
  <c r="K666" s="1"/>
  <c r="I667" s="1"/>
  <c r="K667" s="1"/>
  <c r="I668" s="1"/>
  <c r="K668" s="1"/>
  <c r="I669" s="1"/>
  <c r="K669" s="1"/>
  <c r="I670" s="1"/>
  <c r="K670" s="1"/>
  <c r="P599"/>
  <c r="R599" s="1"/>
  <c r="R603" s="1"/>
  <c r="X714"/>
  <c r="Z713"/>
  <c r="L472"/>
  <c r="K473"/>
  <c r="J546"/>
  <c r="W545"/>
  <c r="AC545" s="1"/>
  <c r="AS1220"/>
  <c r="AU1220" s="1"/>
  <c r="AD1217"/>
  <c r="K3544"/>
  <c r="K3548" s="1"/>
  <c r="K3549" s="1"/>
  <c r="AE3544"/>
  <c r="AG3544" s="1"/>
  <c r="AG3548" s="1"/>
  <c r="AG3549" s="1"/>
  <c r="V3544"/>
  <c r="V3620"/>
  <c r="X3621" s="1"/>
  <c r="X3605"/>
  <c r="L3177"/>
  <c r="L3180" s="1"/>
  <c r="L3182" s="1"/>
  <c r="K3214"/>
  <c r="K3216" s="1"/>
  <c r="X1461"/>
  <c r="AB1459"/>
  <c r="AD1459" s="1"/>
  <c r="K2643"/>
  <c r="K2645" s="1"/>
  <c r="K2647" s="1"/>
  <c r="V2612"/>
  <c r="X368"/>
  <c r="X369" s="1"/>
  <c r="X370" s="1"/>
  <c r="X371" s="1"/>
  <c r="AQ168"/>
  <c r="AS168" s="1"/>
  <c r="AS137"/>
  <c r="K546"/>
  <c r="I547" s="1"/>
  <c r="AH369"/>
  <c r="AD1413" i="4"/>
  <c r="R1502"/>
  <c r="AS100"/>
  <c r="AU99"/>
  <c r="AV99" s="1"/>
  <c r="AE453"/>
  <c r="AG454"/>
  <c r="X3578"/>
  <c r="V3593"/>
  <c r="AB1436"/>
  <c r="AD1436" s="1"/>
  <c r="AD1437" s="1"/>
  <c r="AD1438" s="1"/>
  <c r="X1438"/>
  <c r="X1439" s="1"/>
  <c r="X1440" s="1"/>
  <c r="K2992"/>
  <c r="K2999" s="1"/>
  <c r="K3001" s="1"/>
  <c r="I2789"/>
  <c r="K2789" s="1"/>
  <c r="K2796" s="1"/>
  <c r="K2798" s="1"/>
  <c r="X687"/>
  <c r="X688" s="1"/>
  <c r="X690" s="1"/>
  <c r="X691" s="1"/>
  <c r="X692" s="1"/>
  <c r="X693" s="1"/>
  <c r="X694" s="1"/>
  <c r="AU168"/>
  <c r="AV168" s="1"/>
  <c r="P2347"/>
  <c r="R2347" s="1"/>
  <c r="R2350" s="1"/>
  <c r="V561"/>
  <c r="X561" s="1"/>
  <c r="V562" s="1"/>
  <c r="X562" s="1"/>
  <c r="V563" s="1"/>
  <c r="X563" s="1"/>
  <c r="V564" s="1"/>
  <c r="X564" s="1"/>
  <c r="V565" s="1"/>
  <c r="X565" s="1"/>
  <c r="X1461"/>
  <c r="AB1459"/>
  <c r="AD1459" s="1"/>
  <c r="AQ148"/>
  <c r="AS148" s="1"/>
  <c r="AS134"/>
  <c r="AQ165"/>
  <c r="V3620"/>
  <c r="X3621" s="1"/>
  <c r="X3605"/>
  <c r="X1457"/>
  <c r="AB1455"/>
  <c r="AD1455" s="1"/>
  <c r="AG379"/>
  <c r="AG380" s="1"/>
  <c r="AH369"/>
  <c r="I649"/>
  <c r="K649" s="1"/>
  <c r="K655" s="1"/>
  <c r="K657" s="1"/>
  <c r="I659" s="1"/>
  <c r="K659" s="1"/>
  <c r="I660" s="1"/>
  <c r="K660" s="1"/>
  <c r="I661" s="1"/>
  <c r="K661" s="1"/>
  <c r="I662" s="1"/>
  <c r="K662" s="1"/>
  <c r="I663" s="1"/>
  <c r="K663" s="1"/>
  <c r="I664" s="1"/>
  <c r="K664" s="1"/>
  <c r="I665" s="1"/>
  <c r="K665" s="1"/>
  <c r="I666" s="1"/>
  <c r="K666" s="1"/>
  <c r="I667" s="1"/>
  <c r="K667" s="1"/>
  <c r="I668" s="1"/>
  <c r="K668" s="1"/>
  <c r="I669" s="1"/>
  <c r="K669" s="1"/>
  <c r="I670" s="1"/>
  <c r="K670" s="1"/>
  <c r="P599"/>
  <c r="R599" s="1"/>
  <c r="R603" s="1"/>
  <c r="P630"/>
  <c r="R630" s="1"/>
  <c r="R634" s="1"/>
  <c r="P613"/>
  <c r="R613" s="1"/>
  <c r="R617" s="1"/>
  <c r="J546"/>
  <c r="W545"/>
  <c r="AC545" s="1"/>
  <c r="AU110"/>
  <c r="AV110" s="1"/>
  <c r="AC1205"/>
  <c r="AD1205" s="1"/>
  <c r="AJ1204"/>
  <c r="R3532"/>
  <c r="R3536" s="1"/>
  <c r="R3537" s="1"/>
  <c r="P3548"/>
  <c r="R3548" s="1"/>
  <c r="R3552" s="1"/>
  <c r="R3553" s="1"/>
  <c r="AV136"/>
  <c r="AU136"/>
  <c r="X369"/>
  <c r="AD1461"/>
  <c r="R1484"/>
  <c r="R1485" s="1"/>
  <c r="V1445"/>
  <c r="X2612"/>
  <c r="X2613" s="1"/>
  <c r="X2615" s="1"/>
  <c r="AE2660"/>
  <c r="AG2660" s="1"/>
  <c r="AG2661" s="1"/>
  <c r="AG2663" s="1"/>
  <c r="I3920"/>
  <c r="K823"/>
  <c r="K824" s="1"/>
  <c r="K825" s="1"/>
  <c r="K826" s="1"/>
  <c r="K827" s="1"/>
  <c r="K828" s="1"/>
  <c r="K829" s="1"/>
  <c r="K830" s="1"/>
  <c r="K831" s="1"/>
  <c r="K832" s="1"/>
  <c r="K833" s="1"/>
  <c r="K834" s="1"/>
  <c r="K835" s="1"/>
  <c r="Y687"/>
  <c r="Y688" s="1"/>
  <c r="K3955"/>
  <c r="I3972"/>
  <c r="K3972" s="1"/>
  <c r="AU137"/>
  <c r="AV137" s="1"/>
  <c r="AD1242"/>
  <c r="AB1214"/>
  <c r="AD1214" s="1"/>
  <c r="AU109"/>
  <c r="AV109" s="1"/>
  <c r="AS115"/>
  <c r="V3619"/>
  <c r="X3620" s="1"/>
  <c r="X3604"/>
  <c r="S1159"/>
  <c r="R1158"/>
  <c r="R1159" s="1"/>
  <c r="R1160" s="1"/>
  <c r="R1161" s="1"/>
  <c r="R1162" s="1"/>
  <c r="R1163" s="1"/>
  <c r="R1164" s="1"/>
  <c r="R1165" s="1"/>
  <c r="R1166" s="1"/>
  <c r="R1167" s="1"/>
  <c r="R1168" s="1"/>
  <c r="R1169" s="1"/>
  <c r="R1170" s="1"/>
  <c r="R1171" s="1"/>
  <c r="X714"/>
  <c r="Z713"/>
  <c r="L473"/>
  <c r="K474"/>
  <c r="AQ166"/>
  <c r="AS166" s="1"/>
  <c r="AS135"/>
  <c r="K3544"/>
  <c r="K3548" s="1"/>
  <c r="K3549" s="1"/>
  <c r="AE3544"/>
  <c r="AG3544" s="1"/>
  <c r="AG3548" s="1"/>
  <c r="AG3549" s="1"/>
  <c r="V3544"/>
  <c r="K371"/>
  <c r="J371" s="1"/>
  <c r="J370"/>
  <c r="K372"/>
  <c r="L351"/>
  <c r="L352" s="1"/>
  <c r="L353" s="1"/>
  <c r="AU167"/>
  <c r="AV167" s="1"/>
  <c r="AD1250"/>
  <c r="AB1222"/>
  <c r="AD1222" s="1"/>
  <c r="K326"/>
  <c r="K327" s="1"/>
  <c r="M325"/>
  <c r="AK1204"/>
  <c r="X545"/>
  <c r="V546" s="1"/>
  <c r="AD545"/>
  <c r="AB546" s="1"/>
  <c r="K546"/>
  <c r="I547" s="1"/>
  <c r="X1463"/>
  <c r="A1" i="2"/>
  <c r="AG381" i="4" l="1"/>
  <c r="AG381" i="6"/>
  <c r="Y368"/>
  <c r="B4" i="9"/>
  <c r="F4" s="1"/>
  <c r="F25" s="1"/>
  <c r="M3676" i="7"/>
  <c r="M3675"/>
  <c r="K3977"/>
  <c r="K3994"/>
  <c r="R3133"/>
  <c r="S3134"/>
  <c r="K3872"/>
  <c r="K3878" s="1"/>
  <c r="K3856"/>
  <c r="I2465"/>
  <c r="K2465" s="1"/>
  <c r="K2472" s="1"/>
  <c r="K2474" s="1"/>
  <c r="I2306"/>
  <c r="K2306" s="1"/>
  <c r="K2313" s="1"/>
  <c r="K2316" s="1"/>
  <c r="I1662"/>
  <c r="K1662" s="1"/>
  <c r="K1665" s="1"/>
  <c r="K1667" s="1"/>
  <c r="I1672" s="1"/>
  <c r="K1672" s="1"/>
  <c r="K1675" s="1"/>
  <c r="K1677" s="1"/>
  <c r="I1651"/>
  <c r="K1651" s="1"/>
  <c r="K1656" s="1"/>
  <c r="K1658" s="1"/>
  <c r="R3119"/>
  <c r="U3119"/>
  <c r="S3120"/>
  <c r="L3840"/>
  <c r="L3844"/>
  <c r="L3842"/>
  <c r="K3841"/>
  <c r="I3636"/>
  <c r="K3636" s="1"/>
  <c r="K3638" s="1"/>
  <c r="L3619"/>
  <c r="P634"/>
  <c r="R634" s="1"/>
  <c r="I608"/>
  <c r="K608" s="1"/>
  <c r="K612" s="1"/>
  <c r="K614" s="1"/>
  <c r="K284"/>
  <c r="K286" s="1"/>
  <c r="K287" s="1"/>
  <c r="K288" s="1"/>
  <c r="K289" s="1"/>
  <c r="K290" s="1"/>
  <c r="K785"/>
  <c r="K788" s="1"/>
  <c r="K789" s="1"/>
  <c r="K790" s="1"/>
  <c r="K791" s="1"/>
  <c r="K792" s="1"/>
  <c r="I850"/>
  <c r="K850" s="1"/>
  <c r="K863" s="1"/>
  <c r="I833"/>
  <c r="K833" s="1"/>
  <c r="K846" s="1"/>
  <c r="I815"/>
  <c r="K815" s="1"/>
  <c r="K827" s="1"/>
  <c r="AU168" i="6"/>
  <c r="AV168" s="1"/>
  <c r="L473"/>
  <c r="K474"/>
  <c r="AS117"/>
  <c r="AU115"/>
  <c r="AV115" s="1"/>
  <c r="AU166"/>
  <c r="AV166"/>
  <c r="P2347"/>
  <c r="R2347" s="1"/>
  <c r="R2350" s="1"/>
  <c r="AB561"/>
  <c r="AD561" s="1"/>
  <c r="AB562" s="1"/>
  <c r="AD562" s="1"/>
  <c r="AB563" s="1"/>
  <c r="AD563" s="1"/>
  <c r="AB564" s="1"/>
  <c r="AD564" s="1"/>
  <c r="AB565" s="1"/>
  <c r="AD565" s="1"/>
  <c r="AB566" s="1"/>
  <c r="AD566" s="1"/>
  <c r="L351"/>
  <c r="L352" s="1"/>
  <c r="L353" s="1"/>
  <c r="I2341"/>
  <c r="K2341" s="1"/>
  <c r="K2343" s="1"/>
  <c r="C877"/>
  <c r="AB464"/>
  <c r="AD464" s="1"/>
  <c r="AD468" s="1"/>
  <c r="AD470" s="1"/>
  <c r="AB476" s="1"/>
  <c r="AD476" s="1"/>
  <c r="AD482" s="1"/>
  <c r="AD484" s="1"/>
  <c r="AB486" s="1"/>
  <c r="AD486" s="1"/>
  <c r="AB487" s="1"/>
  <c r="AD487" s="1"/>
  <c r="AB488" s="1"/>
  <c r="AD488" s="1"/>
  <c r="AB489" s="1"/>
  <c r="AD489" s="1"/>
  <c r="AB490" s="1"/>
  <c r="AD490" s="1"/>
  <c r="K371"/>
  <c r="J371" s="1"/>
  <c r="J370"/>
  <c r="AQ180"/>
  <c r="AS180" s="1"/>
  <c r="AS165"/>
  <c r="AU148"/>
  <c r="AV148" s="1"/>
  <c r="R1486"/>
  <c r="S1446"/>
  <c r="K3920"/>
  <c r="K3932" s="1"/>
  <c r="I3938"/>
  <c r="AU167"/>
  <c r="AV167" s="1"/>
  <c r="X372"/>
  <c r="Y369"/>
  <c r="AK1206"/>
  <c r="X545"/>
  <c r="V546" s="1"/>
  <c r="AD1461"/>
  <c r="Y367"/>
  <c r="Z367" s="1"/>
  <c r="AU137"/>
  <c r="AV137" s="1"/>
  <c r="X2612"/>
  <c r="X2613" s="1"/>
  <c r="X2615" s="1"/>
  <c r="AE2660"/>
  <c r="AG2660" s="1"/>
  <c r="AG2661" s="1"/>
  <c r="AG2663" s="1"/>
  <c r="V3560"/>
  <c r="X3544"/>
  <c r="X3548" s="1"/>
  <c r="X3549" s="1"/>
  <c r="J547"/>
  <c r="W547" s="1"/>
  <c r="AC547" s="1"/>
  <c r="W546"/>
  <c r="AC546" s="1"/>
  <c r="X716"/>
  <c r="Z714"/>
  <c r="Z716" s="1"/>
  <c r="AU135"/>
  <c r="AV135" s="1"/>
  <c r="X3610"/>
  <c r="V3625"/>
  <c r="X3626" s="1"/>
  <c r="AU134"/>
  <c r="AV134" s="1"/>
  <c r="AS140"/>
  <c r="AD1242"/>
  <c r="AD1255" s="1"/>
  <c r="AD1257" s="1"/>
  <c r="AB1214"/>
  <c r="AD1214" s="1"/>
  <c r="AD1227" s="1"/>
  <c r="AD1229" s="1"/>
  <c r="V1469"/>
  <c r="X1469" s="1"/>
  <c r="X1470" s="1"/>
  <c r="X1471" s="1"/>
  <c r="X1445"/>
  <c r="X1446" s="1"/>
  <c r="X1447" s="1"/>
  <c r="AG455"/>
  <c r="AE454"/>
  <c r="AV136"/>
  <c r="AU136"/>
  <c r="AS101"/>
  <c r="AU100"/>
  <c r="AV100" s="1"/>
  <c r="AD545"/>
  <c r="AB546" s="1"/>
  <c r="K372"/>
  <c r="AD1207"/>
  <c r="AD1208" s="1"/>
  <c r="AU1224"/>
  <c r="AU1225" s="1"/>
  <c r="X1463"/>
  <c r="AD1255" i="4"/>
  <c r="AD1257" s="1"/>
  <c r="V3560"/>
  <c r="X3544"/>
  <c r="X3548" s="1"/>
  <c r="X3549" s="1"/>
  <c r="AU166"/>
  <c r="AV166" s="1"/>
  <c r="X716"/>
  <c r="Z714"/>
  <c r="Z716" s="1"/>
  <c r="V1469"/>
  <c r="X1469" s="1"/>
  <c r="X1470" s="1"/>
  <c r="X1471" s="1"/>
  <c r="X1445"/>
  <c r="X1446" s="1"/>
  <c r="X1447" s="1"/>
  <c r="AU134"/>
  <c r="AV134" s="1"/>
  <c r="AS140"/>
  <c r="V3610"/>
  <c r="X3593"/>
  <c r="AG455"/>
  <c r="AE454"/>
  <c r="AS101"/>
  <c r="AU100"/>
  <c r="AV100" s="1"/>
  <c r="AD1227"/>
  <c r="AD1229" s="1"/>
  <c r="AU135"/>
  <c r="AV135" s="1"/>
  <c r="L474"/>
  <c r="K475"/>
  <c r="AS117"/>
  <c r="AU115"/>
  <c r="AV115" s="1"/>
  <c r="C877"/>
  <c r="AB464"/>
  <c r="AD464" s="1"/>
  <c r="AD468" s="1"/>
  <c r="AD470" s="1"/>
  <c r="AB476" s="1"/>
  <c r="AD476" s="1"/>
  <c r="AD482" s="1"/>
  <c r="AD484" s="1"/>
  <c r="AB486" s="1"/>
  <c r="AD486" s="1"/>
  <c r="AB487" s="1"/>
  <c r="AD487" s="1"/>
  <c r="AB488" s="1"/>
  <c r="AD488" s="1"/>
  <c r="AB489" s="1"/>
  <c r="AD489" s="1"/>
  <c r="AB490" s="1"/>
  <c r="AD490" s="1"/>
  <c r="K3920"/>
  <c r="K3932" s="1"/>
  <c r="I3938"/>
  <c r="R1486"/>
  <c r="S1446"/>
  <c r="X370"/>
  <c r="X371" s="1"/>
  <c r="Y369"/>
  <c r="AC1206"/>
  <c r="AJ1205"/>
  <c r="AK1205" s="1"/>
  <c r="J547"/>
  <c r="W547" s="1"/>
  <c r="AC547" s="1"/>
  <c r="W546"/>
  <c r="AC546" s="1"/>
  <c r="AD546" s="1"/>
  <c r="AB547" s="1"/>
  <c r="AQ180"/>
  <c r="AS180" s="1"/>
  <c r="AS165"/>
  <c r="AU148"/>
  <c r="AV148" s="1"/>
  <c r="AD1206"/>
  <c r="AD547" l="1"/>
  <c r="AB548" s="1"/>
  <c r="AD548" s="1"/>
  <c r="AB549" s="1"/>
  <c r="AD549" s="1"/>
  <c r="K547" i="6"/>
  <c r="F26" i="9"/>
  <c r="F27" s="1"/>
  <c r="I2693" i="7"/>
  <c r="K2693" s="1"/>
  <c r="I620"/>
  <c r="K620" s="1"/>
  <c r="K626" s="1"/>
  <c r="K628" s="1"/>
  <c r="K630" s="1"/>
  <c r="P608"/>
  <c r="R608" s="1"/>
  <c r="P591"/>
  <c r="R591" s="1"/>
  <c r="P577"/>
  <c r="R577" s="1"/>
  <c r="L3880"/>
  <c r="K3879"/>
  <c r="K3881" s="1"/>
  <c r="L3980"/>
  <c r="K3978"/>
  <c r="L3978" s="1"/>
  <c r="L3638"/>
  <c r="K2212"/>
  <c r="L3859"/>
  <c r="M3857"/>
  <c r="K3857"/>
  <c r="K4009"/>
  <c r="K4013" s="1"/>
  <c r="K4014" s="1"/>
  <c r="K3998"/>
  <c r="K3999" s="1"/>
  <c r="AU101" i="6"/>
  <c r="AV101" s="1"/>
  <c r="AS102"/>
  <c r="AU140"/>
  <c r="AS142"/>
  <c r="AV140"/>
  <c r="X717"/>
  <c r="X718" s="1"/>
  <c r="X720" s="1"/>
  <c r="X721" s="1"/>
  <c r="X722" s="1"/>
  <c r="X723" s="1"/>
  <c r="X724" s="1"/>
  <c r="V3576"/>
  <c r="X3560"/>
  <c r="X3564" s="1"/>
  <c r="X3565" s="1"/>
  <c r="K3938"/>
  <c r="K3950" s="1"/>
  <c r="L3950" s="1"/>
  <c r="I3954"/>
  <c r="AU165"/>
  <c r="AV165" s="1"/>
  <c r="AS171"/>
  <c r="L474"/>
  <c r="K475"/>
  <c r="AD546"/>
  <c r="AB547" s="1"/>
  <c r="AD547" s="1"/>
  <c r="AB548" s="1"/>
  <c r="AD548" s="1"/>
  <c r="AB549" s="1"/>
  <c r="AD549" s="1"/>
  <c r="AG456"/>
  <c r="AE455"/>
  <c r="Z717"/>
  <c r="Z718" s="1"/>
  <c r="AU180"/>
  <c r="AV180" s="1"/>
  <c r="AS119"/>
  <c r="AU117"/>
  <c r="AV117" s="1"/>
  <c r="X546"/>
  <c r="V547" s="1"/>
  <c r="X547" s="1"/>
  <c r="V548" s="1"/>
  <c r="X548" s="1"/>
  <c r="V549" s="1"/>
  <c r="X549" s="1"/>
  <c r="K547" i="4"/>
  <c r="X372"/>
  <c r="AU180"/>
  <c r="AV180" s="1"/>
  <c r="AC1207"/>
  <c r="AC1208" s="1"/>
  <c r="AJ1206"/>
  <c r="AK1206" s="1"/>
  <c r="K3938"/>
  <c r="K3950" s="1"/>
  <c r="L3950" s="1"/>
  <c r="I3954"/>
  <c r="AS119"/>
  <c r="AU117"/>
  <c r="AV117" s="1"/>
  <c r="AG456"/>
  <c r="AE455"/>
  <c r="X3610"/>
  <c r="V3625"/>
  <c r="X3626" s="1"/>
  <c r="Z717"/>
  <c r="Z718" s="1"/>
  <c r="X546"/>
  <c r="V547" s="1"/>
  <c r="X547" s="1"/>
  <c r="V548" s="1"/>
  <c r="X548" s="1"/>
  <c r="V549" s="1"/>
  <c r="X549" s="1"/>
  <c r="Y367"/>
  <c r="Z367" s="1"/>
  <c r="AU165"/>
  <c r="AV165" s="1"/>
  <c r="AS171"/>
  <c r="L475"/>
  <c r="K476"/>
  <c r="AU101"/>
  <c r="AS102"/>
  <c r="AV101"/>
  <c r="AU140"/>
  <c r="AV140" s="1"/>
  <c r="AS142"/>
  <c r="X717"/>
  <c r="X718" s="1"/>
  <c r="X720" s="1"/>
  <c r="X721" s="1"/>
  <c r="X722" s="1"/>
  <c r="X723" s="1"/>
  <c r="X724" s="1"/>
  <c r="V3576"/>
  <c r="X3560"/>
  <c r="X3564" s="1"/>
  <c r="X3565" s="1"/>
  <c r="AD1207"/>
  <c r="AD1208" s="1"/>
  <c r="G30" i="1" l="1"/>
  <c r="F29" i="9"/>
  <c r="F28"/>
  <c r="I2616" i="7"/>
  <c r="K2616" s="1"/>
  <c r="K631"/>
  <c r="K632" s="1"/>
  <c r="K633" s="1"/>
  <c r="K634" s="1"/>
  <c r="AS120" i="6"/>
  <c r="AT119"/>
  <c r="AU119"/>
  <c r="AV119" s="1"/>
  <c r="K3954"/>
  <c r="K3966" s="1"/>
  <c r="I3971"/>
  <c r="K3971" s="1"/>
  <c r="K3983" s="1"/>
  <c r="AS103"/>
  <c r="AU102"/>
  <c r="AV102" s="1"/>
  <c r="I877"/>
  <c r="V464"/>
  <c r="X464" s="1"/>
  <c r="X468" s="1"/>
  <c r="X470" s="1"/>
  <c r="V476" s="1"/>
  <c r="X476" s="1"/>
  <c r="X482" s="1"/>
  <c r="X484" s="1"/>
  <c r="V486" s="1"/>
  <c r="X486" s="1"/>
  <c r="V487" s="1"/>
  <c r="X487" s="1"/>
  <c r="V488" s="1"/>
  <c r="X488" s="1"/>
  <c r="V489" s="1"/>
  <c r="X489" s="1"/>
  <c r="V490" s="1"/>
  <c r="X490" s="1"/>
  <c r="AG457"/>
  <c r="AE456"/>
  <c r="L475"/>
  <c r="K476"/>
  <c r="AS173"/>
  <c r="AU171"/>
  <c r="AV171" s="1"/>
  <c r="X3576"/>
  <c r="X3580" s="1"/>
  <c r="X3581" s="1"/>
  <c r="V3591"/>
  <c r="AU142"/>
  <c r="AV142" s="1"/>
  <c r="AQ147"/>
  <c r="I877" i="4"/>
  <c r="V464"/>
  <c r="X464" s="1"/>
  <c r="X468" s="1"/>
  <c r="X470" s="1"/>
  <c r="V476" s="1"/>
  <c r="X476" s="1"/>
  <c r="X482" s="1"/>
  <c r="X484" s="1"/>
  <c r="V486" s="1"/>
  <c r="X486" s="1"/>
  <c r="V487" s="1"/>
  <c r="X487" s="1"/>
  <c r="V488" s="1"/>
  <c r="X488" s="1"/>
  <c r="V489" s="1"/>
  <c r="X489" s="1"/>
  <c r="V490" s="1"/>
  <c r="X490" s="1"/>
  <c r="AS103"/>
  <c r="AU102"/>
  <c r="AV102" s="1"/>
  <c r="L476"/>
  <c r="K477"/>
  <c r="AS173"/>
  <c r="AU171"/>
  <c r="AV171" s="1"/>
  <c r="AG457"/>
  <c r="AE456"/>
  <c r="AS120"/>
  <c r="AT119"/>
  <c r="AU119"/>
  <c r="AV119" s="1"/>
  <c r="K3954"/>
  <c r="K3966" s="1"/>
  <c r="I3971"/>
  <c r="K3971" s="1"/>
  <c r="K3983" s="1"/>
  <c r="X3576"/>
  <c r="X3580" s="1"/>
  <c r="X3581" s="1"/>
  <c r="V3591"/>
  <c r="AU142"/>
  <c r="AV142" s="1"/>
  <c r="AQ147"/>
  <c r="F30" i="9" l="1"/>
  <c r="G31" s="1"/>
  <c r="L476" i="6"/>
  <c r="K477"/>
  <c r="AU103"/>
  <c r="AV103" s="1"/>
  <c r="AU120"/>
  <c r="AV120" s="1"/>
  <c r="AS121"/>
  <c r="AT120"/>
  <c r="AQ179"/>
  <c r="AS179" s="1"/>
  <c r="AS147"/>
  <c r="X3591"/>
  <c r="X3595" s="1"/>
  <c r="X3596" s="1"/>
  <c r="V3608"/>
  <c r="AU173"/>
  <c r="AV173" s="1"/>
  <c r="AG458"/>
  <c r="AE457"/>
  <c r="I893"/>
  <c r="K893" s="1"/>
  <c r="K905" s="1"/>
  <c r="V877"/>
  <c r="K877"/>
  <c r="K889" s="1"/>
  <c r="I859"/>
  <c r="AQ179" i="4"/>
  <c r="AS179" s="1"/>
  <c r="AS147"/>
  <c r="X3591"/>
  <c r="X3595" s="1"/>
  <c r="X3596" s="1"/>
  <c r="V3608"/>
  <c r="AG458"/>
  <c r="AE457"/>
  <c r="L477"/>
  <c r="K478"/>
  <c r="AU103"/>
  <c r="AV103" s="1"/>
  <c r="I859"/>
  <c r="I893"/>
  <c r="K893" s="1"/>
  <c r="K905" s="1"/>
  <c r="V877"/>
  <c r="K877"/>
  <c r="K889" s="1"/>
  <c r="AU120"/>
  <c r="AV120" s="1"/>
  <c r="AS121"/>
  <c r="AT120"/>
  <c r="AU173"/>
  <c r="AV173" s="1"/>
  <c r="I3299" i="6" l="1"/>
  <c r="K3299" s="1"/>
  <c r="K3311" s="1"/>
  <c r="K859"/>
  <c r="K871" s="1"/>
  <c r="P852"/>
  <c r="R852" s="1"/>
  <c r="R864" s="1"/>
  <c r="V859"/>
  <c r="X859" s="1"/>
  <c r="X871" s="1"/>
  <c r="V893"/>
  <c r="X893" s="1"/>
  <c r="X905" s="1"/>
  <c r="X877"/>
  <c r="X889" s="1"/>
  <c r="V3623"/>
  <c r="X3608"/>
  <c r="X3612" s="1"/>
  <c r="X3613" s="1"/>
  <c r="AS151"/>
  <c r="AU147"/>
  <c r="AV147" s="1"/>
  <c r="AS122"/>
  <c r="AS124" s="1"/>
  <c r="AU121"/>
  <c r="AV121" s="1"/>
  <c r="L477"/>
  <c r="K478"/>
  <c r="K891"/>
  <c r="L889"/>
  <c r="AG459"/>
  <c r="AE458"/>
  <c r="AS183"/>
  <c r="AU179"/>
  <c r="AV179" s="1"/>
  <c r="AS122" i="4"/>
  <c r="AU121"/>
  <c r="AV121" s="1"/>
  <c r="K891"/>
  <c r="L889"/>
  <c r="K479"/>
  <c r="L479" s="1"/>
  <c r="L478"/>
  <c r="V3623"/>
  <c r="X3608"/>
  <c r="X3612" s="1"/>
  <c r="X3613" s="1"/>
  <c r="AS151"/>
  <c r="AU147"/>
  <c r="AV147" s="1"/>
  <c r="AS124"/>
  <c r="V893"/>
  <c r="X893" s="1"/>
  <c r="X905" s="1"/>
  <c r="X877"/>
  <c r="X889" s="1"/>
  <c r="I3299"/>
  <c r="K3299" s="1"/>
  <c r="K3311" s="1"/>
  <c r="V859"/>
  <c r="X859" s="1"/>
  <c r="X871" s="1"/>
  <c r="K859"/>
  <c r="K871" s="1"/>
  <c r="P852"/>
  <c r="R852" s="1"/>
  <c r="R864" s="1"/>
  <c r="AG459"/>
  <c r="AE458"/>
  <c r="AS183"/>
  <c r="AU179"/>
  <c r="AV179" s="1"/>
  <c r="AU124" i="6" l="1"/>
  <c r="AV124" s="1"/>
  <c r="K479"/>
  <c r="L479" s="1"/>
  <c r="L478"/>
  <c r="AS123"/>
  <c r="AU122"/>
  <c r="AV122" s="1"/>
  <c r="AS185"/>
  <c r="AU183"/>
  <c r="AV183" s="1"/>
  <c r="AG460"/>
  <c r="AE459"/>
  <c r="AS153"/>
  <c r="AU151"/>
  <c r="AV151" s="1"/>
  <c r="X3624"/>
  <c r="X3623"/>
  <c r="AU124" i="4"/>
  <c r="AV124" s="1"/>
  <c r="AS123"/>
  <c r="AU122"/>
  <c r="AV122" s="1"/>
  <c r="AS185"/>
  <c r="AU183"/>
  <c r="AV183" s="1"/>
  <c r="AG460"/>
  <c r="AE459"/>
  <c r="AS153"/>
  <c r="AU151"/>
  <c r="AV151" s="1"/>
  <c r="X3624"/>
  <c r="X3623"/>
  <c r="AS155" i="6" l="1"/>
  <c r="AT155" s="1"/>
  <c r="AU153"/>
  <c r="AV153"/>
  <c r="AU123"/>
  <c r="AV123" s="1"/>
  <c r="AE460"/>
  <c r="AG461"/>
  <c r="AU185"/>
  <c r="AV185" s="1"/>
  <c r="AS187"/>
  <c r="X3627"/>
  <c r="X3628" s="1"/>
  <c r="AG461" i="4"/>
  <c r="AE460"/>
  <c r="AU185"/>
  <c r="AV185" s="1"/>
  <c r="AS187"/>
  <c r="X3627"/>
  <c r="X3628" s="1"/>
  <c r="AS155"/>
  <c r="AT155" s="1"/>
  <c r="AU153"/>
  <c r="AV153" s="1"/>
  <c r="AU123"/>
  <c r="AV123" s="1"/>
  <c r="AU187" i="6" l="1"/>
  <c r="AV187" s="1"/>
  <c r="AR187"/>
  <c r="AS188"/>
  <c r="AG462"/>
  <c r="AE461"/>
  <c r="AU155"/>
  <c r="AS156"/>
  <c r="AV155"/>
  <c r="AR155"/>
  <c r="AU155" i="4"/>
  <c r="AV155" s="1"/>
  <c r="AS156"/>
  <c r="AR155"/>
  <c r="AG462"/>
  <c r="AE461"/>
  <c r="AU187"/>
  <c r="AV187" s="1"/>
  <c r="AR187"/>
  <c r="AS188"/>
  <c r="AS157" i="6" l="1"/>
  <c r="AT156"/>
  <c r="AR156"/>
  <c r="AU156"/>
  <c r="AV156" s="1"/>
  <c r="AE462"/>
  <c r="AG463"/>
  <c r="AE463" s="1"/>
  <c r="AS189"/>
  <c r="AU188"/>
  <c r="AV188" s="1"/>
  <c r="AR188"/>
  <c r="AS189" i="4"/>
  <c r="AU188"/>
  <c r="AV188" s="1"/>
  <c r="AR188"/>
  <c r="AE462"/>
  <c r="AG463"/>
  <c r="AE463" s="1"/>
  <c r="AS157"/>
  <c r="AT156"/>
  <c r="AR156"/>
  <c r="AU156"/>
  <c r="AV156" s="1"/>
  <c r="AS190" i="6" l="1"/>
  <c r="AU189"/>
  <c r="AV189" s="1"/>
  <c r="AR189"/>
  <c r="AS158"/>
  <c r="AU157"/>
  <c r="AV157" s="1"/>
  <c r="AR157"/>
  <c r="AS158" i="4"/>
  <c r="AU157"/>
  <c r="AV157" s="1"/>
  <c r="AR157"/>
  <c r="AS190"/>
  <c r="AU189"/>
  <c r="AV189" s="1"/>
  <c r="AR189"/>
  <c r="AS159" i="6" l="1"/>
  <c r="AU158"/>
  <c r="AV158" s="1"/>
  <c r="AR158"/>
  <c r="AS191"/>
  <c r="AU190"/>
  <c r="AV190" s="1"/>
  <c r="AR190"/>
  <c r="AS191" i="4"/>
  <c r="AU190"/>
  <c r="AV190" s="1"/>
  <c r="AR190"/>
  <c r="AS159"/>
  <c r="AU158"/>
  <c r="AV158" s="1"/>
  <c r="AR158"/>
  <c r="AU191" i="6" l="1"/>
  <c r="AV191" s="1"/>
  <c r="AR191"/>
  <c r="AU159"/>
  <c r="AV159" s="1"/>
  <c r="AR159"/>
  <c r="AU159" i="4"/>
  <c r="AV159" s="1"/>
  <c r="AR159"/>
  <c r="AU191"/>
  <c r="AV191" s="1"/>
  <c r="AR191"/>
</calcChain>
</file>

<file path=xl/sharedStrings.xml><?xml version="1.0" encoding="utf-8"?>
<sst xmlns="http://schemas.openxmlformats.org/spreadsheetml/2006/main" count="44446" uniqueCount="4592">
  <si>
    <t>QTY</t>
  </si>
  <si>
    <t>NO</t>
  </si>
  <si>
    <t>B</t>
  </si>
  <si>
    <t>Qty</t>
  </si>
  <si>
    <t>Description of Work</t>
  </si>
  <si>
    <t>Per</t>
  </si>
  <si>
    <t>Amount</t>
  </si>
  <si>
    <t>DESCRIPTION OF WORKS</t>
  </si>
  <si>
    <t>L</t>
  </si>
  <si>
    <t>D</t>
  </si>
  <si>
    <t>Rate</t>
  </si>
  <si>
    <t>Painting the old walls with one coat of approved best exterinal emulsion paint in addition to one coat of approved primer cement paint over cement plastered wall surfaces and ceiling including cost of cement paints, putty, brushes, watering, curing, etc.,shes, watering, curing, etc.</t>
  </si>
  <si>
    <t>Ground floor</t>
  </si>
  <si>
    <t>head room door</t>
  </si>
  <si>
    <t>open terrace portico area</t>
  </si>
  <si>
    <t>for building terrace area</t>
  </si>
  <si>
    <t>add skirting portico</t>
  </si>
  <si>
    <t>add skirting building all round</t>
  </si>
  <si>
    <t>add skirting head room all round</t>
  </si>
  <si>
    <t>total</t>
  </si>
  <si>
    <t>Finshing the top of Terrace floor with one course of solar reflective Ceramic tiles without base concrete</t>
  </si>
  <si>
    <t>d/f head room wall area</t>
  </si>
  <si>
    <t>add skirting head room all round top</t>
  </si>
  <si>
    <t>Ins room all round</t>
  </si>
  <si>
    <t>d/f door</t>
  </si>
  <si>
    <t>d/f window</t>
  </si>
  <si>
    <t>d/f pvc door</t>
  </si>
  <si>
    <t>add door jams</t>
  </si>
  <si>
    <t>add window jams</t>
  </si>
  <si>
    <t>att toilet</t>
  </si>
  <si>
    <t>comm toilet</t>
  </si>
  <si>
    <t>d/f v2</t>
  </si>
  <si>
    <t>add jams</t>
  </si>
  <si>
    <t>add v2 jams</t>
  </si>
  <si>
    <t>si room inner</t>
  </si>
  <si>
    <t>`</t>
  </si>
  <si>
    <t>meeting room inner</t>
  </si>
  <si>
    <t>d/f v</t>
  </si>
  <si>
    <t>add v jams</t>
  </si>
  <si>
    <t>add wc wall</t>
  </si>
  <si>
    <t>station writer</t>
  </si>
  <si>
    <t>d/f carridor open</t>
  </si>
  <si>
    <t>d/f door1</t>
  </si>
  <si>
    <t>lock up room women</t>
  </si>
  <si>
    <t>lock up room men</t>
  </si>
  <si>
    <t>property room</t>
  </si>
  <si>
    <t>d/f vo</t>
  </si>
  <si>
    <t>arms ammunition room</t>
  </si>
  <si>
    <t>add wall</t>
  </si>
  <si>
    <t>s/c area inner</t>
  </si>
  <si>
    <t>carridor area</t>
  </si>
  <si>
    <t>d/f s/c open</t>
  </si>
  <si>
    <t>first floor</t>
  </si>
  <si>
    <t>Interrogation room</t>
  </si>
  <si>
    <t>si women</t>
  </si>
  <si>
    <t>att.toilet</t>
  </si>
  <si>
    <t>d/f v1</t>
  </si>
  <si>
    <t>Store room</t>
  </si>
  <si>
    <t>add jams v1</t>
  </si>
  <si>
    <t>lunch room</t>
  </si>
  <si>
    <t>rest room men</t>
  </si>
  <si>
    <t>add v1 jams</t>
  </si>
  <si>
    <t>rest room women</t>
  </si>
  <si>
    <t>window jams</t>
  </si>
  <si>
    <t xml:space="preserve">d/f gw1 </t>
  </si>
  <si>
    <t>head room inner all round</t>
  </si>
  <si>
    <t>outer all round1</t>
  </si>
  <si>
    <t>d/f entrance open</t>
  </si>
  <si>
    <t>d/f gw1</t>
  </si>
  <si>
    <t>d/f d2</t>
  </si>
  <si>
    <t>add jams window</t>
  </si>
  <si>
    <t>add jams v</t>
  </si>
  <si>
    <t>add jams v2</t>
  </si>
  <si>
    <t>portico column</t>
  </si>
  <si>
    <t>portico parapet</t>
  </si>
  <si>
    <t>head roo outer all round</t>
  </si>
  <si>
    <t>Supplying and fixing of 15 mm dia C.P. tap of best quality including cost of fittings with required specials, bends, labour for fixing etc., all complete and as directed by the departmental officers
a. C.P.Long body tap</t>
  </si>
  <si>
    <t>for toilets</t>
  </si>
  <si>
    <t>Supplying and fixing of 15mm dia CP short body Tap of Best quality including cost of fittings with required specials, bends, labour for fixing etc., all complete and as directed by the departmental officers.,(The quality and brand of fittings should be got approved from Executive Engineer before use).</t>
  </si>
  <si>
    <t>Painting the old wood work with one coats of approved first class synthetic enamel ready mixed paint in addition to one coat of primer of approved quality and shade,  the paint should be supplied by the contractor at his own cost (The quality and the shade of paint should be got approved by the Executive Engineer before use) complying with relevant standard specifications.</t>
  </si>
  <si>
    <t>Painting the old Iron work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</si>
  <si>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for doors d</t>
  </si>
  <si>
    <t>for windows</t>
  </si>
  <si>
    <t>lock up door</t>
  </si>
  <si>
    <t xml:space="preserve"> v</t>
  </si>
  <si>
    <t>v1</t>
  </si>
  <si>
    <t xml:space="preserve"> v2</t>
  </si>
  <si>
    <t>gw1</t>
  </si>
  <si>
    <t>Dismantling pressed tiles and weathering course</t>
  </si>
  <si>
    <t>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complete in all respects as directed by the departmental officers.</t>
  </si>
  <si>
    <t>a) 110mm dia PVC SWR pipe including all required PVC specials etc., all complete.,</t>
  </si>
  <si>
    <t>b) 75mm dia PVC SWR pipe including all required PVC specials etc., all complete.,</t>
  </si>
  <si>
    <t>for toilet line</t>
  </si>
  <si>
    <t>for toilet waste line</t>
  </si>
  <si>
    <t>Dismantling the floor finish and dadoing in cement morter with tiles</t>
  </si>
  <si>
    <t>for f.floor att.toilets</t>
  </si>
  <si>
    <t>Supplying and fixing of Colour ceramic tiles (Anti skid) without corrugated design for flooring and other similar works (Best approved quality, colour and shade shall be got approved from the Executive Engineer before using) over cement plastering in CM 1:3 (One of cement and two of sand) 20mm thick including fixing in position, cutting the tiles to the required size wherever necessary, pointing the joints with coloured cement, curing, finishing etc., all complete and as directed by the departmental officers.</t>
  </si>
  <si>
    <t>for g.floor</t>
  </si>
  <si>
    <t>for F.floor</t>
  </si>
  <si>
    <t>building outer</t>
  </si>
  <si>
    <t xml:space="preserve">Supplying and fixing of 18 W LED tube lights with necessary fittings </t>
  </si>
  <si>
    <t>Supplying and fixing of 9W LED bulb and fixing the bulb including cost of all materials and labour for fixing in position etc.,</t>
  </si>
  <si>
    <t xml:space="preserve">Supplying and fixing of 12W LED bulb with suitable bulkhead fittings and fixing the bulb including cost of all materials and labour for fixing in position etc. </t>
  </si>
  <si>
    <t>Supplying and fixing of 25W LED single street light fittings complete with approved make and brand  fixing the bulb including cost of all materials and labour for fixing in position etc.</t>
  </si>
  <si>
    <t>for s/c area and head room</t>
  </si>
  <si>
    <t>Supply and delivery of following Electric Ceiling fan with blades and double ball bearing, capacitor, type complete with 300 mm down rods canopies, capacitor, shackle blades with speed regulator (resistance type suitable) for operator on 230 volts 50 HTZ single phase AC supply confirming to ISS No. 374/79 and provided with insulation. (The brand should be got approved from the Executive Engineer before supply made)</t>
  </si>
  <si>
    <t>a) 48” Electric fan 1200mm sweep</t>
  </si>
  <si>
    <t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t>
  </si>
  <si>
    <t>for window glass</t>
  </si>
  <si>
    <t>s</t>
  </si>
  <si>
    <t>sqm</t>
  </si>
  <si>
    <t>one coat of wall putty</t>
  </si>
  <si>
    <t>TAMIL NADU POLICE HOUSING CORPORATION</t>
  </si>
  <si>
    <t>======================================</t>
  </si>
  <si>
    <t>PLACE:-</t>
  </si>
  <si>
    <t xml:space="preserve"> </t>
  </si>
  <si>
    <t>2020-2021</t>
  </si>
  <si>
    <t>-</t>
  </si>
  <si>
    <t>COST OF MATERIALS</t>
  </si>
  <si>
    <t>RATE</t>
  </si>
  <si>
    <t>PER</t>
  </si>
  <si>
    <t>AMOUNT</t>
  </si>
  <si>
    <t>*</t>
  </si>
  <si>
    <t>CEMENT MORTAR(1:1.5)</t>
  </si>
  <si>
    <t>M.T</t>
  </si>
  <si>
    <t>CEMENT</t>
  </si>
  <si>
    <t>CUM</t>
  </si>
  <si>
    <t>SAND</t>
  </si>
  <si>
    <t>MIXING OF MORTAR</t>
  </si>
  <si>
    <t>L.S</t>
  </si>
  <si>
    <t>SUNDRIES</t>
  </si>
  <si>
    <t>TOTAL FOR 1 CUM</t>
  </si>
  <si>
    <t>CEMENT MORTAR(1:2)</t>
  </si>
  <si>
    <t>CEMENT MORTAR(1:3)</t>
  </si>
  <si>
    <t>CEMENT MORTAR(1:4)</t>
  </si>
  <si>
    <t>CEMENT MORTAR(1:5)</t>
  </si>
  <si>
    <t>CEMENT MORTAR(1:6)</t>
  </si>
  <si>
    <t>CEMENT MORTAR(1:7)</t>
  </si>
  <si>
    <t>CEMENT MORTAR(1:8)</t>
  </si>
  <si>
    <t>Providing cooling tiles over terrace floor</t>
  </si>
  <si>
    <t>SQM</t>
  </si>
  <si>
    <t>COST OF CERAMIC FLOOR TILES p-58 it-197 a</t>
  </si>
  <si>
    <t>C.M(1:3)</t>
  </si>
  <si>
    <t>Pointing with CM 1:3</t>
  </si>
  <si>
    <t>MASON I</t>
  </si>
  <si>
    <t>MASON II</t>
  </si>
  <si>
    <t>MAZDOOR I</t>
  </si>
  <si>
    <t>MAZDOOR II</t>
  </si>
  <si>
    <t>Kg</t>
  </si>
  <si>
    <t>ABC plus powder</t>
  </si>
  <si>
    <t>Colour cement p-36</t>
  </si>
  <si>
    <t>ABC Grout</t>
  </si>
  <si>
    <t>Base concrete 1:2:4 (6-10mm thick metal)</t>
  </si>
  <si>
    <t>TOTAL FOR 10 SQM</t>
  </si>
  <si>
    <t>RATE PER SQM</t>
  </si>
  <si>
    <t>=</t>
  </si>
  <si>
    <t>Providing White/Color ceramic floor tiles (Anti-skid)of</t>
  </si>
  <si>
    <t>any size 0f 6mm T.K including pointing etc.,</t>
  </si>
  <si>
    <t>as directed by the Dept.Officers.</t>
  </si>
  <si>
    <t>COST OF CERAMIC FLOOR TILES</t>
  </si>
  <si>
    <t>LABOUR FOR LAYING &amp; POINTING</t>
  </si>
  <si>
    <t>Grout ( qtn)</t>
  </si>
  <si>
    <t>PATTY  ( Qtn) 40 Kg= Rs .1050/40=26.25</t>
  </si>
  <si>
    <t>Vat 4 % (26.25+1.05 =27.30</t>
  </si>
  <si>
    <t>No</t>
  </si>
  <si>
    <t>Painter - I st Class</t>
  </si>
  <si>
    <t>LS</t>
  </si>
  <si>
    <t xml:space="preserve">SUNDRIES </t>
  </si>
  <si>
    <t>Rate for 10 Sqm</t>
  </si>
  <si>
    <t>Rate for 1 Sqm</t>
  </si>
  <si>
    <t>Plastic Emulsion PAINT one coat for old wall</t>
  </si>
  <si>
    <t>LIT</t>
  </si>
  <si>
    <t>Plastic Emulsion PAINT</t>
  </si>
  <si>
    <t>Painter I</t>
  </si>
  <si>
    <t>Sqm</t>
  </si>
  <si>
    <t>Thorouh scrapping p28/108</t>
  </si>
  <si>
    <t>ls</t>
  </si>
  <si>
    <t xml:space="preserve">Two coat of OBD over one coat white cement for inner walls </t>
  </si>
  <si>
    <t xml:space="preserve">PLASTERED SURFACE WITH </t>
  </si>
  <si>
    <t>OBD</t>
  </si>
  <si>
    <t>OBD p-50 sl.129</t>
  </si>
  <si>
    <t xml:space="preserve">PAINTER I </t>
  </si>
  <si>
    <t>SUNDRIES FOR BRUSHES,ETC</t>
  </si>
  <si>
    <t>PAINTING ONE COATS OVER OLD</t>
  </si>
  <si>
    <t>WOOD WORKS WITH IIND CLASS</t>
  </si>
  <si>
    <t>SYNTHETIC ENAMEL PAINT</t>
  </si>
  <si>
    <t>Lit</t>
  </si>
  <si>
    <t>READY MIXED IIND CLASS PAINT</t>
  </si>
  <si>
    <t>nos</t>
  </si>
  <si>
    <t>Thorouh scrapping (p-31 slno.112)</t>
  </si>
  <si>
    <t>PAINTING TWO COATS OVER OLD</t>
  </si>
  <si>
    <t>IRON WORKS WITH IIND CLASS</t>
  </si>
  <si>
    <t>Thorouh scrapping</t>
  </si>
  <si>
    <t>58.1(a)</t>
  </si>
  <si>
    <t>SUPPLY AND FIXING P.V.C.SOIL</t>
  </si>
  <si>
    <t>PIPESPECIALS OF FOLLOWING DIA:-</t>
  </si>
  <si>
    <t>A.</t>
  </si>
  <si>
    <t>SUPPLY AND FIXING OF PVC soil PIPE</t>
  </si>
  <si>
    <t>PACKING THE JOINTS WITH RUBBER</t>
  </si>
  <si>
    <t>LUBRICANT AND FIXING IN TO</t>
  </si>
  <si>
    <t>WALL WITH WOODEN PLUGS</t>
  </si>
  <si>
    <t>SCREWSHOLDING CLAMPSETC</t>
  </si>
  <si>
    <t>COMPLETE  type 'B'.</t>
  </si>
  <si>
    <t>RMT</t>
  </si>
  <si>
    <t>P.V.C. PIPE 110mm DIA</t>
  </si>
  <si>
    <t>P.V.C BEND WITH DOOR 110MM</t>
  </si>
  <si>
    <t>EACH</t>
  </si>
  <si>
    <t>P.V.C COWL 110MM</t>
  </si>
  <si>
    <t>P.V.C DOOR TEE 110MM p-61 D-c</t>
  </si>
  <si>
    <t>NO.</t>
  </si>
  <si>
    <t>PLUMBER I</t>
  </si>
  <si>
    <t>COST OF RUBBER</t>
  </si>
  <si>
    <t>LUBRICANTT.W.PLUGS AND</t>
  </si>
  <si>
    <t>C.I.CLAMPS ETC</t>
  </si>
  <si>
    <t>SUNDERS</t>
  </si>
  <si>
    <t>TOTAL FOR 3 RMT</t>
  </si>
  <si>
    <t>RATE PER RMT</t>
  </si>
  <si>
    <t>58.1(b)</t>
  </si>
  <si>
    <t>B.</t>
  </si>
  <si>
    <t>SUPPLY AND FIXING OF PVC PIPE</t>
  </si>
  <si>
    <t>LUBERICANT AND FIXING IN TO</t>
  </si>
  <si>
    <t>WALL WITH WOODEN PLUGES</t>
  </si>
  <si>
    <t>P.V.C. PIPE 75mm DIA</t>
  </si>
  <si>
    <t>P.V.C BEND WITH DOOR</t>
  </si>
  <si>
    <t>P.V.C COWL</t>
  </si>
  <si>
    <t>P.V.C DOOR TEE</t>
  </si>
  <si>
    <t>SUPPLY AND DELIVERY OF FAN 48"SWEEP with 
Electronic Regulator step dimmer.</t>
  </si>
  <si>
    <t>Each</t>
  </si>
  <si>
    <t>23.2</t>
  </si>
  <si>
    <t>headed glass panels 450x1350</t>
  </si>
  <si>
    <t xml:space="preserve"> 4mm glass frosted </t>
  </si>
  <si>
    <t>Rmt</t>
  </si>
  <si>
    <t xml:space="preserve"> 12x12mm Alu.Beedings ( Qtn)</t>
  </si>
  <si>
    <t>No.</t>
  </si>
  <si>
    <t>Alu. bolts and nuts( Qtn)</t>
  </si>
  <si>
    <t>Labour for fixing glass paneles</t>
  </si>
  <si>
    <t>Sundries</t>
  </si>
  <si>
    <t xml:space="preserve"> (1.08SQM LABOUR =.25CARPENTER-II)</t>
  </si>
  <si>
    <t>Total for 0.5334 Sqm</t>
  </si>
  <si>
    <t>Rate for one Sqm.</t>
  </si>
  <si>
    <t>Nos</t>
  </si>
  <si>
    <t>Charges for fixing of "Fan"</t>
  </si>
  <si>
    <t>LABOUR CHARGE FOR FIXING FAN</t>
  </si>
  <si>
    <t>GST @ 12%</t>
  </si>
  <si>
    <t>Labour welfare fund @ 1%</t>
  </si>
  <si>
    <t>Supervision charges @ 7.5%</t>
  </si>
  <si>
    <t>One coat of wall putty</t>
  </si>
  <si>
    <r>
      <t xml:space="preserve">Tamil Nadu Police Housing Corparation Ltd. </t>
    </r>
    <r>
      <rPr>
        <b/>
        <sz val="12"/>
        <rFont val="Helv"/>
      </rPr>
      <t xml:space="preserve"> DATA</t>
    </r>
  </si>
  <si>
    <t>Tamil Nadu Police Housing Corparation Ltd.</t>
  </si>
  <si>
    <t>==========================================================</t>
  </si>
  <si>
    <t>SULUR</t>
  </si>
  <si>
    <t xml:space="preserve">  </t>
  </si>
  <si>
    <t xml:space="preserve">         </t>
  </si>
  <si>
    <t>SL.NO</t>
  </si>
  <si>
    <t>DESCRIPTION OF MATERIALS</t>
  </si>
  <si>
    <t>UNIT</t>
  </si>
  <si>
    <t>SOURCE</t>
  </si>
  <si>
    <t>Total</t>
  </si>
  <si>
    <t xml:space="preserve">COST OF </t>
  </si>
  <si>
    <t>LEAD</t>
  </si>
  <si>
    <t xml:space="preserve">Add 10% </t>
  </si>
  <si>
    <t>UN LO-</t>
  </si>
  <si>
    <t>MATERIAL</t>
  </si>
  <si>
    <t>LABOUR RATE</t>
  </si>
  <si>
    <t>LIME MORTAR(1:2)</t>
  </si>
  <si>
    <t>Lead</t>
  </si>
  <si>
    <t>CHARGE</t>
  </si>
  <si>
    <t>for quarry at</t>
  </si>
  <si>
    <t>ADING</t>
  </si>
  <si>
    <t>COST @ SITE</t>
  </si>
  <si>
    <t>LABOUR CHARGES</t>
  </si>
  <si>
    <t xml:space="preserve">Thuvakudi </t>
  </si>
  <si>
    <t>10%</t>
  </si>
  <si>
    <t>20%</t>
  </si>
  <si>
    <t>50%</t>
  </si>
  <si>
    <t>5%</t>
  </si>
  <si>
    <t>25%</t>
  </si>
  <si>
    <t xml:space="preserve"> -------------</t>
  </si>
  <si>
    <t>LIME</t>
  </si>
  <si>
    <t>1.</t>
  </si>
  <si>
    <t>ROUGH STONE sl.38  p18</t>
  </si>
  <si>
    <t>CUM.</t>
  </si>
  <si>
    <t>Madukkarai</t>
  </si>
  <si>
    <t>MASON-I Brick / Stone work</t>
  </si>
  <si>
    <t>MASON  I *</t>
  </si>
  <si>
    <t>2.</t>
  </si>
  <si>
    <t>BOND STONE sl.57 p18</t>
  </si>
  <si>
    <t>MASON-II Brick / Stone work</t>
  </si>
  <si>
    <t>MASON  II  *</t>
  </si>
  <si>
    <t>GRINDING OF MORTAR</t>
  </si>
  <si>
    <t>3.</t>
  </si>
  <si>
    <t>HARD BROKEN STONE JELLY 3mm To 10mm p-18</t>
  </si>
  <si>
    <t>MAZDOOR-I</t>
  </si>
  <si>
    <t>MAZDOOR I   *</t>
  </si>
  <si>
    <t>4.</t>
  </si>
  <si>
    <t>HARD BROKEN STONE JELLY 10mm</t>
  </si>
  <si>
    <t>MAZDOOR-II</t>
  </si>
  <si>
    <t>MAZDOOR II*</t>
  </si>
  <si>
    <t>5.</t>
  </si>
  <si>
    <t>HARD BROKEN STONE JELLY 12mm</t>
  </si>
  <si>
    <t>PAINTER-I</t>
  </si>
  <si>
    <t>PAINTER I/II*</t>
  </si>
  <si>
    <t>6.</t>
  </si>
  <si>
    <t>HARD BROKEN STONE JELLY 20mm</t>
  </si>
  <si>
    <t>PAINTER-II</t>
  </si>
  <si>
    <t>PLUMBER  I*</t>
  </si>
  <si>
    <t>7.</t>
  </si>
  <si>
    <t>HARD BROKEN STONE JELLY 40mm</t>
  </si>
  <si>
    <t>PLUMBER-I</t>
  </si>
  <si>
    <t>CARPENTER I/II*</t>
  </si>
  <si>
    <t>SUPPLYING MIXINNG AND LAYING</t>
  </si>
  <si>
    <t>8.</t>
  </si>
  <si>
    <t>C.S.SAND FOR MORTAR sl.100  p20</t>
  </si>
  <si>
    <t>Karanampettai</t>
  </si>
  <si>
    <t>PLUMBER-II</t>
  </si>
  <si>
    <t>FITTER I/II*</t>
  </si>
  <si>
    <t>LIME SAND MIX 1:1 RATIO</t>
  </si>
  <si>
    <t>9.</t>
  </si>
  <si>
    <t>C.S.SAND FOR FILLING</t>
  </si>
  <si>
    <t>FITTER-I</t>
  </si>
  <si>
    <t>MIXING OF MORTAR* it-165</t>
  </si>
  <si>
    <t>CUM*</t>
  </si>
  <si>
    <t>INCLUDING COST OF</t>
  </si>
  <si>
    <t>10.</t>
  </si>
  <si>
    <t>Kiln Burnt Country Bricks  SIZE 22x11x7Cm p-16 it-5a</t>
  </si>
  <si>
    <t>1000nos.</t>
  </si>
  <si>
    <t>Chinna Thadagam</t>
  </si>
  <si>
    <t>FITTER-II</t>
  </si>
  <si>
    <t>LIFT CHARGES FOR B.W IN G.F  * it-94 p-29</t>
  </si>
  <si>
    <t>SAND,LIME,LABOUR FOR MIXING</t>
  </si>
  <si>
    <t>11.</t>
  </si>
  <si>
    <t>BRICK JELLY 40mmGAUGE p-17 it-17 a</t>
  </si>
  <si>
    <t>CARPENTER-I</t>
  </si>
  <si>
    <t>LIFT CHARGES FOR B.W IN F.F  *</t>
  </si>
  <si>
    <t>&amp;LAYING ETC COMPLETE.</t>
  </si>
  <si>
    <t>12.</t>
  </si>
  <si>
    <t>BRICK JELLY 20mmGAUGE</t>
  </si>
  <si>
    <t>CARPENTER-II</t>
  </si>
  <si>
    <t>LIFT CHARGES FOR B.W IN S.F  *</t>
  </si>
  <si>
    <t>13.</t>
  </si>
  <si>
    <t>MACHINE PRESSED TILES 23x 23x 2 Cm p-17 It-20</t>
  </si>
  <si>
    <t>Local</t>
  </si>
  <si>
    <t>STONE CUTTER-I</t>
  </si>
  <si>
    <t>LIFT CHARGES FOR CONCRETE IN G.F  *it-92 p-29</t>
  </si>
  <si>
    <t>COST OF SAND</t>
  </si>
  <si>
    <t>14.</t>
  </si>
  <si>
    <t>SLACKED SHELL LIME sl.106 p20</t>
  </si>
  <si>
    <t>STONE CUTTER-II</t>
  </si>
  <si>
    <t>LIFT CHARGES FOR CONCRETE IN F.F  *</t>
  </si>
  <si>
    <t>COST OF LIME</t>
  </si>
  <si>
    <t>15.</t>
  </si>
  <si>
    <t>SLACKED &amp;SREENED LIME STONE sl107/67</t>
  </si>
  <si>
    <t>FLOOR POLISHER</t>
  </si>
  <si>
    <t>LIFT CHARGES FOR CONCRETE IN S.F  *</t>
  </si>
  <si>
    <t>LABOUR CHARGES FOR MIXING</t>
  </si>
  <si>
    <t>16.</t>
  </si>
  <si>
    <t>C.W SCANTLING UPTO 4M LONG p-21 it-127</t>
  </si>
  <si>
    <t>local</t>
  </si>
  <si>
    <t>Mortar mix charges manual  sl.165(Ann3 p-34)</t>
  </si>
  <si>
    <t>VIBRATER CHARGES  * it-103 p-28</t>
  </si>
  <si>
    <t>LABOUR CHARGES FOR FILLING</t>
  </si>
  <si>
    <t>17.</t>
  </si>
  <si>
    <t>C.W. PLANK UPTO 40mmTHICK UPTO 30 Cm WIDTH</t>
  </si>
  <si>
    <t>Vibrat-charges(R.C.C) sl.103/2 p30</t>
  </si>
  <si>
    <t>EARTH FILLING  * it-76/85</t>
  </si>
  <si>
    <t xml:space="preserve"> 1CUM</t>
  </si>
  <si>
    <t>18.</t>
  </si>
  <si>
    <t>T.W SCANTLING 2M TO 3M LONG 112/73 p-21</t>
  </si>
  <si>
    <t>Vibrat-charges(P.C.C) sl.102</t>
  </si>
  <si>
    <t>SAND FILLING  * it-75/85</t>
  </si>
  <si>
    <t>19.</t>
  </si>
  <si>
    <t>T.W.SCANTLING BELOW 2M LONG 113/74 p-21</t>
  </si>
  <si>
    <t>Sand filling charges sl.75 p-28</t>
  </si>
  <si>
    <t>POLISHING STONE (average of rough, medium, fine) it-52 p-43</t>
  </si>
  <si>
    <t>TOTAL FOR 1.5 CUM</t>
  </si>
  <si>
    <t>20.</t>
  </si>
  <si>
    <t>T.W.PLANKS 15TO30cm WIDTH &amp; 12to25mm Thick it-119 p-21</t>
  </si>
  <si>
    <t>Earth filling charges sl.76 p-28</t>
  </si>
  <si>
    <t>FLOOR POLISHER (MOSAIC)  * p-11 it-17</t>
  </si>
  <si>
    <t>21.</t>
  </si>
  <si>
    <t>Country BricksKiln Burnt of SIZE 22x11x5Cm (7c)p-16</t>
  </si>
  <si>
    <t>E.W.  61/62 p-27</t>
  </si>
  <si>
    <t>LABOUR CHARGE FOR WROUGHT &amp; PUTUP /V-SHUTTER *p-30 it-143</t>
  </si>
  <si>
    <t>RATE PER CUM</t>
  </si>
  <si>
    <t>22.</t>
  </si>
  <si>
    <t>MOSAIC TILES GRAY 25X25X2cm.it-30 p-17</t>
  </si>
  <si>
    <t>L.C.T.W.Door- 144/2 p-32</t>
  </si>
  <si>
    <t>LABOUR CHARGE FOR DOOR/WINDOW SHUTTER  *p-30 it-144</t>
  </si>
  <si>
    <t>23.</t>
  </si>
  <si>
    <t>CEMENT (supply at site)</t>
  </si>
  <si>
    <t>L.C.marine doors-145/3 p-32</t>
  </si>
  <si>
    <t>COST OF RUBBER ,LUBRICATION,PLUG,CLAMP</t>
  </si>
  <si>
    <t>24.</t>
  </si>
  <si>
    <t>R.T.S. / M.S upto 16mm</t>
  </si>
  <si>
    <t>TW glazed window 149/8 p-33</t>
  </si>
  <si>
    <t>M.S. HOLD FAST WITH SCREWS *</t>
  </si>
  <si>
    <t>25.</t>
  </si>
  <si>
    <t>M.S./ R.T.S above 16mm</t>
  </si>
  <si>
    <t>Wrought&amp;putup 143/1 p-32</t>
  </si>
  <si>
    <t>M.S. SHEET/ANGLE PER M.T p23 I-159/112</t>
  </si>
  <si>
    <t>26.</t>
  </si>
  <si>
    <t>Country BricksKiln Burnt  SIZE 22x11x5Cm</t>
  </si>
  <si>
    <t>Ventilator 153/14 p-33</t>
  </si>
  <si>
    <t>Gravel</t>
  </si>
  <si>
    <t>27.</t>
  </si>
  <si>
    <t>HBSJ 11.2mm IRC metal (High W ay SR16-17)</t>
  </si>
  <si>
    <t>Meter- Cupboard Weldmesh 158/23 p-34</t>
  </si>
  <si>
    <t>Earth work lift for addl 1M p-27 it-66/77</t>
  </si>
  <si>
    <t>28.</t>
  </si>
  <si>
    <t>HBSJ 37.5mm to 26.5mm IRC metal</t>
  </si>
  <si>
    <t>E.W (SDR) 62/67 p-27</t>
  </si>
  <si>
    <t>Labour for petty iron worksp-34 it-167/1</t>
  </si>
  <si>
    <t>29.</t>
  </si>
  <si>
    <t>HBSJ 63mm to 45mm IRC metal</t>
  </si>
  <si>
    <t>FITTER-II (Pipe &amp; Bar Bend) 69/20a p-14</t>
  </si>
  <si>
    <t>TRANSPORTING &amp; ERRECTION</t>
  </si>
  <si>
    <t>30.</t>
  </si>
  <si>
    <t xml:space="preserve"> Gravel p20  92/57</t>
  </si>
  <si>
    <t>FITTER-I (Pipe &amp; Bar Bend) 19/20 p-12</t>
  </si>
  <si>
    <t>LABOUR COST OF CHANNELMOULD/PAINTING ANTCORROSIVE</t>
  </si>
  <si>
    <t xml:space="preserve"> Well Gravel p20  It93/57a</t>
  </si>
  <si>
    <t>E.W  loose soil p-26 SS20B/55/50</t>
  </si>
  <si>
    <t>COST OF PLASTERXERS/COST OF ANTI-CORROSIVE</t>
  </si>
  <si>
    <t>STONE CUTTER II  *</t>
  </si>
  <si>
    <t>Chamber Burnt Bricks of size 23x11.2x7Cm p16/4b</t>
  </si>
  <si>
    <t>CONVEYING,LOWERING&amp; JOINTING LABOUR</t>
  </si>
  <si>
    <t>Chamber Burnt Bricks  of size 23x11.4x7.5Cmp16 /3a</t>
  </si>
  <si>
    <t>LABOUR FOR CUTTING 15mm DIA   * p-32 it-125 pwd</t>
  </si>
  <si>
    <t>Stone dust p20 96-58a</t>
  </si>
  <si>
    <t>Cum</t>
  </si>
  <si>
    <t>LABOUR FOR CUTTING 20mm DIA  *</t>
  </si>
  <si>
    <t>6mmto 10mm HBG metal p-19 it-83+84/2</t>
  </si>
  <si>
    <t>LABOUR FOR CUTTING 25mm DIA  *</t>
  </si>
  <si>
    <t>Fly Ash Bricks  it-3A/8a p-16</t>
  </si>
  <si>
    <t>LABOUR FOR CUTTING 32mm DIA  *</t>
  </si>
  <si>
    <t>Crushed Stone SAND FOR MORTAR sl.98/58C p20</t>
  </si>
  <si>
    <t>LABOUR FOR CUTTING 40mm DIA  *</t>
  </si>
  <si>
    <t>CEMENT CONCRETE(1:8:16) USING</t>
  </si>
  <si>
    <t>Crushed Stone SAND FOR FILLING</t>
  </si>
  <si>
    <t>LABOUR FOR CUTTING 50mm DIA/100mm Dia  *</t>
  </si>
  <si>
    <t>40mm BRICK JELLY</t>
  </si>
  <si>
    <t>LABOUR FOR CUTTING 65mm DIA/80mm Dia  *</t>
  </si>
  <si>
    <t>CERTIFIED THAT THE LEAD PARTICULARS FURNISHED HERE ARE FOUND CORRECT UPTO BEST OF MY KNOWLEDGE</t>
  </si>
  <si>
    <t>LABOUR FOR THREADING 15mm DIA  * it-126</t>
  </si>
  <si>
    <t>A.E.E</t>
  </si>
  <si>
    <t>LABOUR FOR THREADING 20mm DIA  *</t>
  </si>
  <si>
    <t>LABOUR FOR THREADING 25mm DIA  *</t>
  </si>
  <si>
    <t>LABOUR FOR THREADING 32mm DIA /100mm Dia *</t>
  </si>
  <si>
    <t>JE / AE</t>
  </si>
  <si>
    <t>AEE</t>
  </si>
  <si>
    <t>EE</t>
  </si>
  <si>
    <t>LABOUR FOR THREADING 40mm DIA /80mm Dia *</t>
  </si>
  <si>
    <t>LABOUR FOR THREADING 50mm DIA /65mm Dia *</t>
  </si>
  <si>
    <t>COST OF JOINTING MATERIALS</t>
  </si>
  <si>
    <t>HIRE CHARGES FOR   POWER POLISHER</t>
  </si>
  <si>
    <t>TOTAL FOR 10 CUM</t>
  </si>
  <si>
    <t>ELC. CONSUMPTION CHARGES</t>
  </si>
  <si>
    <t xml:space="preserve">FLY  ASH BRICKS DATA </t>
  </si>
  <si>
    <t>LABOUR FOR FIXING WINDOW BARS p-34 it-169</t>
  </si>
  <si>
    <t>Kg*</t>
  </si>
  <si>
    <t xml:space="preserve">B.W IN C.M(1:5) using fly ash  bricks </t>
  </si>
  <si>
    <t>E.W.EXCAVATION SS 20B AS PER SR ITEM 61,62 * P-25</t>
  </si>
  <si>
    <t>Bricks of size 23x11x7 cm</t>
  </si>
  <si>
    <t>MIXER OPERATER * p-15 S.No.83/79</t>
  </si>
  <si>
    <t>CEMENT CONCRETE(1:2:4) USING</t>
  </si>
  <si>
    <t>TESTING CHARGES FOR S.W. LINE</t>
  </si>
  <si>
    <t>20mm HBSTONE METEL</t>
  </si>
  <si>
    <t>NOS.</t>
  </si>
  <si>
    <t xml:space="preserve"> 1000NO.</t>
  </si>
  <si>
    <t>GRINDING MORTAR * 164/2 p-34</t>
  </si>
  <si>
    <t>G.I. SHEET SR156 / 114 1.6mmT.K,30cmWIDE P-23 it-162/114</t>
  </si>
  <si>
    <t>SQM*</t>
  </si>
  <si>
    <t>FITTER II *</t>
  </si>
  <si>
    <t xml:space="preserve">ROUGH STONE </t>
  </si>
  <si>
    <t>BOND STONE</t>
  </si>
  <si>
    <t>HARD BROKEN STONE JELLY 3mmTo10mm SIZE</t>
  </si>
  <si>
    <t>HARD BROKEN STONE JELLY  10mm SIZE</t>
  </si>
  <si>
    <t>TOTAL FOR 2.83168 CUM</t>
  </si>
  <si>
    <t>HARD BROKEN STONE JELLY 12mm SIZE</t>
  </si>
  <si>
    <t>HARD BROKEN STONE JELLY 20mm SIZE</t>
  </si>
  <si>
    <t>HARD BROKEN STONE JELLY 40mm SIZE</t>
  </si>
  <si>
    <t>TERRACOTTA JALLY 110mm/50mmT.K FIXING CHARGE</t>
  </si>
  <si>
    <t>G.F</t>
  </si>
  <si>
    <t>TERRACOTTA JALLY 110mmT.K/50mmT.K</t>
  </si>
  <si>
    <t xml:space="preserve">Qtn </t>
  </si>
  <si>
    <t>B.W IN C.M(1:5) USING CHAMBER BURNT</t>
  </si>
  <si>
    <t>F.F</t>
  </si>
  <si>
    <t>KILN BURNT COUNTRY G.M(2D) BRICK 8-3/4"X4-1/4"X2"</t>
  </si>
  <si>
    <t>Bricks of size 23X11.2X7Cm</t>
  </si>
  <si>
    <t>S.F</t>
  </si>
  <si>
    <t>SAND FOR MARTER</t>
  </si>
  <si>
    <t>T.F</t>
  </si>
  <si>
    <t>SAND FOR FILLING</t>
  </si>
  <si>
    <t>EARTH WORK EXCAVATION</t>
  </si>
  <si>
    <t>Bricks of size 22X11X5Cm</t>
  </si>
  <si>
    <t>EARTH WORK EXCAVATION for loose soil</t>
  </si>
  <si>
    <t>Forth floor</t>
  </si>
  <si>
    <t>STOCK BRICK-IISORT(2A)T.M OF SIZE 9"x4-1/2"X3"</t>
  </si>
  <si>
    <t>1000 Nos</t>
  </si>
  <si>
    <t>---------------------</t>
  </si>
  <si>
    <t>BRICK JELLY 40mm GAUGE</t>
  </si>
  <si>
    <t>EARTH WORK EXCAVATION IN SS20B</t>
  </si>
  <si>
    <t>BRICK JELLY 20mm GAUGE</t>
  </si>
  <si>
    <t>ADD 100% FOR NARROW CUTTING</t>
  </si>
  <si>
    <t>PRESSED TILES 23X23X2cm</t>
  </si>
  <si>
    <t xml:space="preserve"> 1/3REFILLING CHARGES</t>
  </si>
  <si>
    <t>SLACKED LIME</t>
  </si>
  <si>
    <t xml:space="preserve">B.W IN C.M(1:6) using fly ash bricks </t>
  </si>
  <si>
    <t>SLACKED SHELL LIME</t>
  </si>
  <si>
    <t>C.W.SCANTLING UP TO 4M LONG P-20 -it-120/77i</t>
  </si>
  <si>
    <t>C.W. PLANK 40mmT.K.UPTO30cm WIDTH</t>
  </si>
  <si>
    <t>T.W SANDLING OVER2M,BLOW3M</t>
  </si>
  <si>
    <t>RATE PER CUM INCLUDING REFILLING</t>
  </si>
  <si>
    <t>0 TO 2M</t>
  </si>
  <si>
    <t>T.W.SCANDLING UPTO 2M</t>
  </si>
  <si>
    <t>2 TO 3M</t>
  </si>
  <si>
    <t>T.W. PLANK 12mm to 25mm T.K UPTO 30cmWIDTH</t>
  </si>
  <si>
    <t>1.2</t>
  </si>
  <si>
    <t xml:space="preserve">RATE PER CUM EXCLUDING REFILLING 
</t>
  </si>
  <si>
    <t xml:space="preserve">
RATE PER CUM EXCLUDING REFILLING 
</t>
  </si>
  <si>
    <t>COUNTRY BRICK-ISORT(2B)T.M SIZE 9"x4-3/8"X2-3/4"</t>
  </si>
  <si>
    <t>1.3</t>
  </si>
  <si>
    <r>
      <t xml:space="preserve">EARTH WORK EXCAVATION  for </t>
    </r>
    <r>
      <rPr>
        <b/>
        <sz val="12"/>
        <rFont val="Helv"/>
      </rPr>
      <t>SDR</t>
    </r>
  </si>
  <si>
    <t>Loose soil</t>
  </si>
  <si>
    <t>EARTH WORK EXCAVATION IN SDR</t>
  </si>
  <si>
    <t>RATE PER CUM EXCLUDING REFILLING IN SDR</t>
  </si>
  <si>
    <t>B.W IN C.M(1:4) using  fly ash bricks</t>
  </si>
  <si>
    <r>
      <t xml:space="preserve">EARTH WORK EXCAVATION  for </t>
    </r>
    <r>
      <rPr>
        <b/>
        <sz val="12"/>
        <rFont val="Helv"/>
      </rPr>
      <t>open foundation</t>
    </r>
    <r>
      <rPr>
        <sz val="11"/>
        <color theme="1"/>
        <rFont val="Calibri"/>
        <family val="2"/>
        <scheme val="minor"/>
      </rPr>
      <t>EXCLUDING REFILLING</t>
    </r>
  </si>
  <si>
    <t>RATE PER CUM EXCLUDING REFILLING</t>
  </si>
  <si>
    <t>3 to 4</t>
  </si>
  <si>
    <t>4 to 5</t>
  </si>
  <si>
    <r>
      <t xml:space="preserve">EARTH WORK EXCAVATION  for open foundation
</t>
    </r>
    <r>
      <rPr>
        <sz val="12"/>
        <rFont val="Helv"/>
      </rPr>
      <t>IN SDR (EXCLUDING REFILLING)</t>
    </r>
  </si>
  <si>
    <t>2.1</t>
  </si>
  <si>
    <t>FILLING IN FOUNDATION AND</t>
  </si>
  <si>
    <r>
      <t xml:space="preserve">BASEMENT  WITH  </t>
    </r>
    <r>
      <rPr>
        <b/>
        <sz val="12"/>
        <rFont val="Helv"/>
      </rPr>
      <t>FILLING WELL GRAVEL</t>
    </r>
  </si>
  <si>
    <t>Average rate for staircase steps</t>
  </si>
  <si>
    <t>COST OF FILLING GRAVEL</t>
  </si>
  <si>
    <t>PARTITION WALL</t>
  </si>
  <si>
    <r>
      <t xml:space="preserve">RATE PER CUM EXCLUDING REFILLING
</t>
    </r>
    <r>
      <rPr>
        <b/>
        <sz val="12"/>
        <rFont val="Helv"/>
      </rPr>
      <t>IN SDR (OPEN FOUNDATION)</t>
    </r>
  </si>
  <si>
    <t>B.W IN C.M(1:4) using fly ash bricks of size 23x11.4x7.5Cm</t>
  </si>
  <si>
    <t>EARTH WORK EXCAVATION FOR DRAINS</t>
  </si>
  <si>
    <t xml:space="preserve">up to 1.25m width </t>
  </si>
  <si>
    <t xml:space="preserve"> 1.5 times E.W</t>
  </si>
  <si>
    <t>From 1.25m to 2m width (1.25 times E.W)</t>
  </si>
  <si>
    <t>From 1.25m to 2m width</t>
  </si>
  <si>
    <t>MOSIC TILES GREY 25X25X2cm</t>
  </si>
  <si>
    <t>RTS/MS above 16mm dia</t>
  </si>
  <si>
    <r>
      <t xml:space="preserve">BASEMENT  WITH  </t>
    </r>
    <r>
      <rPr>
        <b/>
        <sz val="12"/>
        <rFont val="Helv"/>
      </rPr>
      <t>FILLING SAND</t>
    </r>
  </si>
  <si>
    <r>
      <t xml:space="preserve">BASEMENT  WITH  </t>
    </r>
    <r>
      <rPr>
        <b/>
        <sz val="12"/>
        <rFont val="Helv"/>
      </rPr>
      <t>FILLING GRAVEL</t>
    </r>
  </si>
  <si>
    <t>RTS/MS upto 16mm dia</t>
  </si>
  <si>
    <t>M.S. WIRE 3mm</t>
  </si>
  <si>
    <t>COST OF FILLINGSAND</t>
  </si>
  <si>
    <t>GRAVEL</t>
  </si>
  <si>
    <t>BITUMEN</t>
  </si>
  <si>
    <t>BINDING WIRE p-23 it-160/161</t>
  </si>
  <si>
    <t>TOTAL FOR 1.0 CUM</t>
  </si>
  <si>
    <t>POLISHING  STONE</t>
  </si>
  <si>
    <t xml:space="preserve">   </t>
  </si>
  <si>
    <t>**</t>
  </si>
  <si>
    <t>PARTITION WALL OF 110 mm thick</t>
  </si>
  <si>
    <t>LABOUR CHARGES FOR SPREADING  bull dozer p27 / Item68/78a</t>
  </si>
  <si>
    <t>2.2</t>
  </si>
  <si>
    <r>
      <t xml:space="preserve">PROVIDING </t>
    </r>
    <r>
      <rPr>
        <b/>
        <sz val="12"/>
        <rFont val="Helv"/>
      </rPr>
      <t>SAND  GRAVEL MIX</t>
    </r>
  </si>
  <si>
    <t>CRUDE OIL</t>
  </si>
  <si>
    <t>IN 1:1 RATIO INCLUDING</t>
  </si>
  <si>
    <t>PARATITION B.W IN C.M(1:4)</t>
  </si>
  <si>
    <t>RED OXIDE P-43/ it-41</t>
  </si>
  <si>
    <t>COST OF SAND,GRAVEL,STACKING,LABOUR FOR</t>
  </si>
  <si>
    <r>
      <t xml:space="preserve">BASEMENT  WITH  </t>
    </r>
    <r>
      <rPr>
        <b/>
        <sz val="12"/>
        <rFont val="Helv"/>
      </rPr>
      <t>STONE DUST</t>
    </r>
  </si>
  <si>
    <t>MIXING &amp;CONSOLIDATION ETC</t>
  </si>
  <si>
    <t>COMPLETE.</t>
  </si>
  <si>
    <t>COST OFSTONE DUST</t>
  </si>
  <si>
    <t>STACKING CHARGES</t>
  </si>
  <si>
    <t>COST OF gravel</t>
  </si>
  <si>
    <t>LABOUR CHARGES FOR SPREADING</t>
  </si>
  <si>
    <t>WATERING&amp;POWER ROLLING</t>
  </si>
  <si>
    <t>Fourth Floor</t>
  </si>
  <si>
    <t>3.1</t>
  </si>
  <si>
    <t>CEMENT CONCRETE(1:4:8) USING</t>
  </si>
  <si>
    <t>B.W IN C.M(1:4) USING 2-B Categery using fly ash bricks</t>
  </si>
  <si>
    <t>40mm HBSTONE METEL</t>
  </si>
  <si>
    <t xml:space="preserve">  H.B.STONEJELLY 40mm</t>
  </si>
  <si>
    <t>1000NO.</t>
  </si>
  <si>
    <t>SUPLLYING AND FILLING WITH 40MM Brick jelly</t>
  </si>
  <si>
    <t>SUPLLYING AND FILLING WITH 40MM HBSJ</t>
  </si>
  <si>
    <t>SUPLLYING AND FILLING WITH 20MM Brick jelly</t>
  </si>
  <si>
    <t>COST OF 40mm HBSJ</t>
  </si>
  <si>
    <t>SUPLLYING AND FILLING WITH 20MM HBSJ</t>
  </si>
  <si>
    <t>COST OF 20mm HBSJ</t>
  </si>
  <si>
    <t>***</t>
  </si>
  <si>
    <t>PARTITION WALL OF 70mm thick</t>
  </si>
  <si>
    <t>PRATITION B.W IN C.M(1:4)</t>
  </si>
  <si>
    <t>2.5</t>
  </si>
  <si>
    <r>
      <t xml:space="preserve">Providing </t>
    </r>
    <r>
      <rPr>
        <b/>
        <sz val="12"/>
        <rFont val="Helv"/>
      </rPr>
      <t>GRAVEL SOLING</t>
    </r>
    <r>
      <rPr>
        <sz val="11"/>
        <color theme="1"/>
        <rFont val="Calibri"/>
        <family val="2"/>
        <scheme val="minor"/>
      </rPr>
      <t xml:space="preserve"> of 150mm thick</t>
    </r>
  </si>
  <si>
    <t>COST OF Gravel</t>
  </si>
  <si>
    <t>Forth Floor</t>
  </si>
  <si>
    <t>WINE VERNISH</t>
  </si>
  <si>
    <t>LITTER</t>
  </si>
  <si>
    <t>CEMENT CONCRETE(1:5:10) USING</t>
  </si>
  <si>
    <t>CEMENT CONCRETE(1:3:6) USING</t>
  </si>
  <si>
    <t>LINSEED OIL (BOILED)</t>
  </si>
  <si>
    <t>BEST GOPALVARNISH REDY MIX (PWD LR) p43 It.51</t>
  </si>
  <si>
    <t>READY MIX PAINT II ND/ IST for wood p-50 sl.115</t>
  </si>
  <si>
    <t xml:space="preserve">  H.B.STONEJELLY 20mm</t>
  </si>
  <si>
    <t>READY MIX PRIMER PAINT sl.133/ p50 wood primer)</t>
  </si>
  <si>
    <t>M.S WASHER</t>
  </si>
  <si>
    <t>CHICKEN MESH 10X10X10G it-166/129 P-23</t>
  </si>
  <si>
    <t>WELD MESH  75X25X10G / Fly proof mesh Sl.no.163 p-23</t>
  </si>
  <si>
    <t>WELD MESH 100X100X10G S.no.165 p-23</t>
  </si>
  <si>
    <t>IWC ORIYA PAN p54/161 ( white)</t>
  </si>
  <si>
    <t>S.W. SIGLE Y</t>
  </si>
  <si>
    <t>S.W.TEE 100/150mm DIA WITH ISI MARK it-192/a p-58</t>
  </si>
  <si>
    <t>S.W.PIPE 100mm DIAWITH ISI MARKit-191/a p-58</t>
  </si>
  <si>
    <t>S.W.PIPE 150mm DIAWITH ISI MARK</t>
  </si>
  <si>
    <t>S.W.BEND 100/150mm DIAWITH ISI MARK it-192/b p-58</t>
  </si>
  <si>
    <t>READY MIX PAINT II ND/ IST for iron it-136 p-50</t>
  </si>
  <si>
    <t>LTR</t>
  </si>
  <si>
    <t>3.2</t>
  </si>
  <si>
    <r>
      <t>CEMENT CONCRETE</t>
    </r>
    <r>
      <rPr>
        <b/>
        <sz val="12"/>
        <rFont val="Helv"/>
      </rPr>
      <t xml:space="preserve"> PCC (1:2:4)</t>
    </r>
    <r>
      <rPr>
        <sz val="11"/>
        <color theme="1"/>
        <rFont val="Calibri"/>
        <family val="2"/>
        <scheme val="minor"/>
      </rPr>
      <t xml:space="preserve"> USING</t>
    </r>
  </si>
  <si>
    <t>S.W.TEE 150mm DIA WITH ISI MARK it-192/i p-58</t>
  </si>
  <si>
    <t>DOOR OF SIZE 70X210Cm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</si>
  <si>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</si>
  <si>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</si>
  <si>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</si>
  <si>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</si>
  <si>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</si>
  <si>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</si>
  <si>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</si>
  <si>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</si>
  <si>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C.P.SCREWS150mm long</t>
  </si>
  <si>
    <t>DOOR STOPPER</t>
  </si>
  <si>
    <t>TOTAL FOR 1.23 SQM</t>
  </si>
  <si>
    <t>3.3</t>
  </si>
  <si>
    <r>
      <t>CEMENT CONCRETE</t>
    </r>
    <r>
      <rPr>
        <b/>
        <sz val="12"/>
        <rFont val="Helv"/>
      </rPr>
      <t>(1:8:16)</t>
    </r>
    <r>
      <rPr>
        <sz val="11"/>
        <color theme="1"/>
        <rFont val="Calibri"/>
        <family val="2"/>
        <scheme val="minor"/>
      </rPr>
      <t xml:space="preserve"> USING</t>
    </r>
  </si>
  <si>
    <t>20mm brick jelly</t>
  </si>
  <si>
    <t xml:space="preserve"> 20mmbrick jelly</t>
  </si>
  <si>
    <t>|::</t>
  </si>
  <si>
    <r>
      <t>CEMENT CONCRETE</t>
    </r>
    <r>
      <rPr>
        <b/>
        <sz val="12"/>
        <rFont val="Helv"/>
      </rPr>
      <t>(1:4:8)</t>
    </r>
    <r>
      <rPr>
        <sz val="11"/>
        <color theme="1"/>
        <rFont val="Calibri"/>
        <family val="2"/>
        <scheme val="minor"/>
      </rPr>
      <t xml:space="preserve"> USING</t>
    </r>
  </si>
  <si>
    <t>40mm brick jelly</t>
  </si>
  <si>
    <t xml:space="preserve"> 40mm HGJ jelly</t>
  </si>
  <si>
    <r>
      <t xml:space="preserve">PROVIDING  </t>
    </r>
    <r>
      <rPr>
        <b/>
        <sz val="12"/>
        <rFont val="Helv"/>
      </rPr>
      <t>WBM 125mm</t>
    </r>
    <r>
      <rPr>
        <sz val="11"/>
        <color theme="1"/>
        <rFont val="Calibri"/>
        <family val="2"/>
        <scheme val="minor"/>
      </rPr>
      <t xml:space="preserve"> CONSOLIDATED</t>
    </r>
  </si>
  <si>
    <t>THICK WITH GRAVEL BLINDAGE</t>
  </si>
  <si>
    <t>cum</t>
  </si>
  <si>
    <t>Stacking charges</t>
  </si>
  <si>
    <t>63mm to 45mm IRC metal</t>
  </si>
  <si>
    <t>37.5mm to 26.5mm IRC metal</t>
  </si>
  <si>
    <t>Gravel blindage 2 layers</t>
  </si>
  <si>
    <t>Spreading charges for 2 layers</t>
  </si>
  <si>
    <t>(10.1+7.72)</t>
  </si>
  <si>
    <t>Total for 10 m2</t>
  </si>
  <si>
    <t>for 1 m2</t>
  </si>
  <si>
    <r>
      <t xml:space="preserve">SURFACE DRESSING OVER </t>
    </r>
    <r>
      <rPr>
        <b/>
        <sz val="12"/>
        <rFont val="Helv"/>
      </rPr>
      <t>WBM 25mm TK.</t>
    </r>
  </si>
  <si>
    <t>11.2mm IRC metal</t>
  </si>
  <si>
    <t>Filling sand</t>
  </si>
  <si>
    <t>kg</t>
  </si>
  <si>
    <t>Bitumen</t>
  </si>
  <si>
    <t>Labour charges</t>
  </si>
  <si>
    <t>Total for 100M2</t>
  </si>
  <si>
    <t>S.W.BEND 150mm DIA p-58 it-192 b</t>
  </si>
  <si>
    <t>4.1</t>
  </si>
  <si>
    <t xml:space="preserve">REINFORCED CEMENT CONCRETE </t>
  </si>
  <si>
    <t>PARTITION WALL OF 114mmTHICK</t>
  </si>
  <si>
    <t>S.W.GULLY TRAP 150X100mm it-186 p-56</t>
  </si>
  <si>
    <t>NAHANI TRAP 63mm/75mmPVC TYP,4 way/3way p-56 it-188</t>
  </si>
  <si>
    <t>C.C(1:2:4)USING 20mm HBSTONE</t>
  </si>
  <si>
    <t>CENTERING C.W BOARDING 40mmT.K ( Silver oakplank 40mm thick) 137/78 b p-22</t>
  </si>
  <si>
    <t>JELLY FOR ALL RCCWORK</t>
  </si>
  <si>
    <t>CENTERING C.W. JOIST ( Silver oak scantling)  it-131/77d p-21</t>
  </si>
  <si>
    <t>CASURINA POST 10cm TO 13cm DIA *p-22 /146b</t>
  </si>
  <si>
    <t xml:space="preserve"> 20mm HB STONE JELLY</t>
  </si>
  <si>
    <t>CEMENT PAINT / matt paint  p50 s.128 / p43 sl.45</t>
  </si>
  <si>
    <t>GLASS 4mmTHICK p49/125</t>
  </si>
  <si>
    <t>A.C. PIPE 100mm DIA p-44 / it 66</t>
  </si>
  <si>
    <t>A.C.BEND100mm DIAp-44 /68</t>
  </si>
  <si>
    <t>A.C. SHOE 100mm DIAp-44 /67</t>
  </si>
  <si>
    <t xml:space="preserve"> 20a</t>
  </si>
  <si>
    <t>C.I EVERITE CLAMOE 100mm DIA</t>
  </si>
  <si>
    <t xml:space="preserve"> 20b</t>
  </si>
  <si>
    <t>CI GREATINGS 100mm DIA p44 sl.71</t>
  </si>
  <si>
    <t xml:space="preserve"> 20c</t>
  </si>
  <si>
    <t>G.I.SHEET 22G p43 / 61</t>
  </si>
  <si>
    <t>TOTAL FOR 10CUM</t>
  </si>
  <si>
    <t xml:space="preserve"> 20d</t>
  </si>
  <si>
    <t>ALU  HINGS 5" (PWD LR) p-45 /77a</t>
  </si>
  <si>
    <t>ALU  HINGS 4" (PWD LR)p-45 /77b</t>
  </si>
  <si>
    <t>DADOING WALL WITH MASAIC</t>
  </si>
  <si>
    <t>ALU  HINGS 3" (PWD LR)p-45 /77c</t>
  </si>
  <si>
    <t>GRADED CHIPS</t>
  </si>
  <si>
    <t>ALU  HINGS 2" (PWD LR)p-45 /77d</t>
  </si>
  <si>
    <t>VIBRATING CHARGES</t>
  </si>
  <si>
    <t>ALU TOWER BOLT 6"X1/2" (PWD LR) p46 95e</t>
  </si>
  <si>
    <t>MASIC TILES LAID IN CM 1:3</t>
  </si>
  <si>
    <t>ALU TOWER BOLT 3"X5/10"/4"x5/10"  p46 95g</t>
  </si>
  <si>
    <t>for foundation  and basement</t>
  </si>
  <si>
    <t xml:space="preserve">ALU ALDROP 10"X5.8"  p46 96 </t>
  </si>
  <si>
    <t>ALU ALDROP 6"X1/2"  p46 96d</t>
  </si>
  <si>
    <t>NYLON BUSH FOR Door ( qtn)</t>
  </si>
  <si>
    <t>NYLON BUSH FOR W&amp;V</t>
  </si>
  <si>
    <t>VENTILATER PIVET</t>
  </si>
  <si>
    <t>PAIR</t>
  </si>
  <si>
    <t>ALU HOOKS &amp; EYES8"</t>
  </si>
  <si>
    <t>ALU HOOKS &amp; EYES6"</t>
  </si>
  <si>
    <t>ALU HOOKS &amp; EYES3"</t>
  </si>
  <si>
    <t>RANDUM RABBLE MASONRY IN CM 1:5</t>
  </si>
  <si>
    <t>I.O. HINGES 4"</t>
  </si>
  <si>
    <t>PLASTERING C.M(1:3) 12mmTHICK</t>
  </si>
  <si>
    <t>I.O. HINGES 5"</t>
  </si>
  <si>
    <t>ROUGH STONE</t>
  </si>
  <si>
    <t>I.O SPL HING 8"LONG</t>
  </si>
  <si>
    <t>I.O. HINGES 3"</t>
  </si>
  <si>
    <t>I.O. HINGES 2"</t>
  </si>
  <si>
    <t>I.O. TOWER BOLT 6"X1/2"</t>
  </si>
  <si>
    <t>I.O. TOWER BOLT 2"X5/8"</t>
  </si>
  <si>
    <t>I.O. ALDROP 10"X5.8"</t>
  </si>
  <si>
    <t>I.O. ALDROP 6"X1/2"</t>
  </si>
  <si>
    <t>NYLON BUSH FOR D</t>
  </si>
  <si>
    <t>PLASTERING C.M(1:2) 12mmTHICK</t>
  </si>
  <si>
    <t>I.O HOOKS &amp; EYES8"</t>
  </si>
  <si>
    <t>I.O HOOKS &amp; EYES6"</t>
  </si>
  <si>
    <t xml:space="preserve">I.O HOOKS &amp; EYES3" Qtn </t>
  </si>
  <si>
    <t xml:space="preserve">B.W IN C.M(1:5) using kiln burnt country bricks </t>
  </si>
  <si>
    <t xml:space="preserve">B.W IN C.M(1:5) USING Chamber </t>
  </si>
  <si>
    <t xml:space="preserve">B.W IN C.M(1:5) using chamber burnt  bricks </t>
  </si>
  <si>
    <t>C.I. SOIL PIPE</t>
  </si>
  <si>
    <t>Bricks of size 22x11x7 cm</t>
  </si>
  <si>
    <t>Bricks of size 23x11.2x7 cm</t>
  </si>
  <si>
    <t>Bricks of size 23x11.4x7.5 cm</t>
  </si>
  <si>
    <t xml:space="preserve"> 50mm DIA</t>
  </si>
  <si>
    <t xml:space="preserve"> 75mm DIA</t>
  </si>
  <si>
    <t>1000Nos.</t>
  </si>
  <si>
    <t xml:space="preserve"> 100mm DIA</t>
  </si>
  <si>
    <t xml:space="preserve"> 150mm DIA</t>
  </si>
  <si>
    <t>C.I. SOIL BEND</t>
  </si>
  <si>
    <t>PLASTERING C.M(1:2) 10mmTHICK</t>
  </si>
  <si>
    <t>C.I. SOIL BEND WITHDOOR</t>
  </si>
  <si>
    <t>A.C. SOIL PIPE</t>
  </si>
  <si>
    <t>7.2</t>
  </si>
  <si>
    <r>
      <t xml:space="preserve">PROVIDING </t>
    </r>
    <r>
      <rPr>
        <b/>
        <sz val="12"/>
        <rFont val="Helv"/>
      </rPr>
      <t>BITUMEN PAD</t>
    </r>
    <r>
      <rPr>
        <sz val="11"/>
        <color theme="1"/>
        <rFont val="Calibri"/>
        <family val="2"/>
        <scheme val="minor"/>
      </rPr>
      <t xml:space="preserve"> FOR EXPANISION </t>
    </r>
  </si>
  <si>
    <t>/SQM</t>
  </si>
  <si>
    <t>JOINT it-233 b p-62</t>
  </si>
  <si>
    <t xml:space="preserve">B.W IN C.M(1:6) using kiln burnt country bricks </t>
  </si>
  <si>
    <t xml:space="preserve">B.W IN C.M(1:6) USING Chamber  </t>
  </si>
  <si>
    <t xml:space="preserve">B.W IN C.M(1:6) using chamber burnt </t>
  </si>
  <si>
    <t>A.C. SOIL BEND</t>
  </si>
  <si>
    <t>PLASTERING C.M(1:5) 20mmTHICK</t>
  </si>
  <si>
    <t>A.C. SOIL BEND WITHDOOR</t>
  </si>
  <si>
    <t>A.C. SOIL TEE</t>
  </si>
  <si>
    <t>PLASTERING C.M(1:3) 20mmTHICK</t>
  </si>
  <si>
    <t>==========</t>
  </si>
  <si>
    <t>A.C. SOIL TEE WITH DOOR</t>
  </si>
  <si>
    <t>A.C. SOIL  SINGLE YEE</t>
  </si>
  <si>
    <t xml:space="preserve">B.W IN C.M(1:4) using kiln burnt country bricks </t>
  </si>
  <si>
    <t xml:space="preserve">B.W IN C.M(1:4) USING Chamber  </t>
  </si>
  <si>
    <t>A.C. SOIL  SINGLE YEE WITHDOOR</t>
  </si>
  <si>
    <t>PLASTERING C.M(1:4) 20mmTHICK</t>
  </si>
  <si>
    <t>MIXEDWITH RED OXIDE @9.8</t>
  </si>
  <si>
    <t>Kg/10 SQM</t>
  </si>
  <si>
    <t xml:space="preserve">B.W IN C.M(1:4) using  using chamber burnt </t>
  </si>
  <si>
    <t>A.C. SOIL  DOUBLE YEE WITHDOOR</t>
  </si>
  <si>
    <t>no.</t>
  </si>
  <si>
    <t>mason for polishing</t>
  </si>
  <si>
    <t>A.C. SOIL DOUBLE YEE</t>
  </si>
  <si>
    <t>RED OXIDE</t>
  </si>
  <si>
    <t>A.C. SOIL COWL</t>
  </si>
  <si>
    <t>A.C. SOIL SHOE</t>
  </si>
  <si>
    <t>WHITE WASHING ONE COAT</t>
  </si>
  <si>
    <t>B.W IN C.M(1:4) using Country BricksKiln Burnt  SIZE 22x11x7Cm</t>
  </si>
  <si>
    <t>B.W IN C.M(1:4) USING Country BricksKiln Burnt  SIZE 22x11x7Cm</t>
  </si>
  <si>
    <t>A.C. SOIL SOCKETS</t>
  </si>
  <si>
    <t>SUNDRIES FOR BRUSH ETC</t>
  </si>
  <si>
    <t>A.C.DRAIN SPOUT 18" LONG</t>
  </si>
  <si>
    <t>TOTAL FOR 100 SQM</t>
  </si>
  <si>
    <t>B.W IN C.M(1:4) using Chamber burnt Bricks of size 23x11.4x7.5Cm</t>
  </si>
  <si>
    <t>A.C.DRAIN SPOUT 24" LONG</t>
  </si>
  <si>
    <t>-------------------</t>
  </si>
  <si>
    <t>WHITE WASHING TWO COAT</t>
  </si>
  <si>
    <t>G.I. PIPE B  CLASS</t>
  </si>
  <si>
    <t>===========</t>
  </si>
  <si>
    <t xml:space="preserve"> 15mmDIA p-51 TO 52 it- </t>
  </si>
  <si>
    <t xml:space="preserve"> 20mm DIA</t>
  </si>
  <si>
    <t>PARTITION WALL OF 112 mm thick</t>
  </si>
  <si>
    <t xml:space="preserve"> 25mm DIA</t>
  </si>
  <si>
    <t xml:space="preserve"> 32mm DIA</t>
  </si>
  <si>
    <t xml:space="preserve"> 40mm DIA</t>
  </si>
  <si>
    <t xml:space="preserve"> 65mm DIA pWD</t>
  </si>
  <si>
    <t>G.I. BEND p-51  S.No-143 it-c</t>
  </si>
  <si>
    <t xml:space="preserve"> 15mmDIA</t>
  </si>
  <si>
    <t>COLOUR WASHING  TWO COATS</t>
  </si>
  <si>
    <t>PARTITION WALL OF 114 mm thick</t>
  </si>
  <si>
    <t>ADD 50% EXYRA FOR COLOURING</t>
  </si>
  <si>
    <t>MAATERIAL</t>
  </si>
  <si>
    <t xml:space="preserve"> 65mm DIA TWAD 16-17 p 25</t>
  </si>
  <si>
    <t>G.I.COUPLERp-51 it-e</t>
  </si>
  <si>
    <t>B.W IN C.M(1:4) USING 2-B Categery</t>
  </si>
  <si>
    <t xml:space="preserve">COLOUR  WASHING TWO COATS OVER </t>
  </si>
  <si>
    <t>ONE COAT OF WHITE WASHING.</t>
  </si>
  <si>
    <t xml:space="preserve"> 65mm DIA TWAD p 25</t>
  </si>
  <si>
    <t>G.I. ELBOWp-51 S.No.119/ it-b</t>
  </si>
  <si>
    <t>5th</t>
  </si>
  <si>
    <t>6th</t>
  </si>
  <si>
    <t>7th</t>
  </si>
  <si>
    <t xml:space="preserve">8th </t>
  </si>
  <si>
    <t>9th</t>
  </si>
  <si>
    <t xml:space="preserve">12th </t>
  </si>
  <si>
    <t>G.I. UNIONp-51 it-A</t>
  </si>
  <si>
    <t>WATER SUPPLY</t>
  </si>
  <si>
    <t>13th</t>
  </si>
  <si>
    <t>LABOUR CHARGE FOR  LAYING</t>
  </si>
  <si>
    <t>JOINTING GI PIPE AND SPECIALS</t>
  </si>
  <si>
    <t>BELOW G.L</t>
  </si>
  <si>
    <t>A</t>
  </si>
  <si>
    <t>15mm DIA  GI PIPE BELOW G.L</t>
  </si>
  <si>
    <t xml:space="preserve"> 65mm DIA</t>
  </si>
  <si>
    <t>G.I. PLUG</t>
  </si>
  <si>
    <t>E.W EXCLUDING REFILLING</t>
  </si>
  <si>
    <t>REFILLING CHARGE</t>
  </si>
  <si>
    <t>CONVEYING,LOWERING  ANDLAYING</t>
  </si>
  <si>
    <t>TO PROPER GRADEAND</t>
  </si>
  <si>
    <t>ALIGNMENT,JOINTING</t>
  </si>
  <si>
    <t>ETC BUT EXCLUDING  COST OF</t>
  </si>
  <si>
    <t>JOINTING MATERIALS.</t>
  </si>
  <si>
    <t>PARTITION WALL OF 75mm thick</t>
  </si>
  <si>
    <t xml:space="preserve">PARTITION WALL </t>
  </si>
  <si>
    <t>CUTTING CHARGES</t>
  </si>
  <si>
    <t>G.I. TEE p-51 it-D</t>
  </si>
  <si>
    <t>==============</t>
  </si>
  <si>
    <t>THREADING CHARGES</t>
  </si>
  <si>
    <t>B.W IN C.M(1:4) USING 4-A Categery</t>
  </si>
  <si>
    <t>COST OF JOINTING  MATERIALS</t>
  </si>
  <si>
    <t>Bricks of size 22X11X5 cm</t>
  </si>
  <si>
    <t>TOTAL FOR 30M</t>
  </si>
  <si>
    <t xml:space="preserve"> 65mm DIA twad p25</t>
  </si>
  <si>
    <t>G.I.HEX NIPPLEp-53 it-I</t>
  </si>
  <si>
    <t>20mm DIA  GI PIPE BELOW G.L</t>
  </si>
  <si>
    <t>G.M. FERRULE</t>
  </si>
  <si>
    <t>PARTITION WALL OF 50mmTHICK</t>
  </si>
  <si>
    <t xml:space="preserve">Standardised concrete mix M20 </t>
  </si>
  <si>
    <t xml:space="preserve">Standardised concrete mix M30 </t>
  </si>
  <si>
    <t>SCRAPING THE OLD PLASTER SURFACE * p30/108/338</t>
  </si>
  <si>
    <t>16.1</t>
  </si>
  <si>
    <t>CEMENT CONCRETE(1:2:4) FOR</t>
  </si>
  <si>
    <t>WASHING PLASTERED AREA WITH SOAP&amp;SODA WATER *p30/109/339</t>
  </si>
  <si>
    <t xml:space="preserve">PETTY WORKS EXCLUDING COST </t>
  </si>
  <si>
    <t>PILE DRIVING CHARGES FOR 330mmDIA/375mm DIA</t>
  </si>
  <si>
    <t>OF STEEL M 2</t>
  </si>
  <si>
    <t>PILE DRIVING CHARGES FOR 400mmDIA/450mm DIA</t>
  </si>
  <si>
    <t>PILE DRIVING CHARGES FOR 500mmDIA/600mm DIA</t>
  </si>
  <si>
    <t>Standardised concrete mix M20  using 20mmHB JELLY ( witt out vibrating charges)</t>
  </si>
  <si>
    <t>Standardised concrete mix M30  using 20mmHB JELLY ( witt out vibrating charges)</t>
  </si>
  <si>
    <t>|</t>
  </si>
  <si>
    <t xml:space="preserve"> 15mmDIA G.M.CHEKVALUE</t>
  </si>
  <si>
    <t xml:space="preserve">SUNDRIES FOR MOULDING </t>
  </si>
  <si>
    <t xml:space="preserve"> 20mm DIA G.M.CHEKVALUE</t>
  </si>
  <si>
    <t>C</t>
  </si>
  <si>
    <t>25mm DIA  GI PIPE BELOW G.L</t>
  </si>
  <si>
    <t>FINISHING,OIL ETC</t>
  </si>
  <si>
    <t>TOTAL FOR .01 CUM</t>
  </si>
  <si>
    <t>CC(1:2:4) USING 20mmHB</t>
  </si>
  <si>
    <t>JALLY-50mm THICK</t>
  </si>
  <si>
    <t>C.C(1:2:4)USING 20mmJELLY</t>
  </si>
  <si>
    <t>FOR PETTY WORKS</t>
  </si>
  <si>
    <t>G.M.GATE VALUE (Heavy Duty)p-53it-144</t>
  </si>
  <si>
    <t>13.1</t>
  </si>
  <si>
    <t xml:space="preserve">FILLING IN BASEMENT  WITH </t>
  </si>
  <si>
    <t>EXCAVATED EARTH</t>
  </si>
  <si>
    <t>AS  PER SR 85</t>
  </si>
  <si>
    <t>TOTAL FOR0.372 SQM</t>
  </si>
  <si>
    <t>DAMP PROOF COURSE IN C.M(1:4),12mm thick</t>
  </si>
  <si>
    <t>mixed with Water Proof Compound at 1KG per Bag of Cement</t>
  </si>
  <si>
    <t xml:space="preserve">                                                                                                                                                                                                                                                                                                                                                                                                                                                                                                                                                                                                                                                                                                                                                                                                                                                                                                                                                                                                                                                                                                                                                                                                                                                                                                                                                                                                                                                                                                                                                                                                                                                                                                                                                                                                                                                                                                                                                                                                                                                                                                                                                                                                                                                                                                                                                                                                                                                                                                                                                                                                                                                                                                                                                                                                                                                                                                                                                                                                                                                                                                                                                                                                                                                                                                                                                                                                                                                                                                                                                                                                                                                                                                                                                                                                                                                                                                                                                                                                                                                                                                                                                                                                                                                                                                                                                                                                                                                                                                                                                                                                                                                                                                                                                                                                                                                                                                                                                                                                                                                                                                                                                                                                                                                                                                                                                                                                                                                                                                                                                                                          </t>
  </si>
  <si>
    <t>G.M.WHEELVALUE  (Heavy Duty)p-53it-145</t>
  </si>
  <si>
    <t>FOURTH FLOOR</t>
  </si>
  <si>
    <t xml:space="preserve">Water Proof Compound </t>
  </si>
  <si>
    <t>ABOVE G.L</t>
  </si>
  <si>
    <t>G.I.REDUCER p-52 it-143F</t>
  </si>
  <si>
    <t xml:space="preserve"> 15mmDIAX20mmDIA  (v)</t>
  </si>
  <si>
    <t>15mm  DIA G.I PIPE ABOVE G.L</t>
  </si>
  <si>
    <t xml:space="preserve"> 15mmDIAX25mmDIA</t>
  </si>
  <si>
    <t xml:space="preserve"> 25mmDIAX20mmDIA (iv)</t>
  </si>
  <si>
    <t>LAYING JOINTING INCLUDING</t>
  </si>
  <si>
    <t xml:space="preserve"> 50mmDIAX25mmDIA</t>
  </si>
  <si>
    <t>C.C(1:2:4)USING 3mm-10mm HBSTONE</t>
  </si>
  <si>
    <t>ALIGNING</t>
  </si>
  <si>
    <t xml:space="preserve"> 50mmDIAX32mmDIA</t>
  </si>
  <si>
    <t>G.I.REDUCER  TEEp-52 it-143H</t>
  </si>
  <si>
    <t xml:space="preserve"> 15mmDIAX20mmDIA</t>
  </si>
  <si>
    <t xml:space="preserve">  3mm-10mm HB STONE JELLY</t>
  </si>
  <si>
    <t>STONE CUTTER II</t>
  </si>
  <si>
    <t>MADON I</t>
  </si>
  <si>
    <t xml:space="preserve"> 25mmDIAX20mmDIA</t>
  </si>
  <si>
    <t>COST OF CLAMPS PLUGS PAINTING</t>
  </si>
  <si>
    <t>G.I.REDUCER  ELBOW p52 it-G</t>
  </si>
  <si>
    <t>REDOING WORKS ETC</t>
  </si>
  <si>
    <t>TOTAL FOR 30 M</t>
  </si>
  <si>
    <t xml:space="preserve"> 32mmX15mmDIA</t>
  </si>
  <si>
    <t>P.V.C.PIPE</t>
  </si>
  <si>
    <t xml:space="preserve"> 4KG/SQ.CM</t>
  </si>
  <si>
    <t>20mm  DIA G.I PIPE ABOVE G.L</t>
  </si>
  <si>
    <t xml:space="preserve"> 15mmDIA OF WALL THICK 2.8mm A.S.T.M (Qtn)</t>
  </si>
  <si>
    <t xml:space="preserve"> 20mm DIA----DO----2.9mm / 20 mm G.I. pipe</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</si>
  <si>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</si>
  <si>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</si>
  <si>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</si>
  <si>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</si>
  <si>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</si>
  <si>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</si>
  <si>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</si>
  <si>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</si>
  <si>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</si>
  <si>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</si>
  <si>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14.I</t>
  </si>
  <si>
    <t xml:space="preserve"> P.C.C,R.C.C SLAB OF20mm THICK</t>
  </si>
  <si>
    <t>Standardised concrete mix M20</t>
  </si>
  <si>
    <t>Standardised concrete mix M30</t>
  </si>
  <si>
    <t>C.C(1:2:4)USING3mm-10mm HBG</t>
  </si>
  <si>
    <r>
      <t xml:space="preserve"> P.C.C,R.C.C SLAB OF20mm THICK </t>
    </r>
    <r>
      <rPr>
        <b/>
        <sz val="12"/>
        <rFont val="Helv"/>
      </rPr>
      <t>using standardised concrete mix M20</t>
    </r>
  </si>
  <si>
    <r>
      <t xml:space="preserve"> P.C.C,R.C.C SLAB OF20mm THICK </t>
    </r>
    <r>
      <rPr>
        <b/>
        <sz val="12"/>
        <rFont val="Helv"/>
      </rPr>
      <t>using standardised concrete mix M30</t>
    </r>
  </si>
  <si>
    <t>P.V.C.ELBOW</t>
  </si>
  <si>
    <t>TOTAL FOR 0.743 SQM</t>
  </si>
  <si>
    <t>25mm  DIA G.I PIPE ABOVE G.L</t>
  </si>
  <si>
    <t>P.V.C.TEE</t>
  </si>
  <si>
    <t>14.II</t>
  </si>
  <si>
    <t xml:space="preserve"> P.C.C,R.C.C SLAB OF40mm THICK</t>
  </si>
  <si>
    <r>
      <t xml:space="preserve"> P.C.C,R.C.C SLAB OF40mm THICK </t>
    </r>
    <r>
      <rPr>
        <b/>
        <sz val="12"/>
        <rFont val="Helv"/>
      </rPr>
      <t>using standardised concrete mix of M20 grade</t>
    </r>
  </si>
  <si>
    <t>P.V.C.REDUCER SOCKET</t>
  </si>
  <si>
    <t xml:space="preserve">standardised concrete mix M20 </t>
  </si>
  <si>
    <t xml:space="preserve"> 12mmDIAX25mmDIA</t>
  </si>
  <si>
    <t xml:space="preserve"> 40mmDIAX25mmDIA</t>
  </si>
  <si>
    <t xml:space="preserve"> 32mmDIAX40mmDIA</t>
  </si>
  <si>
    <t>P.V.C.REDUCER TEE</t>
  </si>
  <si>
    <t>RATE PER SQM (Foundation and basement)</t>
  </si>
  <si>
    <t xml:space="preserve"> 32mmDIAX25mmDIA</t>
  </si>
  <si>
    <t>JOINTING P.V.C  PIPE AND SPECIALS</t>
  </si>
  <si>
    <t>Fourth .floor</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</si>
  <si>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</si>
  <si>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</si>
  <si>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</si>
  <si>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</si>
  <si>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</si>
  <si>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</si>
  <si>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</si>
  <si>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</si>
  <si>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</si>
  <si>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t>(Both sides polished)</t>
  </si>
  <si>
    <t xml:space="preserve"> 50mmDIAX40mmDIA</t>
  </si>
  <si>
    <t>TO PROPER GRADE AND</t>
  </si>
  <si>
    <t>C.I.COVER SLAB 18"X18"X56LBS(25Kg)</t>
  </si>
  <si>
    <t xml:space="preserve"> 20mm Thick slab:-</t>
  </si>
  <si>
    <t xml:space="preserve"> 40mm Thick slab:-</t>
  </si>
  <si>
    <t>C.I.COVER SLAB 18"X18"X36LBS(16Kg)</t>
  </si>
  <si>
    <t>==================</t>
  </si>
  <si>
    <t>C.I.COVER SLAB 24"X24"X112LBS(50Kg)</t>
  </si>
  <si>
    <t>Cuddappah slab</t>
  </si>
  <si>
    <t>C.I.STEEPS(5Kg)</t>
  </si>
  <si>
    <t>Mason Ist</t>
  </si>
  <si>
    <t>C.I..BRACKET FOR W.B.</t>
  </si>
  <si>
    <t>Mazdoor Ist</t>
  </si>
  <si>
    <t>BRASS TAP 15mm / 12 mm dia (HEAVY) p - 53 it-146</t>
  </si>
  <si>
    <t>Packing with C.M., Scaffolding</t>
  </si>
  <si>
    <t>C.P.TAP15mm DIA</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</si>
  <si>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</si>
  <si>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</si>
  <si>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</si>
  <si>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</si>
  <si>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</si>
  <si>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</si>
  <si>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</si>
  <si>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</si>
  <si>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</si>
  <si>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ALU TOWEL RAIL 20mm ,2'LONG</t>
  </si>
  <si>
    <t>CHAMBER OF SIZE 60X60X60cm</t>
  </si>
  <si>
    <t>P.V.C. LOW LEVEL CISTERN 10 LITCAPACITY p-68 220a</t>
  </si>
  <si>
    <t>P.V.C. S.D TAP 15mm DIA</t>
  </si>
  <si>
    <t>E.W AND REFILLING</t>
  </si>
  <si>
    <t xml:space="preserve"> 40mm Thick slab:- for sun shade only</t>
  </si>
  <si>
    <t>E.W.C./SEAT COVER BLACK(H)</t>
  </si>
  <si>
    <t>C.C(1:8:16)USING 40mmB.J METEL</t>
  </si>
  <si>
    <t>EVERITE CLAMP IRON CLAMP P-59 (Sl.No.212) (Special clamp)</t>
  </si>
  <si>
    <t>B.W IN C.M(1:5)</t>
  </si>
  <si>
    <t>150mm AL.HANDLE WITH CP SCREWS/DOOR STOPPER (PWD LR) p-47 it-104b/107</t>
  </si>
  <si>
    <t xml:space="preserve"> it-99 p-46</t>
  </si>
  <si>
    <t>8th</t>
  </si>
  <si>
    <t>PLASTERING IN C.M(1:3) 12 mmT.K</t>
  </si>
  <si>
    <t>C.P.STOPCOCK 20mM DIA 500 gm</t>
  </si>
  <si>
    <t>R.C.C(1:2:4) PETTY WORKS</t>
  </si>
  <si>
    <t>C.P.STOPCOCK 15mM DIA 300gm P 54</t>
  </si>
  <si>
    <t>(50mmT.K PCC SLAB)</t>
  </si>
  <si>
    <t>CERAMIC-FLOOR TILES WHITE/PLAINCOLOUR-6MM tk (PWD LR) p40 it 5i (32.2/0.093025)</t>
  </si>
  <si>
    <t>SUNDRIES FOR MOULDIN ETC</t>
  </si>
  <si>
    <r>
      <t xml:space="preserve">Glazed-WALL TILES PLAINCOLOUR-6MM T.K (PWD LR) 100x200x6mm 
</t>
    </r>
    <r>
      <rPr>
        <b/>
        <sz val="12"/>
        <color indexed="8"/>
        <rFont val="Helv"/>
      </rPr>
      <t>item no. 11(ii)</t>
    </r>
  </si>
  <si>
    <t>G.M.VALUE WITH POLYTHENE BALL OF 15mmDIA</t>
  </si>
  <si>
    <t>TOTAL FOR ONE NUMBER</t>
  </si>
  <si>
    <t>G.M.VALUE WITH POLYTHENE BALL OF 20mmDIA</t>
  </si>
  <si>
    <t>G.M.VALUE WITH POLYTHENE BALL OF 25mmDIA</t>
  </si>
  <si>
    <t>C.P. SHOWER ROSE 1/2"X4"</t>
  </si>
  <si>
    <t>CHAMBER OF SIZE 60X60X75cm</t>
  </si>
  <si>
    <t>TARRED HEMP YARN p- 58 /194</t>
  </si>
  <si>
    <t>StonecutterII</t>
  </si>
  <si>
    <t>WHITE / Colour CEMENT (PWD LR) average p-41 it22+23/2</t>
  </si>
  <si>
    <t>WHITE CEMENT (PWD LR) p-41 /9</t>
  </si>
  <si>
    <t>COLOUR CEMENT (PWD LR)p-41/10</t>
  </si>
  <si>
    <t>Total for one sqm</t>
  </si>
  <si>
    <t>BRASS HEX NIPPLE15mm DIA</t>
  </si>
  <si>
    <t>BRASS HEX NIPPLE 20mm DIA</t>
  </si>
  <si>
    <t>COLOUR</t>
  </si>
  <si>
    <t>E.W.C. WITH S  TRAP it-162( 1)p-54</t>
  </si>
  <si>
    <t>SET</t>
  </si>
  <si>
    <t>ANGLO INDIAN WATER CLOSET WITH P OR S TRAP</t>
  </si>
  <si>
    <t>I.W.C. 18" WITH P OR S TRAP WITH FOOT REST</t>
  </si>
  <si>
    <t>PORCELIN FOOT REST</t>
  </si>
  <si>
    <t>WASH BASIN 480x400mm without pedastal it-169 p-55</t>
  </si>
  <si>
    <t>C.</t>
  </si>
  <si>
    <r>
      <t xml:space="preserve"> 20mm Thick slab:- For </t>
    </r>
    <r>
      <rPr>
        <b/>
        <sz val="12"/>
        <rFont val="Helv"/>
      </rPr>
      <t>kitchen arrangements only</t>
    </r>
  </si>
  <si>
    <t>FLATE BACK URINAL FOR MEN</t>
  </si>
  <si>
    <t>FLATE BACK URINAL FOR WOMEN it-173 I -p-55</t>
  </si>
  <si>
    <t>Cuddappah slab (One side polised).it-100 p-19</t>
  </si>
  <si>
    <t>CONSTRUCTION OF LEACH PIT AS</t>
  </si>
  <si>
    <t>P.V.C. SOIL PIPE 110mm DIA</t>
  </si>
  <si>
    <t>C.M 1:3</t>
  </si>
  <si>
    <t>PER SD NO 49/77</t>
  </si>
  <si>
    <t>P.V.C. SOIL PIPE 75mm DIA</t>
  </si>
  <si>
    <t>P.V.C. SOIL PIPE 50mm DIA</t>
  </si>
  <si>
    <t>E.W ONLY</t>
  </si>
  <si>
    <r>
      <t xml:space="preserve">P.V.C. SOIL BENDWITH DOOR 110mm DIA </t>
    </r>
    <r>
      <rPr>
        <b/>
        <sz val="12"/>
        <color indexed="13"/>
        <rFont val="Helv"/>
      </rPr>
      <t xml:space="preserve">Qtn </t>
    </r>
  </si>
  <si>
    <t>C.C(1:8:16)USING 40mm HBS</t>
  </si>
  <si>
    <t>P.V.C. SOIL BENDWITH DOOR 75mm DIA</t>
  </si>
  <si>
    <t>B.W. IN C.M(1:6) USING COUNTRY BRICK</t>
  </si>
  <si>
    <t>P.V.C. SOIL BENDWITH DOOR 50mm DIA</t>
  </si>
  <si>
    <t>Total for TEN sqm</t>
  </si>
  <si>
    <t>DRY BRICK WORK</t>
  </si>
  <si>
    <t>P.V.C. SOIL SHOE 110mm DIA p-104 it -N</t>
  </si>
  <si>
    <t xml:space="preserve"> 40mm HBS JELLY</t>
  </si>
  <si>
    <t>P.V.C. SOIL SHOE 75mm DIA</t>
  </si>
  <si>
    <t>RATE for one sqm</t>
  </si>
  <si>
    <t>P.V.C. SOIL SHOE 50mm DIA</t>
  </si>
  <si>
    <t>PLASTERING IN C.M(1:5)12mm T.K</t>
  </si>
  <si>
    <t xml:space="preserve">P.V.C. SOIL BEND W.O.D 110mm DIA p-102 it F by pasting </t>
  </si>
  <si>
    <t>SUPPLY OF 100mmS.W TEE</t>
  </si>
  <si>
    <t>P.V.C. SOIL BEND 75mm DIA</t>
  </si>
  <si>
    <t>R.C.C.(1:2:4) FOR PETTY WORK</t>
  </si>
  <si>
    <t>P.V.C. SOIL BEND 50mm DIA</t>
  </si>
  <si>
    <t>PCC-75MM T.K SLAB</t>
  </si>
  <si>
    <t xml:space="preserve">P.V.C. SOIL YEE 110mm DIA it-G p-103 by pasting </t>
  </si>
  <si>
    <t>P.V.C. SOIL YEE 75mm DIA</t>
  </si>
  <si>
    <t>P.V.C. SOIL YEE 50mm DIA</t>
  </si>
  <si>
    <t>P.V.C. SOIL YEEWITH DOOR 110mm DIA it-H p-103 single</t>
  </si>
  <si>
    <t>OF STEEL</t>
  </si>
  <si>
    <t>P.V.C. SOIL YEEWITH DOOR 75mm DIA</t>
  </si>
  <si>
    <t>CONSTRUCTION OF DISPERSION</t>
  </si>
  <si>
    <t>C.C(1:2:4)USING 20mmHB JELLY</t>
  </si>
  <si>
    <t>P.V.C. SOIL YEEWITH DOOR 50mm DIA</t>
  </si>
  <si>
    <t>TRENCH OF SIZE 3MX1MX1M</t>
  </si>
  <si>
    <t>4.2</t>
  </si>
  <si>
    <t>P.V.C. SOIL DOUBLE  YEE WITH DOOR 110mm ( double) it-K</t>
  </si>
  <si>
    <t>JELLY FOR ALL WATER RETAINING</t>
  </si>
  <si>
    <t xml:space="preserve">P.V.C. SOIL DOUBLE YEE WITH DOOR 75mm </t>
  </si>
  <si>
    <t>E.W EXCAVATION</t>
  </si>
  <si>
    <t>STRUCTURES AND R.C.C DOOR FRAMES</t>
  </si>
  <si>
    <t xml:space="preserve">P.V.C. SOIL DOUBLE YEE WITH DOOR 50mm </t>
  </si>
  <si>
    <t>SUPPLY OF 40mmB.J. METEL</t>
  </si>
  <si>
    <t>P.V.C. SOIL TEE 110mm DIA it C P-102</t>
  </si>
  <si>
    <t xml:space="preserve"> 100mm DIA S.W.PIPE</t>
  </si>
  <si>
    <t xml:space="preserve"> 3-10mmH.B.JELLY</t>
  </si>
  <si>
    <t>P.V.C. SOIL TEE 75mm DIA</t>
  </si>
  <si>
    <t>P.V.C. SOIL TEE 50mm DIA</t>
  </si>
  <si>
    <t>P.V.C. SOIL TEE WITH DOOR  110mm DIA (single) it-D P-102</t>
  </si>
  <si>
    <t>P.V.C. SOIL TEE WITH DOOR  75mm DIA</t>
  </si>
  <si>
    <t>P.V.C. SOIL TEE WITH DOOR  50mm DIA</t>
  </si>
  <si>
    <t>P.V.C. SOIL SLOTTED COWL 110mm DIA it-N P-104</t>
  </si>
  <si>
    <t>CONSTRUCTION OF SEPTIC TANK</t>
  </si>
  <si>
    <t>Plasticiser</t>
  </si>
  <si>
    <t>P.V.C. SOIL  SLOTTED COWL PIPE 75mm DIA</t>
  </si>
  <si>
    <t>OF SIZE 150X75X100cm( BER NO</t>
  </si>
  <si>
    <t>P.V.C. SOIL SLOTTEDCOWL 50mm DIA</t>
  </si>
  <si>
    <t>6/91-92)</t>
  </si>
  <si>
    <t>P.V.C. SOIL DOUBLE YEEE 110mm DIA</t>
  </si>
  <si>
    <t>P.V.C. SOIL DOUBLE YEE 75mm DIA</t>
  </si>
  <si>
    <t>WATER PROOF COMPOUND ( PWD LR)p40 it-1 An-vi</t>
  </si>
  <si>
    <t xml:space="preserve"> CC(1:2:4)IN20mmmHBS(PLAIN)</t>
  </si>
  <si>
    <t>ROUND RING</t>
  </si>
  <si>
    <t>A.C. SHEETFULLY CORRUGATED 6mmT.K (PWD LR -it-72 p-44)</t>
  </si>
  <si>
    <t>PLASTERING IN C.M(1:3)12mmT.K</t>
  </si>
  <si>
    <t>Add watering charges &amp; other (0.5%of sub-total)</t>
  </si>
  <si>
    <t>A.C. SHEET SEMI CORRUGATED 6mmT.K</t>
  </si>
  <si>
    <t>R.C.C(1:2:4)USING 20mmHBS</t>
  </si>
  <si>
    <t>A.C. RIDGE FOR FULLYCORRUGATED AC SHEET (PWD Lrit-57 p-39)</t>
  </si>
  <si>
    <t xml:space="preserve">PCC SLAB 50mm T.K </t>
  </si>
  <si>
    <t>Foundation &amp; Basement</t>
  </si>
  <si>
    <t>A.C. RIDGE FOR SEMI CORRUGATED AC SHEET (PWD Lrit-57 p-39)</t>
  </si>
  <si>
    <t>S/F OF S.W. TEE 1000mmmDIA</t>
  </si>
  <si>
    <t>U ORJ BOLT ANDBITUMENWASHERS</t>
  </si>
  <si>
    <t>GI HOT</t>
  </si>
  <si>
    <t>MTS</t>
  </si>
  <si>
    <t>S/F OF 50mmDIA A.C PIPE</t>
  </si>
  <si>
    <t>M.S.WINDOW GRILLS / Special extruded sections for Steel Windows *p23/131</t>
  </si>
  <si>
    <t>Kg p 44/76</t>
  </si>
  <si>
    <t>S/F OF 50mmDIA A.C COWL</t>
  </si>
  <si>
    <t>CONVEY,ALAIGN,JIONT ETC UP TO40mmPVC PIPE (TWAD SR-18-19 it-11b )</t>
  </si>
  <si>
    <t>CONVEY,ALAIGN,JIONT ETC OVER TO40mmPVC PIPE (TWAD SR-18-19 it-11b )</t>
  </si>
  <si>
    <t>CUTTING CHARGE OF PVC pipe20mm,25mm / 32 mm dia ( p-32 )</t>
  </si>
  <si>
    <t>THREADING CHARGES FOR PVC 20mm/25mm</t>
  </si>
  <si>
    <t>16.2</t>
  </si>
  <si>
    <t>SUPPLYING &amp; FIXING OF TERRACOTTA</t>
  </si>
  <si>
    <t>COST OFPVC PIPE JOINTING MATERIALS UPTO 40mm</t>
  </si>
  <si>
    <t>JALLY(NOT BELOW 50MM THICK) OF BEST</t>
  </si>
  <si>
    <t>COST OFPVC PIPE JOINTING MATERIALS OVER 40mm</t>
  </si>
  <si>
    <t>QUALITY AND FIXING IN POSITION WITH</t>
  </si>
  <si>
    <t>MISCELLANCEOUS ITEMS</t>
  </si>
  <si>
    <t>Standardised concrete Mix M30 Grade Concrete</t>
  </si>
  <si>
    <t>C.I.DOUBLE YEE JUNCTION WITH DOOR  100mmDIA</t>
  </si>
  <si>
    <t>CEMENT PASTE AND REDOXIDE PUTTY INCLUDING</t>
  </si>
  <si>
    <t>S.F OF A.C.SPOUT PIPE OF50 mm DIA</t>
  </si>
  <si>
    <r>
      <t xml:space="preserve">20mm HBG Machine crushed stone jelly   </t>
    </r>
    <r>
      <rPr>
        <b/>
        <sz val="12"/>
        <rFont val="Helv"/>
      </rPr>
      <t xml:space="preserve"> (7730 Kg)</t>
    </r>
  </si>
  <si>
    <t>C.I.DOUBLE YEE JUNCTION WITH DOOR  75mmDIA</t>
  </si>
  <si>
    <t>COST OF ALL FLOOR(THE TERRA COTTA JALLY</t>
  </si>
  <si>
    <t xml:space="preserve"> 18" LONG</t>
  </si>
  <si>
    <r>
      <t xml:space="preserve">10-12mm HBG Machine crushed stone jelly   </t>
    </r>
    <r>
      <rPr>
        <b/>
        <sz val="12"/>
        <rFont val="Helv"/>
      </rPr>
      <t xml:space="preserve"> (5156 Kg)</t>
    </r>
  </si>
  <si>
    <t>THREADING CHARGES FOR PVC 32mm/63mm</t>
  </si>
  <si>
    <t>QUALITY AND DESIGN SHALL BE GOT APPROVED</t>
  </si>
  <si>
    <r>
      <t xml:space="preserve">Sand   </t>
    </r>
    <r>
      <rPr>
        <b/>
        <sz val="12"/>
        <rFont val="Helv"/>
      </rPr>
      <t xml:space="preserve"> (7670 Kg)</t>
    </r>
  </si>
  <si>
    <t>C.I.DOUBLE YEE JUNCTION WITHOUT DOOR  100mmDIA</t>
  </si>
  <si>
    <t>BY THE DEPARTMENTAL OFFICERS</t>
  </si>
  <si>
    <t>SPOUT PIPE OF 50mm DIA</t>
  </si>
  <si>
    <t>MT</t>
  </si>
  <si>
    <t>Cement</t>
  </si>
  <si>
    <t>C.I.DOUBLE YEE JUNCTION WITHOUT DOOR  75mmDIA</t>
  </si>
  <si>
    <t>LABOUR FOR FIXING INCLUDING</t>
  </si>
  <si>
    <t>Plasticiser /Super plasticiser @ 1% of cement</t>
  </si>
  <si>
    <t>C.I.DOUBLE YEE JUNCTION WITHOUT DOOR  50mmDIA</t>
  </si>
  <si>
    <t>COST OF TERRACOTTA JALLY OF50mm</t>
  </si>
  <si>
    <t>CLAMP ETC</t>
  </si>
  <si>
    <t>Mason II</t>
  </si>
  <si>
    <t>C.I. YEE JUNCTION WITH DOOR  100mmDIA</t>
  </si>
  <si>
    <t>LABOUR FOR FIXING JALLY</t>
  </si>
  <si>
    <t>Maz I</t>
  </si>
  <si>
    <t>C.I. YEE JUNCTION WITH DOOR  75mmDIA</t>
  </si>
  <si>
    <t>FOR PLASTERING &amp; REDOXIDE PUTTY</t>
  </si>
  <si>
    <t>TOTAL FOR  ONE NOS.</t>
  </si>
  <si>
    <t>Maz II</t>
  </si>
  <si>
    <t>C.I. YEE JUNCTION WITH  DOOR  50mmDIA</t>
  </si>
  <si>
    <t>Total for 10 cum</t>
  </si>
  <si>
    <t>C.I. YEE JUNCTION WITHOUT DOOR  100mmDIA</t>
  </si>
  <si>
    <t>for 1 cum</t>
  </si>
  <si>
    <t>C.I. YEE JUNCTION WITHOUT DOOR  75mmDIA</t>
  </si>
  <si>
    <t xml:space="preserve">           </t>
  </si>
  <si>
    <t>S.F OF A.C.SPOUT PIPE OF75 mm DIA</t>
  </si>
  <si>
    <t>Vibrating charges p-28 /103</t>
  </si>
  <si>
    <t>C.I. YEE JUNCTION WITH OUT DOOR  50mmDIA</t>
  </si>
  <si>
    <t>Sub Total</t>
  </si>
  <si>
    <t>C.I. TEE JUNCTION WITH DOOR  100mmDIA</t>
  </si>
  <si>
    <t>Add for water charges &amp; other sundries (0.5 % of sub total</t>
  </si>
  <si>
    <t>C.I. TEE JUNCTION WITH DOOR  75mmDIA</t>
  </si>
  <si>
    <t>SPOUT PIPE OF 75mm DIA</t>
  </si>
  <si>
    <t xml:space="preserve">For RCC Door Frame </t>
  </si>
  <si>
    <t>C.I. TEE JUNCTION WITH  DOOR  50mmDIA</t>
  </si>
  <si>
    <t>C.I. TEE JUNCTION WITHOUT DOOR  100mmDIA</t>
  </si>
  <si>
    <t>C.I. TEE JUNCTION WITHOUT DOOR  75mmDIA</t>
  </si>
  <si>
    <t>16.3</t>
  </si>
  <si>
    <t>JALLY(NOT BELOW 110MM THICK) OF BEST</t>
  </si>
  <si>
    <t>C.I.SLOTTED COWL  100mmDIA</t>
  </si>
  <si>
    <t>C.I.SLOTTED COWL  75mmDIA</t>
  </si>
  <si>
    <t>C.I.SLOTTED COWL  50mmDIA</t>
  </si>
  <si>
    <t>S.F OF A.C.SPOUT PIPE OF100mm DIA</t>
  </si>
  <si>
    <t>C.I. GRATING 100mmDIA it-71 p-44</t>
  </si>
  <si>
    <t>C.I. GRATING 75mmDIA</t>
  </si>
  <si>
    <t>BY THE DEPARTMENTAL OFFICERS)</t>
  </si>
  <si>
    <t>G.I PIPE "A"CLASS 80mmDIA / 20mm dia G.I. Pipe class B</t>
  </si>
  <si>
    <t>p50 118/vi</t>
  </si>
  <si>
    <t>SPOUT PIPE OF 100mm DIA</t>
  </si>
  <si>
    <t>G.I. 80MM DIA BEND</t>
  </si>
  <si>
    <t>COST OF TERRACOTTA JALLY OF 110mm</t>
  </si>
  <si>
    <t>G.I. 80MM DIA CUPPLER</t>
  </si>
  <si>
    <t>G.I. 80MM DIA UNION</t>
  </si>
  <si>
    <t>G.I. 80MM DIA PLUG</t>
  </si>
  <si>
    <t>G.I. 80MM DIA TEE</t>
  </si>
  <si>
    <t>Solid panel PVC door with frame (Rajeshree) p-49 it-122 A</t>
  </si>
  <si>
    <t>Standardised concrete Mix M20 Grade Concrete</t>
  </si>
  <si>
    <t>G.I. 80MM DIA HEX.NIPPLE</t>
  </si>
  <si>
    <t>G.I. 80MM X50mm REDUCER</t>
  </si>
  <si>
    <t>S.F OF G.I OUT LET PIPE OF 25mm DIA</t>
  </si>
  <si>
    <t>G.I. 80MM X65mm REDUCER</t>
  </si>
  <si>
    <t xml:space="preserve"> 30cm LONG</t>
  </si>
  <si>
    <t>G.I. 80MM X50mm REDUCER TEE</t>
  </si>
  <si>
    <t>G.I. 80MM X65mm REDUCER TEE</t>
  </si>
  <si>
    <t xml:space="preserve"> PIPE COST 25mm DIA</t>
  </si>
  <si>
    <t>Plasticiser /Super plasticiser @ .60% of cement (P57 item NO.198</t>
  </si>
  <si>
    <t>PLAIN GLASS</t>
  </si>
  <si>
    <t>P.V.C BEND</t>
  </si>
  <si>
    <t xml:space="preserve"> 15mm DIA</t>
  </si>
  <si>
    <t xml:space="preserve">PROVIDING FORM WORK AND CENTERING FOR </t>
  </si>
  <si>
    <t>PLAIN CONCRETE SURFACES FOR ALL R.C.C</t>
  </si>
  <si>
    <t>WORKS(beams &amp; lintels)</t>
  </si>
  <si>
    <t>COUNTRY WOOD ITEM</t>
  </si>
  <si>
    <t>=================</t>
  </si>
  <si>
    <t>P.V.C. COUPLER</t>
  </si>
  <si>
    <t>C.W BOARDING 40mm T.K</t>
  </si>
  <si>
    <t>a.</t>
  </si>
  <si>
    <t>DOOR OF SIZE 100X210Cm</t>
  </si>
  <si>
    <t>C.W JOIST(AVE.SIZE 100X6.5mm</t>
  </si>
  <si>
    <t>100mm DIA</t>
  </si>
  <si>
    <t>@90cm C/C)</t>
  </si>
  <si>
    <t>C.W.SCANTLING upto 4m long (Padak)</t>
  </si>
  <si>
    <t>P.V.C ELBOW</t>
  </si>
  <si>
    <t>CASURNA POST 10TO 13cmDIA</t>
  </si>
  <si>
    <t>MARINE PLYWOOD 12mm THICK</t>
  </si>
  <si>
    <t>AT75cm CENTERS</t>
  </si>
  <si>
    <t xml:space="preserve"> 6"X1/2" I.O.TOWER BOLT</t>
  </si>
  <si>
    <t>PLYWOOD FLUSH DOOR 30mm T.K FOR ALL SIZE</t>
  </si>
  <si>
    <t>TOTAL FOR   5 Operations for 10 sqm</t>
  </si>
  <si>
    <t xml:space="preserve"> 5" I.O.BUTT HINGS</t>
  </si>
  <si>
    <t>P.V.C.FLUSH D/F &amp; D/S 20mm T.K FOR 75X200cm</t>
  </si>
  <si>
    <t xml:space="preserve"> 10"X5/8" I.O ALDROP</t>
  </si>
  <si>
    <t>SINTEX WATER TANK OF 750 LIT it-165 p-54</t>
  </si>
  <si>
    <t>Litre</t>
  </si>
  <si>
    <t>COST  OF ONE OPERATION</t>
  </si>
  <si>
    <t>STEEL DOOR FRAMEOF SIZE 100X200</t>
  </si>
  <si>
    <t>CARPENTER I</t>
  </si>
  <si>
    <t>STEEL DOOR FRAMEOF SIZE 90X200</t>
  </si>
  <si>
    <t>STEEL DOOR FRAMEOF SIZE 75X200</t>
  </si>
  <si>
    <t>SUNDRIES FOR WEDGES,NAILS,COIR</t>
  </si>
  <si>
    <t>TOTAL FOR 1.815 SQM</t>
  </si>
  <si>
    <t>STEEL WINDOW FRAME&amp;SHUTTER WITHOUT GLASS</t>
  </si>
  <si>
    <t xml:space="preserve"> "   OF SIZE 132.5X120cm</t>
  </si>
  <si>
    <t xml:space="preserve"> "   OF SIZE 90X120cm</t>
  </si>
  <si>
    <t xml:space="preserve"> "   OF SIZE 47.5X120cm</t>
  </si>
  <si>
    <t>b.</t>
  </si>
  <si>
    <t>DOOR OF SIZE 90X200Cm</t>
  </si>
  <si>
    <t xml:space="preserve"> "   OF SIZE 90X105cm</t>
  </si>
  <si>
    <t xml:space="preserve"> "   OF SIZE 47.5X105cm</t>
  </si>
  <si>
    <t>C.W.SCANTLING(PLLLI,KARIMURUTH)</t>
  </si>
  <si>
    <t xml:space="preserve"> "   OF SIZE 90X90cm</t>
  </si>
  <si>
    <t>Centering for soffits for R.C.C.Slabs or</t>
  </si>
  <si>
    <t xml:space="preserve"> "   OF SIZE 47.5X90cm</t>
  </si>
  <si>
    <t>plane surfaces including shuttering up to 3m</t>
  </si>
  <si>
    <t>STEEL VENTILATTER FRAME&amp;SHUTTER WITHOUT GLASS</t>
  </si>
  <si>
    <t>height using M.S sheets of size 90mmx60mm and</t>
  </si>
  <si>
    <t xml:space="preserve"> "   OF SIZE 75X47.5cm</t>
  </si>
  <si>
    <t>HP 10G stiffened with welded M.S angle of</t>
  </si>
  <si>
    <t xml:space="preserve"> "   OF SIZE 90X47.5cm</t>
  </si>
  <si>
    <t>size 25x25x3mm laid over silver oak (C.W)</t>
  </si>
  <si>
    <t>joist 10cmx6.5cm spaced at75cm c/c complying</t>
  </si>
  <si>
    <t>P.V.C REDUCER ELBOW</t>
  </si>
  <si>
    <t>with standard specification</t>
  </si>
  <si>
    <t xml:space="preserve"> 50X25MM</t>
  </si>
  <si>
    <t xml:space="preserve"> 50X40MM</t>
  </si>
  <si>
    <t>Kg.</t>
  </si>
  <si>
    <t>Cost of M.S sheet of size</t>
  </si>
  <si>
    <t>TOTAL FOR 1.6191 SQM</t>
  </si>
  <si>
    <t>PORCELINE WHITE GLASED SOAP DISH 200X100mm</t>
  </si>
  <si>
    <t>90x60cm of 10 gauge</t>
  </si>
  <si>
    <t>PORCEINE WASH BASIN OVAL SHAPE 480X400mm</t>
  </si>
  <si>
    <t>Cost of M.S angle of size</t>
  </si>
  <si>
    <t>END CAP SULATED P.V.C. MANHOLE STEP</t>
  </si>
  <si>
    <t xml:space="preserve"> 25x25x3mm</t>
  </si>
  <si>
    <t>P.V.C. DOUBLE TEE WITH DOOR 75mm DIA</t>
  </si>
  <si>
    <t>Add for cutting, bending,</t>
  </si>
  <si>
    <t>P.V.C. DOUBLE TEE WITH DOOR 100mm DIA</t>
  </si>
  <si>
    <t>welding charges etc.</t>
  </si>
  <si>
    <t>c.</t>
  </si>
  <si>
    <t>DOOR OF SIZE 75X200Cm</t>
  </si>
  <si>
    <t>P.V.C. DOUBLE TEE WITH OUT DOOR 75mm DIA</t>
  </si>
  <si>
    <t>Pipe</t>
  </si>
  <si>
    <t>P.V.C. DOUBLE TEE WITH OUT DOOR 100mm DIA</t>
  </si>
  <si>
    <t>POISHED CUDDAPAH SLAB 20mm/40 mm THICK WELL POISHED  p-20 it-104/105</t>
  </si>
  <si>
    <t>Cost of one operation</t>
  </si>
  <si>
    <t>CUDDAPAH SLAB SINK 60X45cm,20mmT.K p -55 it-171</t>
  </si>
  <si>
    <t>CUDDAPAH SLAB SINK 45X45cm,20mmT.K</t>
  </si>
  <si>
    <t>Adopting 40 uses for steel sheet and</t>
  </si>
  <si>
    <t>GRANITE SLAB 20mm THICK OF BEST QUALITY Synthetic Grey, p-42 /27c</t>
  </si>
  <si>
    <t>angles and 5 uses for C.W.joist and</t>
  </si>
  <si>
    <t xml:space="preserve"> 4" I.O.BUTT HINGS</t>
  </si>
  <si>
    <t>ELECTRICAL ARRANGEMENT:- BOARD APPROVED RATES</t>
  </si>
  <si>
    <t>casurina props</t>
  </si>
  <si>
    <t xml:space="preserve"> 6"X1/2" I.O ALDROP</t>
  </si>
  <si>
    <t>WRING WITH 1.5SQMM COPPER WIRE  CONCELLED</t>
  </si>
  <si>
    <t>TYPE FOR LIGHT POINT WITH CEILING ROSE</t>
  </si>
  <si>
    <t>POINT</t>
  </si>
  <si>
    <t>Cost of M.S Sheet and Angles</t>
  </si>
  <si>
    <t xml:space="preserve"> 1Use</t>
  </si>
  <si>
    <t>---DO---FOR LIGHT POINT WITH BATTERN HODER</t>
  </si>
  <si>
    <t>for one operation</t>
  </si>
  <si>
    <t xml:space="preserve"> ---DO---FOR FAN POINT </t>
  </si>
  <si>
    <t>Cost of silver oak scantling</t>
  </si>
  <si>
    <t>TOTAL FOR 1.3247 SQM</t>
  </si>
  <si>
    <t xml:space="preserve"> --DO--FOR 5AMP 5PIN PLUG AT SWITCH BOARD</t>
  </si>
  <si>
    <t>Casurnia props 10 to 13cm dia</t>
  </si>
  <si>
    <t xml:space="preserve"> --DO--FOR 5AMP 5PIN PLUG AT CONVENTENT PLACE</t>
  </si>
  <si>
    <t>Add for Silver oak planks</t>
  </si>
  <si>
    <t xml:space="preserve"> ---DO---FOR STAIR CASE LIGHT POINT </t>
  </si>
  <si>
    <t>Carpenter Ist</t>
  </si>
  <si>
    <t>S/F OF BULKHEAD FITTING SUITABLE FOR 100/60W p114 i25</t>
  </si>
  <si>
    <t>549A</t>
  </si>
  <si>
    <t>CUDDAPAH SLAB SINK 60X60cm,20mmT.K p -55 it-172</t>
  </si>
  <si>
    <t>Fitter IInd</t>
  </si>
  <si>
    <t>FLUSH SHUTTER P.V.C. 30mm THICK</t>
  </si>
  <si>
    <t>RUN OF MAINS 2-1.5 SQMM COPPER CONCELLED TYPE</t>
  </si>
  <si>
    <t>Add for nails, wedges,oils etc</t>
  </si>
  <si>
    <t xml:space="preserve"> SOLIDCORE OF BLACKBOARD</t>
  </si>
  <si>
    <t xml:space="preserve">S/F OF 16 AMP DPIC MAIN SWITCH </t>
  </si>
  <si>
    <t>Add for periodical cleaning,</t>
  </si>
  <si>
    <t>TYPE WITH COMMERCIAL TYPE</t>
  </si>
  <si>
    <t>EARTHING STATION ASPER IS3043</t>
  </si>
  <si>
    <t>painting etc  for M.S. Sheet</t>
  </si>
  <si>
    <t>LIPPING BOTH SIDES</t>
  </si>
  <si>
    <t>S/L OF 8SWG G.I WIRE FOREARTH TO MAIN</t>
  </si>
  <si>
    <t>SUPPLY OF 5-10AMP/10-20AMP ELE. ENERGY METER</t>
  </si>
  <si>
    <t>S/F OF CONSUMER UNIT OF 4NO OF 16AMP WAY</t>
  </si>
  <si>
    <t>FOR ALL SIZE OF DOORS/SQM</t>
  </si>
  <si>
    <t>RUN OF MAINS 4-4 SQMM COPPER CONCELLED TYPE</t>
  </si>
  <si>
    <t>LABOUR FOR FIXING CEIING FAN OF AL SWEEP</t>
  </si>
  <si>
    <t xml:space="preserve">S/F OF S.C TW BOARD,3-30AMPFUSE, EARTHPLATE </t>
  </si>
  <si>
    <t>PROVIDING FORMWORK AND</t>
  </si>
  <si>
    <t>STEEL DOOR FRAMES AND WINDOW FRAMES WITH SHUTTER</t>
  </si>
  <si>
    <t xml:space="preserve">RUN OF S.C WIRING WITH 2-4 SQMM COPPER ,7/20 GI </t>
  </si>
  <si>
    <t>CENTERING FOR PLAIN CONCRETE</t>
  </si>
  <si>
    <t>====</t>
  </si>
  <si>
    <t>S/F OF AERI FUSE UNIT 30AMP 500V AT E.B POLE</t>
  </si>
  <si>
    <t>SURFACES FOR SMALL QTY such as sunshade etc</t>
  </si>
  <si>
    <t>ITEM NO 1:-MANUFACTURING AND</t>
  </si>
  <si>
    <t>S/F OF 40mmDIA B-CASS G.I PIPE</t>
  </si>
  <si>
    <t>SUPPLYING OF STEEL DOOR frame OF</t>
  </si>
  <si>
    <t>S/F OF 40mmDIA B-CASS G.I COUPLER</t>
  </si>
  <si>
    <t>MS angles &amp; sheets for one</t>
  </si>
  <si>
    <t>ALL SIZES WITH OUT SHUTTER</t>
  </si>
  <si>
    <t>S/F OF 40mmDIA B-CASS G.I BEND</t>
  </si>
  <si>
    <t>use (1.2 times of operation</t>
  </si>
  <si>
    <t>MADE OF 100X50 18GAUGE CRCA</t>
  </si>
  <si>
    <t>S/F OF 40X40X6mmANGLE TO SUPPORT G.I.PIPE.</t>
  </si>
  <si>
    <t>for plain surface)</t>
  </si>
  <si>
    <t>STELL WITH ALL FOURNITURE AND</t>
  </si>
  <si>
    <t>S/F OF 15AMP 3PIN POWER PLUG WITH SWITCH</t>
  </si>
  <si>
    <t>C.W Joist for one use (1.2</t>
  </si>
  <si>
    <t>FITTINGS.</t>
  </si>
  <si>
    <t>RUN OF MAINS 2-2.5 SQMM COPPER CONCELLED TYPE</t>
  </si>
  <si>
    <t>times of operation for plain</t>
  </si>
  <si>
    <t>S/F OF SINGE PHASE ELCB OF CONCEAED TYPE</t>
  </si>
  <si>
    <t>surface)</t>
  </si>
  <si>
    <t>MARINE PLYWOOD OF 9mm THICK OF BWR GRADE L.R ( qtn)</t>
  </si>
  <si>
    <t>Manufacturing and supplying of</t>
  </si>
  <si>
    <t>m.s.angle window shutter  and</t>
  </si>
  <si>
    <t>m.s grills with out glass of</t>
  </si>
  <si>
    <t>all sizes of windows,ventilaters.</t>
  </si>
  <si>
    <t xml:space="preserve"> ---DO---FOR CALLING BELL POINT </t>
  </si>
  <si>
    <t>ADD FOR SILVER OKE PLANKS</t>
  </si>
  <si>
    <t>Supply and fixing of window</t>
  </si>
  <si>
    <t>Add for periodical cleaning</t>
  </si>
  <si>
    <t>glass panels of 4mm thick for</t>
  </si>
  <si>
    <t>and painting etc for M.S. Sheet</t>
  </si>
  <si>
    <t>steel window and ventilaters.</t>
  </si>
  <si>
    <t xml:space="preserve"> --DO--FOR 15AMP OWER PLUG</t>
  </si>
  <si>
    <t>Cost of 4mm window glass</t>
  </si>
  <si>
    <t>S/F OF BULK HEAD FITTING</t>
  </si>
  <si>
    <t>S/F OF DOUBLE POLE MAIN SWITCH</t>
  </si>
  <si>
    <t>nos.</t>
  </si>
  <si>
    <t>Carpenter I class</t>
  </si>
  <si>
    <t>S/F OF 6 WAY D.B</t>
  </si>
  <si>
    <t>Cost of binding meterials etc.,</t>
  </si>
  <si>
    <t>SUPPLY AND DELIVERY OF FAN 48"SWEEP</t>
  </si>
  <si>
    <t>SUPPLY AND DELIVERY OF FAN 42"SWEEP</t>
  </si>
  <si>
    <t>total for 0.4sqm</t>
  </si>
  <si>
    <t>S/F OF 8SWG G.I WIRE</t>
  </si>
  <si>
    <t>SURFACES FOR PLINTH BEAM ETC.</t>
  </si>
  <si>
    <t>Design Mix M30 Grade Concrete (CER 255/2012-13)</t>
  </si>
  <si>
    <t>RUN OFF MAIN WITH 2NO OF 1.50sq.mm WIRE</t>
  </si>
  <si>
    <t>Rate for one sqm</t>
  </si>
  <si>
    <t>20mm HBG</t>
  </si>
  <si>
    <t>EARTHING STATION AS PER ISI</t>
  </si>
  <si>
    <t>HALF THE RATE  OF F.W USING C.W.PLANKS</t>
  </si>
  <si>
    <t>10mm HBG</t>
  </si>
  <si>
    <t>S/F OF 1 NO OF 30 AMP FUSE UNIT.</t>
  </si>
  <si>
    <t>FOR LINTEL &amp; BEAMS</t>
  </si>
  <si>
    <t>Manufactoring and supplying of</t>
  </si>
  <si>
    <t>Sand</t>
  </si>
  <si>
    <t>S/F OF 375mmX300mmX20mmT.W.PLANK FOR S.C.</t>
  </si>
  <si>
    <t>R.C.C 1:1.5:3 USING 20mmHBG</t>
  </si>
  <si>
    <t xml:space="preserve">steel window, confirming to </t>
  </si>
  <si>
    <t>S/F OF METRE CUPBOARD</t>
  </si>
  <si>
    <t>IS 1038/1983.</t>
  </si>
  <si>
    <t>S/F OF STREET LIGHTS.</t>
  </si>
  <si>
    <r>
      <t xml:space="preserve">PROVIDING ANTI-TERMITE TREATMENT </t>
    </r>
    <r>
      <rPr>
        <b/>
        <sz val="12"/>
        <color indexed="13"/>
        <rFont val="Helv"/>
      </rPr>
      <t>Say 34</t>
    </r>
  </si>
  <si>
    <t>Window size 90x120cm</t>
  </si>
  <si>
    <t>PROVIDING ELCB WITH MCB IN MS BOX</t>
  </si>
  <si>
    <t xml:space="preserve"> 20mmH.B.JELLY</t>
  </si>
  <si>
    <t xml:space="preserve"> ---------------------</t>
  </si>
  <si>
    <t>Vibrating charges</t>
  </si>
  <si>
    <t>Flat back urinal WITH ALL ACCESSORIES (white)p-55 it-173</t>
  </si>
  <si>
    <t>Steel window with 10mm square</t>
  </si>
  <si>
    <t>Admixture</t>
  </si>
  <si>
    <t>WIRE MAN GR-I p-11 it-13</t>
  </si>
  <si>
    <t>horizontal with one coat of</t>
  </si>
  <si>
    <t>Batching plant</t>
  </si>
  <si>
    <t>Electrical HELPERp-15 it-100</t>
  </si>
  <si>
    <t>red oxide primer paint.</t>
  </si>
  <si>
    <t>Frosted glass  4mmthick it-106 p-44</t>
  </si>
  <si>
    <t>STACKING GHARGES HW DATA 16-17</t>
  </si>
  <si>
    <t>Iron hinge special type</t>
  </si>
  <si>
    <t>Stays and pegs</t>
  </si>
  <si>
    <t>CUTTING CHARGE OF PVC pipe32mm p-32 it-129</t>
  </si>
  <si>
    <t>Locking arrangements</t>
  </si>
  <si>
    <t>Design Mix M25 Grade Concrete (CER 255/2012-13)</t>
  </si>
  <si>
    <t>THREADING CHARGES FOR PVC 32mm</t>
  </si>
  <si>
    <t xml:space="preserve"> 12x12mm thick alu.beedings</t>
  </si>
  <si>
    <t xml:space="preserve">by pasting </t>
  </si>
  <si>
    <t>Labour Charges for fixing</t>
  </si>
  <si>
    <t>Alu. bolt and nuts</t>
  </si>
  <si>
    <t>Total for 1No</t>
  </si>
  <si>
    <t>Window size 90x105cm</t>
  </si>
  <si>
    <t>R.C.C DOOR FRAME</t>
  </si>
  <si>
    <t>Frosted glass 3mmthick</t>
  </si>
  <si>
    <t>21.1</t>
  </si>
  <si>
    <t>SUPPLYING AND FIXING MONOLITHIC RCC DOOR</t>
  </si>
  <si>
    <t>FRAME OF SIZEM 100MMX75MM WITH ONE EDGE</t>
  </si>
  <si>
    <t>GROOVE OF SIZE 30MMX20MM IN RCC(1:1.5:3)USING</t>
  </si>
  <si>
    <t>20MM HBS JELLY INCLUDING COST OF STEEL AND</t>
  </si>
  <si>
    <t>FABRICATION OF REINFORCEMENT WITH -6MM M.S</t>
  </si>
  <si>
    <t>ROD AROUND AND 3MM STEEL STIRRUP AT 30CM C/C</t>
  </si>
  <si>
    <t>INCLUDING FIXING OF 3NOS OF IRON BRACKET OF</t>
  </si>
  <si>
    <t>SIZE 100MMX100MMX5MM, 6NOS OF HOLDFAST</t>
  </si>
  <si>
    <t>CHECKNUTS AND ALUMINIUM SLEEVES AND 2 NOS OF</t>
  </si>
  <si>
    <t xml:space="preserve">RCC door </t>
  </si>
  <si>
    <t>I.O.TOWER BOLT RECEIVER ALL AS PER DRAWING</t>
  </si>
  <si>
    <t>1200MMX2100MM SIZE OF DOOR FRAME</t>
  </si>
  <si>
    <t>INCLUDING MOULDING INSTEEL MOULD PRECASTING</t>
  </si>
  <si>
    <t>WITH SMOOTH SURFACE AND FINE EDGES, CURING,</t>
  </si>
  <si>
    <t>R.C.C.IN C.C 1:1.5:3</t>
  </si>
  <si>
    <t>TRANSPORTING ETC., ALL COMPLETE, AS DIRECTED</t>
  </si>
  <si>
    <t>FAB OF M.S STEEL</t>
  </si>
  <si>
    <t>BY DEPT.OFFICERS.</t>
  </si>
  <si>
    <t>HANGER BRACKET</t>
  </si>
  <si>
    <t>ALU.SLEEVES</t>
  </si>
  <si>
    <t>TOWER BOLT RECEIVER</t>
  </si>
  <si>
    <t>1000MMX2100MM SIZE OF DOOR FRAME</t>
  </si>
  <si>
    <t>TAILNUT FOR BOLT</t>
  </si>
  <si>
    <t>1000MMX2400MM SIZE OF DOOR FRAME</t>
  </si>
  <si>
    <t>-------------------------------</t>
  </si>
  <si>
    <t>MASON Ist</t>
  </si>
  <si>
    <t>MAZDOOR Ist</t>
  </si>
  <si>
    <t>MOULDING CHARGES</t>
  </si>
  <si>
    <t>HANDLING CHARGES MAZDOOR-II</t>
  </si>
  <si>
    <t>ADD FOR OIL,CONVEYANCE ETC.,</t>
  </si>
  <si>
    <t>TOTAL FOR 1 NO</t>
  </si>
  <si>
    <t>Window size 60x120cm</t>
  </si>
  <si>
    <t>Frosted glass 4mmthick</t>
  </si>
  <si>
    <t>900MMX2100MM SIZE OF DOOR FRAME</t>
  </si>
  <si>
    <t>1500MMX2100MM SIZE OF DOOR FRAME</t>
  </si>
  <si>
    <r>
      <t xml:space="preserve">Satndardised cement Concrtet </t>
    </r>
    <r>
      <rPr>
        <b/>
        <sz val="12"/>
        <rFont val="Helv"/>
      </rPr>
      <t>M30 grade 1:1.5:3 without vibrating charges</t>
    </r>
  </si>
  <si>
    <t>21.2</t>
  </si>
  <si>
    <t>SUPPLING  AND FIXING OF BEST T.W.WROUGHT AND</t>
  </si>
  <si>
    <t>PUTUP FOR DOORS, WINDOWS AND VENTILATERS ETC</t>
  </si>
  <si>
    <t>LABOUR CHARGES:-</t>
  </si>
  <si>
    <t>700MMX2100MM SIZE OF DOOR FRAME</t>
  </si>
  <si>
    <t>1500MMX2400MM SIZE OF DOOR FRAME</t>
  </si>
  <si>
    <t>TOTAL FOR .0283 CUM</t>
  </si>
  <si>
    <t>TOTAL FOR ONE CUM</t>
  </si>
  <si>
    <t>S&amp;F P.V.C. 20mmTHICK DOOR SHUTTER WITH DOOR FRAME OF SIZE 40mmX57mm FOR OUTER FRAME AND THE SINGLE LEAF SHUTTER MADEOF PLASTIC SHEET 20mmX200mm FOR SHUTTER PANNEL AND SHUTTER FRAME OF PLASTIC 24mmX59mm WITH 8 NOS OF 3 HINGS ALU,2N0S OFAL. HANDLES</t>
  </si>
  <si>
    <t>FOR DOORS OF ALL SIZE</t>
  </si>
  <si>
    <t>…</t>
  </si>
  <si>
    <t>FOR DOORS OF ALL SIZE (Qtn. For syntex.) Hollow p48 117a</t>
  </si>
  <si>
    <t>TEAK WOODS</t>
  </si>
  <si>
    <t xml:space="preserve">========= </t>
  </si>
  <si>
    <t>TEAK WOOD WROUGHT &amp; PUT UP</t>
  </si>
  <si>
    <t>T.W.SCANTLING 2M-3M LONG</t>
  </si>
  <si>
    <t>LABOUR CHARGE FOR WROUGHT &amp; PUTUP</t>
  </si>
  <si>
    <t>RATE FOR T.W.SCANDLING 2M-3M LONG</t>
  </si>
  <si>
    <t>T.W.SCANTLING UP TO 2M LONG</t>
  </si>
  <si>
    <t>22.1 (a)</t>
  </si>
  <si>
    <t>COUNTRY WOOD SINGLY LEAF FULLY PANELLED</t>
  </si>
  <si>
    <t>DOOR SHUTTER FOR DOOR OF SIZE</t>
  </si>
  <si>
    <t>1000 X 2100MM</t>
  </si>
  <si>
    <t>RATE FOR T.W.SCANTLING 2M LONG</t>
  </si>
  <si>
    <t>SHUTTER SIZE-.9X2.025   =1.823M2</t>
  </si>
  <si>
    <t>STYLES(OVER 2M) -1X2X2.025X0.075X0.0375=0.0114</t>
  </si>
  <si>
    <t>T.W.SINGLY LEAF FULLY PANELLED</t>
  </si>
  <si>
    <t>RAILS(BELOW 2M)- 1X4X0.9X0.15X0.0375=      0.0203</t>
  </si>
  <si>
    <t xml:space="preserve">               - 1X2X0.70625X0.075X0.0375 =0.0040</t>
  </si>
  <si>
    <t>PLANKS      -1X4X0.58125X0.3375X0.01875=</t>
  </si>
  <si>
    <t xml:space="preserve">             -1X1X0.725X0.3375X0.01875=</t>
  </si>
  <si>
    <t xml:space="preserve">C.W SCANTLING UPTO 4M LONG </t>
  </si>
  <si>
    <t xml:space="preserve">C.W SCANTLING  UPTO 4M LONG </t>
  </si>
  <si>
    <t>C.W PLANKS 25mm thick, 30cm WIDE</t>
  </si>
  <si>
    <t>LABOUR FOR WROUGHT&amp;PUTUP</t>
  </si>
  <si>
    <t>DOOR HANDLE WITH CP SCREWS</t>
  </si>
  <si>
    <t xml:space="preserve">  5"BUTT HINGS</t>
  </si>
  <si>
    <t>T.W SCANTLING  ABOVE 2M LONG</t>
  </si>
  <si>
    <t xml:space="preserve"> 6"X1/2"TOWER BOLT</t>
  </si>
  <si>
    <t>T.W SCANTLING  BELOW 2M LONG</t>
  </si>
  <si>
    <t>10"X5/8"ALDROP</t>
  </si>
  <si>
    <t>T.W PLANKS OVER 15TO 30cm</t>
  </si>
  <si>
    <t>NYLONBUSH</t>
  </si>
  <si>
    <t>WIDE&amp;12TO15mm T.K</t>
  </si>
  <si>
    <t>DOOR HANDLE WITH CP SCREWS 6"</t>
  </si>
  <si>
    <t>TOTAL FOR 1.8230SQM</t>
  </si>
  <si>
    <t>Nos.</t>
  </si>
  <si>
    <t>Brass screw p-59 it-210</t>
  </si>
  <si>
    <t>No,</t>
  </si>
  <si>
    <t>22.1 (b)</t>
  </si>
  <si>
    <t>900 X 2100MM</t>
  </si>
  <si>
    <t>SHUTTER SIZE0-.8X2.05   =1.64M2</t>
  </si>
  <si>
    <t>STYLES(OVER 2M) -1X2X2.05X0.075X0.0375=0.0115</t>
  </si>
  <si>
    <t>RAILS(BELOW 2M)- 1X4X0.8X0.15X0.0375=      0.018</t>
  </si>
  <si>
    <t xml:space="preserve">               - 1X2X0.73125X0.075X0.0375 =0.0040</t>
  </si>
  <si>
    <t>PLANKS      -1X4X0.60625X0.2875X0.01875=</t>
  </si>
  <si>
    <t xml:space="preserve">             -1X1X0.625X0.2875X0.01875=</t>
  </si>
  <si>
    <t>BWR   single leaf</t>
  </si>
  <si>
    <t>(a)</t>
  </si>
  <si>
    <t>DOOR OF SIZE 750X2100 MM</t>
  </si>
  <si>
    <t xml:space="preserve"> 5" ALU BUTT HINGES</t>
  </si>
  <si>
    <t>ALU.HANDLE WITH C.P.SCREWS 6"</t>
  </si>
  <si>
    <t>Brass screw</t>
  </si>
  <si>
    <t>brass screws</t>
  </si>
  <si>
    <t>TOTAL FOR 1.6400SQM</t>
  </si>
  <si>
    <t>22.1 (c)</t>
  </si>
  <si>
    <t>700 X 2100MM</t>
  </si>
  <si>
    <t>SHUTTER SIZE0-.6X2.025   =1.215M2</t>
  </si>
  <si>
    <t>RAILS(BELOW 2M)- 1X2X0.6X0.15X0.0375=      0.0068</t>
  </si>
  <si>
    <t xml:space="preserve">               - 1X3X0.6X0.075X0.0375 =0.0051</t>
  </si>
  <si>
    <t>PLANKS      -1X5X0.425X0.295X0.01875=</t>
  </si>
  <si>
    <t>23.1.</t>
  </si>
  <si>
    <t>S/F OF BWR PLYWOOD DOOR</t>
  </si>
  <si>
    <t>SHUTTER WITH VERTICALS AND</t>
  </si>
  <si>
    <t>TOTAL FOR 1.215SQM</t>
  </si>
  <si>
    <t>TOP RAIL AND BOTTOM RAILS</t>
  </si>
  <si>
    <t>WITH 9mm THICK MARINE GRADE</t>
  </si>
  <si>
    <t>BWR  PLYWOOD WITH</t>
  </si>
  <si>
    <t>I.O FITTINGS AS PER SCHEDULE E</t>
  </si>
  <si>
    <t>Hollow type PVC door with frame</t>
  </si>
  <si>
    <t>STYLES(OVER 2M) -1X2X2.05X0.075X0.0375=0.01153</t>
  </si>
  <si>
    <t>RAILS(BELOW 2M)- 1X3X0.8X0.15X0.0375=      0.0135</t>
  </si>
  <si>
    <t>PLANKS      -1X1X0.625X0.64=0.40</t>
  </si>
  <si>
    <t>PLANKS      -1X1X0.985X0.625=0.616</t>
  </si>
  <si>
    <t>1.016M2</t>
  </si>
  <si>
    <r>
      <t>S/F OF</t>
    </r>
    <r>
      <rPr>
        <b/>
        <sz val="12"/>
        <rFont val="Helv"/>
      </rPr>
      <t xml:space="preserve"> BWR PLYWOOD DOOR</t>
    </r>
  </si>
  <si>
    <t>DOOR OF SIZE 900 X2100 MM</t>
  </si>
  <si>
    <t>C.W.SCANTLING UPTO 4M length (PADAK)</t>
  </si>
  <si>
    <r>
      <t xml:space="preserve">I.O FITTINGS AS PER SCHEDULE E </t>
    </r>
    <r>
      <rPr>
        <b/>
        <sz val="12"/>
        <rFont val="Helv"/>
      </rPr>
      <t>1200 x 2100mm size</t>
    </r>
  </si>
  <si>
    <t>SHUTTER SIZE0-1.1X2.05   =2.255M2</t>
  </si>
  <si>
    <t>STYLES(OVER 2M) -2X2X2.05X0.075X0.0375=0.02306</t>
  </si>
  <si>
    <t>RAILS(BELOW 2M)- 2X3X0.55X0.15X0.0375=      0.01856</t>
  </si>
  <si>
    <t>ALU.HANDLE WITH C.P.SCREWS</t>
  </si>
  <si>
    <t>PLANKS      -1X2X0.625X0.425=0.53</t>
  </si>
  <si>
    <t>PLANKS      -1X2X1.025X0.425=0.87</t>
  </si>
  <si>
    <t>1.40M2</t>
  </si>
  <si>
    <t>TOTAL FOR 1.64 SQM</t>
  </si>
  <si>
    <t>DOOR OF SIZE 1200 X2100 MM</t>
  </si>
  <si>
    <t>DOOR OF SIZE 1000 X2100 MM</t>
  </si>
  <si>
    <t>22.2(a)</t>
  </si>
  <si>
    <t>TW single leaf glazed window</t>
  </si>
  <si>
    <t xml:space="preserve">shutter  for frame of overall height 135cm </t>
  </si>
  <si>
    <t>TW scantling below 2m length</t>
  </si>
  <si>
    <t>frosted glass 4mmthick</t>
  </si>
  <si>
    <t>TOTAL FOR 2.255 SQM</t>
  </si>
  <si>
    <t xml:space="preserve"> 3" ALU BUTT HINGES</t>
  </si>
  <si>
    <t xml:space="preserve"> 2"X5/16" ALU. TOWERBOLT</t>
  </si>
  <si>
    <t>TOTAL FOR 1.845SQM</t>
  </si>
  <si>
    <t>NYLON BUSH with screws</t>
  </si>
  <si>
    <t>6" hooks and eyes</t>
  </si>
  <si>
    <t>TOTAL FOR .4766 SQM</t>
  </si>
  <si>
    <t>22.2(c)</t>
  </si>
  <si>
    <t xml:space="preserve">shutter  for frame of overall height 105cm </t>
  </si>
  <si>
    <t>1800 X 2100MM (Double leaves)</t>
  </si>
  <si>
    <t>WIDE&amp;12TO25mm T.K</t>
  </si>
  <si>
    <t>TOTAL FOR .362 SQM</t>
  </si>
  <si>
    <t>22.2(d)</t>
  </si>
  <si>
    <t>TW Swing type ventilater</t>
  </si>
  <si>
    <t>of size 90x 60cm</t>
  </si>
  <si>
    <t>pair</t>
  </si>
  <si>
    <t xml:space="preserve"> pivoted hinges with screw</t>
  </si>
  <si>
    <t>3" hooks and eyes</t>
  </si>
  <si>
    <t>8" hooks and eyes</t>
  </si>
  <si>
    <t>TW Panelled Door 1500 X 2100MM (Double leaves)</t>
  </si>
  <si>
    <t>TOTAL FOR .40 SQM</t>
  </si>
  <si>
    <t>T.W SCANTLING above 2m</t>
  </si>
  <si>
    <t>T.W SCANTLING below 2m</t>
  </si>
  <si>
    <t>T.W PLANKS (15.30 CM) (12 TO 25CM THICK)</t>
  </si>
  <si>
    <t>LABOUR CHARGES FOR WROUGHT AND PUT UP</t>
  </si>
  <si>
    <t>TW  double leaf shutter for ward robe / cup board</t>
  </si>
  <si>
    <t>NOS</t>
  </si>
  <si>
    <t>DOOR HANDLE 6"</t>
  </si>
  <si>
    <t>5" BUTT HINGES</t>
  </si>
  <si>
    <t>6" X .6" TOWER BOLTS</t>
  </si>
  <si>
    <t>SHUTTER SIZE 1.2X2.1   =2.52M2</t>
  </si>
  <si>
    <t>10" X 5/8" ALDROPS</t>
  </si>
  <si>
    <t>TW scantling(OVER 2M) -1X2X2.1X0.075X0.0375=0.0118</t>
  </si>
  <si>
    <t>TW scantling(below 2M) -1X2X1.2X0.075X0.0375=0.00675</t>
  </si>
  <si>
    <t>Shutter styles(vertical) -1X4X1.95X0.075X0.0375=0.02194</t>
  </si>
  <si>
    <t>Shutter styles(Horizantal) -2X2X0.4X0.075X0.0375=0.0045</t>
  </si>
  <si>
    <t>============</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</si>
  <si>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</si>
  <si>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Shutter(OSL Board)      -1X2X1.825X0.4=1.46m2</t>
  </si>
  <si>
    <t>RATE FOR 2.835 SQM</t>
  </si>
  <si>
    <t>Shutter area      -1X1X1.05X1.95=2.05 m2</t>
  </si>
  <si>
    <t>LABOUR FOR WROUGHT &amp;PUTUP</t>
  </si>
  <si>
    <t>BISON PANEL  8MMTK. OSL</t>
  </si>
  <si>
    <t>LABOUR CHARGE FOR SHUTTER</t>
  </si>
  <si>
    <t xml:space="preserve"> 3"X5/8"ALU.TOWER BOLT</t>
  </si>
  <si>
    <t xml:space="preserve"> ORNAMENTAL; HANDLE WITH SCREWS(100mm)p46 it-98c </t>
  </si>
  <si>
    <t>LOCKS &amp;KEY Qtn</t>
  </si>
  <si>
    <t>VARNISH TWO COATS</t>
  </si>
  <si>
    <t>SUNDRIES FOR NAILS,PLUGS ETC.</t>
  </si>
  <si>
    <t>TOTAL FOR 2.52 SQM</t>
  </si>
  <si>
    <t>Cement Concrete using design mix of grade M25 concrete for all RCC works</t>
  </si>
  <si>
    <t>10mmH.B.JELLY</t>
  </si>
  <si>
    <t>BEST VARNISHING ONE COAT OVER WOOD WORK</t>
  </si>
  <si>
    <t>Lit.</t>
  </si>
  <si>
    <t>BEST VARNISH</t>
  </si>
  <si>
    <t>LINSEED OIL BOILED</t>
  </si>
  <si>
    <t>Mazdoor I</t>
  </si>
  <si>
    <t>Mazdoor II</t>
  </si>
  <si>
    <t>TOTAL FOR TEN SQM</t>
  </si>
  <si>
    <t>In Foundation and Basement</t>
  </si>
  <si>
    <t>BEST VARNISHING TWO COAT OVER WOOD WORK</t>
  </si>
  <si>
    <t>BEST VARNISH p38/31</t>
  </si>
  <si>
    <t>10th</t>
  </si>
  <si>
    <t>Supplying and fixing of Magnetic Door Catches</t>
  </si>
  <si>
    <r>
      <t xml:space="preserve">Supplying and fixing </t>
    </r>
    <r>
      <rPr>
        <b/>
        <sz val="12"/>
        <rFont val="Helv"/>
      </rPr>
      <t>4mm thick pin</t>
    </r>
  </si>
  <si>
    <t>S &amp; F of Granite slab of size 4'x2', 18 to 20mm Thick For kitchen arrangements (jet black) for SP and ADSP</t>
  </si>
  <si>
    <t>S &amp; F of Granite tile of size 2'x 1', 10mm Thick For kitchen arrangements (jet black for SFO)</t>
  </si>
  <si>
    <t>STEEL GRILLS FOR WINDOWS &amp; VENTILATER</t>
  </si>
  <si>
    <t>Granite slab ( Jet Black) p-42 it-27a</t>
  </si>
  <si>
    <t>Granite slab ( Jet Black) p-38 it-13 a</t>
  </si>
  <si>
    <t>WITH SUITABLE LEDGES including piming coat</t>
  </si>
  <si>
    <t>RATE AS PER  PWD LR For Window  p 44/ it 76</t>
  </si>
  <si>
    <t>Mason IIst</t>
  </si>
  <si>
    <t>Steel grill for Verandah Enclousure PWD SR p23/ Item 168/131</t>
  </si>
  <si>
    <t>Supplying and fixing M.S.Hold Qtn</t>
  </si>
  <si>
    <t>fast with screws</t>
  </si>
  <si>
    <t>FINISHING THE TOP OF FLOORING</t>
  </si>
  <si>
    <t>WITH C.M(1:4)20mm THICK</t>
  </si>
  <si>
    <t>MAZDOOR  I</t>
  </si>
  <si>
    <t>SUNDRIES WITH PLASTICIER</t>
  </si>
  <si>
    <t xml:space="preserve">Granite Tiles flooring in cm1:3,20mm thk </t>
  </si>
  <si>
    <t>Satheleri Grey</t>
  </si>
  <si>
    <t>Eurocon tile/ Designer tile flooring (as per CER-112/2007-08)</t>
  </si>
  <si>
    <t>COST OF granite FLOOR TILES, 
gray</t>
  </si>
  <si>
    <t>Old rate</t>
  </si>
  <si>
    <t>29.2</t>
  </si>
  <si>
    <t>MOSAIC FLOORING IN C.M(1:3)</t>
  </si>
  <si>
    <r>
      <t xml:space="preserve">COST OF Eurocon TILES </t>
    </r>
    <r>
      <rPr>
        <b/>
        <sz val="12"/>
        <rFont val="Helv"/>
      </rPr>
      <t>(pwd -p 41/17</t>
    </r>
  </si>
  <si>
    <t>USING GREY COLOUR TILES</t>
  </si>
  <si>
    <t>COST OF GRAY COLOUR  TILES</t>
  </si>
  <si>
    <t>25X25X2cm</t>
  </si>
  <si>
    <t>Grout</t>
  </si>
  <si>
    <t>white/colour cement</t>
  </si>
  <si>
    <t>POLISHING</t>
  </si>
  <si>
    <t>HIRE CHARGES FOR POWER POLISH</t>
  </si>
  <si>
    <t>Vertified tile flooring (Colour)</t>
  </si>
  <si>
    <t>SR 2018-2019</t>
  </si>
  <si>
    <t>ELCT.CHARGES</t>
  </si>
  <si>
    <t>COST OF POLISHING STONE</t>
  </si>
  <si>
    <t>MOSAIC POLISHER FOR POLISHING</t>
  </si>
  <si>
    <t>COST OF Vitified TILES (LSR New It-1) p-53 it-156</t>
  </si>
  <si>
    <t>Vertified  tile flooring  ( Ivory)</t>
  </si>
  <si>
    <t>MAZDOORII FOR WATER,WASHING ETC</t>
  </si>
  <si>
    <t>COST OF Vertified TILES (p51, it-156)</t>
  </si>
  <si>
    <t>S &amp; F of Granite tile of size 2'x1', 10mm Thick For kitchen arrangements (Ruby red)</t>
  </si>
  <si>
    <t>Grout joint filler</t>
  </si>
  <si>
    <t>COST OF granite FLOOR TILES, 
Ruby Red  p-42 26b</t>
  </si>
  <si>
    <t>Vertified tile flooring IVORY</t>
  </si>
  <si>
    <t>d448</t>
  </si>
  <si>
    <r>
      <t xml:space="preserve">COST OF Vertified TILES  </t>
    </r>
    <r>
      <rPr>
        <b/>
        <sz val="16"/>
        <color indexed="13"/>
        <rFont val="Helv"/>
      </rPr>
      <t>qtn</t>
    </r>
  </si>
  <si>
    <t>710          ruby red</t>
  </si>
  <si>
    <t>Suppling and laying granite wall cladding</t>
  </si>
  <si>
    <t xml:space="preserve"> in C.M(1:2)  </t>
  </si>
  <si>
    <t>COST OF granite TILES</t>
  </si>
  <si>
    <t>C.M(1:2)</t>
  </si>
  <si>
    <t>Suppling and laying White/Plain colour</t>
  </si>
  <si>
    <t>Mazdoor-I</t>
  </si>
  <si>
    <t xml:space="preserve">Glazed tiles in C.M(1:2)  </t>
  </si>
  <si>
    <t>COST OF GLAZED  TILES</t>
  </si>
  <si>
    <t>TOTAL FOR 1.860 SQM</t>
  </si>
  <si>
    <r>
      <t xml:space="preserve">Suppling and laying </t>
    </r>
    <r>
      <rPr>
        <b/>
        <sz val="12"/>
        <rFont val="Helv"/>
      </rPr>
      <t>colour matt finish floor tiles</t>
    </r>
  </si>
  <si>
    <t>COST OF matt finish wall of 12x12
(Quotation rate)</t>
  </si>
  <si>
    <r>
      <t xml:space="preserve">Suppling and laying </t>
    </r>
    <r>
      <rPr>
        <b/>
        <sz val="12"/>
        <rFont val="Helv"/>
      </rPr>
      <t>colour matt finish wall tiles</t>
    </r>
  </si>
  <si>
    <t>COST OF  TILES (Quotation rate)</t>
  </si>
  <si>
    <r>
      <t xml:space="preserve">PAINTING TWO COATS OVER NEW           </t>
    </r>
    <r>
      <rPr>
        <b/>
        <sz val="12"/>
        <rFont val="Helv"/>
      </rPr>
      <t>(as per CER-112/2007-08)</t>
    </r>
  </si>
  <si>
    <r>
      <t xml:space="preserve">S &amp; F of </t>
    </r>
    <r>
      <rPr>
        <b/>
        <sz val="12"/>
        <rFont val="Helv"/>
      </rPr>
      <t>Granite slab 18mm to 12mm Thick</t>
    </r>
    <r>
      <rPr>
        <sz val="11"/>
        <color theme="1"/>
        <rFont val="Calibri"/>
        <family val="2"/>
        <scheme val="minor"/>
      </rPr>
      <t xml:space="preserve"> For </t>
    </r>
    <r>
      <rPr>
        <b/>
        <sz val="12"/>
        <rFont val="Helv"/>
      </rPr>
      <t xml:space="preserve">kitchen arrangements </t>
    </r>
  </si>
  <si>
    <r>
      <t>WATER REPELLANT PAINT</t>
    </r>
    <r>
      <rPr>
        <sz val="11"/>
        <color theme="1"/>
        <rFont val="Calibri"/>
        <family val="2"/>
        <scheme val="minor"/>
      </rPr>
      <t xml:space="preserve"> OVER ONE PRIMER COAT</t>
    </r>
  </si>
  <si>
    <r>
      <t xml:space="preserve">Granite slab </t>
    </r>
    <r>
      <rPr>
        <b/>
        <sz val="12"/>
        <rFont val="Helv"/>
      </rPr>
      <t>(Ruby red) P-38 it-14 b</t>
    </r>
  </si>
  <si>
    <t>WITH C.M(1:3)20mm THICK</t>
  </si>
  <si>
    <t xml:space="preserve"> (NO SAND)USING GRANITECHIPS</t>
  </si>
  <si>
    <t>COST OF PAINT</t>
  </si>
  <si>
    <r>
      <t xml:space="preserve">OF 10mm&amp;BELOW </t>
    </r>
    <r>
      <rPr>
        <b/>
        <sz val="12"/>
        <rFont val="Helv"/>
      </rPr>
      <t>(ELLISPATTERN)</t>
    </r>
  </si>
  <si>
    <t>PRIMER (LMR item 112) p44</t>
  </si>
  <si>
    <t xml:space="preserve">STONE JELLY 3mm to 10mm </t>
  </si>
  <si>
    <t xml:space="preserve">PAINTER II </t>
  </si>
  <si>
    <t>Mazdoor IIst</t>
  </si>
  <si>
    <t>Pointing the joint</t>
  </si>
  <si>
    <t>Thorough scrapping p28 /108</t>
  </si>
  <si>
    <t>31.</t>
  </si>
  <si>
    <r>
      <t>WEATHERING COURSE</t>
    </r>
    <r>
      <rPr>
        <sz val="11"/>
        <color theme="1"/>
        <rFont val="Calibri"/>
        <family val="2"/>
        <scheme val="minor"/>
      </rPr>
      <t xml:space="preserve"> WITH BRICK</t>
    </r>
  </si>
  <si>
    <t>40.</t>
  </si>
  <si>
    <r>
      <t xml:space="preserve">PAINTING TWO COATS OVER NEW            </t>
    </r>
    <r>
      <rPr>
        <b/>
        <sz val="12"/>
        <rFont val="Helv"/>
      </rPr>
      <t xml:space="preserve"> (as per CER-112/2007-08)</t>
    </r>
  </si>
  <si>
    <t>JELLY LIME IN RATIO 32:121/2</t>
  </si>
  <si>
    <r>
      <t xml:space="preserve">S &amp; F of </t>
    </r>
    <r>
      <rPr>
        <b/>
        <sz val="12"/>
        <rFont val="Helv"/>
      </rPr>
      <t>Granite slab 18mm to 20mm Thick</t>
    </r>
    <r>
      <rPr>
        <sz val="11"/>
        <color theme="1"/>
        <rFont val="Calibri"/>
        <family val="2"/>
        <scheme val="minor"/>
      </rPr>
      <t xml:space="preserve"> For </t>
    </r>
    <r>
      <rPr>
        <b/>
        <sz val="12"/>
        <rFont val="Helv"/>
      </rPr>
      <t xml:space="preserve">kitchen arrangements </t>
    </r>
  </si>
  <si>
    <t>BY VOLUMN WELL WATERING</t>
  </si>
  <si>
    <t>CONSOLIDATED WITH WOODEN</t>
  </si>
  <si>
    <r>
      <t xml:space="preserve">Granite slab </t>
    </r>
    <r>
      <rPr>
        <b/>
        <sz val="12"/>
        <rFont val="Helv"/>
      </rPr>
      <t>( Jet Black) P-38 it-14 a</t>
    </r>
  </si>
  <si>
    <t>BEATERS TO REQUIRED SLOP</t>
  </si>
  <si>
    <t>Plastic Emulsion PAINT  (LMR item 113) p-50 132( First qty</t>
  </si>
  <si>
    <t>Primer     (LMR item 112) p44</t>
  </si>
  <si>
    <t>BROKEN BRICKJELLY2OmmGAUGE</t>
  </si>
  <si>
    <t>COST OF LIME STONE</t>
  </si>
  <si>
    <t>6-10mm thick metal</t>
  </si>
  <si>
    <r>
      <t xml:space="preserve">Granite slab </t>
    </r>
    <r>
      <rPr>
        <b/>
        <sz val="12"/>
        <color indexed="10"/>
        <rFont val="Helv"/>
      </rPr>
      <t>(Ruby red) P-42 it-27b</t>
    </r>
  </si>
  <si>
    <t>POINTING WITH C.M.(1:3)FOR</t>
  </si>
  <si>
    <t>PRESSED TILES</t>
  </si>
  <si>
    <t>CEMENT MORTER(1:3)</t>
  </si>
  <si>
    <t>FINISHING TOP OF ROOF WITH</t>
  </si>
  <si>
    <t>ONE  COURSE OF PRESSED TILES</t>
  </si>
  <si>
    <t>OVER A BED OF C.M(1:3),</t>
  </si>
  <si>
    <t>12mmTHICK MIXED WITH WATER PROOF COMPOUND</t>
  </si>
  <si>
    <t>Aluminium section</t>
  </si>
  <si>
    <t>AT 2% BY WEIGHT OF CEMENT</t>
  </si>
  <si>
    <t>Two legged scaffolding</t>
  </si>
  <si>
    <t>Aluminium window openable 1.35x1.05m  (Six leaves)</t>
  </si>
  <si>
    <t>PRESSED TILES 23X23X2cm P-15</t>
  </si>
  <si>
    <t>15cm dia casurina poles p -22 /145a.</t>
  </si>
  <si>
    <t>glass 4mm pin headed</t>
  </si>
  <si>
    <t>POINTING WITH C.M(1:3)</t>
  </si>
  <si>
    <t>Country wood planks p -22 137</t>
  </si>
  <si>
    <t>rubber beeding</t>
  </si>
  <si>
    <t>WPC</t>
  </si>
  <si>
    <t>hinges</t>
  </si>
  <si>
    <t>Total for 10 times</t>
  </si>
  <si>
    <t>handle</t>
  </si>
  <si>
    <t>For one operation</t>
  </si>
  <si>
    <t>hinges it-77 a p-40</t>
  </si>
  <si>
    <t>stay</t>
  </si>
  <si>
    <t>stiffner</t>
  </si>
  <si>
    <t>each</t>
  </si>
  <si>
    <t>holdfast</t>
  </si>
  <si>
    <t>labbour charges</t>
  </si>
  <si>
    <t>Coir, nails etc.</t>
  </si>
  <si>
    <t>sundries</t>
  </si>
  <si>
    <t>Total for 6 Rmt.</t>
  </si>
  <si>
    <t>Rate per each</t>
  </si>
  <si>
    <t>Total for1 Rmt.</t>
  </si>
  <si>
    <t>Aluminium window openable 1.05x1.35m  (Four leaves)</t>
  </si>
  <si>
    <t>Providing Granite slab flooring of</t>
  </si>
  <si>
    <t>Aluminium window openable 0.90x1.35m  (Four leaves)</t>
  </si>
  <si>
    <t>COST OF Granite  tile 20mm tk(Ruby red/raw silk) polished</t>
  </si>
  <si>
    <t>PRESSED TILES 23X23X18MM</t>
  </si>
  <si>
    <t>Aluminium window openable 0.50x1.35m (Two leaves)</t>
  </si>
  <si>
    <t>Aluminium window openable 1.80x1.35m (Eight leaves)</t>
  </si>
  <si>
    <t>33.</t>
  </si>
  <si>
    <t>PLASTERING C.M(1:5) 12mmTHICK</t>
  </si>
  <si>
    <t>Aluminium window openable 1.35x1.35m (Six leaves)</t>
  </si>
  <si>
    <t>Aluminium section (p-44/78a)</t>
  </si>
  <si>
    <t>rubber beeding P-45/81</t>
  </si>
  <si>
    <t>hinges 75mm x 30 mm P-45/94 b</t>
  </si>
  <si>
    <t>handle 150 mm long p-42 /80b</t>
  </si>
  <si>
    <t>stay 10"</t>
  </si>
  <si>
    <t>Aluminium window openable 0.90x0.60m (Two leaves)</t>
  </si>
  <si>
    <t>Aluminium window openable 1.80x2.20m (Eight leaves)</t>
  </si>
  <si>
    <t>34.</t>
  </si>
  <si>
    <t>PLASTERING C.M(1:4) 12mmTHICK</t>
  </si>
  <si>
    <t>Aluminium window openable 1.20x1.35m  (Four leaves)</t>
  </si>
  <si>
    <t>Aluminium section (p-40/61a)</t>
  </si>
  <si>
    <t>rubber beeding P-41/64</t>
  </si>
  <si>
    <t>hinges 75mm x 30 mm P-41/77 b</t>
  </si>
  <si>
    <t>35.</t>
  </si>
  <si>
    <t>PLASTERING C.M(1:3) 10mmTHICK</t>
  </si>
  <si>
    <t>Aluminium window openable 0.90x1.20m  (Four leaves)</t>
  </si>
  <si>
    <t>2014-15 RATE</t>
  </si>
  <si>
    <t>Aluminium window openable 0.45x1.35m (Two leaves)</t>
  </si>
  <si>
    <t>PLASTERING C.M(1:3)12mmTHICK</t>
  </si>
  <si>
    <t>MIXEDWITH WATER PROOF COMPOUND</t>
  </si>
  <si>
    <t xml:space="preserve">  2Kg/10 SQM</t>
  </si>
  <si>
    <t>Alum Vent 0.90x0.45m</t>
  </si>
  <si>
    <t>Data based on Police Acadamy</t>
  </si>
  <si>
    <t>Aluminium luvered Ventilator 0.60x0.60m</t>
  </si>
  <si>
    <t>WATER PROOF COMPOUNDS</t>
  </si>
  <si>
    <t>Rate / Sqm</t>
  </si>
  <si>
    <t>Aluminium window openable 1.80x1.65m (Eight leaves)</t>
  </si>
  <si>
    <t>Aluminium luvered Ventilator 0.75x0.60m</t>
  </si>
  <si>
    <t>36.</t>
  </si>
  <si>
    <t>Providing Band with C.M 1:5, 12mm thick</t>
  </si>
  <si>
    <t>and 75mmwide in all floors including</t>
  </si>
  <si>
    <t>Aluminium window openable 0.75x1.35m (Two leaves)</t>
  </si>
  <si>
    <t>finishing with neat cement scaffolding</t>
  </si>
  <si>
    <t>curing etc complete.</t>
  </si>
  <si>
    <t>Aluminium window openable 1.20x1.05m (Four leaves)</t>
  </si>
  <si>
    <t xml:space="preserve"> 150mm Thick Band</t>
  </si>
  <si>
    <t>Cement mortar1:5</t>
  </si>
  <si>
    <t>Masn Ist</t>
  </si>
  <si>
    <t>Aluminium window Fixed 0.90x2.10m</t>
  </si>
  <si>
    <t>Total for 6.77Rmt</t>
  </si>
  <si>
    <t>Rate per Rmt.</t>
  </si>
  <si>
    <t xml:space="preserve"> 75mm Thick Band</t>
  </si>
  <si>
    <t>Aluminium Ventilator 1.285x0.60m</t>
  </si>
  <si>
    <t>Aluminium Ventilator 0.90x0.60m</t>
  </si>
  <si>
    <t>50mm Thick Band</t>
  </si>
  <si>
    <t>Aluminium Ventilator 1.35x0.60m</t>
  </si>
  <si>
    <t>WHITE WASHING THREE COAT</t>
  </si>
  <si>
    <t>Aluminium window openable 1.50x1.35m  (Six leaves)</t>
  </si>
  <si>
    <t>SUNDRIES FOR BRUSH,BLUE,GUM ETC</t>
  </si>
  <si>
    <t>38.1.</t>
  </si>
  <si>
    <t>CEMENT PAINTING TWO COATS</t>
  </si>
  <si>
    <t>OVER THE PRIMER COAT OF</t>
  </si>
  <si>
    <t>APPROVED CEMENT PAINT FOR NEW</t>
  </si>
  <si>
    <t>PLASTERED SURFACES</t>
  </si>
  <si>
    <t>CEMENT PAINT</t>
  </si>
  <si>
    <t>PAINTER I</t>
  </si>
  <si>
    <t>38.2</t>
  </si>
  <si>
    <t>Matt paint Two coats</t>
  </si>
  <si>
    <t>SUPERCEM PAINTING TWO COATS</t>
  </si>
  <si>
    <t>Lts</t>
  </si>
  <si>
    <t>Matt paint</t>
  </si>
  <si>
    <t>Painter Ist</t>
  </si>
  <si>
    <t>Mazdoor IInd</t>
  </si>
  <si>
    <t>SUPERCEM</t>
  </si>
  <si>
    <t>Total for 10 Sqm</t>
  </si>
  <si>
    <t>PAINTING TWO COATS OVER new</t>
  </si>
  <si>
    <t>SYNTHETIC ENAMEL PAINT INCL.PRIMER COAT.</t>
  </si>
  <si>
    <t>Aluminium window openable 1.80 x 1.65 m =2.97m2</t>
  </si>
  <si>
    <t>READY MIXED PRIMER PAINT</t>
  </si>
  <si>
    <t>FRENCH WINDOW Reference Data Nagapattinam Ar Ph-XIX  CER 224-2012-2013</t>
  </si>
  <si>
    <t>Clip Beading</t>
  </si>
  <si>
    <t>Glass 4mm pin headed</t>
  </si>
  <si>
    <t>Rubber beeding</t>
  </si>
  <si>
    <t>sets</t>
  </si>
  <si>
    <t>Max hinges (10")</t>
  </si>
  <si>
    <t>Handle</t>
  </si>
  <si>
    <t>Holdfast</t>
  </si>
  <si>
    <t>Labbour charges</t>
  </si>
  <si>
    <t>PAINTING TWO COATS OVER NEW</t>
  </si>
  <si>
    <t>RATE  FOR   EACH</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</si>
  <si>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</si>
  <si>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</si>
  <si>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</si>
  <si>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</si>
  <si>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ANTI-CORROSIVE TREATMENT FOR STEEL</t>
  </si>
  <si>
    <t>FABRICATION  (RCC WORKS)</t>
  </si>
  <si>
    <r>
      <t xml:space="preserve">ANTI-CORROSIVE(COROLOK-CP </t>
    </r>
    <r>
      <rPr>
        <sz val="12"/>
        <color indexed="13"/>
        <rFont val="Helv"/>
      </rPr>
      <t>( qtn)</t>
    </r>
  </si>
  <si>
    <t>/PROTEKLOL) CHEMICALS</t>
  </si>
  <si>
    <t>BRUSHES GLOVES ETC</t>
  </si>
  <si>
    <t>TRANSPORTING AND HANDLING</t>
  </si>
  <si>
    <t>PAINTERII</t>
  </si>
  <si>
    <t>SUNDRIES FOR BRUSHES,CLOTH ETC</t>
  </si>
  <si>
    <t>TOTTAL FOR 1 MT</t>
  </si>
  <si>
    <t>42.</t>
  </si>
  <si>
    <t>SUPPLYING AND FABRICATING AND</t>
  </si>
  <si>
    <t>PLACING  M.S RODS/RTS ROD (upto 16mm dia)</t>
  </si>
  <si>
    <t>QUTL</t>
  </si>
  <si>
    <t>R.T.S RODS/M.S.RODS UPTO 16MM DIA</t>
  </si>
  <si>
    <t>BINDING WIRE</t>
  </si>
  <si>
    <t>FITTER I</t>
  </si>
  <si>
    <t>Cement for slurry</t>
  </si>
  <si>
    <t>Painter-II</t>
  </si>
  <si>
    <t>TOTTAL FOR 1 QTL</t>
  </si>
  <si>
    <t>RATE PER M.T</t>
  </si>
  <si>
    <t>b. above 16mm dia</t>
  </si>
  <si>
    <t>R.T.S RODS/M.S.RODS ABOVE 16MM DIA</t>
  </si>
  <si>
    <t>43.</t>
  </si>
  <si>
    <t>COASTAL AREA</t>
  </si>
  <si>
    <t>PLACING R.T.S RODS/MS RODS upto 16mm dia(without cement  slurry)</t>
  </si>
  <si>
    <t>BINDING WIRE insulated with PVC as per circular</t>
  </si>
  <si>
    <t>PLACING R.T.S RODS/MS RODS above 16mm dia(without cement  slurry)</t>
  </si>
  <si>
    <t>SUPPLY AND FIXING OF</t>
  </si>
  <si>
    <t>110mmDIA P.V.C RAIN WATER</t>
  </si>
  <si>
    <r>
      <t>DOWN FALL PIPE    T</t>
    </r>
    <r>
      <rPr>
        <b/>
        <sz val="12"/>
        <rFont val="Helv"/>
      </rPr>
      <t>ype- A  SWR pipe</t>
    </r>
  </si>
  <si>
    <t xml:space="preserve"> 110mmDIA P.V.C PIPE</t>
  </si>
  <si>
    <t xml:space="preserve"> 110mmDIA P.V.C PLAIN BEND</t>
  </si>
  <si>
    <t xml:space="preserve"> 110mmDIA P.V.C SHOE</t>
  </si>
  <si>
    <t>SPECIAL CLAMP</t>
  </si>
  <si>
    <t>C.I. GRATING 100mm DIA</t>
  </si>
  <si>
    <t>UPVC SPECIAL CLAMP as per qtn</t>
  </si>
  <si>
    <t>COST OF PLUG SCREWS , RUBBER</t>
  </si>
  <si>
    <t>LUBRICANT ETC</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</si>
  <si>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</si>
  <si>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</si>
  <si>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</si>
  <si>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</si>
  <si>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</si>
  <si>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</si>
  <si>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</si>
  <si>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</si>
  <si>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</si>
  <si>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</si>
  <si>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</si>
  <si>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</si>
  <si>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</si>
  <si>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</si>
  <si>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</si>
  <si>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 </t>
  </si>
  <si>
    <t>Set</t>
  </si>
  <si>
    <t>Alu.Bracket with screws</t>
  </si>
  <si>
    <t>Sundries FOR PLUGS ,NAILS AND LABOUR ETC.,</t>
  </si>
  <si>
    <t>Total for 1 Rmt</t>
  </si>
  <si>
    <t>47.</t>
  </si>
  <si>
    <r>
      <t xml:space="preserve">SUPPLY AND FIXING ALUMINUM </t>
    </r>
    <r>
      <rPr>
        <b/>
        <sz val="12"/>
        <rFont val="Helv"/>
      </rPr>
      <t xml:space="preserve">TOWEL RAIL </t>
    </r>
    <r>
      <rPr>
        <sz val="11"/>
        <color theme="1"/>
        <rFont val="Calibri"/>
        <family val="2"/>
        <scheme val="minor"/>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</si>
  <si>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</si>
  <si>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</si>
  <si>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</si>
  <si>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</si>
  <si>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</si>
  <si>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</si>
  <si>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</si>
  <si>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</si>
  <si>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</si>
  <si>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t>48.</t>
  </si>
  <si>
    <r>
      <t xml:space="preserve">SUPPLING AND FIXING </t>
    </r>
    <r>
      <rPr>
        <b/>
        <sz val="12"/>
        <rFont val="Helv"/>
      </rPr>
      <t>COAT STAND</t>
    </r>
  </si>
  <si>
    <t>WITH FIVE PINS</t>
  </si>
  <si>
    <t>Cost of Coat stand</t>
  </si>
  <si>
    <t xml:space="preserve">Labour for fixing </t>
  </si>
  <si>
    <t>Total for 1 No.</t>
  </si>
  <si>
    <t>49.</t>
  </si>
  <si>
    <r>
      <t xml:space="preserve">SUPPLING AND FIXING OF </t>
    </r>
    <r>
      <rPr>
        <b/>
        <sz val="12"/>
        <rFont val="Helv"/>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</si>
  <si>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</si>
  <si>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</si>
  <si>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</si>
  <si>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</si>
  <si>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</si>
  <si>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</si>
  <si>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</si>
  <si>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</si>
  <si>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</si>
  <si>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</si>
  <si>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</si>
  <si>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</si>
  <si>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rPr>
      <t>(precast slab 50mm Thick)</t>
    </r>
  </si>
  <si>
    <t>C.C. 1:3:6 using 20mm HBS</t>
  </si>
  <si>
    <t>Precasting Charges ( 6.28*120sqm=753.6/18=41.87each)</t>
  </si>
  <si>
    <t>Transporting</t>
  </si>
  <si>
    <t>Laying and Pointing</t>
  </si>
  <si>
    <t>Total for 6.28 Sqm</t>
  </si>
  <si>
    <t>Rate per Sqm</t>
  </si>
  <si>
    <t>PCC 1:3:6, for petty works</t>
  </si>
  <si>
    <t>moulding charges</t>
  </si>
  <si>
    <t>Total for .01 cum</t>
  </si>
  <si>
    <t>Rate per cum</t>
  </si>
  <si>
    <t>50.2</t>
  </si>
  <si>
    <r>
      <t>KERB STONE</t>
    </r>
    <r>
      <rPr>
        <sz val="11"/>
        <color theme="1"/>
        <rFont val="Calibri"/>
        <family val="2"/>
        <scheme val="minor"/>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</si>
  <si>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</si>
  <si>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</si>
  <si>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</si>
  <si>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</si>
  <si>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</si>
  <si>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</si>
  <si>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</si>
  <si>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</si>
  <si>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</si>
  <si>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</si>
  <si>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Avenue trees</t>
  </si>
  <si>
    <t>RM</t>
  </si>
  <si>
    <t>Casurina props 5 to 8cm dia p22 / It- 148 d</t>
  </si>
  <si>
    <t>filling chares</t>
  </si>
  <si>
    <t>l.s</t>
  </si>
  <si>
    <t>Maintenance charges</t>
  </si>
  <si>
    <t>Total for 20 no.</t>
  </si>
  <si>
    <t>Total for 1 no.</t>
  </si>
  <si>
    <t>50.4</t>
  </si>
  <si>
    <t xml:space="preserve"> AVENUE TREE GUARD</t>
  </si>
  <si>
    <t>CW reepers 50x25 cm it-139 p-22</t>
  </si>
  <si>
    <t>Casurina props 5 to 8cm dia</t>
  </si>
  <si>
    <t>Chicken mesh</t>
  </si>
  <si>
    <t>Carpenter II</t>
  </si>
  <si>
    <t>Fitter I</t>
  </si>
  <si>
    <t xml:space="preserve">sundries </t>
  </si>
  <si>
    <t>50.5</t>
  </si>
  <si>
    <t>PROVIDING SCHME NAME BOARD</t>
  </si>
  <si>
    <t>CC 1:5:10</t>
  </si>
  <si>
    <t>KG</t>
  </si>
  <si>
    <t>MS angle</t>
  </si>
  <si>
    <t>MS Stiffner</t>
  </si>
  <si>
    <t>MS Sheet</t>
  </si>
  <si>
    <t>Welding charges</t>
  </si>
  <si>
    <r>
      <t xml:space="preserve">Painting / lettering charges </t>
    </r>
    <r>
      <rPr>
        <sz val="12"/>
        <color indexed="13"/>
        <rFont val="Helv"/>
      </rPr>
      <t>qtn</t>
    </r>
  </si>
  <si>
    <t>Labour for erection of board</t>
  </si>
  <si>
    <t>Bolts &amp;nuts</t>
  </si>
  <si>
    <t>PROVIDING ANTI-TERMITE TREATMENT</t>
  </si>
  <si>
    <t>51.</t>
  </si>
  <si>
    <t>PVC WATER TANK OF 700 LITRE CAPACITY p64 /207</t>
  </si>
  <si>
    <t>Ex. free board with ISI mark</t>
  </si>
  <si>
    <t>PVC WATER TANK OF 200 LITRE CAPACITY</t>
  </si>
  <si>
    <t>JOINTING P.V.C PIPE AND SPECIALS</t>
  </si>
  <si>
    <t>c</t>
  </si>
  <si>
    <t xml:space="preserve"> 20mm Dia</t>
  </si>
  <si>
    <t>MASAN I</t>
  </si>
  <si>
    <t xml:space="preserve">COST OF CLAMPS PLUGS </t>
  </si>
  <si>
    <t>JOINTING MATERIALS ETC</t>
  </si>
  <si>
    <t xml:space="preserve"> 25mm</t>
  </si>
  <si>
    <t>32mm</t>
  </si>
  <si>
    <t>40mm</t>
  </si>
  <si>
    <t>SUPPLYING AND LAYING THE FOLLOWING PVC</t>
  </si>
  <si>
    <t>PIPES WITH NECESSARY SPECIALS ELBOWS,</t>
  </si>
  <si>
    <t>CUTTING CHARGES p -31 Itm 131</t>
  </si>
  <si>
    <t>TEE,REDUCE ,PLUG,UNION,BEND,COUPLE,</t>
  </si>
  <si>
    <t>THREADING CHARGES p -31 Itm 132</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</si>
  <si>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</si>
  <si>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</si>
  <si>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</si>
  <si>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</si>
  <si>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</si>
  <si>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</si>
  <si>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</si>
  <si>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 xml:space="preserve"> 20MM DIA PVC PIPE ABOVE G.L:-</t>
  </si>
  <si>
    <t xml:space="preserve">COST OF 20MM DIA PVC PIPE </t>
  </si>
  <si>
    <t>ADD 70% FOR PVC/GI SPECIALS</t>
  </si>
  <si>
    <t>LABOUR FOR LAYING &amp; FIXING</t>
  </si>
  <si>
    <t>TOTAL FOR 1 RMT</t>
  </si>
  <si>
    <t xml:space="preserve"> 40MM DIA PVC PIPE ABOVE G.L:-</t>
  </si>
  <si>
    <t xml:space="preserve"> 25MM DIA PVC PIPE ABOVE G.L:-</t>
  </si>
  <si>
    <t xml:space="preserve">COST OF40MM DIA PVC PIPE </t>
  </si>
  <si>
    <t xml:space="preserve">COST OF 25MM DIA PVC PIPE </t>
  </si>
  <si>
    <t>ADD 20% FOR PVC/GI SPECIALS</t>
  </si>
  <si>
    <t>ADD 40% FOR PVC/GI SPECIALS</t>
  </si>
  <si>
    <t xml:space="preserve"> 32MM DIA PVC PIPE ABOVE G.L:-</t>
  </si>
  <si>
    <t>50mm</t>
  </si>
  <si>
    <t xml:space="preserve">COST OF 32MM DIA PVC PIPE </t>
  </si>
  <si>
    <t>CUTTING CHARGES p -32 Itm 133</t>
  </si>
  <si>
    <t>THREADING CHARGES p- 32 Itm 134</t>
  </si>
  <si>
    <t xml:space="preserve"> 50MM DIA PVC PIPE ABOVE G.L:-</t>
  </si>
  <si>
    <t xml:space="preserve">COST OF 50MM DIA PVC PIPE </t>
  </si>
  <si>
    <t>S &amp; F of GI Pipe 20mm dia for Hot Water line Pipe
Fully Consealed in Wall</t>
  </si>
  <si>
    <t xml:space="preserve">GI PIPE 20MM DIA </t>
  </si>
  <si>
    <t>LAYING,FIXING AND CONSELING GI PIPE</t>
  </si>
  <si>
    <t xml:space="preserve">COST OF50MM DIA PVC PIPE </t>
  </si>
  <si>
    <t>20MM DIA GI PIPE FOR HOT WATER LINE</t>
  </si>
  <si>
    <t xml:space="preserve">COST OF 20MM DIA GI PIPE </t>
  </si>
  <si>
    <t>ADD 20% FOR GI SPECIALS</t>
  </si>
  <si>
    <t>L.S FOR CONSEALING GI PIPE IN WALLS
PAKING ETC.,</t>
  </si>
  <si>
    <t>SUPPLYING AND FIXING</t>
  </si>
  <si>
    <r>
      <t>WASHBASIN</t>
    </r>
    <r>
      <rPr>
        <sz val="11"/>
        <color theme="1"/>
        <rFont val="Calibri"/>
        <family val="2"/>
        <scheme val="minor"/>
      </rPr>
      <t xml:space="preserve"> 22"X16" INCLUDING</t>
    </r>
  </si>
  <si>
    <t>COST OF ALL MATERIALS AND</t>
  </si>
  <si>
    <t>FIXING CHARGES</t>
  </si>
  <si>
    <t>Wash Hand Basin of size 550 x 400 mm with all accessories such as CI brackets, 32mm dia CP waste coupling, Rubber pug and chain, 32mm dia B class GI waste pipe, 15mm dia brass nipples. 15mm CP pillar tap etc.,</t>
  </si>
  <si>
    <t>deduct rate for 15mm dia GM wheel valve p -53 /145(v)</t>
  </si>
  <si>
    <t xml:space="preserve"> Angle Valve</t>
  </si>
  <si>
    <t>SUNDRIES FOR PLUGSCREW,PAINT</t>
  </si>
  <si>
    <t>53.2</t>
  </si>
  <si>
    <t xml:space="preserve">CI MANHOLE COVER 45CMX45CMX20KG </t>
  </si>
  <si>
    <t>CI MANHOLE COVER 60CMX60CMX50KG p-59/216</t>
  </si>
  <si>
    <t>53.3</t>
  </si>
  <si>
    <t>CI STEPS (5Kg) (59.65+.35)</t>
  </si>
  <si>
    <t>Brass Tap with ISI Mark p53/146</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</si>
  <si>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</si>
  <si>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</si>
  <si>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</si>
  <si>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</si>
  <si>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</si>
  <si>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</si>
  <si>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</si>
  <si>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</si>
  <si>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</si>
  <si>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</si>
  <si>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</si>
  <si>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Deduct rate for "P" &amp; "S" trap</t>
  </si>
  <si>
    <t xml:space="preserve">Add rate for PVC SWR "P" &amp; "S" trap </t>
  </si>
  <si>
    <t>56.2.</t>
  </si>
  <si>
    <t xml:space="preserve"> IN OTHER THAN G.FLOOR.</t>
  </si>
  <si>
    <t>WEATHERING COURSE</t>
  </si>
  <si>
    <t>USING20mmBRICK JELLY</t>
  </si>
  <si>
    <t>PLASTERING IN C.M(1:3)</t>
  </si>
  <si>
    <t>12mMT.K MIXED WITH W.P.C.</t>
  </si>
  <si>
    <t>BRICK JELLY CONCRETE (1:8:16)</t>
  </si>
  <si>
    <t>USING 40 mm BRICK JELLY</t>
  </si>
  <si>
    <r>
      <t>SUPPLY AND FIXING OF E.W.C.   18" SIZE</t>
    </r>
    <r>
      <rPr>
        <b/>
        <sz val="12"/>
        <rFont val="Helv"/>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</si>
  <si>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</si>
  <si>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</si>
  <si>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 p-48</t>
  </si>
  <si>
    <t>LABOUR FOR FIXING OF EWC</t>
  </si>
  <si>
    <t>EUROPEAN WATER CLOSET WITH "P" OR "S" TRAP WITH DOUBLE FLAPPED SEAT AND SEAT COVER WITH BRASS HINGES AND 10LIT CAPACITY PVC L;OW LEVEL FLUSHING TANK WITH ALL INTERNAL FITTINGS</t>
  </si>
  <si>
    <t>LABOUR FOR FIXING OF FLUSHING TANK</t>
  </si>
  <si>
    <r>
      <t xml:space="preserve">SUPPLY AND FIXING OF E.W.C.   18" SIZE </t>
    </r>
    <r>
      <rPr>
        <b/>
        <sz val="12"/>
        <rFont val="Helv"/>
      </rPr>
      <t>(COLOUR)</t>
    </r>
  </si>
  <si>
    <r>
      <t xml:space="preserve">110MM DIA OF </t>
    </r>
    <r>
      <rPr>
        <b/>
        <sz val="12"/>
        <rFont val="Helv"/>
      </rPr>
      <t>PVC</t>
    </r>
    <r>
      <rPr>
        <sz val="11"/>
        <color theme="1"/>
        <rFont val="Calibri"/>
        <family val="2"/>
        <scheme val="minor"/>
      </rPr>
      <t xml:space="preserve"> </t>
    </r>
    <r>
      <rPr>
        <b/>
        <sz val="12"/>
        <rFont val="Helv"/>
      </rPr>
      <t>SWR PIPE</t>
    </r>
    <r>
      <rPr>
        <sz val="11"/>
        <color theme="1"/>
        <rFont val="Calibri"/>
        <family val="2"/>
        <scheme val="minor"/>
      </rPr>
      <t xml:space="preserve"> INCLUDING </t>
    </r>
  </si>
  <si>
    <r>
      <t xml:space="preserve">75MM DIA OF </t>
    </r>
    <r>
      <rPr>
        <b/>
        <sz val="12"/>
        <rFont val="Helv"/>
      </rPr>
      <t>PVC SWR PIPE</t>
    </r>
    <r>
      <rPr>
        <sz val="11"/>
        <color theme="1"/>
        <rFont val="Calibri"/>
        <family val="2"/>
        <scheme val="minor"/>
      </rPr>
      <t xml:space="preserve"> INCLUDING </t>
    </r>
  </si>
  <si>
    <t>58.2</t>
  </si>
  <si>
    <t xml:space="preserve">Supplying &amp;fixing 110mm dia PVC </t>
  </si>
  <si>
    <t xml:space="preserve">SWR pipe for ventilating shaft </t>
  </si>
  <si>
    <t xml:space="preserve">of 3M length with cowl </t>
  </si>
  <si>
    <t>110mm dia PVC SWR pipe</t>
  </si>
  <si>
    <t>110mm dia cowl</t>
  </si>
  <si>
    <t>Labour for fixing</t>
  </si>
  <si>
    <t>Sundries for PVC solution etc.</t>
  </si>
  <si>
    <t>Rate for 1 no.</t>
  </si>
  <si>
    <t>59.</t>
  </si>
  <si>
    <t>SUPLY ING AND FIXING OF</t>
  </si>
  <si>
    <t>150X100mm S.W. GULLY TRAPS</t>
  </si>
  <si>
    <t>BRICK JELLY CONCRETE (1:8:16)40MM</t>
  </si>
  <si>
    <t>60.</t>
  </si>
  <si>
    <t xml:space="preserve">SUPPLY AND FIXING OF P.V.C. </t>
  </si>
  <si>
    <t>NAHANI TRAP 75mm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</si>
  <si>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</si>
  <si>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</si>
  <si>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</si>
  <si>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</si>
  <si>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</si>
  <si>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</si>
  <si>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</si>
  <si>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</si>
  <si>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</si>
  <si>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</si>
  <si>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</si>
  <si>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</si>
  <si>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</si>
  <si>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</si>
  <si>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</si>
  <si>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SUPPLY AND FIXING OF 250mm</t>
  </si>
  <si>
    <r>
      <t xml:space="preserve">250mmDIA S.W.PIPE WITH ISI MARK ( it-13.0/4 </t>
    </r>
    <r>
      <rPr>
        <b/>
        <sz val="12"/>
        <rFont val="Helv"/>
      </rPr>
      <t>of twad 17-18 spl I CLASS )</t>
    </r>
  </si>
  <si>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</si>
  <si>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</si>
  <si>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</si>
  <si>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</si>
  <si>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</si>
  <si>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</si>
  <si>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</si>
  <si>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</si>
  <si>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</si>
  <si>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</si>
  <si>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</si>
  <si>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</si>
  <si>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</si>
  <si>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</si>
  <si>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</si>
  <si>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</si>
  <si>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</si>
  <si>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</si>
  <si>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</si>
  <si>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</si>
  <si>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</si>
  <si>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</si>
  <si>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</si>
  <si>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</si>
  <si>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</si>
  <si>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</si>
  <si>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</si>
  <si>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</si>
  <si>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</si>
  <si>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</si>
  <si>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</si>
  <si>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</si>
  <si>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</si>
  <si>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</si>
  <si>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</si>
  <si>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</si>
  <si>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</si>
  <si>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</si>
  <si>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3"I.O. ButtHinges</t>
  </si>
  <si>
    <t xml:space="preserve"> 6"x1/2" Alu. Aldrops</t>
  </si>
  <si>
    <t xml:space="preserve"> 2" I.O.Hooks and Eyes</t>
  </si>
  <si>
    <t>M.S."L" Clamps</t>
  </si>
  <si>
    <t>Labour Charges</t>
  </si>
  <si>
    <t>SUNDRIES FOR T.W.Plugs etc</t>
  </si>
  <si>
    <t>Total for 1.62 Sqm</t>
  </si>
  <si>
    <t>Total for 1.00 Sqm</t>
  </si>
  <si>
    <t>================================================</t>
  </si>
  <si>
    <t>WIRING WITH 1.5SQMM COPPER WIRE  CONCEALED</t>
  </si>
  <si>
    <t>64.a.</t>
  </si>
  <si>
    <t>64.b</t>
  </si>
  <si>
    <t>64.c</t>
  </si>
  <si>
    <t xml:space="preserve"> --DO--FOR 15AMP POWER PLUG</t>
  </si>
  <si>
    <t>70.1</t>
  </si>
  <si>
    <t>70.2</t>
  </si>
  <si>
    <t>S/F OF SLIM TUBELIGHT FITTING WITH ELECTRONICS BALLAST.</t>
  </si>
  <si>
    <t>70.3</t>
  </si>
  <si>
    <t>S/F OF 40W/60W BULB</t>
  </si>
  <si>
    <t>70.4</t>
  </si>
  <si>
    <t>S/F OF PLASTIC SHADE</t>
  </si>
  <si>
    <t>S/F of Fibre Fan Hook</t>
  </si>
  <si>
    <t>73.1</t>
  </si>
  <si>
    <t>73.2</t>
  </si>
  <si>
    <t>S/F OF 4 WAY D.B</t>
  </si>
  <si>
    <t>75(a)</t>
  </si>
  <si>
    <t>SUPPLY AND DELIVERY OF FAN 48"SWEEP with ordinary regulator.</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</si>
  <si>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</si>
  <si>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</si>
  <si>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</si>
  <si>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</si>
  <si>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</si>
  <si>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</si>
  <si>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S &amp; F of Exsaust Fan 225mm dia</t>
  </si>
  <si>
    <t>M.S. Angle</t>
  </si>
  <si>
    <t>SUPPLYING AND FIXING OF 20MM DIA PVC PIPE FOR TV/TELEPHONE LINE</t>
  </si>
  <si>
    <t>Mtr</t>
  </si>
  <si>
    <t>PVC RIGID CONDUIT PIPE 19M/20MM HEAVY DUTY WITH ISI P -127/ part  I 1b</t>
  </si>
  <si>
    <t>WIREMAN GR-I</t>
  </si>
  <si>
    <t>SUNDRIES FOR PVC SPECIALS &amp; FISH WIRE ETC.,</t>
  </si>
  <si>
    <t>TOTAL FOR 90RMT</t>
  </si>
  <si>
    <t>EARTHING STATION (TYPE II)</t>
  </si>
  <si>
    <t>GI PIPE 40MM DIA</t>
  </si>
  <si>
    <t>Charcoal 17-18 SD 233 (97.15/20.32 = 4.78)</t>
  </si>
  <si>
    <t>SALT  SD 233 (119.2/20.32 = 5.87)</t>
  </si>
  <si>
    <t>GI WIRE 8 GAUGE p79/pat E3(b)</t>
  </si>
  <si>
    <t>WIRE MAN GR-I</t>
  </si>
  <si>
    <t>HELPER</t>
  </si>
  <si>
    <t>CIVIL WORK SUCH AS EXCAVATION FILLING MASONRY WORK, COVER SLAB ETC.,</t>
  </si>
  <si>
    <t>BOLTS,NUTS &amp; CHOCK NUTS ETC.,</t>
  </si>
  <si>
    <t>Labour Charges for barbed wire fencing for 8.16 kg</t>
  </si>
  <si>
    <t>Fitter I class</t>
  </si>
  <si>
    <t>Mazdoor I class</t>
  </si>
  <si>
    <t>TOTAL FOR 8.16 kg</t>
  </si>
  <si>
    <t>Rate for 1 kg</t>
  </si>
  <si>
    <t>Barbed wire fencing for 10 m</t>
  </si>
  <si>
    <t>Barbed wire 10 gauge 2 ply and four pronged ( Galvanised) it-122 p-49</t>
  </si>
  <si>
    <t>Binding wire</t>
  </si>
  <si>
    <t>Labour</t>
  </si>
  <si>
    <t>Rate for 10m</t>
  </si>
  <si>
    <t>Rate for 1m</t>
  </si>
  <si>
    <t>Labour charges for Auger pile foundation for 2.44m</t>
  </si>
  <si>
    <t>Chain link fencing data for 15sqm</t>
  </si>
  <si>
    <t>Mason II class</t>
  </si>
  <si>
    <t xml:space="preserve">GALVANISIED IRON WIRE 2" x 2" using 10 gauge (of all sizes) p49/143 </t>
  </si>
  <si>
    <t>Hire charges @ 10% of labour charges</t>
  </si>
  <si>
    <t>Rate for 2.44m</t>
  </si>
  <si>
    <t>Rate for 1.00m</t>
  </si>
  <si>
    <t>Rate for 15sqm</t>
  </si>
  <si>
    <t>Rate for 1 sqm</t>
  </si>
  <si>
    <t>Auger pile of size 30cm dia and 3m depth for 1m</t>
  </si>
  <si>
    <t>M3</t>
  </si>
  <si>
    <t>RCC 1:2:4</t>
  </si>
  <si>
    <t>1M3</t>
  </si>
  <si>
    <t>Rate for 1 RM</t>
  </si>
  <si>
    <t>Providing Rain Water Harvesting Perculation pit
a) Providing pit</t>
  </si>
  <si>
    <t>Strutting to centering of R.C.C plain surface, 3.00m height wall.</t>
  </si>
  <si>
    <t>HBSJ 40mm</t>
  </si>
  <si>
    <t>Casurina Props 10 to 13 m dia @ 75m c/c cost for 1 
operation 25.20/5=5.040 p-21 it-146/b</t>
  </si>
  <si>
    <t>Precasted slab Standardised Cement comncrete M 20 grade</t>
  </si>
  <si>
    <t xml:space="preserve"> --------------------</t>
  </si>
  <si>
    <t>Add sundries</t>
  </si>
  <si>
    <t>Rate for 10 sqm</t>
  </si>
  <si>
    <t>.</t>
  </si>
  <si>
    <t>Rate for 1 sqm, for 3m ht.</t>
  </si>
  <si>
    <t>Rate for 1 sqm, for 1m ht.</t>
  </si>
  <si>
    <t>Augering 30 cm dia</t>
  </si>
  <si>
    <t>18.1.a.</t>
  </si>
  <si>
    <t>Form work for Plinth beam, Grade beam, Raft beam</t>
  </si>
  <si>
    <t>Form work for Roof and lintels using M.S sheet</t>
  </si>
  <si>
    <t>Form work for Small quantity and column using M.S. sheet</t>
  </si>
  <si>
    <t>MASON II CLASS</t>
  </si>
  <si>
    <t>d.</t>
  </si>
  <si>
    <t>Form work for Vertical walls</t>
  </si>
  <si>
    <t>MAZDOORI CLASS</t>
  </si>
  <si>
    <t>Hire charges for O2296TOOLS PLANTS at 10% of labour</t>
  </si>
  <si>
    <t>A.C .sheet Roofing with ridge piece</t>
  </si>
  <si>
    <t>A.C. sheet 6mm thick p -44 /72</t>
  </si>
  <si>
    <t>pairs</t>
  </si>
  <si>
    <t>Adjustable ridges p-44 it-74</t>
  </si>
  <si>
    <t>Pairs</t>
  </si>
  <si>
    <t>set</t>
  </si>
  <si>
    <t>U' bolts and nuts p-44 it-75</t>
  </si>
  <si>
    <t>Fitter - II</t>
  </si>
  <si>
    <t>Carpenter - I</t>
  </si>
  <si>
    <t>Mazdoor - I</t>
  </si>
  <si>
    <t xml:space="preserve">Sundries  for white lead </t>
  </si>
  <si>
    <t>A.C .sheet Roofing without ridge piece</t>
  </si>
  <si>
    <t>A.C. sheet 6mm thick fully corrugated</t>
  </si>
  <si>
    <t>U bolts &amp; Nuts</t>
  </si>
  <si>
    <t>Pre cast slab 50mm thick in c.c. 1:3:6 mixed with fibre of size .28 x .28 m , 50mm thick</t>
  </si>
  <si>
    <t>Pcc slab - 500 x .28 x .28 = 39.2 Sq.m</t>
  </si>
  <si>
    <t xml:space="preserve">                =39.2 x .05 =1.96 cum</t>
  </si>
  <si>
    <t>Rate per 1 Sqm</t>
  </si>
  <si>
    <t>C.C 1:3:6 using 20mm HBS</t>
  </si>
  <si>
    <t>Mason I class</t>
  </si>
  <si>
    <t>Mazdoor II class</t>
  </si>
  <si>
    <t>Moulding charge</t>
  </si>
  <si>
    <r>
      <t xml:space="preserve">Providing wooden </t>
    </r>
    <r>
      <rPr>
        <b/>
        <sz val="12"/>
        <rFont val="Helv"/>
      </rPr>
      <t>MELAMEN DOOR POLISH</t>
    </r>
  </si>
  <si>
    <t>Cutting, Transporting , Laying &amp; Pointing charges</t>
  </si>
  <si>
    <t>For New Wood</t>
  </si>
  <si>
    <t>Packet</t>
  </si>
  <si>
    <t xml:space="preserve">Fibre (125g/packet) Qtn </t>
  </si>
  <si>
    <t>Contain a size 1.2x2.1 m</t>
  </si>
  <si>
    <t>Area of Polishing 1x1x2.25x1.2x2.1+5.67m2</t>
  </si>
  <si>
    <t>Rate for 39.2 sqm</t>
  </si>
  <si>
    <t xml:space="preserve">Sand paper No 50 (Qtn) </t>
  </si>
  <si>
    <t>Sand paper No 80</t>
  </si>
  <si>
    <t>Sand paper No 100</t>
  </si>
  <si>
    <t>Wooden filter</t>
  </si>
  <si>
    <t>liter</t>
  </si>
  <si>
    <t>sand seal thinner</t>
  </si>
  <si>
    <t>Thinner</t>
  </si>
  <si>
    <t>Squat urinal including all accesseries (LSR new Item -4)p -59/i207</t>
  </si>
  <si>
    <t>Water Emery No 250</t>
  </si>
  <si>
    <t>Water Emery No 320</t>
  </si>
  <si>
    <t>Water Emery No 400</t>
  </si>
  <si>
    <t>gm</t>
  </si>
  <si>
    <t>Teak Powder</t>
  </si>
  <si>
    <t>100gm</t>
  </si>
  <si>
    <t>Red Powder</t>
  </si>
  <si>
    <t>500gm</t>
  </si>
  <si>
    <t xml:space="preserve"> Fresh Chalk Powder</t>
  </si>
  <si>
    <t xml:space="preserve">MELAMEN matt Qtn </t>
  </si>
  <si>
    <t>MELAMEN  Glozy</t>
  </si>
  <si>
    <t>Thinner 106</t>
  </si>
  <si>
    <t>Banian waste</t>
  </si>
  <si>
    <t>S &amp; F of Flat urinal (white)</t>
  </si>
  <si>
    <t>3" Brush</t>
  </si>
  <si>
    <t>1No</t>
  </si>
  <si>
    <t>Flat back urinal including all accesseries p-50/136 1</t>
  </si>
  <si>
    <t>2" Flat Brush</t>
  </si>
  <si>
    <t>Plumber I class</t>
  </si>
  <si>
    <t>PAINTER- I Class</t>
  </si>
  <si>
    <t>PAINTER - II  Class</t>
  </si>
  <si>
    <t>Mazdoor - II  Class</t>
  </si>
  <si>
    <t>Add sundries for CM 1:3</t>
  </si>
  <si>
    <t>Ls</t>
  </si>
  <si>
    <t xml:space="preserve">Bladder &amp; Tools </t>
  </si>
  <si>
    <t>----------------------</t>
  </si>
  <si>
    <r>
      <t xml:space="preserve">TOTAL FOR </t>
    </r>
    <r>
      <rPr>
        <b/>
        <sz val="12"/>
        <rFont val="Helv"/>
      </rPr>
      <t>5.67</t>
    </r>
    <r>
      <rPr>
        <sz val="11"/>
        <color theme="1"/>
        <rFont val="Calibri"/>
        <family val="2"/>
        <scheme val="minor"/>
      </rPr>
      <t xml:space="preserve"> SQM</t>
    </r>
  </si>
  <si>
    <t xml:space="preserve">              Providing shahabad stone grey colour of 20mm thick in C.M 1:3</t>
  </si>
  <si>
    <t>COST OF Shahabad stone grey colour (Polished Shahabad stone 20mm thick with machine cut edges of size 2' x 2' below) p -42/ 30</t>
  </si>
  <si>
    <t>Cement slurry</t>
  </si>
  <si>
    <t>1000 Kg</t>
  </si>
  <si>
    <t>Pigment (20.03+23.13)/2 =21.58 p37 ( 9 &amp;10/2)</t>
  </si>
  <si>
    <t xml:space="preserve">Mason II </t>
  </si>
  <si>
    <t>Providing rajasthan kota stone of 20mm thick in C.M 1:3</t>
  </si>
  <si>
    <t>Providing rajasthan kota stone slabs of of 20mm thick with machine cut edges of size below in C.M 1:3 p-42 sl.32</t>
  </si>
  <si>
    <t>Pigment</t>
  </si>
  <si>
    <t>RED OXIDE PLASTERING C.M 1:4, 20MM THICK</t>
  </si>
  <si>
    <t>C.M 1:4 , 20MM THICK</t>
  </si>
  <si>
    <t>RED OXIDE p37/i24</t>
  </si>
  <si>
    <t xml:space="preserve">M.S VENTILATOR OF SIZE - 600 X 1350mm ( 1 No ) </t>
  </si>
  <si>
    <t xml:space="preserve">ALROUND M.S FLAT OF SIZE 50 X 10mm      = 3.9 M X 3.9 Kg/Met </t>
  </si>
  <si>
    <t>SQUARE BARS OF SIZE 20 x 20mm               = 12Nos X .6M 3.14 Kg/Met</t>
  </si>
  <si>
    <t>M.S FLAT OF SIZE 25 X 6mm HORIZONTAL = 1 X 2 X 1.2 Kg/Met</t>
  </si>
  <si>
    <t>VERTICAL                                                             = 1 X 3 X 0.6 X 1.2 Kg/Met</t>
  </si>
  <si>
    <t xml:space="preserve"> ============</t>
  </si>
  <si>
    <t>Steel</t>
  </si>
  <si>
    <t>Weld Mesh of size 7.5 x 2.5 cm 10 gauge</t>
  </si>
  <si>
    <t>Fly proof  Mesh</t>
  </si>
  <si>
    <t>Hings</t>
  </si>
  <si>
    <t>Rate for 1 No.</t>
  </si>
  <si>
    <t xml:space="preserve">M.S VENTILATOR OF SIZE - 600 X 900mm ( 1 No ) </t>
  </si>
  <si>
    <t xml:space="preserve">ALROUND M.S FLAT OF SIZE 50 X 10mm      = 3.0 M X 3.925 Kg/Met </t>
  </si>
  <si>
    <t>SQUARE BARS OF SIZE 20 x 20mm               = 8Nos X 0.6M 3.14 Kg/Met</t>
  </si>
  <si>
    <t>M.S FLAT OF SIZE 25 X 6mm HORIZONTAL = 1 X 2 X0.9 x 1.2 Kg/Met</t>
  </si>
  <si>
    <t>ADD FOR BUILDING</t>
  </si>
  <si>
    <t>=============</t>
  </si>
  <si>
    <t>Rate per sqm</t>
  </si>
  <si>
    <t xml:space="preserve">M.S VENTILATOR OF SIZE - 600 X 600mm ( 1 No ) </t>
  </si>
  <si>
    <t xml:space="preserve">ALROUND M.S FLAT OF SIZE 50 X 10mm      = 2.4 M X 3.925 Kg/Met </t>
  </si>
  <si>
    <t>SQUARE BARS OF SIZE 20 x 20mm               =5Nos X 0.6M 3.14 Kg/Met</t>
  </si>
  <si>
    <t>M.S FLAT OF SIZE 25 X 6mm HORIZONTAL = 1 X 2 X0.6 x 1.2 Kg/Met</t>
  </si>
  <si>
    <t xml:space="preserve">M.S VENTILATOR OF SIZE -1285 X 600mm ( 1 No ) </t>
  </si>
  <si>
    <t xml:space="preserve">ALROUND M.S FLAT OF SIZE 50 X 10mm      = 3.77 M X 3.9 Kg/Met </t>
  </si>
  <si>
    <t>SQUARE BARS OF SIZE 20 x 20mm               =12Nos X 0.6M 3.14 Kg/Met</t>
  </si>
  <si>
    <t>M.S FLAT OF SIZE 25 X 6mm HORIZONTAL = 1 X 2 X1.285 x 1.2 Kg/Met</t>
  </si>
  <si>
    <t>Chicken Mesh</t>
  </si>
  <si>
    <t>Hinges</t>
  </si>
  <si>
    <t xml:space="preserve">M.S DOOR OF SIZE 1000 X 2100mm </t>
  </si>
  <si>
    <t>WEIGHT OF MATERIAL</t>
  </si>
  <si>
    <t xml:space="preserve">M.S FLAT OF SIZE 50 X 10mm    = 1.00 X .05 X .01 X 7850 Kg/CUM </t>
  </si>
  <si>
    <t xml:space="preserve">M.S SQUARE BAR 20 X 20mm    = 1.00 X .02 X .02 X 7850 Kg/CUM </t>
  </si>
  <si>
    <t xml:space="preserve">M.S FLAT OF SIZE 25 X 6mm    = 1.00 X .025 X .06 X 7850 Kg/CUM </t>
  </si>
  <si>
    <t>M.S FLAT OF SIZE 50 X 10mm ALROUND            = 1 X 1 X 6.20 X 3.92 Kg/m</t>
  </si>
  <si>
    <t>M.S SQUARE BAR 20 X 20mm HORIZONTAL    = 1 X 3 X 1 X 3.295KG/m</t>
  </si>
  <si>
    <t>M.S FLAT OF SIZE 20 X 20mm                               = 1 X 9 X 2.10 X 3.14Kg/m</t>
  </si>
  <si>
    <t>M.S FLAT OF SIZE 25 X 6mm VERTICAL           = 1 X 2 X 2.10 X 1.2Kg/m</t>
  </si>
  <si>
    <t>M.S FLAT OF SIZE 25 X 6mm HORIZONTAL            = 1 X 4 X 1 X 1.2Kg</t>
  </si>
  <si>
    <t>ADD FOR WELDING</t>
  </si>
  <si>
    <t>1285 x 600mm</t>
  </si>
  <si>
    <t>STEEL</t>
  </si>
  <si>
    <t>Fly proof mesh</t>
  </si>
  <si>
    <t>FOR HINGES</t>
  </si>
  <si>
    <t>LOCKING MATERIAL COST</t>
  </si>
  <si>
    <t>RATE FOR 1 NO</t>
  </si>
  <si>
    <t xml:space="preserve">M.S DOOR OF SIZE 750 X1350mm </t>
  </si>
  <si>
    <t xml:space="preserve">M.S FLAT OF SIZE 50 X 10mm    =0.75 X .05 X .01 X 7850 Kg/CUM </t>
  </si>
  <si>
    <t xml:space="preserve">M.S SQUARE BAR 20 X 20mm    = 0.75X .02 X .02 X 7850 Kg/CUM </t>
  </si>
  <si>
    <t xml:space="preserve">M.S FLAT OF SIZE 25 X 6mm    = 0.75 X .025 X .06 X 7850 Kg/CUM </t>
  </si>
  <si>
    <t>M.S FLAT OF SIZE 50 X 10mm ALROUND            = 1 X 1 X4.20 X 3.9Kg/m</t>
  </si>
  <si>
    <t>M.S SQUARE BAR 20 X 10mm HORIZONTAL    = 1 X 3 X 0.75 X 3.29KG/m</t>
  </si>
  <si>
    <t xml:space="preserve">ALROUND M.S FLAT OF SIZE 50 X 10mm      = 3.77 M X 3.925 Kg/Met </t>
  </si>
  <si>
    <t>M.S FLAT OF SIZE 20 X 20mm                               = 1 X 9 X1.35 X 3.11Kg/m</t>
  </si>
  <si>
    <t>M.S FLAT OF SIZE 25 X 6mm VERTICAL           = 1 X 2 X1.35 X 1.2Kg/m</t>
  </si>
  <si>
    <t>M.S FLAT OF SIZE 25 X 6mm HORIZONTAL            = 1 X 4 X 0.75 X 1.2Kg</t>
  </si>
  <si>
    <t>Steel (p-21 it-130 )</t>
  </si>
  <si>
    <t>Weld Mesh</t>
  </si>
  <si>
    <t>Fly proof  Mesh p-22 it- 167/130</t>
  </si>
  <si>
    <t xml:space="preserve">T.W DOOR SHUTTER TWO LEAVES(1800 X 2100 mm </t>
  </si>
  <si>
    <t xml:space="preserve">SHUTTER AREA      = 2X0.85 X 2.025                         </t>
  </si>
  <si>
    <t>STYLES (OVER 2m) = 2 X 2 X 2.025 X 0.075 X 0.0375         = 0.0228</t>
  </si>
  <si>
    <t xml:space="preserve">RAILS (BELOW 2M) = 2 X 3 X 0.85 X 0.15 X 0.0375          </t>
  </si>
  <si>
    <t xml:space="preserve">              2X 3 X 0.85 X 0.075 X 0.0375     </t>
  </si>
  <si>
    <t xml:space="preserve">PLANKS : 2 X 4 X 0.725 X 0.30 X 0.01875    </t>
  </si>
  <si>
    <t xml:space="preserve">                  2 X 1 X 0.725 X 0.30 X 0.01875    </t>
  </si>
  <si>
    <t>MAIN DATA</t>
  </si>
  <si>
    <t>T.W SCANTLING over 2m</t>
  </si>
  <si>
    <r>
      <t xml:space="preserve">T.W DOUBLE LEAVES FULLY PANELLED DOOR SHUTTER FOR DOOR OF SIZE   (2000 X 2100 mm) </t>
    </r>
    <r>
      <rPr>
        <b/>
        <sz val="14"/>
        <rFont val="Arial"/>
        <family val="2"/>
      </rPr>
      <t>WITH BRASS FITTINGS</t>
    </r>
  </si>
  <si>
    <t xml:space="preserve">SHUTTER AREA      = 2X0.95 X 2.025                         </t>
  </si>
  <si>
    <t xml:space="preserve">RAILS (BELOW 2M) = 2 X 3 X 0.95 X 0.15 X 0.0375          </t>
  </si>
  <si>
    <t xml:space="preserve">              2X 3 X 0.95 X 0.075 X 0.0375     </t>
  </si>
  <si>
    <t>CHICKEN MESH</t>
  </si>
  <si>
    <t xml:space="preserve">PLANKS : 2 X 4 X 0.825 X 0.30 X 0.01875    </t>
  </si>
  <si>
    <t xml:space="preserve">                  2 X 1 X 0.825 X 0.30 X 0.01875    </t>
  </si>
  <si>
    <t>RATE FOR 3.443 SQM</t>
  </si>
  <si>
    <t>T.W DOOR SHUTTER TWO LEAVES(1500 X 2100 mm ) with Brass Fittings</t>
  </si>
  <si>
    <t>SHUTTER AREA      = 2X0.7 X 2.025                                    = 2.835 Sqm</t>
  </si>
  <si>
    <t>RAILS (BELOW 2M) = 2 X 3 X 0.70 X 0.15 X 0.0375              =0.0236</t>
  </si>
  <si>
    <t xml:space="preserve">              2X 3 X 0.7 X 0.075 X 0.0375           = 0.0118</t>
  </si>
  <si>
    <t>T.W DOOR SHUTTER TWO LEAVES(1200 X 2100 mm ) with Brass Fittings</t>
  </si>
  <si>
    <t>PLANKS : 2 X 4 X 0.575 X 0.30 X 0.01875     = 0.0259</t>
  </si>
  <si>
    <t>SHUTTER AREA      = 2X0.55 X 2.025                                    = 2.23 Sqm</t>
  </si>
  <si>
    <t xml:space="preserve">                  2 X 1 X 0.575 X 0.30 X 0.01875     = 0.0065</t>
  </si>
  <si>
    <t>RATE FOR 3.8475 SQM</t>
  </si>
  <si>
    <t>RAILS (BELOW 2M) = 2 X 3 X 0.55 X 0.15 X 0.0375              =0.0186</t>
  </si>
  <si>
    <t xml:space="preserve">              2X 3 X 0.55 X 0.075 X 0.0375           = 0.0093</t>
  </si>
  <si>
    <t>T.W PLANKS (30.45 CM) (12 TO 25CM THICK) p-19 it-110</t>
  </si>
  <si>
    <t>PLANKS : 2 X 4 X 0.425 X 0.30 X 0.01875     = 0.019</t>
  </si>
  <si>
    <t xml:space="preserve">                  2 X 1 X 0.425 X 0.30 X 0.01875     = 0.0048</t>
  </si>
  <si>
    <t>With Brass Filltings</t>
  </si>
  <si>
    <t>DOOR HANDLE Mejastic</t>
  </si>
  <si>
    <t>6" Brass HINGES</t>
  </si>
  <si>
    <t>8" BRASS TOWER BOLTS</t>
  </si>
  <si>
    <t>Mortice lock with handle</t>
  </si>
  <si>
    <t>RUBBER BUSH</t>
  </si>
  <si>
    <t>T.W PLANKS (30.45 CM) (12 TO 25CM THICK)</t>
  </si>
  <si>
    <t>Annexure</t>
  </si>
  <si>
    <t>RATE FOR 2.23 SQM</t>
  </si>
  <si>
    <t>Shutter middle rail(Horizantal) -1X2X0.4X0.15X0.0375=0.0045</t>
  </si>
  <si>
    <t>Shutter(OSL Board)      -2X2X.85X0.4=1.36m2</t>
  </si>
  <si>
    <t xml:space="preserve"> 4"X5/8"ALU.TOWER BOLT</t>
  </si>
  <si>
    <t xml:space="preserve"> ORNAMENTAL  HANDLE WITH SCREWS 100mm</t>
  </si>
  <si>
    <t>LOCKS &amp;KEY</t>
  </si>
  <si>
    <t xml:space="preserve"> ORNAMENTAL  HANDLE WITH SCREWS</t>
  </si>
  <si>
    <t>Supplying,Manufacturing and fixing of cloth drying arrangements data for 1 set</t>
  </si>
  <si>
    <t xml:space="preserve">Cost of 32 mm dia G.I pipe </t>
  </si>
  <si>
    <t>Rm</t>
  </si>
  <si>
    <t>Cost of MS angle 35 x 35x 4mm (2x.6x2.1 kg/m)</t>
  </si>
  <si>
    <t>Cost of Square bars (2x.5x1.13kg/m)</t>
  </si>
  <si>
    <t>Cost of 1clamp 10mm (3x.15x.78)</t>
  </si>
  <si>
    <t xml:space="preserve">Labour charges for welding </t>
  </si>
  <si>
    <t>Cost of fixturehooks</t>
  </si>
  <si>
    <t>Fixing of screws,painting etc.,</t>
  </si>
  <si>
    <t>Rate for 1 set</t>
  </si>
  <si>
    <t>Certified that the observed datas prepard based on the actuals in curred at the time of execution and least amount to the best of my Knowledge.</t>
  </si>
  <si>
    <t>S&amp; F of MS angle of size 35 x35 x 5 mm for stair case steps (.95m)</t>
  </si>
  <si>
    <t>Data for 16 steps - 16*2.6kgs = 41.60 kgs</t>
  </si>
  <si>
    <t xml:space="preserve">Cost of MS angle </t>
  </si>
  <si>
    <t>Stone cutter I</t>
  </si>
  <si>
    <t>Mason I</t>
  </si>
  <si>
    <t>CC 1:2:4,Screws, MS flat, welding charges,painting etc.,</t>
  </si>
  <si>
    <t>Rate for 16 steps</t>
  </si>
  <si>
    <t>Rs.</t>
  </si>
  <si>
    <t>Rate for 1 steps</t>
  </si>
  <si>
    <t>Rate per 1m</t>
  </si>
  <si>
    <t>Primer coat using white cement</t>
  </si>
  <si>
    <t>ABOVE G.L (Fully concealed in walls).</t>
  </si>
  <si>
    <t>SUNDRIES for dismantling &amp; packing the dismantled 
portion</t>
  </si>
  <si>
    <t>GROUND LEVEL(OR) FIXING ON WALLS FULLY CONCEALED TO THE</t>
  </si>
  <si>
    <t>C.W.SINGLY LEAF FULLY PANELLED</t>
  </si>
  <si>
    <t>Anticorrosive Treatment for Window M.S. Grills.</t>
  </si>
  <si>
    <t>SHUTTER SIZE-.9X2.025   =1.8225M2</t>
  </si>
  <si>
    <t>litres</t>
  </si>
  <si>
    <t>Zite Zinc primer ( qtn)</t>
  </si>
  <si>
    <t>litre</t>
  </si>
  <si>
    <t>STYLES(OVER 2M) -1X2X2.025X0.125X0.0375=0.01898</t>
  </si>
  <si>
    <t>Brush</t>
  </si>
  <si>
    <t>Painter I st Class</t>
  </si>
  <si>
    <t>RAILS(BELOW 2M)- 1X4X0.9X0.15X0.0375=      0.02025</t>
  </si>
  <si>
    <t xml:space="preserve">               - 1X2X0.731X0.125X0.0375 =0.00685</t>
  </si>
  <si>
    <t>Rate for 1 MT</t>
  </si>
  <si>
    <t>PLANKS      -1X4X0.60625X02825X0.01875=</t>
  </si>
  <si>
    <t xml:space="preserve">             -1X1X0675X0.2825X0.01875=</t>
  </si>
  <si>
    <t>Providing Single under reamed Pile of 4.50m depth,375mm dia</t>
  </si>
  <si>
    <t>C.W SCANTLING  UPTO 4M LONG (PADAK)</t>
  </si>
  <si>
    <t>Volume of Concrete = 3.14/4*0.3*0.3 (3.50+(1*6*0.3))</t>
  </si>
  <si>
    <t>C.W PLANKS 25mm thick &amp; 30cm wide.</t>
  </si>
  <si>
    <t>TW panelled Door 1800X2400 Double leaves</t>
  </si>
  <si>
    <t>Shutter size 2 x 0.85 x 2.325m</t>
  </si>
  <si>
    <t>Main Data</t>
  </si>
  <si>
    <t>T.W PLANKS  (30 TO 45CM wide, 12 - 25mm THICK)</t>
  </si>
  <si>
    <t>RCC 1:11/2:3 excluding vibrating charges</t>
  </si>
  <si>
    <t>Cement extra @ 10% (323.1*.37)</t>
  </si>
  <si>
    <t>Brass screws</t>
  </si>
  <si>
    <t xml:space="preserve">Ls </t>
  </si>
  <si>
    <t>Add for tools &amp; Plant</t>
  </si>
  <si>
    <t>TOTAL FOR 1.82250SQM</t>
  </si>
  <si>
    <t>_______________________</t>
  </si>
  <si>
    <t>For 3.50m depth</t>
  </si>
  <si>
    <t>For 1m depth</t>
  </si>
  <si>
    <t>Four horizontal &amp; one vertical Panel</t>
  </si>
  <si>
    <t>1200 X 2100MM</t>
  </si>
  <si>
    <t>Five horizontal panels</t>
  </si>
  <si>
    <t xml:space="preserve">             -1X1X0.675X0.2825X0.01875=</t>
  </si>
  <si>
    <t>SHUTTER SIZE-1.10X2.025   =2.2275M2</t>
  </si>
  <si>
    <t>RAILS(BELOW 2M)- 1X3X1.10X0.15X0.0375=      0.01856</t>
  </si>
  <si>
    <t xml:space="preserve">                                         - 1X3X1.10X0.075X0.0375 =  0.00928</t>
  </si>
  <si>
    <t>PLANKS      -1X5X0.9625X02825X0.01875=</t>
  </si>
  <si>
    <t xml:space="preserve">brass DOOR HANDLE 150mm long </t>
  </si>
  <si>
    <t>5" Brass BUTT HINGS</t>
  </si>
  <si>
    <t xml:space="preserve"> 6"x1/2" Brass TOWER BOLT </t>
  </si>
  <si>
    <t>10"x5/8" Brass ALDROP</t>
  </si>
  <si>
    <t>WIDE&amp;12 to 25mm thick</t>
  </si>
  <si>
    <t>Sundries for brass scruew</t>
  </si>
  <si>
    <t>MDF</t>
  </si>
  <si>
    <t>TOTAL FOR 2.2275SQM</t>
  </si>
  <si>
    <t>MDF board exterior grade both side pre laminated including external lipping with kiln dried soft wood 35mm thick</t>
  </si>
  <si>
    <t xml:space="preserve">LABOUR FOR WROUGHT&amp;PUTUP p 33/156 a single </t>
  </si>
  <si>
    <t xml:space="preserve">Four horizontal panels </t>
  </si>
  <si>
    <t>&amp; one vertical panel</t>
  </si>
  <si>
    <t>TOTAL FOR 1.823SQM</t>
  </si>
  <si>
    <t>SHUTTER SIZE-1.10X2.05   =2.255M2</t>
  </si>
  <si>
    <t>STYLES(OVER 2M) -1X2X2.05X0.125X0.0375=0.01922</t>
  </si>
  <si>
    <t>RAILS(BELOW 2M)- 1X4X1.10X0.15X0.0375=      0.02475</t>
  </si>
  <si>
    <t>MDF  double leaf shutter with TW alround frame for ward robe / cup board</t>
  </si>
  <si>
    <t xml:space="preserve">                                         - 1X2X0.74X0.075X0.0375 =  0.00416</t>
  </si>
  <si>
    <t>PLANKS      -1X4X0.60625X02825X0.01875=0.01284</t>
  </si>
  <si>
    <t>PLANKS      -1X1X0.975X02825X0.01875=0.00516</t>
  </si>
  <si>
    <t>Shutter(MDF Board)      -2X2X.85X0.4=1.36m2</t>
  </si>
  <si>
    <t>TOTAL FOR 2.255SQM</t>
  </si>
  <si>
    <t>MDF board 18mm thk exterior grade one side prelaminated.</t>
  </si>
  <si>
    <t>LABOUR CHARGE FOR SHUTTER (Double leaf) p/33 /156 b</t>
  </si>
  <si>
    <t>LOCKS &amp;KEY ( qtn)</t>
  </si>
  <si>
    <t xml:space="preserve">Supply,Laying &amp; Concealing the 50mm dia PVC (SWR) pipe </t>
  </si>
  <si>
    <t xml:space="preserve"> with ISI mark confirming to 13952:1992-type 'B'</t>
  </si>
  <si>
    <r>
      <t xml:space="preserve">50 mm dia PVC (SWR) pipe </t>
    </r>
    <r>
      <rPr>
        <sz val="12"/>
        <color indexed="13"/>
        <rFont val="Arial"/>
        <family val="2"/>
      </rPr>
      <t>( qtn)</t>
    </r>
  </si>
  <si>
    <t>PVC bend</t>
  </si>
  <si>
    <t>sundries for finishing dismantled portion</t>
  </si>
  <si>
    <t>Rate for 2Rmt.</t>
  </si>
  <si>
    <t>Rate per 1Rmt.</t>
  </si>
  <si>
    <t>RCC 1:2:4 for Earth quake resistance arrangements at corner of brick wall including cost of concrete, farication &amp; curing etc.,  data for 2.1m.</t>
  </si>
  <si>
    <t xml:space="preserve">RATE PER CUM </t>
  </si>
  <si>
    <t>RCC 1:2:4 for earth quake resistance arrangements for door/window james.</t>
  </si>
  <si>
    <r>
      <t>concrete  (0.23 x .075 x 2.1 =</t>
    </r>
    <r>
      <rPr>
        <b/>
        <sz val="12"/>
        <rFont val="Arial"/>
        <family val="2"/>
      </rPr>
      <t xml:space="preserve"> 0.036 cum</t>
    </r>
    <r>
      <rPr>
        <sz val="12"/>
        <rFont val="Arial"/>
        <family val="2"/>
      </rPr>
      <t>)</t>
    </r>
  </si>
  <si>
    <t>Steel 8RTS ( 2 x 2.7 x0.3950 = 2.133 kg)</t>
  </si>
  <si>
    <t>Ties 6RTS (0.28 x 15 x 0.222 = 0.932 kg)</t>
  </si>
  <si>
    <t>Total      3.065 kg</t>
  </si>
  <si>
    <r>
      <t xml:space="preserve">Form Work  Small qty.  0.38 x 2.1 = </t>
    </r>
    <r>
      <rPr>
        <b/>
        <sz val="12"/>
        <rFont val="Arial"/>
        <family val="2"/>
      </rPr>
      <t>0.798 sqm</t>
    </r>
  </si>
  <si>
    <t>a. In Ground Floor</t>
  </si>
  <si>
    <t>*2</t>
  </si>
  <si>
    <t>RCC 1:2:4 using 3-10mm HBGS</t>
  </si>
  <si>
    <t xml:space="preserve">steel </t>
  </si>
  <si>
    <t xml:space="preserve">Form Work  Small qty. </t>
  </si>
  <si>
    <t>Total     for 2.1m</t>
  </si>
  <si>
    <t>b. In First Floor</t>
  </si>
  <si>
    <t>c. In  Second Floor</t>
  </si>
  <si>
    <t>d. In  Third Floor</t>
  </si>
  <si>
    <t>SHUTTER SIZE-0.8X2.05   =1.64 M2</t>
  </si>
  <si>
    <t>1200 X 2100MM single leaf</t>
  </si>
  <si>
    <t>SHUTTER SIZE-1.1X2.05   =2.255 M2</t>
  </si>
  <si>
    <t>TOTAL FOR 1.64 sqm</t>
  </si>
  <si>
    <t>Providing Double under reamed Pile of 6m depth,375mm dia</t>
  </si>
  <si>
    <t>Volume of Concrete = (2x4x.375x3.14/4*.375*.375)+(3.14/4x.375x.375x6)</t>
  </si>
  <si>
    <t>TOTAL FOR 2.255 sqm</t>
  </si>
  <si>
    <t>RCC 1:1.5:3 excluding vibrating charges</t>
  </si>
  <si>
    <t>Cement extra @ 10%(323.1x.9935)</t>
  </si>
  <si>
    <t>For 6m depth</t>
  </si>
  <si>
    <t>Gravel Filling</t>
  </si>
  <si>
    <t>Filling charges</t>
  </si>
  <si>
    <t>supply &amp;fixing of cuddapah sink 600x600x200mmsize</t>
  </si>
  <si>
    <t>with 32mm GI waste pipe and 32mm CP waste coupling it-172 p-55</t>
  </si>
  <si>
    <t>Supply and fixing of Mirror of size 600x450mm size (p-56-it-184)</t>
  </si>
  <si>
    <t>Supply and fixing of Mirror of size500x400mm size (p-56 it-184 -ii)</t>
  </si>
  <si>
    <t>Supply and fixing of PVC flushing tank with all fittings</t>
  </si>
  <si>
    <t>10 lit. capacity. P- 68 / 220a</t>
  </si>
  <si>
    <t>SUPPLY AND FIXING EXSAUST FAN 225MM SWEEP</t>
  </si>
  <si>
    <t>Compact Fluoresent Lamp (CFL)</t>
  </si>
  <si>
    <t>a. 14W for Bath &amp; WC</t>
  </si>
  <si>
    <t>b. 18W for Bulkhead fittings</t>
  </si>
  <si>
    <t xml:space="preserve">S/F OF BULK HEAD FITTING for CFL </t>
  </si>
  <si>
    <t>10 lit. capacity.</t>
  </si>
  <si>
    <t>Plumber I</t>
  </si>
  <si>
    <t>Rate for Each</t>
  </si>
  <si>
    <t>1200 X 2100MM (Double Leaf)</t>
  </si>
  <si>
    <t>SHUTTER SIZE-1.1X2.025   =2.2275M2</t>
  </si>
  <si>
    <t>1500 X 2400MM (Double Leaf)</t>
  </si>
  <si>
    <t>SHUTTER SIZE-1.4X2.35   =3.29M2</t>
  </si>
  <si>
    <t>TOTAL FOR 2.2275 SQM</t>
  </si>
  <si>
    <t>1500 X 2100MM (Double Leaf)</t>
  </si>
  <si>
    <t>TOTAL FOR 3.29 SQM</t>
  </si>
  <si>
    <t>SHUTTER SIZE-1.4X2.05   =2.87 M2</t>
  </si>
  <si>
    <t>TOTAL FOR 2.87 SQM</t>
  </si>
  <si>
    <t>TW  frame &amp; TW styles &amp; rails with 9 mm thick BWR double leaf shutter for ward robe / cup board</t>
  </si>
  <si>
    <t>Shutter(BWR Plywood)      -2X2X.85X0.4=1.36m2</t>
  </si>
  <si>
    <t>TW single leaf glazed window shutter of size 3.08 x 2.1cm</t>
  </si>
  <si>
    <t xml:space="preserve">SHUTTER SIZE0- 3.08 x 2.1  </t>
  </si>
  <si>
    <t>STYLES(OVER 2M) -1X4X2.05X0.075X0.0375</t>
  </si>
  <si>
    <t>15mm dia half turn CP tap</t>
  </si>
  <si>
    <t>Engineering Polymer Tap  short body tap for coastal area only</t>
  </si>
  <si>
    <t xml:space="preserve">9mm thick BWR ply wood </t>
  </si>
  <si>
    <t>Sub-Data</t>
  </si>
  <si>
    <t>RAILS(BELOW 2M)- 2X3X0.55X0.15X0.0375</t>
  </si>
  <si>
    <t>Labour charge</t>
  </si>
  <si>
    <t xml:space="preserve"> 4"X5/8"ALU.TOWER BOLT p -46/i 95f </t>
  </si>
  <si>
    <t xml:space="preserve">Nos </t>
  </si>
  <si>
    <t>Plywood      -1X2X0.625X0.425</t>
  </si>
  <si>
    <t>gram</t>
  </si>
  <si>
    <t>Shellac p-54/156</t>
  </si>
  <si>
    <t>100 gms</t>
  </si>
  <si>
    <t>Shellac p-49</t>
  </si>
  <si>
    <t>Plywood      -1X2X1.025X0.425</t>
  </si>
  <si>
    <t>Thread ball p-54/158</t>
  </si>
  <si>
    <t>Thread ball p-49</t>
  </si>
  <si>
    <t>TWO COATS of enamel paint incl. Primer</t>
  </si>
  <si>
    <t>Total/1 No</t>
  </si>
  <si>
    <t>SUNDRIES FOR NAILS,PLUGS &amp; Brass screws ETC.</t>
  </si>
  <si>
    <t>Long body</t>
  </si>
  <si>
    <t>short body</t>
  </si>
  <si>
    <t xml:space="preserve">French Window  OF Size  3080 X2100 MM </t>
  </si>
  <si>
    <t>Cost of Tap</t>
  </si>
  <si>
    <t>T.W.SCANTLING belw 2M length</t>
  </si>
  <si>
    <t>4mm thick pin headed glass</t>
  </si>
  <si>
    <t>Rmt.</t>
  </si>
  <si>
    <t>TW beeding 15 x 12 mm</t>
  </si>
  <si>
    <t>Bottle trap with UPVC coupling</t>
  </si>
  <si>
    <t>Providing tee with end cap</t>
  </si>
  <si>
    <t>Bottle trap (Polymer range)</t>
  </si>
  <si>
    <t>PVC Tee 32mm dia (p-100 D-d)</t>
  </si>
  <si>
    <t>200 mm x 12 mm Alu. Towerbolt</t>
  </si>
  <si>
    <t>UPVC coupling</t>
  </si>
  <si>
    <t>PVC end cap 32mm dia (p-100 E-d)</t>
  </si>
  <si>
    <t xml:space="preserve">6" Handle </t>
  </si>
  <si>
    <t>Plumber - I</t>
  </si>
  <si>
    <t>Sundries for brass scrwew</t>
  </si>
  <si>
    <t>TOTAL FOR 5.16 sqm</t>
  </si>
  <si>
    <t xml:space="preserve">French Window  OF Size  1070 X2100 MM </t>
  </si>
  <si>
    <t>SHUTTER SIZE0-.9X2.05   =1.845M2</t>
  </si>
  <si>
    <t>RAILS(BELOW 2M)- 1X3X0.9X0.15X0.0375=      0.0152</t>
  </si>
  <si>
    <t>Plywood      -1X1X0.775X0.64=0.496</t>
  </si>
  <si>
    <t>1200 x 2100mm</t>
  </si>
  <si>
    <t>Plywood      -1X1X0.985X0.775=0.763</t>
  </si>
  <si>
    <t xml:space="preserve">SHUTTER SIZE0-1.1 X 2.05  </t>
  </si>
  <si>
    <t>STYLES(OVER 2M) -1X2X2.05X0.075X0.0375</t>
  </si>
  <si>
    <t>TOTAL FOR 1.74 sqm</t>
  </si>
  <si>
    <t>RAILS(BELOW 2M)- 1X3X1.1X0.15X0.0375</t>
  </si>
  <si>
    <t>Plywood      -1X1X0.625X0.975</t>
  </si>
  <si>
    <t xml:space="preserve">French Window  OF Size  1500 X2000 MM </t>
  </si>
  <si>
    <t>2*2*0.075*.0375*1.95</t>
  </si>
  <si>
    <t>2*2*0.065*.0075*0.375</t>
  </si>
  <si>
    <t>T.W</t>
  </si>
  <si>
    <t>DOOR OF SIZE 1200 X2100 MM Double leaf</t>
  </si>
  <si>
    <t>2*0.65*1.95</t>
  </si>
  <si>
    <t>1*2*0.525*1.825</t>
  </si>
  <si>
    <t>Glass panel</t>
  </si>
  <si>
    <t>2*2*(0.525+1.825)</t>
  </si>
  <si>
    <t>Beeding</t>
  </si>
  <si>
    <t>TOTAL FOR 1.845 SQM</t>
  </si>
  <si>
    <t>Cement Paint two coat for old wall</t>
  </si>
  <si>
    <t>TOTAL FOR 2.535 sqm</t>
  </si>
  <si>
    <t>Cemant paint</t>
  </si>
  <si>
    <t>painter I</t>
  </si>
  <si>
    <t>T.W.DOUBLE LEAF FULLY PANELLED</t>
  </si>
  <si>
    <t>1500 X 2400MM</t>
  </si>
  <si>
    <t xml:space="preserve">SHUTTER SIZE-1X2X.675X2.3125                                                                                 </t>
  </si>
  <si>
    <r>
      <t xml:space="preserve">STYLES(OVER 2M) -2X2X2.3125X0.15X0.0375                                                      </t>
    </r>
    <r>
      <rPr>
        <b/>
        <sz val="12"/>
        <rFont val="Arial"/>
        <family val="2"/>
      </rPr>
      <t xml:space="preserve">  = 0.052</t>
    </r>
  </si>
  <si>
    <t xml:space="preserve">RAILS(BELOW 2M)- </t>
  </si>
  <si>
    <t xml:space="preserve">Top &amp; Intermediate 2X3X0.675X0.15X0.0375       </t>
  </si>
  <si>
    <t>Cement Paint one coat for old wall</t>
  </si>
  <si>
    <t xml:space="preserve"> Bottom              - 1X2X0.675X0.20X0.0375 = 0.010125</t>
  </si>
  <si>
    <t>PLANKS      -2X2X0.5875X.4X0.01875</t>
  </si>
  <si>
    <t xml:space="preserve">             -1X2X0.5625X0.4X0.01875</t>
  </si>
  <si>
    <t>T.W PLANKS OVER 30 TO 45cm</t>
  </si>
  <si>
    <t>WIDE&amp;12TO25mm T.K p-19 it-110</t>
  </si>
  <si>
    <t xml:space="preserve">6" Alu. DOOR HANDLE </t>
  </si>
  <si>
    <t>10"X1/2"TOWER BOLT p46 95c</t>
  </si>
  <si>
    <t>12"X5/8"ALDROP p -46 96a</t>
  </si>
  <si>
    <t>RUBBERBUSH 40 DIA &amp; 60 MM LONG  p -46 sl.100</t>
  </si>
  <si>
    <t>Thorouh scrapping (p-31 slno.357 d)</t>
  </si>
  <si>
    <t>Alu. DOOR STOPPER p41 99</t>
  </si>
  <si>
    <t>TOTAL FOR  3.122 SQM</t>
  </si>
  <si>
    <t>T.W.DOUBLE LEAF 2/3 Glazed and 1/3 PANELLED</t>
  </si>
  <si>
    <t xml:space="preserve">                                                                 </t>
  </si>
  <si>
    <t>-----------------</t>
  </si>
  <si>
    <t>5.5 MM THK. GLASS                -2X2X0.5875X.40</t>
  </si>
  <si>
    <t>PLANKS              -1X2X0.5625X0.4X0.01875</t>
  </si>
  <si>
    <t>T.W. Beeding  - 2 x 2 x 1.975</t>
  </si>
  <si>
    <t>WIDE&amp;12TO25mm T.K p19 sl.110</t>
  </si>
  <si>
    <t>5.5 MM THICK PLAIN GLASS p49 sl.126</t>
  </si>
  <si>
    <t>T.W. beeding 15mm x 12 mm p46 85a</t>
  </si>
  <si>
    <t>LABOUR FOR WROUGHT&amp;PUTUP p33 sl.146 /4</t>
  </si>
  <si>
    <t>6" Alu. DOOR HANDLE p41/84</t>
  </si>
  <si>
    <t xml:space="preserve">  5"BUTT HINGS p40/77a</t>
  </si>
  <si>
    <t>10"X1/2"TOWER BOLT</t>
  </si>
  <si>
    <t>12"X5/8"ALDROP</t>
  </si>
  <si>
    <t xml:space="preserve">RUBBERBUSH 40 DIA &amp; 60 MM LONG </t>
  </si>
  <si>
    <t>Alu. DOOR STOPPER</t>
  </si>
  <si>
    <t>1200 X 2400MM</t>
  </si>
  <si>
    <t xml:space="preserve">SHUTTER SIZE-1X2X.525X2.3125                                                                                 </t>
  </si>
  <si>
    <t>Ornamental TW panelled Door 1800X2400 Double leaves</t>
  </si>
  <si>
    <t>Data and non scheduled items as per CER 2008-09 for PERURANI Scheme)</t>
  </si>
  <si>
    <t xml:space="preserve">Top &amp; Intermediate 2X3X0.525X0.15X0.0375       </t>
  </si>
  <si>
    <t xml:space="preserve"> Bottom              - 1X2X0.525X0.20X0.0375 = 0.010125</t>
  </si>
  <si>
    <t>T.W SCANTLING BELOW 2m</t>
  </si>
  <si>
    <t>labour charges for carving work</t>
  </si>
  <si>
    <t>WITH C.M(1:5)20mm THICK</t>
  </si>
  <si>
    <t>PLANKS      -2X2X0.25X.5875X0.01875</t>
  </si>
  <si>
    <t>Brass hinges 6"</t>
  </si>
  <si>
    <t xml:space="preserve">             -1X2X0.5625X0.25X0.01875</t>
  </si>
  <si>
    <t>16" brass tower bolt</t>
  </si>
  <si>
    <t>8" brass tower bolt</t>
  </si>
  <si>
    <t>10" brass tower bolt</t>
  </si>
  <si>
    <t>Removal of old cement mortor racking out joints 20mm deep p-30/107/321</t>
  </si>
  <si>
    <t>7" mortice lock with brass handle985</t>
  </si>
  <si>
    <t>12" majestic door handle</t>
  </si>
  <si>
    <r>
      <t xml:space="preserve">Brass screws </t>
    </r>
    <r>
      <rPr>
        <sz val="12"/>
        <rFont val="Helv"/>
      </rPr>
      <t>not necessary as there is brass fittings</t>
    </r>
  </si>
  <si>
    <t>T.W PLANKS OVER 15 TO 30cm</t>
  </si>
  <si>
    <t>RATE for 3.0225 SQM</t>
  </si>
  <si>
    <t>RATE FOR 1 SQM</t>
  </si>
  <si>
    <t>Matt paint one coat</t>
  </si>
  <si>
    <t>TOTAL FOR  2.428 SQM</t>
  </si>
  <si>
    <t>Thorough scrapping</t>
  </si>
  <si>
    <t>BWR DOUBLE LEAF FULLY PANELLED</t>
  </si>
  <si>
    <t>Ornamental TW panelled Door 1800X2100 Double leaves</t>
  </si>
  <si>
    <t>PLANKS  BWR 9mm thick.    -2X2X0.25X.5875</t>
  </si>
  <si>
    <t xml:space="preserve">             -1X2X0.5625X0.25</t>
  </si>
  <si>
    <t xml:space="preserve">BWR DOUBLE LEAF 2/3 Glazed and 1/3 PANELLED </t>
  </si>
  <si>
    <t>T.W PLANKS (12-25 CM) (30 TO 45CM THICK) it-116 iii p-21</t>
  </si>
  <si>
    <t>PLANKS BWR 9mm thick          -1X2X0.5625X0.4</t>
  </si>
  <si>
    <t>Rubber Bush</t>
  </si>
  <si>
    <t>5.5 MM THICK PLAIN GLASS</t>
  </si>
  <si>
    <t>T.W. beeding 15mm x 12 mm</t>
  </si>
  <si>
    <t>Brassscrews</t>
  </si>
  <si>
    <r>
      <t xml:space="preserve">PAINTING TWO COATS OVER NEW           </t>
    </r>
    <r>
      <rPr>
        <b/>
        <sz val="12"/>
        <rFont val="Helv"/>
      </rPr>
      <t>(as per PWD Standard Data)</t>
    </r>
  </si>
  <si>
    <t>BWR SINGLE LEAF FULLY PANELLED</t>
  </si>
  <si>
    <t>900 X 2400MM</t>
  </si>
  <si>
    <t xml:space="preserve">SHUTTER SIZE-1X.75X2.3125                                                                                 </t>
  </si>
  <si>
    <r>
      <t xml:space="preserve">STYLES(OVER 2M) -1X3X2.3125X0.15X0.0375                                                      </t>
    </r>
    <r>
      <rPr>
        <b/>
        <sz val="12"/>
        <rFont val="Arial"/>
        <family val="2"/>
      </rPr>
      <t xml:space="preserve">  = 0.052</t>
    </r>
  </si>
  <si>
    <t xml:space="preserve">Top &amp; Intermediate 1X3X0.75X0.15X0.0375       </t>
  </si>
  <si>
    <t>Plastic Emulsion PAINT two coat for old wall</t>
  </si>
  <si>
    <t xml:space="preserve"> Bottom              - 1X0.75X0.20X0.0375 = 0.010125</t>
  </si>
  <si>
    <t>PLANKS  BWR 9mm thick.    -2X2X0.175X.5875</t>
  </si>
  <si>
    <t xml:space="preserve">             -1X2X0.5625X0.175</t>
  </si>
  <si>
    <t>TOTAL FOR 1.734 SQM</t>
  </si>
  <si>
    <t xml:space="preserve">Top &amp; Intermediate 1X3X0.9X0.15X0.0375       </t>
  </si>
  <si>
    <t xml:space="preserve"> Bottom              - 1X1X0.9X0.20X0.0375</t>
  </si>
  <si>
    <t>1050 X 2400MM</t>
  </si>
  <si>
    <t xml:space="preserve">SHUTTER SIZE-1X.90 X 2.3125                                                                                 </t>
  </si>
  <si>
    <t>6" Alu. DOOR HANDLE  p41 80b</t>
  </si>
  <si>
    <t xml:space="preserve">  5"BUTT HINGS p40 77a</t>
  </si>
  <si>
    <t>10"X1/2"TOWER BOLT p 40 78c</t>
  </si>
  <si>
    <t>12"X5/8"ALDROP p41 79a</t>
  </si>
  <si>
    <t>TOTAL FOR 2.081 SQM</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</si>
  <si>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</si>
  <si>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</si>
  <si>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</si>
  <si>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</si>
  <si>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</si>
  <si>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</si>
  <si>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</si>
  <si>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</si>
  <si>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5.5 MM THK. GLASS                -2X2X0.5875X0.25</t>
  </si>
  <si>
    <t>RATE FOR 4.4175 SQM</t>
  </si>
  <si>
    <t>PLANKS              -1X2X0.5625X0.25x0.01875</t>
  </si>
  <si>
    <t>T.W. Beeding  - 2 x 2 x 1.675</t>
  </si>
  <si>
    <t>Providing Acid proof tile flooring of</t>
  </si>
  <si>
    <t>any size  including pointing etc.,</t>
  </si>
  <si>
    <t>COST Of acid proof tile (as per Krishnagiri DPO)</t>
  </si>
  <si>
    <t>Colour pigment</t>
  </si>
  <si>
    <r>
      <t xml:space="preserve">S &amp; F best indian 2/3 Glazed 1/3 Teak wood Panelled door shutter of size 
</t>
    </r>
    <r>
      <rPr>
        <b/>
        <u/>
        <sz val="13"/>
        <rFont val="Arial"/>
        <family val="2"/>
      </rPr>
      <t>b)1500mmx2100mm</t>
    </r>
  </si>
  <si>
    <t>T.W SCANTLING ABOVE 2m</t>
  </si>
  <si>
    <t>Glass 5.5mm thick</t>
  </si>
  <si>
    <t>M.S.Grill</t>
  </si>
  <si>
    <t>/cum</t>
  </si>
  <si>
    <t xml:space="preserve">Labour charges for shutter glazed door </t>
  </si>
  <si>
    <t>10"x5/8" Aldrop</t>
  </si>
  <si>
    <t>Alu.DOOR HANDLE WITH CP SCREWS (150mm long)</t>
  </si>
  <si>
    <t>Painting two coats of M.S. Grill</t>
  </si>
  <si>
    <t>Best varnishing two coats</t>
  </si>
  <si>
    <t>Sundries for brass screw</t>
  </si>
  <si>
    <t>Total for Each</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</si>
  <si>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</si>
  <si>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Supply of 80-63mm metal 60%</t>
  </si>
  <si>
    <t>Supply of 40-10mm metal 40%</t>
  </si>
  <si>
    <t>Supply of river sand for filling the voids at 20%</t>
  </si>
  <si>
    <t>SUB DATA for hand rolling as per Highways SR</t>
  </si>
  <si>
    <t xml:space="preserve">Labour charges for placing metal and sand </t>
  </si>
  <si>
    <t>labour charges for watering and consolidation by power roller</t>
  </si>
  <si>
    <t>Rate for 0.75m3</t>
  </si>
  <si>
    <t xml:space="preserve">Vibrator / Earth rammed </t>
  </si>
  <si>
    <t>Rate for 1m3</t>
  </si>
  <si>
    <t>Sundries for watering through water set</t>
  </si>
  <si>
    <t>SUB DATA for Labour Charges only</t>
  </si>
  <si>
    <r>
      <t>For 3 m</t>
    </r>
    <r>
      <rPr>
        <vertAlign val="superscript"/>
        <sz val="12"/>
        <rFont val="Helv"/>
      </rPr>
      <t xml:space="preserve">3 </t>
    </r>
  </si>
  <si>
    <t xml:space="preserve">Mason II Class </t>
  </si>
  <si>
    <t>For 1m3</t>
  </si>
  <si>
    <t>Mazdoor I Class</t>
  </si>
  <si>
    <t>Mazdoor II Class</t>
  </si>
  <si>
    <t>Rate for 10m3</t>
  </si>
  <si>
    <t>Flush door shutter size 1200x2400 (Double leaf)</t>
  </si>
  <si>
    <t>shutter size 1200x2400 (Double leaf)=1.1 x 2.325 =</t>
  </si>
  <si>
    <t>Forpower rolling as per PWD SR 2017-18 it-71 b / P.25</t>
  </si>
  <si>
    <t>Solid core flush door shutter with TW palin -it-110 p-47</t>
  </si>
  <si>
    <t>Labour for Wrought &amp; Putup p33/156b</t>
  </si>
  <si>
    <t>Door Handle with CP screws 6' p41/80b</t>
  </si>
  <si>
    <t>Flush door shutter size 1500x2400 (Double leaves)</t>
  </si>
  <si>
    <t>5" Butt Hings p40/77a</t>
  </si>
  <si>
    <t>shutter size 1500x2400 (Double leaves)=1.4 x 2.325 =</t>
  </si>
  <si>
    <t>6"x1/2" Tower Bolt p40/78e</t>
  </si>
  <si>
    <t>Solid core flush door shutter with TW palin -it-93 p-43</t>
  </si>
  <si>
    <t>10"x5/8" Aldrop p41/79b</t>
  </si>
  <si>
    <t>Labour for Wrought &amp; Putup (SR P.31,it-156)</t>
  </si>
  <si>
    <t>Brass Screws</t>
  </si>
  <si>
    <t>Door Handle with CP screws 6'</t>
  </si>
  <si>
    <t>Rubber bush p41/83</t>
  </si>
  <si>
    <t>5" Butt Hings</t>
  </si>
  <si>
    <t>Door Stopper</t>
  </si>
  <si>
    <t>6"x1/2" Tower Bolt</t>
  </si>
  <si>
    <t>Varnish Two Coats</t>
  </si>
  <si>
    <t>Rate for 2.23 Sqm</t>
  </si>
  <si>
    <t>Rubber bush</t>
  </si>
  <si>
    <t>Flush door shutter size 1000x2100 ( Single leaf)</t>
  </si>
  <si>
    <t>Rate for 3.26 Sqm</t>
  </si>
  <si>
    <t>Flush door shutter size 1000x2400 ( Single leaf)</t>
  </si>
  <si>
    <t>Flush door shutter size 900x2100 ( Single leaf)</t>
  </si>
  <si>
    <t>Shutter size (0.9 x 2.025)</t>
  </si>
  <si>
    <t>Shutter size (0.9 x 2.325)</t>
  </si>
  <si>
    <t>Solid core flush door shutter with TW palin</t>
  </si>
  <si>
    <t>Solid core flush door shutter with TW plain</t>
  </si>
  <si>
    <t>Labour for Wrought &amp; Putup p33/156a</t>
  </si>
  <si>
    <t>Labour for Wrought &amp; Putup</t>
  </si>
  <si>
    <t>Labour for Wrought &amp; Putup p31/156a</t>
  </si>
  <si>
    <t>Flush door shutter size 1200x2400 ( Single leaf)</t>
  </si>
  <si>
    <t>shutter size 1200x2400 (Double leaves)=1.1 x 2.325 =</t>
  </si>
  <si>
    <t>Labour for Wrought &amp; Putup (SR P.32,it-156a)</t>
  </si>
  <si>
    <t>Painting Two Coats</t>
  </si>
  <si>
    <t>Rate for 1.82 Sqm</t>
  </si>
  <si>
    <t>Rate for 2.09 Sqm</t>
  </si>
  <si>
    <t>Rate for 1.62 Sqm</t>
  </si>
  <si>
    <t>Rate for 2.56 Sqm</t>
  </si>
  <si>
    <t>Flush door shutter size 1500x2100 ( Double leaf)</t>
  </si>
  <si>
    <r>
      <t>WASHBASIN</t>
    </r>
    <r>
      <rPr>
        <sz val="11"/>
        <color theme="1"/>
        <rFont val="Calibri"/>
        <family val="2"/>
        <scheme val="minor"/>
      </rPr>
      <t xml:space="preserve"> (White Pedastal type)  22"X16" INCLUDING</t>
    </r>
  </si>
  <si>
    <t>Shutter size (1.4 x 2.025)</t>
  </si>
  <si>
    <t>Wash Hand Basin of size 550 x 400 mm with all accessories such as CI brackets, 32mm dia CP waste coupling, Rubber plug and chain, 32mm dia B class GI waste pipe, 15mm dia brass nipples. 15mm CP pillar tap etc.,P-55 it-169 -i</t>
  </si>
  <si>
    <t>deduct rate for 15mm dia GM wheel valve</t>
  </si>
  <si>
    <t>Rate for 2.84 Sqm</t>
  </si>
  <si>
    <t>Flush door shutter size 1500x2400 ( Double leaf)</t>
  </si>
  <si>
    <t>Shutter size (1.4 x 2.325)</t>
  </si>
  <si>
    <t xml:space="preserve">Two legged scaffolding using 15cm dia casurna props </t>
  </si>
  <si>
    <t>15cm dia Casurina post p-20 it-138</t>
  </si>
  <si>
    <t>1 Rmt</t>
  </si>
  <si>
    <t>Country wood planks (silver oak) p-138 it130/78b</t>
  </si>
  <si>
    <t>1 Cum</t>
  </si>
  <si>
    <t>total cost of material used for 10 times</t>
  </si>
  <si>
    <t>Cost per 1 operation</t>
  </si>
  <si>
    <t>Oper</t>
  </si>
  <si>
    <t>15cm dia casurina post</t>
  </si>
  <si>
    <t>Add for coir, nail etc</t>
  </si>
  <si>
    <t>Rate for 6m</t>
  </si>
  <si>
    <t>Rate for intial height of 3m and length of 1m</t>
  </si>
  <si>
    <t xml:space="preserve">For every additional height of 2.5m height </t>
  </si>
  <si>
    <t>m</t>
  </si>
  <si>
    <t>vertical post of casurina post (13cm to 15cm)</t>
  </si>
  <si>
    <t>Flush door shutter size 1800x2400 (Double leaf)</t>
  </si>
  <si>
    <t>Cost of material plank</t>
  </si>
  <si>
    <t>shutter size 1800x2400 (Double leaf)=1.7 x 2.325 =</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</si>
  <si>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</si>
  <si>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</si>
  <si>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</si>
  <si>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</si>
  <si>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</si>
  <si>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</si>
  <si>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</si>
  <si>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</si>
  <si>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</si>
  <si>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Rate for 3.95 Sqm</t>
  </si>
  <si>
    <t>TW single leaf french window</t>
  </si>
  <si>
    <t xml:space="preserve">shutter  for frame of overall height 3.08 x 2.1cm </t>
  </si>
  <si>
    <t>Flush door shutter size 1800x2100 (Double leaf)</t>
  </si>
  <si>
    <t>LABOUR CHARGE for wroght &amp; put up</t>
  </si>
  <si>
    <t>shutter size 1800x2100 (Double leaf)=1.7 x 2.025 =</t>
  </si>
  <si>
    <t>4 mm thicj frosted glass</t>
  </si>
  <si>
    <t>TW Beeding 15 x12 mm</t>
  </si>
  <si>
    <t xml:space="preserve"> 200 mm long x12mm  ALU. TOWERBOLT (8")</t>
  </si>
  <si>
    <t>6" Handles ( 150mm long)</t>
  </si>
  <si>
    <t>TOTAL FOR 5.16 SQM</t>
  </si>
  <si>
    <t>Rate for 3.44 Sqm</t>
  </si>
  <si>
    <t>TW Panelled Swing type ventilater</t>
  </si>
  <si>
    <t>of size 75x 75cm</t>
  </si>
  <si>
    <t>Flush door shutter size 1200x2100 ( Single leaf)</t>
  </si>
  <si>
    <t>shutter size 1200x2100 (single leaf)=1.1 x 2.025 =</t>
  </si>
  <si>
    <t xml:space="preserve">SHUTTER SIZE-0.65X0.65                                                                                 </t>
  </si>
  <si>
    <r>
      <t xml:space="preserve">STYLES -2X0.65 x   7.525 x 3.125                                                 </t>
    </r>
    <r>
      <rPr>
        <b/>
        <sz val="12"/>
        <rFont val="Arial"/>
        <family val="2"/>
      </rPr>
      <t xml:space="preserve">  = 0.052</t>
    </r>
  </si>
  <si>
    <t xml:space="preserve">Top &amp; Intermediate 2X3X7.5255X0.15X0.0375       </t>
  </si>
  <si>
    <t>With Brass fittings</t>
  </si>
  <si>
    <t xml:space="preserve">Providing Colour Marble chips of size 10mm and below using 70.20Kgs of cement and 15 cum of Colour Marble chips for every 10 sqm over the existing plastered surface </t>
  </si>
  <si>
    <t xml:space="preserve"> Cost of Colour Marble chips ( 89.40/0.0354)=2525.42 (P-41 it-24 )</t>
  </si>
  <si>
    <t xml:space="preserve">Colour Pigment </t>
  </si>
  <si>
    <t>Supply and fixing of colour matt finish door 15 microns double leaf door Aluminium Door  ( 1.5 x2.1m thick)</t>
  </si>
  <si>
    <t>UPVC instead of Stone ware Pipe</t>
  </si>
  <si>
    <t>Aluminium section ''it-61 a( rev SR-17-18)</t>
  </si>
  <si>
    <t>SUPPLYING AND  LAYING AND</t>
  </si>
  <si>
    <t>Rubber beeding (An-VI -it-63 p-40</t>
  </si>
  <si>
    <t>JOINTING SN8 UPVC PIPE AND SPECIALS</t>
  </si>
  <si>
    <t>Glass 5.5mm plain  it-107</t>
  </si>
  <si>
    <t>Novapan Sheet 12mm Thick</t>
  </si>
  <si>
    <t>Unit</t>
  </si>
  <si>
    <t>Power Grapping p-52 it-173</t>
  </si>
  <si>
    <t>110mm DIA  UPVC PIPE BELOW G.L</t>
  </si>
  <si>
    <t>PVC Felt ( It-65)</t>
  </si>
  <si>
    <t>DOOR STOPPER   It-82</t>
  </si>
  <si>
    <t>Hydraulic DOOR Closer It-67</t>
  </si>
  <si>
    <t>Cost of UPVC SN8 Pipe (TWAD SR 18-19 P-20 1.2 1)</t>
  </si>
  <si>
    <t xml:space="preserve">  SCREWS (75x 10mm)it-108 ii</t>
  </si>
  <si>
    <t>Bolts &amp; Nuts ( 3/4"x 1/4") It-78-b</t>
  </si>
  <si>
    <t>Bolts &amp; Nuts ( 6"x 1/2") it-78-e</t>
  </si>
  <si>
    <t>TOTAL FOR 3.15 SQM</t>
  </si>
  <si>
    <t>JOINTING MATERIALS. (TWAD SR 17-18 11-b)</t>
  </si>
  <si>
    <t>CUTTING CHARGES ( P-32/141)</t>
  </si>
  <si>
    <t>160mm DIA  UPVC PIPE BELOW G.L</t>
  </si>
  <si>
    <t>Supply and fixing of colour matt finish door 15 microns double leaf door Aluminium Door  ( 1.0 x2.1m thick)</t>
  </si>
  <si>
    <t>Cost of UPVC SN8 Pipe (TWAD SR 18-19 P-20 1.2 a /3)</t>
  </si>
  <si>
    <t>Rubber beeding (An-VI -it-63</t>
  </si>
  <si>
    <t xml:space="preserve">  SCREWS (75x 10mm)(An-VI -it-163</t>
  </si>
  <si>
    <t>Bolts &amp; Nuts ( 3/4"x 1/4") It-78-b p-40</t>
  </si>
  <si>
    <t>TOTAL FOR 2.1 SQM</t>
  </si>
  <si>
    <t>Aluminium  Anodised 1.80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</si>
  <si>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</si>
  <si>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section ''it-61 a( rev SR-18-19)</t>
  </si>
  <si>
    <t>SUPPLY AND FIXING OF GALVANIUM SHEET 0.47MM THICK</t>
  </si>
  <si>
    <t>GALVANIUM SHEET 0.47MM THICK ( qtn)</t>
  </si>
  <si>
    <t>Glass 4 mm thichk plain  it-106</t>
  </si>
  <si>
    <t xml:space="preserve">FITTER I st  CLASS </t>
  </si>
  <si>
    <t xml:space="preserve"> PVC  Roller for sliding ''it-75 ( rev SR-18-19)</t>
  </si>
  <si>
    <t>CARPENTER I ST CLASS</t>
  </si>
  <si>
    <t>Lock  for sliding ''it-70 ( rev SR-18-19)</t>
  </si>
  <si>
    <t>MAZDOOR I ST CLASS</t>
  </si>
  <si>
    <t>Handle" D "type 100mm long ''it-80 c ( rev SR-18-19)</t>
  </si>
  <si>
    <t xml:space="preserve">L.S </t>
  </si>
  <si>
    <t xml:space="preserve">Bolts &amp;  Washers </t>
  </si>
  <si>
    <t xml:space="preserve">Rate For 10 Sqm </t>
  </si>
  <si>
    <t xml:space="preserve">Screws  rayal plugs  and stopper etc </t>
  </si>
  <si>
    <t xml:space="preserve">Rate For 1 Sqm </t>
  </si>
  <si>
    <t xml:space="preserve"> REVISED SR 2017-18 </t>
  </si>
  <si>
    <t>Say</t>
  </si>
  <si>
    <t>Wall Panelling data as per DPO Thanjavur</t>
  </si>
  <si>
    <t>Aluminium  Anodised 1.35 x1.35 m</t>
  </si>
  <si>
    <t>Country wood reeper (50 x 25 mm p-22 s.no.132)</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</si>
  <si>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</si>
  <si>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 xml:space="preserve"> 6mm tk MDF Ply wood ( CER No.107-2012-13 DPO Thanjavur)</t>
  </si>
  <si>
    <t xml:space="preserve"> 4mm tk vennar ( CER No.107-2012-13 DPO Thanjavur)</t>
  </si>
  <si>
    <t xml:space="preserve">Melamin Polish </t>
  </si>
  <si>
    <t>labour charges</t>
  </si>
  <si>
    <t xml:space="preserve"> PVC  Roller for sliding ''it-75 ( rev SR-17-18)</t>
  </si>
  <si>
    <t xml:space="preserve">Rate For 9 Sqm </t>
  </si>
  <si>
    <t>Lock  for sliding ''it-70 ( rev SR-17-18)</t>
  </si>
  <si>
    <t xml:space="preserve">Say </t>
  </si>
  <si>
    <t>Rate Per Sqm</t>
  </si>
  <si>
    <t>Handle" D "type 100mm long ''it-80 c ( rev SR-17-18)</t>
  </si>
  <si>
    <t xml:space="preserve">Labour Charges </t>
  </si>
  <si>
    <t>FITTER  Ist Class</t>
  </si>
  <si>
    <t xml:space="preserve">DATA </t>
  </si>
  <si>
    <r>
      <t xml:space="preserve">ONE COAT OF WALL PATTY        </t>
    </r>
    <r>
      <rPr>
        <b/>
        <sz val="12"/>
        <rFont val="Arial"/>
        <family val="2"/>
      </rPr>
      <t xml:space="preserve"> CHENNAI CITY</t>
    </r>
  </si>
  <si>
    <t>Providing Colour Marble Chips</t>
  </si>
  <si>
    <t xml:space="preserve"> Cost of Colour Marble chips ( 84.4/0.0354)=2384.18 (P-36 it-11 )</t>
  </si>
  <si>
    <t>Colour Pigment</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</si>
  <si>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</si>
  <si>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</si>
  <si>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</si>
  <si>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</si>
  <si>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</si>
  <si>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</si>
  <si>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</si>
  <si>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</si>
  <si>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</si>
  <si>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</si>
  <si>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</si>
  <si>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</si>
  <si>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</si>
  <si>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</si>
  <si>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</si>
  <si>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 xml:space="preserve"> Revised  SR 2018-19</t>
  </si>
  <si>
    <t>Aluminium partition wall ( 1/3 Glass 5.5mm &amp; 2/3 novapan sheet 12mm thick</t>
  </si>
  <si>
    <t>Aluminium section 'it- 61 a( SR-16-17)</t>
  </si>
  <si>
    <t xml:space="preserve"> BRASS SCREWS ( 30x6mm)(An-VI -it-162 p-53</t>
  </si>
  <si>
    <t xml:space="preserve"> BRASS SCREWS (75x 10mm)(An-VI -it-163</t>
  </si>
  <si>
    <t xml:space="preserve"> Plug (An-VI -it-166</t>
  </si>
  <si>
    <t>Power Grapping it-173</t>
  </si>
  <si>
    <t>TOTAL FOR 6.615 SQM</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</si>
  <si>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</si>
  <si>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</si>
  <si>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</si>
  <si>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</si>
  <si>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</si>
  <si>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</si>
  <si>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</si>
  <si>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</si>
  <si>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</si>
  <si>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</si>
  <si>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</si>
  <si>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</si>
  <si>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</si>
  <si>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</si>
  <si>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</si>
  <si>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</si>
  <si>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</si>
  <si>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</si>
  <si>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</si>
  <si>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</si>
  <si>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</si>
  <si>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</si>
  <si>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</si>
  <si>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</si>
  <si>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</si>
  <si>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</si>
  <si>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</si>
  <si>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</si>
  <si>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</si>
  <si>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</si>
  <si>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</si>
  <si>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</si>
  <si>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</si>
  <si>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</si>
  <si>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</si>
  <si>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</si>
  <si>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</si>
  <si>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</si>
  <si>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</si>
  <si>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r>
      <t xml:space="preserve">Supplying and fixing of 18 W LED tube lights with necessary fittings </t>
    </r>
    <r>
      <rPr>
        <b/>
        <sz val="12"/>
        <color theme="1"/>
        <rFont val="Cambria"/>
        <family val="1"/>
        <scheme val="major"/>
      </rPr>
      <t>(CER.NO: 106/2019 - 20)</t>
    </r>
  </si>
  <si>
    <r>
      <t>Supplying and fixing of 9W LED bulb and fixing the bulb including cost of all materials and labour for fixing in position etc., (</t>
    </r>
    <r>
      <rPr>
        <b/>
        <sz val="12"/>
        <color theme="1"/>
        <rFont val="Cambria"/>
        <family val="1"/>
        <scheme val="major"/>
      </rPr>
      <t>CER.NO: 106/2019 - 20)</t>
    </r>
  </si>
  <si>
    <r>
      <t>Supplying and fixing of 12W LED bulb with suitable bulkhead fittings and fixing the bulb including cost of all materials and labour for fixing in position etc. (</t>
    </r>
    <r>
      <rPr>
        <b/>
        <sz val="12"/>
        <color theme="1"/>
        <rFont val="Cambria"/>
        <family val="1"/>
        <scheme val="major"/>
      </rPr>
      <t>CER.NO: 106/2019 - 20)</t>
    </r>
  </si>
  <si>
    <r>
      <t xml:space="preserve">Supplying and fixing of 25W LED single street light fittings complete with approved make and brand  fixing the bulb including cost of all materials and labour for fixing in position etc., </t>
    </r>
    <r>
      <rPr>
        <b/>
        <sz val="12"/>
        <color theme="1"/>
        <rFont val="Cambria"/>
        <family val="1"/>
        <scheme val="major"/>
      </rPr>
      <t>(CER.NO: 106/2019 - 20)</t>
    </r>
  </si>
  <si>
    <t xml:space="preserve"> Special Repair works for the Existing Urpan Police Station Building at Sulur in Coimbatore District for the year of 2021 -2022</t>
  </si>
  <si>
    <t>Detail Estimate</t>
  </si>
  <si>
    <t>Abstract Estimate</t>
  </si>
  <si>
    <t>Sl NO</t>
  </si>
  <si>
    <t>Sl No</t>
  </si>
  <si>
    <t>Sub Total - I</t>
  </si>
  <si>
    <t>Sub Total - II</t>
  </si>
  <si>
    <t xml:space="preserve">                               </t>
  </si>
  <si>
    <t>SULUR POLICE STATION</t>
  </si>
  <si>
    <t>MASON-I Brick / Stone work p14/72</t>
  </si>
  <si>
    <t>MASON-II Brick / Stone work p14/72</t>
  </si>
  <si>
    <t>MAZDOOR-I p14/74</t>
  </si>
  <si>
    <t>MAZDOOR-II p15/101</t>
  </si>
  <si>
    <t>PAINTER-I p12/36</t>
  </si>
  <si>
    <t>PAINTER-II p14/78</t>
  </si>
  <si>
    <t>PLUMBER-I p12/38</t>
  </si>
  <si>
    <t>SAND FOR MORTAR sl.100  p20</t>
  </si>
  <si>
    <t>PLUMBER-II p14/79</t>
  </si>
  <si>
    <t>FITTER-I  p12/18</t>
  </si>
  <si>
    <t>FITTER-II p13/68</t>
  </si>
  <si>
    <t>CARPENTER-I p12/16</t>
  </si>
  <si>
    <t>CARPENTER-II p13/64</t>
  </si>
  <si>
    <t>STONE CUTTER-I p12/41</t>
  </si>
  <si>
    <t>STONE CUTTER-II p14/83</t>
  </si>
  <si>
    <t>Senneerkuppam</t>
  </si>
  <si>
    <t>FLOOR POLISHER p12/20</t>
  </si>
  <si>
    <t>Scrapping door, wood p31 /112</t>
  </si>
  <si>
    <t>Scrapping Structural steel work p31 /114</t>
  </si>
  <si>
    <t>Scrapping iron work p31 /115</t>
  </si>
  <si>
    <t>RED OXIDE P-43/ it-44</t>
  </si>
  <si>
    <t>READY MIX PAINT II ND/ IST for wood p-51 sl.142</t>
  </si>
  <si>
    <t>READY MIX PRIMER PAINT sl.141/ p51 wood primer)</t>
  </si>
  <si>
    <t>IWC ORIYA PAN p55/172 ( white)</t>
  </si>
  <si>
    <t>S.W.TEE 100/150mm DIA WITH ISI MARK it-192/a p-59</t>
  </si>
  <si>
    <t>S.W.PIPE 100mm DIAWITH ISI MARKit-203/a p-59</t>
  </si>
  <si>
    <t>S.W.BEND 100/150mm DIAWITH ISI MARK it-204/b p-59</t>
  </si>
  <si>
    <t>READY MIX PAINT II ND/ IST for iron it-144 p-51</t>
  </si>
  <si>
    <t>S.W.TEE 150mm DIA WITH ISI MARK it-204/i p-59</t>
  </si>
  <si>
    <t>S.W.BEND 150mm DIA p-59 it-204 b</t>
  </si>
  <si>
    <t>S.W.GULLY TRAP 150X100mm it-198 p-57</t>
  </si>
  <si>
    <t>NAHANI TRAP 63mm/75mmPVC TYP,4 way/3way p-57 it-200ii</t>
  </si>
  <si>
    <t>CEMENT PAINT / matt paint  p51 s.136 / p43 sl.48</t>
  </si>
  <si>
    <t>GLASS 4mmTHICK p50/133</t>
  </si>
  <si>
    <t>A.C. PIPE 100mm DIA p-44 / it 69</t>
  </si>
  <si>
    <t>A.C. SHOE 100mm DIAp-44 /70</t>
  </si>
  <si>
    <t>CI GREATINGS 100mm DIA p44 sl.74</t>
  </si>
  <si>
    <t>G.I.SHEET 22G p43 / 64</t>
  </si>
  <si>
    <t>ALU  HINGS 5" (PWD LR) p-45 /98a</t>
  </si>
  <si>
    <t>ALU TOWER BOLT 6"X1/2" (PWD LR) p46 100e</t>
  </si>
  <si>
    <t>ALU TOWER BOLT 3"X5/10"/4"x5/10"  p46 100g</t>
  </si>
  <si>
    <t xml:space="preserve">ALU ALDROP 10"X5.8"  p46 /102b </t>
  </si>
  <si>
    <t>ALU ALDROP 6"X1/2"  p46 102d</t>
  </si>
  <si>
    <t>JOINT it-247 b p-64</t>
  </si>
  <si>
    <t>G.I. BEND p-52  S.No-143 it-c</t>
  </si>
  <si>
    <t>G.I.COUPLERp-53 it-e</t>
  </si>
  <si>
    <t>G.I. ELBOWp-52 S.No.119/ it-b</t>
  </si>
  <si>
    <t>G.M.GATE VALUE (Heavy Duty)p-54it-152</t>
  </si>
  <si>
    <t>G.M.WHEELVALUE  (Heavy Duty)p-54it-153</t>
  </si>
  <si>
    <t>G.I.REDUCER  ELBOW p53 it-G</t>
  </si>
  <si>
    <t>P.V.C.ELBOW p99/367</t>
  </si>
  <si>
    <t>BRASS TAP 15mm / 12 mm dia (HEAVY) p - 54 it-154</t>
  </si>
  <si>
    <t>P.V.C. LOW LEVEL CISTERN 10 LITCAPACITY p-55 175a</t>
  </si>
  <si>
    <t>EVERITE CLAMP IRON CLAMP P-59 (Sl.No.226/p-61) (Special clamp)</t>
  </si>
  <si>
    <t xml:space="preserve"> it-107 p-47</t>
  </si>
  <si>
    <r>
      <t xml:space="preserve">Glazed-WALL TILES PLAINCOLOUR-6MM T.K (PWD LR) 100x200x6mm 
</t>
    </r>
    <r>
      <rPr>
        <b/>
        <sz val="12"/>
        <color indexed="8"/>
        <rFont val="Helv"/>
      </rPr>
      <t>item no. 11(ii) p11</t>
    </r>
  </si>
  <si>
    <t>TARRED HEMP YARN p- 59 /206</t>
  </si>
  <si>
    <t>WHITE CEMENT (PWD LR) p-41 /24</t>
  </si>
  <si>
    <t>COLOUR CEMENT (PWD LR)p-41/250</t>
  </si>
  <si>
    <t>E.W.C. WITH S  TRAP it-173( i)p-55</t>
  </si>
  <si>
    <t>WASH BASIN 480x400mm without pedastal it-180 p-56</t>
  </si>
  <si>
    <t>FLAT BACK URINAL it-185 i -p-56</t>
  </si>
  <si>
    <t>P.V.C. SOIL SHOE 110mm DIA p-104 it -M</t>
  </si>
  <si>
    <t>P.V.C. SOIL TEE 110mm DIA it C P-102/368</t>
  </si>
  <si>
    <t>P.V.C. SOIL TEE 75mm DIA p102</t>
  </si>
  <si>
    <t>A.C. SHEETFULLY CORRUGATED 6mmT.K (PWD LR -it-75 p-44)</t>
  </si>
  <si>
    <t>Kg p 44/80</t>
  </si>
  <si>
    <t>C.I. GRATING 100mmDIA it-74 p-44</t>
  </si>
  <si>
    <t>p52 150/vi</t>
  </si>
  <si>
    <t>P.V.C BEND p100/367c</t>
  </si>
  <si>
    <t>SINTEX WATER TANK OF 750 LIT it-176 p-56</t>
  </si>
  <si>
    <t>CUDDAPAH SLAB SINK 60X45cm,20mmT.K p -56it-182</t>
  </si>
  <si>
    <t>GRANITE SLAB 20mm THICK OF BEST QUALITY Synthetic Grey, p-42 /29c</t>
  </si>
  <si>
    <t>S/F OF BULKHEAD FITTING SUITABLE FOR 100/60W p115 i25</t>
  </si>
  <si>
    <t>CUDDAPAH SLAB SINK 60X60cm,20mmT.K p -56 it-183</t>
  </si>
  <si>
    <t>Cost of 4mm window glass (Plain glass) P50 SR 20-21</t>
  </si>
  <si>
    <r>
      <t xml:space="preserve">PROVIDING ANTI-TERMITE TREATMENT </t>
    </r>
    <r>
      <rPr>
        <b/>
        <sz val="12"/>
        <color indexed="51"/>
        <rFont val="Helv"/>
      </rPr>
      <t>Say 34</t>
    </r>
  </si>
  <si>
    <t>Flat back urinal WITH ALL ACCESSORIES (white)p-56 it-185</t>
  </si>
  <si>
    <t>DOOR STOPPER (SR Item No.107)</t>
  </si>
  <si>
    <t>Brass screw p-59 it-224</t>
  </si>
  <si>
    <t xml:space="preserve"> ORNAMENTAL; HANDLE WITH SCREWS(100mm)p47 it-105c </t>
  </si>
  <si>
    <t>RATE AS PER  PWD LR For Window  p 44/ it 80</t>
  </si>
  <si>
    <t>Paver Block</t>
  </si>
  <si>
    <t xml:space="preserve">Supplying and Laying of inter locking paver block stone 83 mm  tk over base layer sand filling including cost of materials laying and hammering charges etc. </t>
  </si>
  <si>
    <r>
      <t xml:space="preserve">Inter locking paver block stone 83mm thick </t>
    </r>
    <r>
      <rPr>
        <b/>
        <sz val="12"/>
        <rFont val="Helv"/>
      </rPr>
      <t>(pwd -p 41/19</t>
    </r>
  </si>
  <si>
    <t>Stone cutter I class</t>
  </si>
  <si>
    <t>Sand filling for pointing</t>
  </si>
  <si>
    <t>Rate for 1 SQM</t>
  </si>
  <si>
    <t>+</t>
  </si>
  <si>
    <t xml:space="preserve">hinges it-77 a p-40 </t>
  </si>
  <si>
    <t xml:space="preserve">                                             </t>
  </si>
  <si>
    <t>CI MANHOLE COVER 60CMX60CMX50KG p-61/230</t>
  </si>
  <si>
    <t xml:space="preserve">                                        </t>
  </si>
  <si>
    <t>Barbed wire 10 gauge 2 ply and four pronged ( Galvanised) it-130 p-50</t>
  </si>
  <si>
    <t xml:space="preserve">                                                                                                        </t>
  </si>
  <si>
    <t>A.C. sheet 6mm thick p -44 /75(Fully corrugated sheet)</t>
  </si>
  <si>
    <t>RUBBER BUSH p47/108</t>
  </si>
  <si>
    <t>Supply and fixing of Mirror of size500x400mm size (p-57 it-196 -ii)</t>
  </si>
  <si>
    <t>Thorouh scrapping p30/108</t>
  </si>
  <si>
    <t>Madurai TSp VIth Bn under 4000 quarters Scheme.</t>
  </si>
  <si>
    <t>2006-2007</t>
  </si>
  <si>
    <t>LOAD-</t>
  </si>
  <si>
    <t>ING</t>
  </si>
  <si>
    <t>Nallambakkam</t>
  </si>
  <si>
    <t>MASON-I</t>
  </si>
  <si>
    <t>MASON-II</t>
  </si>
  <si>
    <t>HARD BROKEN STONE JELLY 3mm To 10mm</t>
  </si>
  <si>
    <t>Pallavaram</t>
  </si>
  <si>
    <t>SAND FOR MORTAR</t>
  </si>
  <si>
    <t>Palar River</t>
  </si>
  <si>
    <t>FITTER I*</t>
  </si>
  <si>
    <t>Karanodai</t>
  </si>
  <si>
    <t>MIXING OF MORTAR*</t>
  </si>
  <si>
    <t>Kiln Burnt Country Bricks 22x11x7cm</t>
  </si>
  <si>
    <t>Nerkundram</t>
  </si>
  <si>
    <t>LIFT CHARGES FOR B.W IN G.F  *</t>
  </si>
  <si>
    <t>BRICK JELLY 40mmGAUGE</t>
  </si>
  <si>
    <t>MACHINE PRESSED TILES 23x 23x 2 Cm</t>
  </si>
  <si>
    <t>LIFT CHARGES FOR CONCRETE IN G.F  *</t>
  </si>
  <si>
    <t>Kurukkupet</t>
  </si>
  <si>
    <t>SLACKED &amp;SREENED LIME STONE</t>
  </si>
  <si>
    <t>C.W SCANTLING UPTO 4M LONG</t>
  </si>
  <si>
    <t>Mortar mix charges</t>
  </si>
  <si>
    <t>VIBRATER CHARGES  *</t>
  </si>
  <si>
    <t>Vibrat-charges(R.C.C)</t>
  </si>
  <si>
    <t>EARTH FILLING  *</t>
  </si>
  <si>
    <t>T.W SCANTLING 2M TO 3M LONG</t>
  </si>
  <si>
    <t>Vibrat-charges(P.C.C)</t>
  </si>
  <si>
    <t>SAND FILLING  *</t>
  </si>
  <si>
    <t>T.W.SCANTLING BELOW 2M LONG</t>
  </si>
  <si>
    <t>Sand filling charges</t>
  </si>
  <si>
    <t>POLISHING STONE</t>
  </si>
  <si>
    <t>T.W.PLANKS 30cm to 45cm WIDTH &amp; 12to25mm Thick</t>
  </si>
  <si>
    <t>Earth filling charges</t>
  </si>
  <si>
    <t>FLOOR POLISHER (MOSAIC)  *</t>
  </si>
  <si>
    <t>Country BricksKiln Burnt of SIZE 22x11x5Cm</t>
  </si>
  <si>
    <t>E.W.</t>
  </si>
  <si>
    <t>LABOUR CHARGE FOR WROUGHT &amp; PUTUP /V-SHUTTER *</t>
  </si>
  <si>
    <t>MOSAIC TILES GRAY 25X25X2cm.</t>
  </si>
  <si>
    <t>L.C.T.W.Door-</t>
  </si>
  <si>
    <t>LABOUR CHARGE FOR DOOR/WINDOW SHUTTER  *</t>
  </si>
  <si>
    <t>L.C.marine doors-</t>
  </si>
  <si>
    <t>TW glazed window</t>
  </si>
  <si>
    <t>Wrought&amp;putup</t>
  </si>
  <si>
    <t>M.S. SHEET/ANGLE PER M.T</t>
  </si>
  <si>
    <t>Ventilator</t>
  </si>
  <si>
    <t>Graval</t>
  </si>
  <si>
    <t>HBSJ 11.2mm IRC metal</t>
  </si>
  <si>
    <t>Meter- Cupboard Weldmesh</t>
  </si>
  <si>
    <t>Earth work lift for addl 1M</t>
  </si>
  <si>
    <t>E.W (SDR)</t>
  </si>
  <si>
    <t>FITTER-II (Pipe &amp; Bar Bend)</t>
  </si>
  <si>
    <t>Nellore road</t>
  </si>
  <si>
    <t>LABOUR FOR CUTTING 15mm DIA   *</t>
  </si>
  <si>
    <t>J.E / A.E</t>
  </si>
  <si>
    <t>E.E</t>
  </si>
  <si>
    <t>LABOUR FOR THREADING 15mm DIA  *</t>
  </si>
  <si>
    <t>LABOUR FOR FIXING WINDOW BARS</t>
  </si>
  <si>
    <t>E.W.EXCAVATION SS 20B AS PER SR ITEM 62 *</t>
  </si>
  <si>
    <t>MIXER OPERATER *</t>
  </si>
  <si>
    <t>GRINDING MORTAR *</t>
  </si>
  <si>
    <t>G.I. SHEET SR114 1.6mmT.K,30cmWIDE</t>
  </si>
  <si>
    <t>CHAMBER BURNT G.M(2D) BRICK 8-3/4"X4-1/4"X2"</t>
  </si>
  <si>
    <t>C.W.SANDLING UP TO 4M LONG</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</si>
  <si>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</si>
  <si>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</si>
  <si>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</si>
  <si>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</si>
  <si>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</si>
  <si>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</si>
  <si>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</si>
  <si>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</si>
  <si>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</si>
  <si>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READY MIX PAINT II ND/ IST for wood</t>
  </si>
  <si>
    <t>READY MIX PRIMER PAINT</t>
  </si>
  <si>
    <t>CHICKEN MESH 10X10X10G</t>
  </si>
  <si>
    <t>WELD MESH 75X25X10G</t>
  </si>
  <si>
    <t>WELD MESH 100X100X10G</t>
  </si>
  <si>
    <t>IWC ORIYA PAN</t>
  </si>
  <si>
    <t xml:space="preserve"> 15a</t>
  </si>
  <si>
    <t>S.W.TEE 100mm DIA WITH ISI MARK</t>
  </si>
  <si>
    <t xml:space="preserve"> 15b</t>
  </si>
  <si>
    <t>S.W.PIPE 100mm DIAWITH ISI MARK</t>
  </si>
  <si>
    <t xml:space="preserve"> 15c</t>
  </si>
  <si>
    <t xml:space="preserve"> 15d</t>
  </si>
  <si>
    <t>S.W.BEND 100mm DIAWITH ISI MARK</t>
  </si>
  <si>
    <t>READY MIX PAINT II ND/ IST for iron</t>
  </si>
  <si>
    <t>S.W.TEE 150mm DIA WITH ISI MARK</t>
  </si>
  <si>
    <t>63mm to 46.5mm IRC metal</t>
  </si>
  <si>
    <t>S.W.BEND 150mm DIA</t>
  </si>
  <si>
    <t>S.W.GULLY TRAP 150X100mm</t>
  </si>
  <si>
    <t>NAHANI TRAP 63mm/PVC TYP</t>
  </si>
  <si>
    <t>CENTERING C.W BOARDING 40mmT.K</t>
  </si>
  <si>
    <t>CENTERING C.W. JOIST</t>
  </si>
  <si>
    <t>CASURINA POST 10mmMTO 13mm DIA *</t>
  </si>
  <si>
    <t>GLASS 3mmTHICK</t>
  </si>
  <si>
    <t>A.C. PIPE 100mm DIA</t>
  </si>
  <si>
    <t>A.C.BEND100mm DIA</t>
  </si>
  <si>
    <t>A.C. SHOE 100mm DIA</t>
  </si>
  <si>
    <t>CI GREATINGS 100mm DIA</t>
  </si>
  <si>
    <t>G.I.SHEET 22G</t>
  </si>
  <si>
    <t>ALU  HINGS 5"</t>
  </si>
  <si>
    <t>ALU  HINGS 4"</t>
  </si>
  <si>
    <t>ALU  HINGS 3"</t>
  </si>
  <si>
    <t>ALU  HINGS 2"</t>
  </si>
  <si>
    <t>ALU TOWER BOLT 6"X1/2"</t>
  </si>
  <si>
    <t>ALU TOWER BOLT 2"X5/10"</t>
  </si>
  <si>
    <t>ALU ALDROP 10"X5.8"</t>
  </si>
  <si>
    <t>ALU ALDROP 6"X1/2"</t>
  </si>
  <si>
    <t>I.O HOOKS &amp; EYES3"</t>
  </si>
  <si>
    <t>B.W IN C.M(1:5) USING kiln Burnt Country Bricks</t>
  </si>
  <si>
    <t>470/SQM</t>
  </si>
  <si>
    <t>JOINT</t>
  </si>
  <si>
    <t>B.W IN C.M(1:6) USING kiln Burnt Country Bricks</t>
  </si>
  <si>
    <t>B.W IN C.M(1:4) USING kiln Burnt Country Bricks</t>
  </si>
  <si>
    <t>G.I. PIPE A  CLASS</t>
  </si>
  <si>
    <t>G.I. BEND</t>
  </si>
  <si>
    <t>G.I.COUPLER</t>
  </si>
  <si>
    <t>G.I. ELBOW</t>
  </si>
  <si>
    <t>G.I. UNION</t>
  </si>
  <si>
    <t>G.I. TEE</t>
  </si>
  <si>
    <t>G.I.HEX NIPPLE</t>
  </si>
  <si>
    <t>SCRAPING THE OLD PLASTER SURFACE *</t>
  </si>
  <si>
    <t>WASHING PLASTERED AREA WITH SOAP&amp;SODA WATER *</t>
  </si>
  <si>
    <t>G.M.GATE VALUE</t>
  </si>
  <si>
    <t>G.M.WHEELVALUE</t>
  </si>
  <si>
    <t xml:space="preserve">G.I.REDUCER </t>
  </si>
  <si>
    <t>G.I.REDUCER  TEE</t>
  </si>
  <si>
    <t>G.I.REDUCER  ELBOW</t>
  </si>
  <si>
    <t xml:space="preserve"> 15mmDIA OF WALL THICK 2.8mm A.S.T.M</t>
  </si>
  <si>
    <t xml:space="preserve"> 20mm DIA----DO----2.9mm</t>
  </si>
  <si>
    <r>
      <t>(Both sides polished)</t>
    </r>
    <r>
      <rPr>
        <b/>
        <sz val="12"/>
        <rFont val="Helv"/>
      </rPr>
      <t>FOR COASTAL AREAS</t>
    </r>
  </si>
  <si>
    <t>BRASS TAP 15mm(HEAVY)</t>
  </si>
  <si>
    <t>P.V.C. LOW LEVEL CISTERN 10 LITCAPACITY</t>
  </si>
  <si>
    <t>EVERITE CLAMP IRON CLAMP</t>
  </si>
  <si>
    <t>AL.HANDLE WITH CP SCREWS/DOOR STOPPER</t>
  </si>
  <si>
    <t>C.P.STOPCOCK 15mM DIA 300gm</t>
  </si>
  <si>
    <t>CERAMIC-FLOOR TILES WHITE/PLAINCOLOUR-6MM T.K</t>
  </si>
  <si>
    <t>Glazed-WALL TILES WHITE/PLAINCOLOUR-6MM T.K</t>
  </si>
  <si>
    <t>TARRED HEMP YARN</t>
  </si>
  <si>
    <t>WHITE CEMENT</t>
  </si>
  <si>
    <t>COLOUR CEMENT</t>
  </si>
  <si>
    <t>BROSS HEX NIPPLE15mm DIA</t>
  </si>
  <si>
    <t>BROSS HEX NIPPLE 20mm DIA</t>
  </si>
  <si>
    <t>E.W.C. WITH S  TRAP</t>
  </si>
  <si>
    <t>PORCELIN FOOT REAT</t>
  </si>
  <si>
    <t>WASH BASIN 480x400mm</t>
  </si>
  <si>
    <t>FLATE BACK URINAL FOR WOMEN</t>
  </si>
  <si>
    <t>P.V.C. SOIL BENDWITH DOOR 110mm DIA</t>
  </si>
  <si>
    <t>P.V.C. SOIL SHOE 110mm DIA</t>
  </si>
  <si>
    <t>P.V.C. SOIL BEND W.O.D 110mm DIA</t>
  </si>
  <si>
    <t>P.V.C. SOIL YEE 110mm DIA</t>
  </si>
  <si>
    <t>P.V.C. SOIL YEEWITH DOOR 110mm DIA</t>
  </si>
  <si>
    <t xml:space="preserve">P.V.C. SOIL DOUBLE  YEE WITH DOOR 110mm </t>
  </si>
  <si>
    <t>P.V.C. SOIL TEE 110mm DIA</t>
  </si>
  <si>
    <t>P.V.C. SOIL TEE WITH DOOR  110mm DIA</t>
  </si>
  <si>
    <t>P.V.C. SOIL SLOTTED COWL 110mm DIA</t>
  </si>
  <si>
    <t>WATER PROOF COMPOUND</t>
  </si>
  <si>
    <t>A.C. SHEETFULLY CORRUGATED 6mmT.K</t>
  </si>
  <si>
    <t>A.C. RIDGE FOR FULLYCORRUGATED AC SHEET</t>
  </si>
  <si>
    <t>A.C. RIDGE FOR SEMI CORRUGATED AC SHEET</t>
  </si>
  <si>
    <t>M.S.WINDOW GRILLS *</t>
  </si>
  <si>
    <t>CONVEY,ALAIGN,JIONT ETC UP TO40mmPVC PIPE</t>
  </si>
  <si>
    <t>CONVEY,ALAIGN,JIONT ETC OVER TO40mmPVC PIPE</t>
  </si>
  <si>
    <t xml:space="preserve">CUTTING CHARGE OF PVC pipe </t>
  </si>
  <si>
    <t>C.I. GREATING 100mmDIA</t>
  </si>
  <si>
    <t>C.I. GREATING 75mmDIA</t>
  </si>
  <si>
    <t>G.I PIPE "A"CLASS 80mmDIA</t>
  </si>
  <si>
    <t>DOOR OF SIZE 100X200Cm</t>
  </si>
  <si>
    <t>SINTEX WATER TANK OF 750 LIT</t>
  </si>
  <si>
    <t>3.25/lit</t>
  </si>
  <si>
    <t>Total for 40 operations</t>
  </si>
  <si>
    <t xml:space="preserve">POISHED CUDDAPAH SLAB 20mmTHICK WELL POISHED </t>
  </si>
  <si>
    <t>CUDDAPAH SLAB SINK 60X45cm,20mmT.K</t>
  </si>
  <si>
    <t>Cost of silver oak</t>
  </si>
  <si>
    <t>GRANITE SLAB 20mm THICK OF BEST QUALITY</t>
  </si>
  <si>
    <t>S/F OF BULKHEAD FITTING SUITABLE FOR 100/60W</t>
  </si>
  <si>
    <t>MARINE PLYWOOD OF 12mm THICK OF BWR GRADE L.R</t>
  </si>
  <si>
    <t>glass panels of 3mm thick for</t>
  </si>
  <si>
    <t>Cost of 3mm window glass</t>
  </si>
  <si>
    <t>Flat back urinal WITH ALL ACCESSORIES</t>
  </si>
  <si>
    <t>Mason II / I</t>
  </si>
  <si>
    <t>MAISTRY</t>
  </si>
  <si>
    <t>WIREMEN GRADE I</t>
  </si>
  <si>
    <t>WIREMEN GRADE Ii</t>
  </si>
  <si>
    <t>GI PIPE 40 MM DIA</t>
  </si>
  <si>
    <t>GI PIPE 20 MM DIA</t>
  </si>
  <si>
    <t>15 mm dia GI pipe</t>
  </si>
  <si>
    <t xml:space="preserve">GI PIPE 25 MM </t>
  </si>
  <si>
    <t>GI PIPE 40 MM</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</si>
  <si>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</si>
  <si>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</si>
  <si>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</si>
  <si>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</si>
  <si>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</si>
  <si>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</si>
  <si>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</si>
  <si>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</si>
  <si>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</si>
  <si>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</si>
  <si>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</si>
  <si>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</si>
  <si>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</si>
  <si>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</si>
  <si>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</si>
  <si>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</si>
  <si>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</si>
  <si>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9 Watts</t>
  </si>
  <si>
    <t>11 Watts</t>
  </si>
  <si>
    <t>FLUORESCENT TUBULAR LAMPS WITH ISI MARK</t>
  </si>
  <si>
    <t>Cool Day light 2 Ft 20 Watts</t>
  </si>
  <si>
    <t>Cool Day light and 4 Ft 40 Watts</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</si>
  <si>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</si>
  <si>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</si>
  <si>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</si>
  <si>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</si>
  <si>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</si>
  <si>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</si>
  <si>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</si>
  <si>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</si>
  <si>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</si>
  <si>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</si>
  <si>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BOX TYPE TWIN FLUORESCENT FITTING WITH COPPER CHOKE AND CONDENSOR COMPLETE WITH ISI MARK</t>
  </si>
  <si>
    <t>INDUSTRIAL TYPE FLUORESCENTFITTING STOVE ENAMELLED WITH COPPER CHOKE AND CONDENSOR (HPF)</t>
  </si>
  <si>
    <t>4 Ft 40 W single type suitable for 1 No tube</t>
  </si>
  <si>
    <t>4 Ft 40 W Twin type suitable for 2 Nos tube</t>
  </si>
  <si>
    <t>DECORATIVE  &amp; SINGLE FLUORESCENT TYPE FITTING WITH COPPER CHOKE &amp; CONDENSOR (HPF)COMPLETE SUITABLE FOR 2 NOS FLUORESCENT TUBES.</t>
  </si>
  <si>
    <t>2 Ft 20 Watts with perspex</t>
  </si>
  <si>
    <t>4 Ft 40 Watts with perspex</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</si>
  <si>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</si>
  <si>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</si>
  <si>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</si>
  <si>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</si>
  <si>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</si>
  <si>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</si>
  <si>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4'40 W Twin mirror optic Recessed Suspension type fitting
 ( Philips, Crompton, Wipro ).</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</si>
  <si>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</si>
  <si>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</si>
  <si>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</si>
  <si>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</si>
  <si>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</si>
  <si>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</si>
  <si>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</si>
  <si>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CUT OFF TYPE STREET LIGHT LANTHERN COMPLETE WITH COPPER CHOKE AND CONDENSOR.</t>
  </si>
  <si>
    <t>Suitable for 1 No 400 W HP MV lamp</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</si>
  <si>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</si>
  <si>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</si>
  <si>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</si>
  <si>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</si>
  <si>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</si>
  <si>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</si>
  <si>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</si>
  <si>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Starter capacity 20 Watts</t>
  </si>
  <si>
    <t>Starter capacity 40 Watts</t>
  </si>
  <si>
    <t xml:space="preserve">POLYSTER FILLED COPPER CHOKE 250 V/50 HZ GRADE SUITABLE FOR </t>
  </si>
  <si>
    <t>20 Watts fluorescent tube</t>
  </si>
  <si>
    <t>40 Watts fluorescent tube</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</si>
  <si>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</si>
  <si>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</si>
  <si>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</si>
  <si>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</si>
  <si>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</si>
  <si>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</si>
  <si>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</si>
  <si>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</si>
  <si>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</si>
  <si>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</si>
  <si>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</si>
  <si>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</si>
  <si>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</si>
  <si>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</si>
  <si>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</si>
  <si>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</si>
  <si>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</si>
  <si>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</si>
  <si>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</si>
  <si>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</si>
  <si>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</si>
  <si>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</si>
  <si>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</si>
  <si>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</si>
  <si>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</si>
  <si>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</si>
  <si>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Lamp lock screw type</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</si>
  <si>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</si>
  <si>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</si>
  <si>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</si>
  <si>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</si>
  <si>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</si>
  <si>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</si>
  <si>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</si>
  <si>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</si>
  <si>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</si>
  <si>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Automatic Electrical water Heater with copper container with Glass wool/ Puf insulation with MS powder coated cell suitable for 25 litres capacity  230 V/ 1500 W (Venus/Racold)</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</si>
  <si>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</si>
  <si>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</si>
  <si>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</si>
  <si>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A.C Ceiling fan complete 1400 mm (56") sweep ( with steped electronic 300W regulator )  with 300mm down rod.</t>
  </si>
  <si>
    <t>EXHAUST FAN S</t>
  </si>
  <si>
    <t>A.C Exaust Fan 225 mm (9") sweep (light duty)</t>
  </si>
  <si>
    <t>A.C Exaust Fan 300 mm (12") sweep (light duty)</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</si>
  <si>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</si>
  <si>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</si>
  <si>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</si>
  <si>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</si>
  <si>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</si>
  <si>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</si>
  <si>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</si>
  <si>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</si>
  <si>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</si>
  <si>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Cabin Fan 400mm (16") osillating type</t>
  </si>
  <si>
    <t xml:space="preserve">Pedestal Fan 400mm (16")Sweep osillating type </t>
  </si>
  <si>
    <t>Air circulators, 600mm (24") sweep (Domestic purpose) with speed regulators (2  blades) pedestal type</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</si>
  <si>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</si>
  <si>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</si>
  <si>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</si>
  <si>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</si>
  <si>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</si>
  <si>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</si>
  <si>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</si>
  <si>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</si>
  <si>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</si>
  <si>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</si>
  <si>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</si>
  <si>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</si>
  <si>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32 Amps DP switch with metal clade (side Handle)</t>
  </si>
  <si>
    <t>TRIPLE POLE SWITCHES  (SIDE HANDLE)</t>
  </si>
  <si>
    <t>16 Amps TPIC switch with fuse and neutral (500 V)</t>
  </si>
  <si>
    <t>32 Amps TPIC switch with fuse and neutral (500 V)</t>
  </si>
  <si>
    <t>63 Amps TPIC switch with fuse and neutral (500 V)</t>
  </si>
  <si>
    <t>100 Amps TPN switch with HRC fuses sheet steel double break</t>
  </si>
  <si>
    <t>200 Amps TPN switch with HRC fuses sheet steel double break</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</si>
  <si>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</si>
  <si>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</si>
  <si>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</si>
  <si>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</si>
  <si>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</si>
  <si>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</si>
  <si>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SWITCH  DISCONNECTOR  FUSE (SDF)(L&amp;T/SIEMENS)</t>
  </si>
  <si>
    <t>63A TPN switch disconnector fuse in sheet steel enclosure with  HRC fuses</t>
  </si>
  <si>
    <t>63A TPN switch disconnector fuse interior only with  HRC fuses</t>
  </si>
  <si>
    <t>100A TPN switch disconnector fuse in sheet steel enclosure with  HRC fuses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</si>
  <si>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</si>
  <si>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</si>
  <si>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</si>
  <si>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</si>
  <si>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</si>
  <si>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</si>
  <si>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</si>
  <si>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315A TPN switch disconnector fuse in sheet steel enclosure with  HRC fuses</t>
  </si>
  <si>
    <t>315A TPN switch disconnector fuse interior only with  HRC fuses</t>
  </si>
  <si>
    <t>400A TPN switch disconnector fuse in sheet steel enclosure with  HRC fuses</t>
  </si>
  <si>
    <t>400A TPN switch disconnector fuse interior only with  HRC fuses</t>
  </si>
  <si>
    <t xml:space="preserve">FUSE UNITS </t>
  </si>
  <si>
    <t>16Amps porcelin Fuse unit (250V)</t>
  </si>
  <si>
    <t>16Amps porcelin Fuse unit (500V)</t>
  </si>
  <si>
    <t>32Amps porcelin Fuse unit (500V)</t>
  </si>
  <si>
    <t>63Amps porcelin Fuse unit (500V)</t>
  </si>
  <si>
    <t>100Amps porcelin Fuse unit (500V)</t>
  </si>
  <si>
    <t>SINGLE PHASE DBS</t>
  </si>
  <si>
    <t>4 way DB 16Amps / ways with fuse &amp; Neutral each (250V)</t>
  </si>
  <si>
    <t>6 way DB 16Amps / ways with fuse &amp; Neutral each (250V)</t>
  </si>
  <si>
    <t>8 way DB 16Amps / ways with fuse &amp; Neutral each (250V)</t>
  </si>
  <si>
    <t xml:space="preserve">THREE PHASE DBS </t>
  </si>
  <si>
    <t>4 way TPDB 16A / ways with fuse &amp; Neutral  link</t>
  </si>
  <si>
    <t>6 way TPDB 16A / ways with fuse &amp; Neutral  link</t>
  </si>
  <si>
    <t>8 way TPDB 16A / ways with fuse &amp; Neutral  link</t>
  </si>
  <si>
    <t>4 way TPDB 32A / ways with fuse &amp; Neutral  link</t>
  </si>
  <si>
    <t>6 way TPDB 32A / ways with fuse &amp; Neutral  link</t>
  </si>
  <si>
    <t>8 way TPDB 32A / ways with fuse &amp; Neutral  link</t>
  </si>
  <si>
    <t>12 way TPDB 32A / ways with fuse &amp; Neutral  link</t>
  </si>
  <si>
    <t>4 way TPDB 63A / ways with fuse &amp; Neutral  link</t>
  </si>
  <si>
    <t>6 way TPDB 63A / ways with fuse &amp; Neutral  link</t>
  </si>
  <si>
    <t>CHANGE OVER SWITCHES (GEM HAVELLS /STANDARD /EQUIVALENT)</t>
  </si>
  <si>
    <t>16 Amps three phase 500V 4 pole change over switch</t>
  </si>
  <si>
    <t>32 Amps three phase 500V 4 pole change over switch</t>
  </si>
  <si>
    <t>63 Amps three phase 500V 4 pole change over switch</t>
  </si>
  <si>
    <t>100 Amps three phase 500V 4 pole change over switch</t>
  </si>
  <si>
    <t>200 Amps three phase 500V 4 pole change over switch</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</si>
  <si>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</si>
  <si>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</si>
  <si>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</si>
  <si>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</si>
  <si>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</si>
  <si>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</si>
  <si>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</si>
  <si>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</si>
  <si>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</si>
  <si>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</si>
  <si>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</si>
  <si>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</si>
  <si>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</si>
  <si>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</si>
  <si>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</si>
  <si>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</si>
  <si>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 xml:space="preserve">2 core 10 sq mm pvc armoured UG cable </t>
  </si>
  <si>
    <t xml:space="preserve">2 core 16 sq mm pvc armoured UG cable </t>
  </si>
  <si>
    <t xml:space="preserve">2 core 25 sq mm pvc armoured UG cable </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</si>
  <si>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</si>
  <si>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</si>
  <si>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</si>
  <si>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</si>
  <si>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</si>
  <si>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</si>
  <si>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</si>
  <si>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</si>
  <si>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</si>
  <si>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</si>
  <si>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</si>
  <si>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</si>
  <si>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</si>
  <si>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</si>
  <si>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</si>
  <si>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</si>
  <si>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</si>
  <si>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</si>
  <si>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</si>
  <si>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</si>
  <si>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</si>
  <si>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</si>
  <si>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</si>
  <si>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</si>
  <si>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</si>
  <si>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</si>
  <si>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 xml:space="preserve">2.5 sq mm 1/1.8 or equivalent multi core cable 1100V Grade </t>
  </si>
  <si>
    <t xml:space="preserve">4 sq mm 1/2.24 or equivalent multi core cable 1100V Grade </t>
  </si>
  <si>
    <t xml:space="preserve">6 sq mm 1/2.8 or equivalent multi core cable 1100V Grade </t>
  </si>
  <si>
    <t xml:space="preserve">10 sq mm 1/2.8 or equivalent multi core cable 1100V Grade </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</si>
  <si>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</si>
  <si>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</si>
  <si>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</si>
  <si>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</si>
  <si>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 xml:space="preserve"> ORNAMENTAL; HANDLE WITH SCREWS</t>
  </si>
  <si>
    <t>Supplying and fixing 3mm thick pin</t>
  </si>
  <si>
    <t xml:space="preserve"> 3mm glass frosted </t>
  </si>
  <si>
    <t xml:space="preserve"> 12x12mm Alu.Beedings</t>
  </si>
  <si>
    <t>Alu. bolts and nuts</t>
  </si>
  <si>
    <t>WITH SUITABLE LEDGES</t>
  </si>
  <si>
    <t>RATE AS PER SR</t>
  </si>
  <si>
    <t>Supplying and fixing M.S.Hold</t>
  </si>
  <si>
    <t>WHITE CEMENT/COLOUR CEMENT</t>
  </si>
  <si>
    <t>White Cement / Colour cement</t>
  </si>
  <si>
    <t>20mmTHICK MIXED WITH WATER PROOF COMPOUND</t>
  </si>
  <si>
    <t>FEBRICATION  (RCC WORKS)</t>
  </si>
  <si>
    <t>ANTI-CORROSIVE(COROLOK-CP</t>
  </si>
  <si>
    <t>DOWN FALL PIPE</t>
  </si>
  <si>
    <t xml:space="preserve"> 2omm alu. hanger rod</t>
  </si>
  <si>
    <t>Precasting Charges</t>
  </si>
  <si>
    <t>Casurina props</t>
  </si>
  <si>
    <t>CW reepers 50x25 cm</t>
  </si>
  <si>
    <t>Painting charges</t>
  </si>
  <si>
    <t>PVC WATER TANK OF 700 LITRE CAPACITY</t>
  </si>
  <si>
    <t>WASHBASIN 22"X16" INCLUDING ALL ACCESSORIES SUCH AS C.I BRACKETS 32MM DIA ETC.,</t>
  </si>
  <si>
    <t>538/EACH</t>
  </si>
  <si>
    <t>CI STEPS (5Kg)</t>
  </si>
  <si>
    <t>90/EACH</t>
  </si>
  <si>
    <t>Brass Tap with ISI Mark</t>
  </si>
  <si>
    <t>WEATERING COURSE</t>
  </si>
  <si>
    <t xml:space="preserve">110MM DIA OF 4Kg/sqmINCLUDING </t>
  </si>
  <si>
    <t>COMPLETE</t>
  </si>
  <si>
    <t>P.V.C DOOR TEE 110MM</t>
  </si>
  <si>
    <t xml:space="preserve">75MM DIA OF 4Kg/sqmINCLUDING </t>
  </si>
  <si>
    <t>NAHANI TRAP 63mm DIA</t>
  </si>
  <si>
    <t xml:space="preserve"> 3"ButtHinges</t>
  </si>
  <si>
    <t xml:space="preserve"> 6"x1/2" Aldrops</t>
  </si>
  <si>
    <t>S/F OF TUBELIGHT FITTING</t>
  </si>
  <si>
    <t>PVC RIGID CONDUIT PIPE 19M/20MM HEAVY DUTY WITH ISI</t>
  </si>
  <si>
    <t>CHARCOAL</t>
  </si>
  <si>
    <t>SALT</t>
  </si>
  <si>
    <t>GI WIRE 8 GAUGE</t>
  </si>
  <si>
    <t>ANNEXURE</t>
  </si>
  <si>
    <t xml:space="preserve">CI MANHOLE COVER 60 CMX60 CMX50KG </t>
  </si>
  <si>
    <t>22.3.1</t>
  </si>
  <si>
    <t>Shutter middle rails ( Horizontal) - 1x2x0.4x.15x.375=.0045</t>
  </si>
  <si>
    <t>Shutter(OSL Board)      -2X2X0.85X0.4=1.36m2</t>
  </si>
  <si>
    <t>S/ F of Cuddapah Sink of Size 600x600x200 mm with 32 mm G.I waste pipe and 32 mm C.P waste coupling</t>
  </si>
  <si>
    <t xml:space="preserve">S/ F of  Wash basin mirror  Size 600x 450 mm </t>
  </si>
  <si>
    <t xml:space="preserve">S/ F of  Wash basin mirror  Size 500x 400 mm </t>
  </si>
  <si>
    <t>S/ F of Flushing Tank with all fittings 10 litres Capacity</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</si>
  <si>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</si>
  <si>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</si>
  <si>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</si>
  <si>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</si>
  <si>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</si>
  <si>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</si>
  <si>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</si>
  <si>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</si>
  <si>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</si>
  <si>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</si>
  <si>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</si>
  <si>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</si>
  <si>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</si>
  <si>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</si>
  <si>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</si>
  <si>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</si>
  <si>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Cost of 32 mm dia G.I pipe</t>
  </si>
  <si>
    <t>Cost of MS angle 35x35x4mm (2x0.6x2.1 kg/m)</t>
  </si>
  <si>
    <t>Cost of Square bars (2x0.5x1.13 kg/m)</t>
  </si>
  <si>
    <t>Cost of  1 clamp  10 mm (3x0.15x0.78)</t>
  </si>
  <si>
    <t>Cost of Fixture hooks</t>
  </si>
  <si>
    <t>Fixing of screws, painting etc,</t>
  </si>
  <si>
    <t>…………………………….</t>
  </si>
  <si>
    <t>Rate for         =</t>
  </si>
  <si>
    <t>( 1   Set   )</t>
  </si>
  <si>
    <t>Rate for 1 No</t>
  </si>
  <si>
    <t xml:space="preserve">Data for form works using M.S sheet </t>
  </si>
  <si>
    <t>Description</t>
  </si>
  <si>
    <t>per</t>
  </si>
  <si>
    <t>e</t>
  </si>
  <si>
    <r>
      <t>Grid beam and slabs</t>
    </r>
    <r>
      <rPr>
        <sz val="14"/>
        <rFont val="Arial"/>
        <family val="2"/>
      </rPr>
      <t xml:space="preserve"> </t>
    </r>
  </si>
  <si>
    <t>Grid floor</t>
  </si>
  <si>
    <r>
      <t>Grid floor  Area 7.75 mm x8 mm =68  m</t>
    </r>
    <r>
      <rPr>
        <vertAlign val="superscript"/>
        <sz val="14"/>
        <rFont val="Arial"/>
        <family val="2"/>
      </rPr>
      <t>2</t>
    </r>
  </si>
  <si>
    <r>
      <t>Grid clear size 0.98 x1.01=0.99 m</t>
    </r>
    <r>
      <rPr>
        <vertAlign val="superscript"/>
        <sz val="14"/>
        <rFont val="Arial"/>
        <family val="2"/>
      </rPr>
      <t xml:space="preserve">2 </t>
    </r>
  </si>
  <si>
    <t xml:space="preserve">No. of grid 49 Nos  </t>
  </si>
  <si>
    <r>
      <t>Centering for floor slab Area
7.75 mm x8 mm =68  m</t>
    </r>
    <r>
      <rPr>
        <vertAlign val="superscript"/>
        <sz val="14"/>
        <rFont val="Arial"/>
        <family val="2"/>
      </rPr>
      <t>2</t>
    </r>
  </si>
  <si>
    <t>Centering for sides of  grid beam 
  49x2 x0.98x0.375=36.02
  49x2x1.01x3.75=37.12    
 Total 73.14</t>
  </si>
  <si>
    <t>Centering for bottom of grid slab             49x0.98x1.01=48.50</t>
  </si>
  <si>
    <r>
      <t>Total Centering area                              73.14+48.50 = 121.64 m</t>
    </r>
    <r>
      <rPr>
        <vertAlign val="superscript"/>
        <sz val="14"/>
        <rFont val="Arial"/>
        <family val="2"/>
      </rPr>
      <t xml:space="preserve">2 </t>
    </r>
  </si>
  <si>
    <r>
      <t>m</t>
    </r>
    <r>
      <rPr>
        <vertAlign val="superscript"/>
        <sz val="14"/>
        <rFont val="Arial"/>
        <family val="2"/>
      </rPr>
      <t xml:space="preserve">2 </t>
    </r>
  </si>
  <si>
    <t xml:space="preserve">Slab centering   up to 4 m height </t>
  </si>
  <si>
    <t>Centring with out strutting</t>
  </si>
  <si>
    <r>
      <t>m</t>
    </r>
    <r>
      <rPr>
        <vertAlign val="superscript"/>
        <sz val="14"/>
        <rFont val="Arial"/>
        <family val="2"/>
      </rPr>
      <t>2</t>
    </r>
  </si>
  <si>
    <r>
      <t>Total for 62m</t>
    </r>
    <r>
      <rPr>
        <vertAlign val="superscript"/>
        <sz val="14"/>
        <rFont val="Arial"/>
        <family val="2"/>
      </rPr>
      <t>2</t>
    </r>
  </si>
  <si>
    <r>
      <t>Rate for 1m</t>
    </r>
    <r>
      <rPr>
        <vertAlign val="superscript"/>
        <sz val="14"/>
        <rFont val="Arial"/>
        <family val="2"/>
      </rPr>
      <t>2</t>
    </r>
  </si>
  <si>
    <t>b</t>
  </si>
  <si>
    <t>Form work for Plain surfaces such as Roof slab</t>
  </si>
  <si>
    <t>Cost of M.S Sheet BG 10</t>
  </si>
  <si>
    <t>Cost of M.S angle 25x25x3mm</t>
  </si>
  <si>
    <t>L.s</t>
  </si>
  <si>
    <t>Add for Centring bending including labour charges</t>
  </si>
  <si>
    <t>For 40 operation</t>
  </si>
  <si>
    <t>For 1 operation</t>
  </si>
  <si>
    <t>Cost of 1 operation</t>
  </si>
  <si>
    <t>Cost of silver oke</t>
  </si>
  <si>
    <t>Casurina props 10 to 13 cm dia</t>
  </si>
  <si>
    <t>Add for silver plank</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</si>
  <si>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</si>
  <si>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</si>
  <si>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</si>
  <si>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t>For welding rails etc.,</t>
  </si>
  <si>
    <t>Periodical cleaning</t>
  </si>
  <si>
    <r>
      <t>Rate per 1 m</t>
    </r>
    <r>
      <rPr>
        <vertAlign val="superscript"/>
        <sz val="14"/>
        <rFont val="Arial"/>
        <family val="2"/>
      </rPr>
      <t>2</t>
    </r>
  </si>
  <si>
    <t>Rate for 4m height ( 202.09+12.32 ) =214.40</t>
  </si>
  <si>
    <t>a</t>
  </si>
  <si>
    <t>Form work for Column footings, plinthbeam, Grade beam, Raft slab, Raft beam etc.,</t>
  </si>
  <si>
    <t>Form work with Casurina props</t>
  </si>
  <si>
    <t>( - )</t>
  </si>
  <si>
    <t>Sub - data</t>
  </si>
  <si>
    <t>Strutting to centering of R.C.C plane surfaces 3.00m height in all floors</t>
  </si>
  <si>
    <t>Props 10 to 13 cm dia @ 75 Cm c/c ( cost of 1 operation Rs.15/5=3)</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</si>
  <si>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</si>
  <si>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</si>
  <si>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t>Add for sundries</t>
  </si>
  <si>
    <r>
      <t>Rate for 10 m</t>
    </r>
    <r>
      <rPr>
        <vertAlign val="superscript"/>
        <sz val="14"/>
        <rFont val="Arial"/>
        <family val="2"/>
      </rPr>
      <t>2</t>
    </r>
  </si>
  <si>
    <r>
      <t xml:space="preserve">Rate for 1m </t>
    </r>
    <r>
      <rPr>
        <vertAlign val="superscript"/>
        <sz val="14"/>
        <rFont val="Arial"/>
        <family val="2"/>
      </rPr>
      <t>2</t>
    </r>
  </si>
  <si>
    <t>For 1 m height</t>
  </si>
  <si>
    <t>For square  &amp; rectangular columns and small quantities extra 20 % of Form work using M.S sheet</t>
  </si>
  <si>
    <t>d</t>
  </si>
  <si>
    <t>For Vertical walls extra 10 % of Form work using M.S sheet</t>
  </si>
  <si>
    <t>Annexure Items</t>
  </si>
  <si>
    <t>From work for Column footings, plinthbeam, Grade beam, Raft slab, Raft beam etc.,</t>
  </si>
  <si>
    <t>Rate for From work for Column footings, plinthbeam, Grade beam, Raft slab, Raft beam etc.,</t>
  </si>
  <si>
    <t>1 Sqm</t>
  </si>
  <si>
    <t>Form work for Plain surfaces such as Roof slab,floor slab,beams, lintels, loft,sill slab,Stair case waist, portico slab and other similar works</t>
  </si>
  <si>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</si>
  <si>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</si>
  <si>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r>
      <t>39.20 x 0.05                                      =1.96m</t>
    </r>
    <r>
      <rPr>
        <vertAlign val="superscript"/>
        <sz val="12"/>
        <rFont val="Helv"/>
      </rPr>
      <t>2</t>
    </r>
  </si>
  <si>
    <t>Moulding charges</t>
  </si>
  <si>
    <t>Curing, Transporting, Laying and Pointing charges</t>
  </si>
  <si>
    <t>Packets</t>
  </si>
  <si>
    <t>Fibre</t>
  </si>
  <si>
    <t>Rate for 39.20 Sqm</t>
  </si>
  <si>
    <t>---------------</t>
  </si>
  <si>
    <t>C.W.Planks Moulding</t>
  </si>
  <si>
    <t>100 Operations</t>
  </si>
  <si>
    <t>500/100</t>
  </si>
  <si>
    <t>5 sets</t>
  </si>
  <si>
    <t>5 x 1.12 x 0.05</t>
  </si>
  <si>
    <t>0.28 Sqm</t>
  </si>
  <si>
    <t>Cement Adequacy</t>
  </si>
  <si>
    <t>1 m3  of CC 1:3:6</t>
  </si>
  <si>
    <t>216 Kg</t>
  </si>
  <si>
    <t>1.96m3</t>
  </si>
  <si>
    <t>423.36 Kg (ie) 8.5 Bags of Cement</t>
  </si>
  <si>
    <t>1 Fibre packet for 1 bag of cement</t>
  </si>
  <si>
    <t>Supply of MS angle 40 X 40 X 6mm for above data to support the above GI pipe and fixing the GI  stay wire service connection wire .</t>
  </si>
  <si>
    <t>------------------------------------------------------------------</t>
  </si>
  <si>
    <t>Kg( 1 Rmt = 3.25 Kg )]</t>
  </si>
  <si>
    <t>40 X 40 X 6mm</t>
  </si>
  <si>
    <t>M.S Angle</t>
  </si>
  <si>
    <t>Rate Per Rmt</t>
  </si>
  <si>
    <t>S&amp;F of 1 No of 30amps Fuse Unit</t>
  </si>
  <si>
    <t>------------------------------------------------</t>
  </si>
  <si>
    <t>30 amps 500V Fuse Unit</t>
  </si>
  <si>
    <t>T.W.Plank 150x100x20mm</t>
  </si>
  <si>
    <t xml:space="preserve">Sundries </t>
  </si>
  <si>
    <t>--------------------</t>
  </si>
  <si>
    <t>Wire man Gr-I</t>
  </si>
  <si>
    <t>Wire man Gr-II</t>
  </si>
  <si>
    <t>Helper</t>
  </si>
  <si>
    <t>Rate for 8 nos</t>
  </si>
  <si>
    <t>Rate for 1 nos</t>
  </si>
  <si>
    <t>23.1. ( b)</t>
  </si>
  <si>
    <t>T.W.DoubleLEAF FULLY PANELLED</t>
  </si>
  <si>
    <t>1500 X 2100MM</t>
  </si>
  <si>
    <t>SHUTTER SIZE-2x0.7X2.025   =2.835M2</t>
  </si>
  <si>
    <t>STYLES(OVER 2M) -2X2X2.025X0.075X0.0375=0.0228</t>
  </si>
  <si>
    <t>RAILS(BELOW 2M)- 2X3X0.70X0.15X0.0375=      0.0236</t>
  </si>
  <si>
    <t xml:space="preserve">               - 2X3X0.70X0.075X0.0375 =0.0118</t>
  </si>
  <si>
    <t>PLANKS      -2X4X0.575X0.3X0.01875=</t>
  </si>
  <si>
    <t xml:space="preserve">                          -2X1X0.575X0.3X0.01875=</t>
  </si>
  <si>
    <t>TOTAL FOR 2.835 SQM</t>
  </si>
  <si>
    <t>RAILS(BELOW 2M)- 2X4X0.45X0.15X0.0375=      0.020</t>
  </si>
  <si>
    <t xml:space="preserve">               - 2X2X0.45X0.075X0.0375 =0.005</t>
  </si>
  <si>
    <t>PLANKS      -2X4X0.425X0.28X0.01875=</t>
  </si>
  <si>
    <t xml:space="preserve">                          -2X1X0.425X0.28X0.01875=</t>
  </si>
  <si>
    <t>FLATBACK URINAL</t>
  </si>
  <si>
    <t>Flatback Urinal including all accessories</t>
  </si>
  <si>
    <t>Mason I Class</t>
  </si>
  <si>
    <t>Providing Rain Water Harvesting</t>
  </si>
  <si>
    <t>Labour charges for augering</t>
  </si>
  <si>
    <t>Precasted slab</t>
  </si>
  <si>
    <t>Sub -data for 3</t>
  </si>
  <si>
    <t>Tool  Plants</t>
  </si>
  <si>
    <t>Total for 3 Rmt</t>
  </si>
  <si>
    <t>Rate for 1 rmt</t>
  </si>
  <si>
    <t xml:space="preserve">2x4 sqmm copper PVC insulated unseathed single core 1KV grade cable for EB service </t>
  </si>
  <si>
    <t>4 Sqmm copper PVC unsulated unsheathed single core cable</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</si>
  <si>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</si>
  <si>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</si>
  <si>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</si>
  <si>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</si>
  <si>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</si>
  <si>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</si>
  <si>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</si>
  <si>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</si>
  <si>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</si>
  <si>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</si>
  <si>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</si>
  <si>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</si>
  <si>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</si>
  <si>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</si>
  <si>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Total  for 4.90 Rmt</t>
  </si>
  <si>
    <t>Rate for Rmt</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</si>
  <si>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</si>
  <si>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</si>
  <si>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</si>
  <si>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</si>
  <si>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</si>
  <si>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</si>
  <si>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</si>
  <si>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</si>
  <si>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</si>
  <si>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</si>
  <si>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</si>
  <si>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</si>
  <si>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</si>
  <si>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</si>
  <si>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</si>
  <si>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</si>
  <si>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</si>
  <si>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</si>
  <si>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</si>
  <si>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</si>
  <si>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</si>
  <si>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t>
  </si>
  <si>
    <t>For 8 Nos</t>
  </si>
  <si>
    <t>Per labour</t>
  </si>
  <si>
    <t>Supply and fixing of 4way TPN MCB sheet with 100/63A 4pole Islotor</t>
  </si>
  <si>
    <t>Triple pole &amp; Neutral 4way</t>
  </si>
  <si>
    <t>63A / 100A 4 pole MCB Isolotor</t>
  </si>
  <si>
    <t>32ATPN MCB</t>
  </si>
  <si>
    <t xml:space="preserve">Angle Iron </t>
  </si>
  <si>
    <t>Sundries 1%</t>
  </si>
  <si>
    <t>Supply and fixing of Copper flats</t>
  </si>
  <si>
    <t>25x3mm Copper flats</t>
  </si>
  <si>
    <t>procelin Insulator</t>
  </si>
  <si>
    <t>Supply and fixing of 4'40W twin decorative mirror optics with bulb</t>
  </si>
  <si>
    <t xml:space="preserve">4'40w twin decorative </t>
  </si>
  <si>
    <t>4'40w F.tube</t>
  </si>
  <si>
    <t>19mm dia conduit pipe</t>
  </si>
  <si>
    <t>T.W round blocks</t>
  </si>
  <si>
    <t>Ball &amp; Socket</t>
  </si>
  <si>
    <t>connecting lead</t>
  </si>
  <si>
    <t>Supply and fixing of Cloth drying arrangements</t>
  </si>
  <si>
    <t>-----------------------------------------------------------------</t>
  </si>
  <si>
    <t>32mm dia G.I Pipe</t>
  </si>
  <si>
    <t>M.S. angle(35x35x4 mm)</t>
  </si>
  <si>
    <t>Squre Rod ( 2x.5x1.13 Kg/m )</t>
  </si>
  <si>
    <t>Cost of Clamp 10mm</t>
  </si>
  <si>
    <t>Labour Charges for welding</t>
  </si>
  <si>
    <t>Cost of fixed hooks</t>
  </si>
  <si>
    <t>Rate for 2 Nos</t>
  </si>
  <si>
    <t>Exhaust Fan 9" Swep ( 225 mm )</t>
  </si>
  <si>
    <t>----------------------------------------------</t>
  </si>
  <si>
    <t>Provision of hole in the wall and making good of the wall</t>
  </si>
  <si>
    <t>Clamp fixing by coche screws bolts and nuts including connections</t>
  </si>
  <si>
    <t>Add 1% sundries</t>
  </si>
  <si>
    <t>Electrical Wire man Gr.I</t>
  </si>
  <si>
    <t>Rate for 4 Nos</t>
  </si>
  <si>
    <t>Rate for 1 Nos</t>
  </si>
  <si>
    <t>Tube light fitting with Electronic Ballast ( Patti type )</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</si>
  <si>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</si>
  <si>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</si>
  <si>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</si>
  <si>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</si>
  <si>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</si>
  <si>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</si>
  <si>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</si>
  <si>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</si>
  <si>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</si>
  <si>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</si>
  <si>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</si>
  <si>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Tamil Nadu Police Housing Corporation</t>
  </si>
  <si>
    <t>TNHB ELECTRICAL DATA 2019-2020</t>
  </si>
  <si>
    <t>Part   - A</t>
  </si>
  <si>
    <t>DATA  - 1</t>
  </si>
  <si>
    <t>FAN POINT FOR ADMINISTRATIVE BLOCKS AND COMMUNITY CENTRE</t>
  </si>
  <si>
    <t>WIRING IN CONCEALED PVC PIPE</t>
  </si>
  <si>
    <t>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</si>
  <si>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</si>
  <si>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FOR ADMINISTRATIVE BLOCKS AND COMMUNITY CENTRE controlled by 5 amps flush type switch including citcuit mains, cost of all materials, specials, etc., all complete,</t>
    </r>
    <r>
      <rPr>
        <b/>
        <sz val="12"/>
        <rFont val="Helv"/>
      </rPr>
      <t>(Open wiring)</t>
    </r>
  </si>
  <si>
    <t>1.5 sqmm copper PVC insulated unsheathed single core cable (P-124 it-2/b)</t>
  </si>
  <si>
    <t xml:space="preserve"> Rmt</t>
  </si>
  <si>
    <t>PVC rigid conduit pipe 19 mm / 20mm heavy duty with ISI mark p-127 part -I IX-1 b</t>
  </si>
  <si>
    <t>19 mm PVC rigid bends - p-128 part -I IX-2b</t>
  </si>
  <si>
    <t>19 mm PVC rigid tees (p-128 4b, 13.70/12=1.14)</t>
  </si>
  <si>
    <t>1.5 sqmm copper PVC insulated unsheathed single core cable</t>
  </si>
  <si>
    <t>MS joint box 150 x 100 x 75 mm p-125 vi-b part -f</t>
  </si>
  <si>
    <t>PVC rigid conduit pipe 19 mm / 20mm heavy duty with ISI mark</t>
  </si>
  <si>
    <t>19 mm PVC saddles / p 128 ,  5  b</t>
  </si>
  <si>
    <t>Dozen</t>
  </si>
  <si>
    <t>Hylem sheet 3 mm thick with lamination p-129 it-7a part-I</t>
  </si>
  <si>
    <t>19 mm PVC rigid bends</t>
  </si>
  <si>
    <t>5 amps flush type switch p-117, Part-C,1 a ( 190.70/12=15.89)</t>
  </si>
  <si>
    <t>19 mm PVC rigid tees</t>
  </si>
  <si>
    <t>Ceiling rose p-115 it-26</t>
  </si>
  <si>
    <t>Teakwood plugs 1.5"x1"x2"P-84 part-J e</t>
  </si>
  <si>
    <t>19 mm PVC junction box  ( p-129,6-b( 36.80/12=3.07)</t>
  </si>
  <si>
    <t>PVC JUNCTION BOX 19 mm</t>
  </si>
  <si>
    <t>Bag</t>
  </si>
  <si>
    <t>Cement (5800/20)</t>
  </si>
  <si>
    <t>Ceiling rose</t>
  </si>
  <si>
    <t>MS box  150 x 100 x 75 mm p-125 vi-b pat -f</t>
  </si>
  <si>
    <t>5 amps switch (flush type) P-117 part C-a</t>
  </si>
  <si>
    <t>3 mm thick laminated Hylem sheet p-129 it-7a part-I</t>
  </si>
  <si>
    <t>Gross</t>
  </si>
  <si>
    <t>Brass screws  ( 40 mm x 6 no) P-85 Part-L c</t>
  </si>
  <si>
    <t>MS box  12"X8" mm(5 sided) covered with 3mm thick Hylem sheet (SD 12)</t>
  </si>
  <si>
    <t>bag</t>
  </si>
  <si>
    <t>1.5 sqmm copper PVC insulated unsheathed single core cable for continuous earth connection</t>
  </si>
  <si>
    <t>Total for 10 Points</t>
  </si>
  <si>
    <t>Points</t>
  </si>
  <si>
    <t>Rate for 1 Point</t>
  </si>
  <si>
    <t>Sundries for screws etc.,</t>
  </si>
  <si>
    <t>Labour Charges for wirnig in PVC pipe concealed</t>
  </si>
  <si>
    <t>Total for 6 Points</t>
  </si>
  <si>
    <t xml:space="preserve"> Electrical Maistry ( p-13 it 59/106)</t>
  </si>
  <si>
    <t>Wiremen Grade  - I ( p-11 it-13)</t>
  </si>
  <si>
    <t>Wiremen Grade  - II</t>
  </si>
  <si>
    <t>For Concreting work</t>
  </si>
  <si>
    <t>Maistry</t>
  </si>
  <si>
    <r>
      <t>Mason II</t>
    </r>
    <r>
      <rPr>
        <vertAlign val="superscript"/>
        <sz val="12"/>
        <rFont val="Helv"/>
      </rPr>
      <t>nd</t>
    </r>
    <r>
      <rPr>
        <sz val="11"/>
        <color theme="1"/>
        <rFont val="Calibri"/>
        <family val="2"/>
        <scheme val="minor"/>
      </rPr>
      <t xml:space="preserve"> class</t>
    </r>
  </si>
  <si>
    <t>Wiremen Grade  - I</t>
  </si>
  <si>
    <t>DATA  - 2</t>
  </si>
  <si>
    <r>
      <t xml:space="preserve">LIGHT POINT WITH CEILING ROSE FOR ADMINISTRATIVE BLOCKS AND COMMUNITY CENTRE </t>
    </r>
    <r>
      <rPr>
        <b/>
        <sz val="14"/>
        <rFont val="Helv"/>
      </rPr>
      <t>Open wiring</t>
    </r>
  </si>
  <si>
    <t>Light point with bakelite batern type holder for flats/ houses</t>
  </si>
  <si>
    <t>1175/6=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</si>
  <si>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</si>
  <si>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</si>
  <si>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</si>
  <si>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</si>
  <si>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Add cost of Bakelite battern type holders 10 Nos @ Rs 16.35 / Each p-115,  it-24</t>
  </si>
  <si>
    <t>19 mm PVC saddles</t>
  </si>
  <si>
    <t>Total for 10 points</t>
  </si>
  <si>
    <t>Rate for 1 points</t>
  </si>
  <si>
    <t>DATA  - 3</t>
  </si>
  <si>
    <t>POINT WIRING FOR CALLING BELL / BUZZER WITH PUSH SWITCH FOR ALL TYPE OF BUILDING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</si>
  <si>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</si>
  <si>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MS box  4"X4" mm(5 sided) covered with 3mm thick Hylem sheet sd-12</t>
  </si>
  <si>
    <t>Total of Data 1 excluding sundries</t>
  </si>
  <si>
    <t>Deduct cost of 10 Nos ceiling rose</t>
  </si>
  <si>
    <t>Deduct cost of 10 Nos 19 mm PVC junction box</t>
  </si>
  <si>
    <t>Deduct 10 Nos 5 A switch</t>
  </si>
  <si>
    <t>Add the cost of 10 Nos Buzer/Bell @ 40.90/Each it-30a p-116</t>
  </si>
  <si>
    <t>Add the cost of 10 nos 5A type push switch @ Rs 9.00/ Each</t>
  </si>
  <si>
    <t>Add the cost of 10 nos  15 x 10 x 7.5 cm TW box @ Rs 16.50/Each p-129,  X-c part -j</t>
  </si>
  <si>
    <t>1152*6</t>
  </si>
  <si>
    <t>Rate for 1 point</t>
  </si>
  <si>
    <t>DATA  -  4</t>
  </si>
  <si>
    <t>FAN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</si>
  <si>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</si>
  <si>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MS box  200 x 150 x 75 mm  part-  F 1c p-126</t>
  </si>
  <si>
    <t>MS joint box (150 x 100 x 75 mm )</t>
  </si>
  <si>
    <t>MS box  300 x 200 x 75 mm</t>
  </si>
  <si>
    <t>200x150x75 mm=90</t>
  </si>
  <si>
    <t xml:space="preserve">A 200x150x75 mm=0.0825 </t>
  </si>
  <si>
    <r>
      <t>A 300x200x75 mm=0.135m</t>
    </r>
    <r>
      <rPr>
        <vertAlign val="superscript"/>
        <sz val="12"/>
        <rFont val="Helv"/>
      </rPr>
      <t>2</t>
    </r>
  </si>
  <si>
    <t xml:space="preserve">DATA  - 5 </t>
  </si>
  <si>
    <t>STAIRCASE LIGHT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</si>
  <si>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</si>
  <si>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)part c-b p-117</t>
  </si>
  <si>
    <t>19 mm PVC junction box</t>
  </si>
  <si>
    <t>MS box  150x 100 x 75 mm</t>
  </si>
  <si>
    <t xml:space="preserve">3 mm thick laminated Hylem sheet </t>
  </si>
  <si>
    <t>Total for 5 points</t>
  </si>
  <si>
    <t>DATA   - 6</t>
  </si>
  <si>
    <t xml:space="preserve">5 AMPS 5 PIN PLUG SOCKET POINT AT CONVENIENT PLACES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</si>
  <si>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</si>
  <si>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 part - c (I a) + part - d (I a)( Rs. 190.70/12 + 23.70) p-117 +123 part d a</t>
  </si>
  <si>
    <t>SQqm</t>
  </si>
  <si>
    <t>Total for 15 points</t>
  </si>
  <si>
    <t xml:space="preserve">DATA   - 7 </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</si>
  <si>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</si>
  <si>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</si>
  <si>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5 A 5 pin non - inter locking switch and plug ( flush type ) part - c (I a) + part - d (I a)( Rs. 190.70/12 + 23.50) p-117 +122 part d a</t>
  </si>
  <si>
    <t xml:space="preserve">DATA    - 8 </t>
  </si>
  <si>
    <t>15 AMPS POWER PLUG</t>
  </si>
  <si>
    <r>
      <t xml:space="preserve">Supplying and fixing of </t>
    </r>
    <r>
      <rPr>
        <b/>
        <sz val="12"/>
        <rFont val="Helv"/>
      </rPr>
      <t>15 Amps 3 pin flush type plug</t>
    </r>
    <r>
      <rPr>
        <sz val="11"/>
        <color theme="1"/>
        <rFont val="Calibri"/>
        <family val="2"/>
        <scheme val="minor"/>
      </rPr>
      <t xml:space="preserve"> socket on suitable MS box of 16g thick concealed and covered with 3 mm thick laminated hylem sheet inclusive of all materials, etc., all complete.</t>
    </r>
  </si>
  <si>
    <t>15 Amps 3 pin flush type plug socket Part-D1 b p-123</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</si>
  <si>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</si>
  <si>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</si>
  <si>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</si>
  <si>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</si>
  <si>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</si>
  <si>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</si>
  <si>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MS joint box 150 x 100 x 75 mm</t>
  </si>
  <si>
    <t xml:space="preserve">Hylem sheet 3 mm thick with lamination </t>
  </si>
  <si>
    <t>5 amps flush type switch</t>
  </si>
  <si>
    <t>MS box  150 x 100 x 75 mm</t>
  </si>
  <si>
    <t>3 mm thick laminated Hylem sheet</t>
  </si>
  <si>
    <t>90 Rmt</t>
  </si>
  <si>
    <t>DATA    -   10</t>
  </si>
  <si>
    <t>LIGHT POINT WITH BAKELITE BATTERN TYPE HOLDER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</si>
  <si>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</si>
  <si>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</si>
  <si>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</si>
  <si>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r>
      <t>Add cost of Bakelite battern type holders 6 nos @</t>
    </r>
    <r>
      <rPr>
        <sz val="12"/>
        <color indexed="10"/>
        <rFont val="Helv"/>
      </rPr>
      <t xml:space="preserve"> 16.35/E</t>
    </r>
    <r>
      <rPr>
        <sz val="11"/>
        <color theme="1"/>
        <rFont val="Calibri"/>
        <family val="2"/>
        <scheme val="minor"/>
      </rPr>
      <t>ach9 (New item 24-p-115)</t>
    </r>
  </si>
  <si>
    <t>Total for 6 points</t>
  </si>
  <si>
    <t>For 1 points</t>
  </si>
  <si>
    <t>DATA   - 11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</si>
  <si>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</si>
  <si>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</si>
  <si>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MS box  200 x 150 x 75 mm</t>
  </si>
  <si>
    <t>DATA  - 12 a</t>
  </si>
  <si>
    <t>STAIRCASE LIGHT POINT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</si>
  <si>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</si>
  <si>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5 A flush type two way switches ( Staircase switch )</t>
  </si>
  <si>
    <t>Total for 3 points</t>
  </si>
  <si>
    <t>Part   - B</t>
  </si>
  <si>
    <t>DATA   - 12</t>
  </si>
  <si>
    <t>DATA   - 14</t>
  </si>
  <si>
    <t>2 X1.5 Sqmm in fully concealed PVC conduit</t>
  </si>
  <si>
    <t>2 X 6 Sq 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</si>
  <si>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</si>
  <si>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</si>
  <si>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 p 124 , 2  part -E</t>
  </si>
  <si>
    <t>4 sqmm copper PVC insulated unsheathed single core cable for continuous earth connectionp  P-124 2 C</t>
  </si>
  <si>
    <t>Total for 90 Metres</t>
  </si>
  <si>
    <t>Rate for 1 Rmt</t>
  </si>
  <si>
    <t>212.5*90</t>
  </si>
  <si>
    <t>DATA   - 13</t>
  </si>
  <si>
    <t>2 X 2.5 Sq mm in fully concealed PVC conduit</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</si>
  <si>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</si>
  <si>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</si>
  <si>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Add 180 mt 2.5 Sqmm copper PVC insulated unsheathed S.C. cable p-124, it- 2 c</t>
  </si>
  <si>
    <t>Deduct 1.5 Sqmm copper PVC insulated unsheathed S.C. cable</t>
  </si>
  <si>
    <t>Total for 90 metres</t>
  </si>
  <si>
    <t>2 X 4 Sq mm in fully concealed PVC conduit</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</si>
  <si>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</si>
  <si>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cable,P-124 it-2-d</t>
  </si>
  <si>
    <t>2.5 sqmm copper PVC insulated unsheathed single core cable for continuous earth connectionp-124, it- 2 c</t>
  </si>
  <si>
    <t>DATA   - 15</t>
  </si>
  <si>
    <t>4 X 4 Sq mm in fully concealed PVC conduit</t>
  </si>
  <si>
    <t>4 X 6 Sq mm in fully concealed PVC conduit</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</si>
  <si>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</si>
  <si>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</si>
  <si>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cable,P-123 it-2-d</t>
  </si>
  <si>
    <t>6 sqmm copper PVC insulated unsheathed single core cable p 123 , 2  part -E</t>
  </si>
  <si>
    <t>25mm dia rigid PVC pipe heavy duty with ISI heavy duty with ISI mark part -I 1c P-128, Part -I</t>
  </si>
  <si>
    <t>25mm dia rigid PVC pipe heavy duty with ISI heavy duty with ISI mark part-I 1c P-82</t>
  </si>
  <si>
    <t>2.5 sqmm copper PVC insulated unsheathed single core cable for continuous earth connection (p-86, it- 2 c)</t>
  </si>
  <si>
    <t>4 sqmm copper PVC insulated unsheathed single core cable for continuous earth connectionp-79, it- 2 c</t>
  </si>
  <si>
    <t>Labour charges ( 1.5 x Labour charges + Labour for ducting - sub data - A)</t>
  </si>
  <si>
    <t>( 1.5  x 9313) - ( 1436 +1988 ) / 2)</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</si>
  <si>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</si>
  <si>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</si>
  <si>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Part   - C</t>
  </si>
  <si>
    <t>10 sqmm copper PVC insulated unsheathed single core cable (P-124  it-2-f part-F)</t>
  </si>
  <si>
    <t>DATA   - 16</t>
  </si>
  <si>
    <t>25mm dia rigid PVC pipe heavy duty with ISI heavy duty with ISI markpart-I 1c P-82</t>
  </si>
  <si>
    <t>WATER TIGHT BULK HEAD FITTING SUITABLE FOR 12W LED BULB</t>
  </si>
  <si>
    <t>2.5 sqmm copper PVC insulated unsheathed single core cable for continuous earth connectionp-79, it- 2 c</t>
  </si>
  <si>
    <t>Supplying and fixing of water tight bulk head fittings with guard suitable for 60 / 100 watts including necessary connections, cost of materials, etc., All complete.</t>
  </si>
  <si>
    <t>Bulk head fittings P-115 it-25</t>
  </si>
  <si>
    <t>Total For 1 No</t>
  </si>
  <si>
    <t>Labour Charges Data</t>
  </si>
  <si>
    <t>Wiremen Grade II</t>
  </si>
  <si>
    <t xml:space="preserve">Helper </t>
  </si>
  <si>
    <t>Total for 15 Nos</t>
  </si>
  <si>
    <t>DATA   - 17</t>
  </si>
  <si>
    <t>16 AMPS DOUBLE POLE MAIN SWITCH ON TEAK WOOD BOARD TOP MES SERVICE CONNECTION / MOTOR PUMP( SINGLE PHASE ) SET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</si>
  <si>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</si>
  <si>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 (SD 143)</t>
  </si>
  <si>
    <t>TW board of size 31x20x6 cm with brass hinge screw hooks well varnished (as per PWD Elec. Data SD 141)</t>
  </si>
  <si>
    <t>Sundries for TW plugs,screws, wire and earth connection etc.,</t>
  </si>
  <si>
    <t>Wiremen Grade I</t>
  </si>
  <si>
    <t>Total for 4 Nos</t>
  </si>
  <si>
    <t>DATA   - 19</t>
  </si>
  <si>
    <t>32 AMPS DOUBLE POLE MAIN SWITCH ON TEAK WOOD BOARD TOP MES SERVICE CONNECTION / MOTOR PUMP
(SINGLE PHASE ) SET</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</si>
  <si>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</si>
  <si>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 (SD 143)</t>
  </si>
  <si>
    <t>TW board of size 31x20x6 cm with brass hinge screw hooks well varnished</t>
  </si>
  <si>
    <t>DATA   - 18</t>
  </si>
  <si>
    <t>Supply and fixing 4 way 250 volt single phase with neutral link metalic distribution board on suitable Teak wood board etc., all complete including connections.</t>
  </si>
  <si>
    <t>4 way 16 amps, way 250 volts single phase and neutral link metalic distribution board p-119 7a</t>
  </si>
  <si>
    <t>T.W board of size 31 x 20x 6 cm with well varnished (SD 141)</t>
  </si>
  <si>
    <t>Labour charges  as per Data No 17</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</si>
  <si>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</si>
  <si>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</si>
  <si>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link(SD 161)</t>
  </si>
  <si>
    <t>TW board of size 46 x30 x 6 cm with brass hinges hooks screws  well varnished (SD 149)</t>
  </si>
  <si>
    <t>Sundries screw TW plugs screws wire and earth connections.</t>
  </si>
  <si>
    <t>Wiremen  Grade I</t>
  </si>
  <si>
    <t>DATA   - 22</t>
  </si>
  <si>
    <r>
      <t xml:space="preserve">Supplying and fixing of 32 amps triple pole main switch with fuse and neutral link </t>
    </r>
    <r>
      <rPr>
        <sz val="12"/>
        <rFont val="Helv"/>
      </rPr>
      <t>on a suitable well varnished teak wood board including necessary interconnection and earth connection cost of all materials, etc., all complete.</t>
    </r>
  </si>
  <si>
    <t>32 Amps triple pole main switch with fuse and neutral link(SD 163)</t>
  </si>
  <si>
    <t>TW board of size 46 x30 x 6 cm with brass hinges hooks screws  well varnished</t>
  </si>
  <si>
    <t>DATA   - 20</t>
  </si>
  <si>
    <t>THREE PHASE DISTRIBUTION BOARD WITH 4 WAY PHASE AND 3 AMPS/WAY FUSE AND NEUTRAL LINK FOR MES SERVICE CONNECTION ( 6 IN 1  BLOCKS )</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</si>
  <si>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</si>
  <si>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 P120  8d</t>
  </si>
  <si>
    <t>TW plank of size 750 x 450 x 12 mm thick</t>
  </si>
  <si>
    <t>Sundries such as screws plugs, cement, wire and earth connection.</t>
  </si>
  <si>
    <r>
      <t>TW plank of size 750 x 450 x 12 mm thick(</t>
    </r>
    <r>
      <rPr>
        <sz val="12"/>
        <color indexed="10"/>
        <rFont val="Helv"/>
      </rPr>
      <t>91300+10275</t>
    </r>
    <r>
      <rPr>
        <sz val="11"/>
        <color theme="1"/>
        <rFont val="Calibri"/>
        <family val="2"/>
        <scheme val="minor"/>
      </rPr>
      <t>) p-20+P-32  it-143 labour charge</t>
    </r>
  </si>
  <si>
    <t>DATA   - 24</t>
  </si>
  <si>
    <t>THREE PHASE DISTRIBUTION BOARD WITH 6 WAY PHASE AND 30 AMPS / WAY WITH FUSE AND NEUTRAL LINK ON SUITABLE TW PLANK TOP MES CONNECTION BOARD (FOR 12 IN 1 BLOCKS)</t>
  </si>
  <si>
    <t>( For 12 flats common &amp; pump )</t>
  </si>
  <si>
    <t>As per above data</t>
  </si>
  <si>
    <t>Add for 6 way TPDB 32A/way p-120, 8e</t>
  </si>
  <si>
    <t>Less 4 way TPDB 32 A/way p-120, 8d</t>
  </si>
  <si>
    <t>FIXING OF TUBE LIGHT FITTINGS ON WALL / CEILING</t>
  </si>
  <si>
    <t>Charges for assembling and fixing of flouresent tubular lamp fittings of different types ( supplied by the department at free of cost ) with necessary teak wood round block of 75 mm dia 40 mm deep on walls/ ceiling including cost of materials, etc., all complete.</t>
  </si>
  <si>
    <t xml:space="preserve">TW round block P-129 Part -J -X- F </t>
  </si>
  <si>
    <t>0.5 Sqmm copper twin core flex wire</t>
  </si>
  <si>
    <t>100 Rmts</t>
  </si>
  <si>
    <t>sundries such as screws, nails etc.,</t>
  </si>
  <si>
    <t>Labour charges for assembling and fixing</t>
  </si>
  <si>
    <t>Labour charges for 16 Nos</t>
  </si>
  <si>
    <t>Total for 16 Nos</t>
  </si>
  <si>
    <t>DATA   - 23</t>
  </si>
  <si>
    <t>FIXING OF TUBE FITTINGS SUSPENDED FROM CEILING</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</si>
  <si>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</si>
  <si>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 (heavy gauge)p-126 Part-H 1-b</t>
  </si>
  <si>
    <t>Round block 75 mm dia 40 mm deep</t>
  </si>
  <si>
    <t xml:space="preserve">Sundries such as ball and socket arrangement, choke, nails, screws, etc., </t>
  </si>
  <si>
    <t>Total for 10  Nos</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</si>
  <si>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</si>
  <si>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</si>
  <si>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</si>
  <si>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</si>
  <si>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</si>
  <si>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</si>
  <si>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</si>
  <si>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</si>
  <si>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Supplying and laying of 8 SWG GI wire on walls/below ground level with necessary 'U' nails/ earth work excavation and re- filling etc., including cost of all materials, all complete.</t>
  </si>
  <si>
    <t xml:space="preserve">8 SWG GI wire  (Part- E, 3 -c P-124 ) </t>
  </si>
  <si>
    <t xml:space="preserve"> 'U' nails (SD-74 ,20-21)</t>
  </si>
  <si>
    <t>Tatal for 90 Rmts</t>
  </si>
  <si>
    <t>For 1 Rmt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</si>
  <si>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</si>
  <si>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</si>
  <si>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</si>
  <si>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</si>
  <si>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</si>
  <si>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GI pipe 40 mm P-51 ,150-iii</t>
  </si>
  <si>
    <t>GI pipe 20 mm P-52 ,150-vi</t>
  </si>
  <si>
    <t>15 mm GI pipeP-52 ,150-VII</t>
  </si>
  <si>
    <t>GI reducer 32x25mmP- 53,150 F-iii</t>
  </si>
  <si>
    <t>Funnel, GI Nuts, Bolts,Washers and check nuts.</t>
  </si>
  <si>
    <t>Earth work excavation brick work in CM and plastering  [SD 234]</t>
  </si>
  <si>
    <t>C.I Cover(30 x 30cm)</t>
  </si>
  <si>
    <t>Charcoal SD 233-2020-2021 (100.70/20.32 = 4.96)</t>
  </si>
  <si>
    <t>GI bend 15 mm diaP-52 ,119-c vi</t>
  </si>
  <si>
    <t>15 mm GI coupling P- 53,119-E vi</t>
  </si>
  <si>
    <t>Salt (SD 233, 20-21)</t>
  </si>
  <si>
    <t>DATA   - 30</t>
  </si>
  <si>
    <t>ELCB SURFACE TEAK WOOD BOARD</t>
  </si>
  <si>
    <t>Charges for fixing single phase RCCB/ELCB ( to be supplied by the department free of cost ) on suitable well varnished teak wood plank with a necessary inter   connection and earth connections using copper cable including cost of all materials, etc., all complete.</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</si>
  <si>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</si>
  <si>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</si>
  <si>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</si>
  <si>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</si>
  <si>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</si>
  <si>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</si>
  <si>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</si>
  <si>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</si>
  <si>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 ( Part- F, P-126  it- d)</t>
  </si>
  <si>
    <t>Sundries such as cement, 1.5Sqmm copper PVC insulated unsheathed wire &amp; earth connections etc., all complete.</t>
  </si>
  <si>
    <t>Mason I ( it-29 /37  ,p-12)</t>
  </si>
  <si>
    <t>Total for 10 Nos</t>
  </si>
  <si>
    <t>For 1 No</t>
  </si>
  <si>
    <t>DATA   - 29</t>
  </si>
  <si>
    <t>ELCB ( 3 PHASE ) on surface teak wood plank</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</si>
  <si>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</si>
  <si>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</si>
  <si>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</si>
  <si>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 xml:space="preserve">ELCB (3 phase ) inconcealed MS Box </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</si>
  <si>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</si>
  <si>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</si>
  <si>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DATA   - 31</t>
  </si>
  <si>
    <t>Supplying and delivery of Single phase ELCB/RCCB</t>
  </si>
  <si>
    <t>25 Amps rating single phase ELCB with 10 to 25 MA sensitivity (ISI make ) (DP) P-132   9-b havells  part -L</t>
  </si>
  <si>
    <t>DATA   - 32</t>
  </si>
  <si>
    <t>Supplying and delivery of Three phase ELCB/RCCB (Four pole)</t>
  </si>
  <si>
    <r>
      <t xml:space="preserve">32 Amps rating </t>
    </r>
    <r>
      <rPr>
        <b/>
        <sz val="12"/>
        <rFont val="Helv"/>
      </rPr>
      <t xml:space="preserve">Three phase </t>
    </r>
    <r>
      <rPr>
        <sz val="11"/>
        <color theme="1"/>
        <rFont val="Calibri"/>
        <family val="2"/>
        <scheme val="minor"/>
      </rPr>
      <t>ELCB with 25 to 30 MA sensitivity (P-132  10-a) part -L</t>
    </r>
  </si>
  <si>
    <t>DATA   - 33</t>
  </si>
  <si>
    <t>1  no of 32 amps Fuse unit</t>
  </si>
  <si>
    <t xml:space="preserve">External Installation </t>
  </si>
  <si>
    <t>Supplying and fixing 1 No 30 Amps 500 volts grade/well porcelin fuse unit on suitable teak wood plank to be fixed on the top of the pole / EB street poles with necessary clamps and including cost of materials etc., all complete.</t>
  </si>
  <si>
    <t>63 Amps 500 V fuse units</t>
  </si>
  <si>
    <t>16 Amps 500 V fuse units</t>
  </si>
  <si>
    <t>100 Amps 500 V fuse units</t>
  </si>
  <si>
    <t>200 Amps 500 V fuse units</t>
  </si>
  <si>
    <t>32 Amps 500 V fuse units P-119 6-b</t>
  </si>
  <si>
    <t>TW plank 150 x 100 x 20 mm</t>
  </si>
  <si>
    <t>Sundries such as MS clamps screws etc.,</t>
  </si>
  <si>
    <t xml:space="preserve">TW plank 150 x 100 x 20  </t>
  </si>
  <si>
    <t>Total for 8 Nos</t>
  </si>
  <si>
    <t>DATA   - 34</t>
  </si>
  <si>
    <t>3 Nos of Fuse units at EB pole</t>
  </si>
  <si>
    <t>Supplying and fixing 3 No 32 Amps 500 volts grade/ well porcelin fuse unit on suitable teak wood plank to be fixed on the top of the  pole / EB street poles with necessary clamps and including cost of materials etc., all complete.</t>
  </si>
  <si>
    <t>63 AMPS</t>
  </si>
  <si>
    <t>DATA   - 35</t>
  </si>
  <si>
    <t>EB service connection Board for single phase</t>
  </si>
  <si>
    <t>Supplying and fixing 1 No of 375 x 300 x 20 m   thick TW plank well varnished with 1 No 15 amps 250 volts fuse unit and 1 No of copper earth plate of suitable size bolts and nuta on walls for EB service connections including cost of all materials, etc., all complete.</t>
  </si>
  <si>
    <r>
      <t xml:space="preserve">16 Amps </t>
    </r>
    <r>
      <rPr>
        <sz val="12"/>
        <color indexed="8"/>
        <rFont val="Helv"/>
      </rPr>
      <t>250 Volts</t>
    </r>
    <r>
      <rPr>
        <sz val="12"/>
        <color indexed="10"/>
        <rFont val="Helv"/>
      </rPr>
      <t xml:space="preserve"> fuse unit (P-119   6-a</t>
    </r>
  </si>
  <si>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</si>
  <si>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</si>
  <si>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</si>
  <si>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</si>
  <si>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</si>
  <si>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</si>
  <si>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</si>
  <si>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ELCB(DP)</t>
  </si>
  <si>
    <t>Single phase ELCB (ISI 25 Amps 30 MA)P-132  9-b</t>
  </si>
  <si>
    <t>3 No of 30 amps MCB ( Part -L, P-131   6-a havells)</t>
  </si>
  <si>
    <t>Labour charges ( as per data No:28)</t>
  </si>
  <si>
    <t>Rate for Single  phase ELCB</t>
  </si>
  <si>
    <t>Supplying and fixing of Three phase ELCB</t>
  </si>
  <si>
    <t>Three phase ELCB P-132 10 a</t>
  </si>
  <si>
    <t>3 No of 30 amps MCB ( Part-L, P-131  6-a havells)</t>
  </si>
  <si>
    <t>Labour charges ( as per data No:30)</t>
  </si>
  <si>
    <t>Rate for Three phase ELCB</t>
  </si>
  <si>
    <t>DATA   - 36</t>
  </si>
  <si>
    <t>EB service connection Board for Three phase</t>
  </si>
  <si>
    <r>
      <t xml:space="preserve">Supplying and fixing </t>
    </r>
    <r>
      <rPr>
        <b/>
        <sz val="12"/>
        <rFont val="Helv"/>
      </rPr>
      <t xml:space="preserve">1 No of 450 x 375 x 20 m   thick TW plank </t>
    </r>
    <r>
      <rPr>
        <sz val="11"/>
        <color theme="1"/>
        <rFont val="Calibri"/>
        <family val="2"/>
        <scheme val="minor"/>
      </rPr>
      <t>well varnished with 3 No 30 amps 500 volts fuse unit and 1 No of copper earth plate of suitable size bolts and nuta on walls for EB service connections including cost of all materials, etc., all complete.</t>
    </r>
  </si>
  <si>
    <t>32 Amps 500 Volts fuse unit</t>
  </si>
  <si>
    <t xml:space="preserve">TW plank 450 x 375 x 20 mm </t>
  </si>
  <si>
    <t>TW plank 450 x 375 x 20 mm</t>
  </si>
  <si>
    <t>Total for 3 Nos</t>
  </si>
  <si>
    <t>DATA   - 37</t>
  </si>
  <si>
    <t>2 x 4 Sqmm Copper PVC insulated unsheathed single core 1 KV grade cable for EB service single phase.</t>
  </si>
  <si>
    <t>2 x 2.5 Sqmm Copper PVC insulated unsheathed single core 1 KV grade cable for EB service single phase.</t>
  </si>
  <si>
    <t>4 Sqmm copper PVC insulated unsheathed single core cableP-124 2 d</t>
  </si>
  <si>
    <t>2.5 Sqmm copper PVC insulated unsheathed single core cableP-79 2 C</t>
  </si>
  <si>
    <t>7/20 GI stay wire (SD - 64) 2020-21</t>
  </si>
  <si>
    <t>PVC reel insulater (SD - 64) 2020-21 [6.30]</t>
  </si>
  <si>
    <t>PVC reel insulater</t>
  </si>
  <si>
    <t>GI wire for fixing reel insulater</t>
  </si>
  <si>
    <t>Sundries for masonry works clamps bolts and nuts etc.,</t>
  </si>
  <si>
    <t>Total for 90 Rmt</t>
  </si>
  <si>
    <t>Electrician Maistry</t>
  </si>
  <si>
    <t>DATA   - 38</t>
  </si>
  <si>
    <t>SUPPLY OF GI PIPES FOR EB SERVICE               ( SINGLE PHASE )</t>
  </si>
  <si>
    <t>Supply of 25 mm dia GI pipe "B"class ( for the above Data ) for passing through from top of Houses to the MES Board to meet the EB requirement.P-44 118 V</t>
  </si>
  <si>
    <t>GI pipe of 25 mm dia  (P-51 it - 150 V)</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</si>
  <si>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</si>
  <si>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</si>
  <si>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</si>
  <si>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</si>
  <si>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 (P-126  part -G)</t>
  </si>
  <si>
    <t>(3.25 Kg)</t>
  </si>
  <si>
    <t>DATA   - 40</t>
  </si>
  <si>
    <t>4 x 4  Sq mm copper PVC insulated unsheathed single core cable for 3 phase EB service connection</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</si>
  <si>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</si>
  <si>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4 Sqmm copper PVC insulated unsheathed single core cable P-124 it - 2 d</t>
  </si>
  <si>
    <t>Labour charges 1.5 times dataNo 42</t>
  </si>
  <si>
    <t>DATA   - 41</t>
  </si>
  <si>
    <t>SUPPLY OF GI PIPES FOR EB SERVICE               ( THREE PHASE )</t>
  </si>
  <si>
    <t>Supply of 40 mm dia GI pipe "B"class ( for the above Data ) for passing through from top of Houses to the MES Board to meet the EB requirement.</t>
  </si>
  <si>
    <t>GI pipe of 40 mm dia  (P-51 142 -iii)</t>
  </si>
  <si>
    <t>DATA   - 42</t>
  </si>
  <si>
    <t>Laying of U.G. Cable below Ground Level</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</si>
  <si>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</si>
  <si>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t>Earth work excavation and refilling(84.00+84.00)+(29.30/3) P- 27/28</t>
  </si>
  <si>
    <t>SAND FOR MORTAR sl.98  p20</t>
  </si>
  <si>
    <t>Bricks p16/ 3a</t>
  </si>
  <si>
    <t>DATA   - 44</t>
  </si>
  <si>
    <t>Fixing of UG cables on Walls / Ceiling</t>
  </si>
  <si>
    <t>Charges for conveying and fixing of UG cables of sizes 4 to 25 Sqmm of 2, 3,3.5 and 4 core with necessary MS clamps, brass screws including cost of all materials redoing the dismantled portion, etc., all complete.</t>
  </si>
  <si>
    <t>M.S. Clamps/ Saddles 32mm (It- 3d p-131 ,part-L )</t>
  </si>
  <si>
    <t>Brass screws  ( 40 mm x 6 no) P130  Part-L 1-c</t>
  </si>
  <si>
    <t>TW plugs 1 1/2x 1'x2"( part-J 1-e P-129  )</t>
  </si>
  <si>
    <t>Sundries for redoing on dismantled portion,etc.,</t>
  </si>
  <si>
    <t>Total for 90 Rmts</t>
  </si>
  <si>
    <t>Mason Ist class</t>
  </si>
  <si>
    <t>Total for 1 day</t>
  </si>
  <si>
    <t>For 2 day</t>
  </si>
  <si>
    <t>DATA   - 46</t>
  </si>
  <si>
    <t xml:space="preserve">Specification for MV/SV lamp street light fittings </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</si>
  <si>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</si>
  <si>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Specification for Flurescent Tubular lamp street light fittings</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</si>
  <si>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</si>
  <si>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</si>
  <si>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</si>
  <si>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</si>
  <si>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</si>
  <si>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</si>
  <si>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Fittings P-113 /6 b, c/92 c and a</t>
  </si>
  <si>
    <t>MV/SV lamps P-111 /6 b</t>
  </si>
  <si>
    <t>Total Rs</t>
  </si>
  <si>
    <t>DATA   - 48</t>
  </si>
  <si>
    <t>Fixing of Tube light street light fitting</t>
  </si>
  <si>
    <t>Charges for fixing flurescent tubular lamp street light fittings ( all types) in the existing street poles with a required GI pipes 'B' class and accessories ( street light fittings alone will be supplied departmentally at free of cost ).</t>
  </si>
  <si>
    <t>Supply and  Fixing of 36 W  CFL street light fitting</t>
  </si>
  <si>
    <t xml:space="preserve">Charges for fixing 36 W CFL lamp street light fittings ( all types) in the existing street pole/wall with  required GI pipe 'B' class and accessories </t>
  </si>
  <si>
    <t>GI pipe of 20 mm dia  (P-52 142 -vi)</t>
  </si>
  <si>
    <t>Back lamp with bolts &amp; nuts</t>
  </si>
  <si>
    <t>25 mm dia GI 'B' class pipe p-46 it-118 -v</t>
  </si>
  <si>
    <t xml:space="preserve">16 Amps 500 v fuse unit p-119 6a </t>
  </si>
  <si>
    <t>TW plank for fixing the fuse unit 150 x 100 x 20 mm</t>
  </si>
  <si>
    <t>2.5 Sqmm PVC insulated unsheathed copper cable p-124</t>
  </si>
  <si>
    <t>Labour charges for fixing the street light fitting with the required accessories in the E.B pole including connection etc., complete.</t>
  </si>
  <si>
    <t>2.5 Sqmm PVC insulated unsheathed copper cable</t>
  </si>
  <si>
    <t>Sundries for painting the GI pipes, MS clamps, screws, etc., complete in all respects.</t>
  </si>
  <si>
    <t>Labour charges for 3 Nos</t>
  </si>
  <si>
    <t>TW plank if 150 x 100 x 20 mm</t>
  </si>
  <si>
    <t>Street light Fittings (single)</t>
  </si>
  <si>
    <t>36 W CFL Street light Fittings (single)</t>
  </si>
  <si>
    <t>Tube light fittings P-112 ,11a-An-VII</t>
  </si>
  <si>
    <t>Tubular lamp P-111 ,4b</t>
  </si>
  <si>
    <t>CFL Tube light fittings with Lamp p-112  14- item k/ lower end</t>
  </si>
  <si>
    <t>DATA   - 47</t>
  </si>
  <si>
    <t>Charges for fixing Mercury, Sodium Vapour lamp street light fittings ( all types ) in the existing pole with required GI pipes 'B' class and accessories ( Street light fittings alone will be supplied departmentally at free of cost ).</t>
  </si>
  <si>
    <t>Charges for fixing of 250W  metal halide light fitting</t>
  </si>
  <si>
    <t>250W metal halide light fitting</t>
  </si>
  <si>
    <t>1 No</t>
  </si>
  <si>
    <t>GI pipe B class of 50 mm dia  (P-51 150 -ii)</t>
  </si>
  <si>
    <t>Pair</t>
  </si>
  <si>
    <t>Back clamps with bolts and nuts</t>
  </si>
  <si>
    <t xml:space="preserve">15 Amps 500 V fuse unit p-119 6a </t>
  </si>
  <si>
    <t xml:space="preserve">TW plank for fixing the fuse unit of 150 x 100 x 20 mm </t>
  </si>
  <si>
    <t>Street light service connection</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</si>
  <si>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</si>
  <si>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For TNEB Meter</t>
  </si>
  <si>
    <t>MS box  300 x 200x100 mm with door and lock and key arrangements with necessary MS clamps to bolts &amp; nuts with washers. P- 126 d part-F</t>
  </si>
  <si>
    <t xml:space="preserve">TW plank 600 x 225 x 20 mm </t>
  </si>
  <si>
    <t>32 Amps 500 v fuse units p-119</t>
  </si>
  <si>
    <t>Earth plate with brass bolts &amp; nuts with washers</t>
  </si>
  <si>
    <t>20 mm dia 'B' class GI pipe p- 51 it-150 vi</t>
  </si>
  <si>
    <t>4 Sqmm copper PVC insulated unsheathed single core cable</t>
  </si>
  <si>
    <t>For control Gear</t>
  </si>
  <si>
    <t>M.S box 600 x 225 mm with door and lock and key arrangement and MS clamp with bolts &amp; nuts with washers.</t>
  </si>
  <si>
    <t>32 A DPIC switch p-118 2d, Part-C</t>
  </si>
  <si>
    <t>40 A single pole MCb isolator</t>
  </si>
  <si>
    <t>MS enclousure for MCB</t>
  </si>
  <si>
    <t>Labour charges  as per data no: 48</t>
  </si>
  <si>
    <t>Sundries such as MS clamps with bolts &amp; nuts with washers for fixing GI pipe to EB pole painting etc.,</t>
  </si>
  <si>
    <t>TW plank 600 x 225 x 20 mm</t>
  </si>
  <si>
    <t>DATA   - 49</t>
  </si>
  <si>
    <t>25 mm dia PVC pipe Heavy duty with ISI mark</t>
  </si>
  <si>
    <t>Rate as per Above</t>
  </si>
  <si>
    <t xml:space="preserve">Deduct cost of 20 m   dia PVC pipe </t>
  </si>
  <si>
    <t>Add cost of 25 mm dia PVC pipe heavy dutyp-128 part -I c</t>
  </si>
  <si>
    <t>DATA   - 50</t>
  </si>
  <si>
    <t xml:space="preserve">TV/Telephone line junction </t>
  </si>
  <si>
    <t>TW board 8" x6" x3" (p-129, part-j/b)</t>
  </si>
  <si>
    <t>Hylem sheet</t>
  </si>
  <si>
    <t xml:space="preserve"> Labour charges for fixing including necessary materials</t>
  </si>
  <si>
    <t>DATA   - 51</t>
  </si>
  <si>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</si>
  <si>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TW board 4" x4" x3" (p-129, part-j/d)</t>
  </si>
  <si>
    <t>Sqmm</t>
  </si>
  <si>
    <t>TV/Telephone socket (sd - 134 2020 - 2021)</t>
  </si>
  <si>
    <t>Labour charges including fixing etc., all complete.</t>
  </si>
  <si>
    <t>Rate for each</t>
  </si>
  <si>
    <t>DATA   - 52</t>
  </si>
  <si>
    <t>DATA AN</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</si>
  <si>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</si>
  <si>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2' 10W LED battern fitting complete with all accessories</t>
  </si>
  <si>
    <t>Quotation of Panasonic (Qtn)</t>
  </si>
  <si>
    <t>65 mm dia GI pipe ' B' class p51,150-i</t>
  </si>
  <si>
    <t>TW round Block P-129 Part - J-X-F</t>
  </si>
  <si>
    <t>Mtr.</t>
  </si>
  <si>
    <t>Connecting leads by 1 sq.mm. PVC copper wire (p 123)</t>
  </si>
  <si>
    <t>Base plate 45 cm x45 cm x 6mm thick SD-98, 2020-21</t>
  </si>
  <si>
    <t>MS box 8" x 6" with cover p-126  Fc</t>
  </si>
  <si>
    <t>concrete 1:2:4 using 20 mm HBSJ ( 0.45 x 1.5 mt) [Appraximate]</t>
  </si>
  <si>
    <t xml:space="preserve">Transportation charges welding GI reducer all incidential charges, painting etc., all complete. </t>
  </si>
  <si>
    <t>Labour charges for 16 Nos.</t>
  </si>
  <si>
    <t>1 No fuse unit 15 A 230 V and on suitable TW plank ( to house it is MS box 8" x 6") with 1 No copper neutral link with brass bolts &amp; nuts with Washers  (11+28+21)</t>
  </si>
  <si>
    <t xml:space="preserve">1.50 Sqmm copper PVC insulated unsheathed single core cable. </t>
  </si>
  <si>
    <t>Total for 16 Nos.</t>
  </si>
  <si>
    <t>DATA   - 56</t>
  </si>
  <si>
    <t>Exhaust fan of 300 mm  dia ( 12 ") sweep (SD 114)</t>
  </si>
  <si>
    <t>Exhaust fan of 300 mm dia ( Part- B 2 b p-117</t>
  </si>
  <si>
    <t>Provision of hole in the wall and making good of the wall ( as per SD-114, Elec Data 2020 - 21)</t>
  </si>
  <si>
    <r>
      <t xml:space="preserve">Clamp fixing by cheche screws bolts and nuts including connections ( </t>
    </r>
    <r>
      <rPr>
        <b/>
        <sz val="12"/>
        <rFont val="Helv"/>
      </rPr>
      <t>as per SD-114, Elec Data 2020 - 21)</t>
    </r>
  </si>
  <si>
    <t>Add 1 % sundries</t>
  </si>
  <si>
    <t>Labour charges for fixing</t>
  </si>
  <si>
    <t xml:space="preserve">Rate for each </t>
  </si>
  <si>
    <t>For 4 Nos</t>
  </si>
  <si>
    <t>DATA   - 57</t>
  </si>
  <si>
    <t>Exhaust fan of 225 mm  dia ( 9 ") sweep</t>
  </si>
  <si>
    <t>Exhaust fan of 225 mm dia ( Part- B 2 a p-117</t>
  </si>
  <si>
    <t>Supply of ceiling fan 1200mm</t>
  </si>
  <si>
    <t>1200mm A.C ceiling fan (without regulator)( Part- B 1 a p-116</t>
  </si>
  <si>
    <t>Cost of electronic regulator( Part- B 1 d p-116</t>
  </si>
  <si>
    <t>Tube light -  Box type (4' 40w)</t>
  </si>
  <si>
    <t>4' tube 40' w light fitting with \electronic ballast (SD 88 P-  112 7 a)</t>
  </si>
  <si>
    <t>slim tube light 36 w P-111 4 b</t>
  </si>
  <si>
    <t>Labour charges (as per Data 22 )</t>
  </si>
  <si>
    <t>Tube light -  Patty type</t>
  </si>
  <si>
    <t>4' tube light fitting with \ 36/40w electronic ballast p-114 it-22 b(SD87)</t>
  </si>
  <si>
    <t>4' 18w crystal glass LED tube light</t>
  </si>
  <si>
    <t>4' tube light fitting with \electronic ballast p-111 it-20 c</t>
  </si>
  <si>
    <t>Charges for fixing  (as per Data 22 )</t>
  </si>
  <si>
    <t>OPEN WIRING IN PVC PIPE</t>
  </si>
  <si>
    <t>Open wiring for 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</si>
  <si>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</si>
  <si>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 (SR p 129 X e)(1.5" x 1" x 2")</t>
  </si>
  <si>
    <t>1000 nos</t>
  </si>
  <si>
    <t xml:space="preserve">PVC joint box ( Part- I ,p 129  6b) </t>
  </si>
  <si>
    <t>Brass screws 40mm p 130 L 1c</t>
  </si>
  <si>
    <t>19 mm MS clamp sor p- 40 it-2</t>
  </si>
  <si>
    <t>TW switch  box  100 x 100 x 75 mm p 129 jd</t>
  </si>
  <si>
    <t>TW junction  box  150 x 100 x 75 mm p-129 j c</t>
  </si>
  <si>
    <t>3 mm thick laminated Hylem sheet (10X0.1X0.1)</t>
  </si>
  <si>
    <t>Paint SEP p-44 it-117</t>
  </si>
  <si>
    <t>Sundries 1% on materials</t>
  </si>
  <si>
    <t>Light point with bakelite batern type holder for flats/ houses(Open wiring)</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</si>
  <si>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</si>
  <si>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t>
  </si>
  <si>
    <t>POINT WIRING FOR CALLING BELL / BUZZER WITH PUSH SWITCH FOR ALL TYPE OF BUILDING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</si>
  <si>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</si>
  <si>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Add the cost of 10 Nos Buzer/Bell @ 40.90/Each p77 28a</t>
  </si>
  <si>
    <t>Add the cost of 10 nos 5A type flush switch ( 188.90/12=15.74) @ Rs 15.74/ Each p79 C a</t>
  </si>
  <si>
    <t>Add the cost of 10 nos  15 x 10 x 7.5 cm TW box @ Rs16.40/Each p- 129 J c</t>
  </si>
  <si>
    <t>FAN POINT FOR ADMINISTRATIVE BLOCKS AND COMMUNITY CENTRE (OPEN WIRING)</t>
  </si>
  <si>
    <t xml:space="preserve">Deduct cost of switch Box 4"X4"x3" </t>
  </si>
  <si>
    <t>Deduct cost of Hylem sheet</t>
  </si>
  <si>
    <t>Add cost of TW box 12" x 8" x3" for switch and regulator 10 nos  @ Rs 69.90 / Each p-129 ,part  J a</t>
  </si>
  <si>
    <t>Hylem sheet 0.60 Sq m@ 563/Sq m p-129  ,7 a</t>
  </si>
  <si>
    <t>Add Sundries 1%</t>
  </si>
  <si>
    <t>STAIRCASE LIGHT POINT FOR ADMINISTRATIVE BLOCKS AND COMMUNITY CENTRE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</si>
  <si>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</si>
  <si>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 TW round block p-129</t>
  </si>
  <si>
    <t>TW switch Box 150X100X75mm</t>
  </si>
  <si>
    <t>5 AMPS 5 PIN PLUG SOCKET POINT AT CONVENIENT PLACES (OPEN WIRING)</t>
  </si>
  <si>
    <t>5 A 5 pin non - inter locking switch and plug ( flush type )</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</si>
  <si>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</si>
  <si>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gross</t>
  </si>
  <si>
    <t>MS saddles 19mm p- 131 part- L 3b</t>
  </si>
  <si>
    <t>TW plugs 1.5"X1"X2" SR P.129</t>
  </si>
  <si>
    <t>1000Nos</t>
  </si>
  <si>
    <t>Brass screws 38mm (SR p130)</t>
  </si>
  <si>
    <t>2/3</t>
  </si>
  <si>
    <t>2 X 2.5 Sq mm in fully concealed PVC conduit (open wiring)</t>
  </si>
  <si>
    <t xml:space="preserve">Total as per Data No. </t>
  </si>
  <si>
    <t>Add 180 mt 2.5 Sqmm copper PVC insulated unsheathed S.C. cable</t>
  </si>
  <si>
    <t>2 X 4 Sq mm in fully concealed PVC conduit (open wiring)</t>
  </si>
  <si>
    <t>Add 180 mt 4 Sqmm copper PVC insulated unsheathed S.C. cable p-86 2c</t>
  </si>
  <si>
    <t>4 X 10 Sq mm in fully concealed PVC conduit (open wiring)</t>
  </si>
  <si>
    <t>Add 180 mt 10  Sqmm copper PVC insulated unsheathed S.C. cable part E-2 -F p-124</t>
  </si>
  <si>
    <t>4 X 6 Sq mm in fully concealed PVC conduit (open wiring)</t>
  </si>
  <si>
    <t>Add 180 mt 6  Sqmm copper PVC insulated unsheathed S.C. cable part E-2 -e p-124</t>
  </si>
  <si>
    <t>4 X 4 Sq mm in fully concealed PVC conduit (open wiring)</t>
  </si>
  <si>
    <t>Add 180 mt 4  Sqmm copper PVC insulated unsheathed S.C. cable part E-2 -e p-124</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</si>
  <si>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</si>
  <si>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</si>
  <si>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</si>
  <si>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</si>
  <si>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</si>
  <si>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</si>
  <si>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</si>
  <si>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</si>
  <si>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</si>
  <si>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</si>
  <si>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</si>
  <si>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Cost of MS sheet Part -G P-87 SR -2018-19</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</si>
  <si>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</si>
  <si>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</si>
  <si>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</si>
  <si>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</si>
  <si>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</si>
  <si>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</si>
  <si>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</si>
  <si>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</si>
  <si>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</si>
  <si>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</si>
  <si>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</si>
  <si>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</si>
  <si>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</si>
  <si>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</si>
  <si>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</si>
  <si>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</si>
  <si>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</si>
  <si>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</si>
  <si>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</si>
  <si>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</si>
  <si>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</si>
  <si>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Cost copper  (P-81  Revised SR-17-18)</t>
  </si>
  <si>
    <t xml:space="preserve">Tin coating of copper </t>
  </si>
  <si>
    <t>Requirment of GI Flats for earth bus</t>
  </si>
  <si>
    <t>Sixe proposed 25mm x3mm GI flat</t>
  </si>
  <si>
    <t>1.5' x 2+ 3' x 1 =22.2 ft  =6.0 mtr</t>
  </si>
  <si>
    <t>6.0 mtrs x 0.6 kg /mtr =3.60kg</t>
  </si>
  <si>
    <t>25mm x3mm GI flat p-86 it -3 c</t>
  </si>
  <si>
    <t>Incomers &amp; outgoings</t>
  </si>
  <si>
    <t xml:space="preserve"> 200 A fuse units (P-81  Revised SR-18-19,it-6e)</t>
  </si>
  <si>
    <t xml:space="preserve"> 100 A fuse units (P-81  Revised SR-18-19,it-6 d)</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</si>
  <si>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</si>
  <si>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</si>
  <si>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</si>
  <si>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</si>
  <si>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</si>
  <si>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</si>
  <si>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Cost of hylum sheet (P-83  Revised SR-18-19,it-7 a 537*2=1074)</t>
  </si>
  <si>
    <t>Insulators</t>
  </si>
  <si>
    <t>LED pilot lamps</t>
  </si>
  <si>
    <t>1 sqmm PVC copper cable (Revised P-86 SR-18-19 it-2a)</t>
  </si>
  <si>
    <t>MS sheet fabrication charges (P-33 SR-18-19 it-167)</t>
  </si>
  <si>
    <t>Angle Iron  fabrication charges (P-33 SR-18-19)</t>
  </si>
  <si>
    <t>MCB / Fuse units/ Pilot lamp fixing charges ( Ele SD-159 labour )</t>
  </si>
  <si>
    <t>sq.ft.</t>
  </si>
  <si>
    <t>Painting with primer &amp; suitable colour</t>
  </si>
  <si>
    <t>Sq.ft</t>
  </si>
  <si>
    <t>Mtrs.</t>
  </si>
  <si>
    <r>
      <t>6 Sq.mm. single core PVC copper cables for connection between fuse units and meter and between meter and 32A TPN MCB</t>
    </r>
    <r>
      <rPr>
        <b/>
        <sz val="10"/>
        <rFont val="Arial"/>
        <family val="2"/>
      </rPr>
      <t xml:space="preserve"> (P-86 SR-18-19 it-2e)</t>
    </r>
  </si>
  <si>
    <t>Lettering charges</t>
  </si>
  <si>
    <t>Sundries 2% such as bolts, nuts, washers, insulation tape, PVC sleeves etc.</t>
  </si>
  <si>
    <r>
      <t xml:space="preserve">Add: </t>
    </r>
    <r>
      <rPr>
        <sz val="10"/>
        <rFont val="Arial"/>
        <family val="2"/>
      </rPr>
      <t>VAT @ 14.5%</t>
    </r>
  </si>
  <si>
    <t>Transport charges</t>
  </si>
  <si>
    <t>Erection charges</t>
  </si>
  <si>
    <t>(OR)</t>
  </si>
  <si>
    <t xml:space="preserve">Supplying and fixing of 15 mm dia C.P. Long body tap of best quality including cost of fittings with required specials, bends, labour for fixing etc., all complete and as directed by the departmental officers.(The quality and brand of fittings should be got approved from Executive Engineer before use).
</t>
  </si>
  <si>
    <t>Co-eff</t>
  </si>
  <si>
    <t>Supplying and fixing of 18 W LED tube lights with necessary fittings including cost of all materials and labour for fixing in position etc.,</t>
  </si>
  <si>
    <t>Through Scrapping</t>
  </si>
  <si>
    <t>PAINTING TWO COATS OVER OLD           Observed Data</t>
  </si>
  <si>
    <t>Painting the old walls with one coats of oil bound distemper of approved brand over cement plastered wall surfaces including cost of paints, putty, brushes, watering, curing,scraping etc., all complete as directed by the departmental officers (paints and its shade shall be got approved from the Executive Engineer before use)</t>
  </si>
  <si>
    <t xml:space="preserve">110MM DIA OF PVC SWR PIPE INCLUDING </t>
  </si>
  <si>
    <t xml:space="preserve">75MM DIA OF PVC SWR PIPE INCLUDING </t>
  </si>
  <si>
    <t>Clamp fixing by cheche screws bolts and nuts including connections ( as per SD-114, Elec Data 2020 - 21)</t>
  </si>
  <si>
    <t>Supplying and fixing 4mm thick pin</t>
  </si>
  <si>
    <t>DOWN FALL PIPE    Type- A  SWR pipe</t>
  </si>
  <si>
    <t>Providing Pointing  for White/Color ceramic floor tiles (Anti-skid)of</t>
  </si>
  <si>
    <t>LABOUR FOR  POINTING</t>
  </si>
  <si>
    <t>OF 10mm&amp;BELOW (ELLISPATTERN)</t>
  </si>
  <si>
    <t>Providing wooden MELAMEN DOOR POLISH</t>
  </si>
  <si>
    <t>TOTAL FOR 5.67 SQM</t>
  </si>
  <si>
    <t>FF comm.toilet toilet</t>
  </si>
  <si>
    <t>for door d1</t>
  </si>
  <si>
    <t>Pointing the Disturbed Pressed Tiles in C.M 1:3 (One of Cement and three of Sand) 20mm thick for full depth of tiles including  curing and racking out the joints of 20mm deep and disposing the debries away from the site etc., all complete and as directed by the departmental officers</t>
  </si>
  <si>
    <t>for garrage area open terrace</t>
  </si>
  <si>
    <t>for office area open terace</t>
  </si>
  <si>
    <t xml:space="preserve">for flash tiles all round garrage </t>
  </si>
  <si>
    <t>for flash tiles all round office</t>
  </si>
  <si>
    <t>(a) In Ground Floor</t>
  </si>
  <si>
    <t>for rest room cupboard wall all round</t>
  </si>
  <si>
    <t>for office room</t>
  </si>
  <si>
    <t>Plastering with cm 1:5 (One of cement and five of C.S sand) 12mm thick finished with neat cement including providing band cornice, ceiling cornice, curing, scaffolding, etc., complete in all respects and complying with relevant standard specifications.</t>
  </si>
  <si>
    <t>pillar front</t>
  </si>
  <si>
    <t xml:space="preserve">foffice room cupboard wall </t>
  </si>
  <si>
    <t>pirrar front</t>
  </si>
  <si>
    <t>Special ceiling plastering in cement mortar 1:3 (One of cement and three of sand) 10mm thick for bottom of roof, stair, waist, landing and sunshades in all floors finished with neat cement including hacking the areas, providing band cornice, scaffolding, curing etc., complete</t>
  </si>
  <si>
    <t>for office room slab bottonm</t>
  </si>
  <si>
    <t>for rest room slab bottom</t>
  </si>
  <si>
    <t xml:space="preserve">Providing  Cuddappah slab of 20mm thick, finishing with two sides for cupboard,  ward-robes, shelves ,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t>
  </si>
  <si>
    <t>I. 20mm thick</t>
  </si>
  <si>
    <t>For office room inner all round</t>
  </si>
  <si>
    <t>for store room inner</t>
  </si>
  <si>
    <t>d/f ventilator</t>
  </si>
  <si>
    <t>add ventilator  jams</t>
  </si>
  <si>
    <t>record room inner all round</t>
  </si>
  <si>
    <t>rest room inner all round</t>
  </si>
  <si>
    <t>d/f  door</t>
  </si>
  <si>
    <t>d/f w</t>
  </si>
  <si>
    <t>add w jams</t>
  </si>
  <si>
    <t>for gaarge side outer wall</t>
  </si>
  <si>
    <t>White washing three coats using clean shell lime slaked including cost of lime, gum, blue, brushes, including scaffolding etc., complete in all respects.</t>
  </si>
  <si>
    <t>for office room inner</t>
  </si>
  <si>
    <t>for rest room inner</t>
  </si>
  <si>
    <t>Painting Primer coat using approved quality of white cement over the cement plastered / concrete wall surfaces,ceiling or other similar works including cost of white cement, putty, brushes, watering, curing, etc., all complete and as directed by the depar</t>
  </si>
  <si>
    <t xml:space="preserve"> office area outer all round</t>
  </si>
  <si>
    <t xml:space="preserve">for arrage side </t>
  </si>
  <si>
    <t>for gaarge side wall inner</t>
  </si>
  <si>
    <t>for garrage areaside wall outer</t>
  </si>
  <si>
    <t>for garrage front and rear side parapet</t>
  </si>
  <si>
    <t>for garrage column all round</t>
  </si>
  <si>
    <t>door</t>
  </si>
  <si>
    <t>for lader</t>
  </si>
  <si>
    <t>Office room</t>
  </si>
  <si>
    <t>Store room Room</t>
  </si>
  <si>
    <t>rest Room</t>
  </si>
  <si>
    <t>Painting the new walls with two coats of oil bound distemper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</si>
  <si>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110mm dia PVC SWR pipe for Rain water down  fall pipe Typre 'A' with necessary gratings, shoes, bends, off sets, clamps, teak woods plugs, and of approved quality and including fixing C.I. gratings at the junction of parapet  and floor or roof slab  etc., including finishing   etc., complete complying  with relevant standard specifications.</t>
  </si>
  <si>
    <t>for garrage area</t>
  </si>
  <si>
    <t xml:space="preserve"> NAME OF WORK : Special Repair works for the Existing Fire and Rescue Service Station Building at Ganapathy in Coimbatore City.</t>
  </si>
  <si>
    <t>for store room</t>
  </si>
  <si>
    <t>for garrage area touchup</t>
  </si>
  <si>
    <t>for rest room</t>
  </si>
  <si>
    <t>Charges for assembling and fixing of ceiling fan of different sweep with necessary connections and fixing of fan regulator on the existing board etc., all complete (Excluding cost of fan)</t>
  </si>
  <si>
    <t>GANAPATHY</t>
  </si>
  <si>
    <t>2022-2023</t>
  </si>
  <si>
    <t>ROUGH STONE sl.37  p15</t>
  </si>
  <si>
    <t>MADUKKARAI</t>
  </si>
  <si>
    <t>MASON-I Brick / Stone work (p-10)</t>
  </si>
  <si>
    <t>BOND STONE sl.44 p16</t>
  </si>
  <si>
    <t>MASON-II Brick / Stone work (p-10)</t>
  </si>
  <si>
    <t>HARD BROKEN STONE JELLY 3mm To 10mm p-16(53-55)</t>
  </si>
  <si>
    <t>MAZDOOR-I (p-11)</t>
  </si>
  <si>
    <t>MAZDOOR-II (p-12)</t>
  </si>
  <si>
    <t>PAINTER-I (p-10)</t>
  </si>
  <si>
    <t>PAINTER-II (p-11)</t>
  </si>
  <si>
    <t>PLUMBER-I (p-10)</t>
  </si>
  <si>
    <t>KARAMADAI</t>
  </si>
  <si>
    <t>PLUMBER-II (p-11)</t>
  </si>
  <si>
    <t>SAND FOR FILLING (Ann IV)</t>
  </si>
  <si>
    <t>FITTER-I (p-9)</t>
  </si>
  <si>
    <t>Kiln Burnt Country Bricks  SIZE 22x11x7Cm p-14 it-5a</t>
  </si>
  <si>
    <t>THADAGAM</t>
  </si>
  <si>
    <t>FITTER-II (p-11)</t>
  </si>
  <si>
    <t>BRICK JELLY 40mmGAUGE p-14 it-10 a</t>
  </si>
  <si>
    <t>CARPENTER-I (p-10)</t>
  </si>
  <si>
    <t>CARPENTER-II (p-11)</t>
  </si>
  <si>
    <t>MACHINE PRESSED TILES 23x 23x 2 Cm p-15 It-20</t>
  </si>
  <si>
    <t>STONE CUTTER-I (p-9)</t>
  </si>
  <si>
    <t>SLACKED SHELL LIME sl.89 p17</t>
  </si>
  <si>
    <t>Guindy</t>
  </si>
  <si>
    <t>Mortar mix charges manual  sl.125(Ann3 N-29)</t>
  </si>
  <si>
    <t>Vibrat-charges(R.C.C) sl.71/2 p25</t>
  </si>
  <si>
    <t>Vibrat-charges(P.C.C) sl.71/1 p25</t>
  </si>
  <si>
    <t>Sand filling charges sl.46/84p23</t>
  </si>
  <si>
    <t>Earth filling charges sl.46/85 p23</t>
  </si>
  <si>
    <t>Country BricksKiln Burnt of SIZE 22x11x5Cm (7c)p-14</t>
  </si>
  <si>
    <t>E.W.  40/62 p-22</t>
  </si>
  <si>
    <t>L.C.T.W.Door- 104/2 p-27</t>
  </si>
  <si>
    <t>L.C.marine doors-105/3 p-27</t>
  </si>
  <si>
    <t>TW glazed window 109/8 p-27</t>
  </si>
  <si>
    <t>Wrought&amp;putup 103/1 p-27</t>
  </si>
  <si>
    <t>Ventilator 113/14 p-28</t>
  </si>
  <si>
    <t>HBSJ 11.2mm IRC metal (SR 22-23,p16/48)</t>
  </si>
  <si>
    <t>Meter- Cupboard Weldmesh 118/23 p-28</t>
  </si>
  <si>
    <t>E.W (SDR) 41/67 p-23</t>
  </si>
  <si>
    <t>FITTER-II (Pipe &amp; Bar Bend) 57/20a p-11</t>
  </si>
  <si>
    <t xml:space="preserve"> Gravel p17  75</t>
  </si>
  <si>
    <t>FITTER-I (Pipe &amp; Bar Bend) 16/20A p-9</t>
  </si>
  <si>
    <t xml:space="preserve"> Well Gravel p17  It76</t>
  </si>
  <si>
    <t>E.W  loose soil p-22 SS20B/38/50</t>
  </si>
  <si>
    <t>Chamber Burnt Bricks of size 23x11.2x7Cm p14/4b</t>
  </si>
  <si>
    <t>LIFT CHARGES FOR B.W IN G.F  * it-62/1 p-25</t>
  </si>
  <si>
    <t>Chamber Burnt Bricks  of size 23x11.4x7.5Cmp14 /3a</t>
  </si>
  <si>
    <t>Stone dust p17  item no-584</t>
  </si>
  <si>
    <t>LIFT CHARGES FOR CONCRETE IN G.F  *it-60/1 p-24</t>
  </si>
  <si>
    <t>Fly Ash Bricks  it-3A/8a p-14</t>
  </si>
  <si>
    <t xml:space="preserve">4mm glass frosted </t>
  </si>
  <si>
    <t>Brick partition walls 75mm thick using Fly ash bricks  of size 9”x4½”x3” (23x11.4x7.5cm) in cement mortar 1:4 (One of cement and four of C.S sand) for super structure in the following floors  including  scaffoldings, curing etc., complete in all respect complying with relevant standard specifications and drawings</t>
  </si>
  <si>
    <t>PRIMER COAT OF</t>
  </si>
  <si>
    <t>PAINTING TWO COATS OVER NEW           (as per PWD Standard Data)</t>
  </si>
  <si>
    <t>OBD p-45 sl.140</t>
  </si>
  <si>
    <t>Shellac p-49/168</t>
  </si>
  <si>
    <t>Thread ball p-49/173</t>
  </si>
  <si>
    <t>Thorouh scrapping (p-26 slno.357 d)</t>
  </si>
  <si>
    <t>GST @ 18%</t>
  </si>
  <si>
    <t>OBSERVED DATA</t>
  </si>
  <si>
    <t>PAINTING ONE COAT OVER NEW           
(as per PWD Standard Data)</t>
  </si>
  <si>
    <t>thorough scrapping</t>
  </si>
  <si>
    <t xml:space="preserve"> ventilator</t>
  </si>
  <si>
    <t xml:space="preserve">office room cupboard wall </t>
  </si>
</sst>
</file>

<file path=xl/styles.xml><?xml version="1.0" encoding="utf-8"?>
<styleSheet xmlns="http://schemas.openxmlformats.org/spreadsheetml/2006/main">
  <numFmts count="10">
    <numFmt numFmtId="164" formatCode="0.0"/>
    <numFmt numFmtId="165" formatCode="0.00_)"/>
    <numFmt numFmtId="166" formatCode="0.000_)"/>
    <numFmt numFmtId="167" formatCode="0.00000_)"/>
    <numFmt numFmtId="168" formatCode="0.0_)"/>
    <numFmt numFmtId="169" formatCode="0.0000_)"/>
    <numFmt numFmtId="170" formatCode="0_)"/>
    <numFmt numFmtId="171" formatCode="0.000000_)"/>
    <numFmt numFmtId="172" formatCode="0.00000000_)"/>
    <numFmt numFmtId="173" formatCode="0.000"/>
  </numFmts>
  <fonts count="133">
    <font>
      <sz val="11"/>
      <color theme="1"/>
      <name val="Calibri"/>
      <family val="2"/>
      <scheme val="minor"/>
    </font>
    <font>
      <sz val="12"/>
      <name val="Helv"/>
    </font>
    <font>
      <sz val="10"/>
      <name val="Arial"/>
      <family val="2"/>
    </font>
    <font>
      <b/>
      <sz val="10"/>
      <name val="Arial"/>
      <family val="2"/>
    </font>
    <font>
      <u/>
      <sz val="10"/>
      <color indexed="12"/>
      <name val="Arial"/>
      <family val="2"/>
    </font>
    <font>
      <sz val="12"/>
      <name val="Arial"/>
      <family val="2"/>
    </font>
    <font>
      <b/>
      <sz val="11"/>
      <color theme="1"/>
      <name val="Calibri"/>
      <family val="2"/>
      <scheme val="minor"/>
    </font>
    <font>
      <b/>
      <sz val="12"/>
      <name val="Helv"/>
    </font>
    <font>
      <b/>
      <sz val="16"/>
      <name val="Helv"/>
      <family val="2"/>
    </font>
    <font>
      <b/>
      <sz val="11"/>
      <name val="Helv"/>
    </font>
    <font>
      <b/>
      <sz val="12"/>
      <name val="Helv"/>
      <family val="2"/>
    </font>
    <font>
      <sz val="13"/>
      <name val="Calibri"/>
      <family val="2"/>
      <scheme val="minor"/>
    </font>
    <font>
      <sz val="12"/>
      <color indexed="10"/>
      <name val="Helv"/>
    </font>
    <font>
      <sz val="12"/>
      <color rgb="FFFF0000"/>
      <name val="Helv"/>
    </font>
    <font>
      <sz val="12"/>
      <color indexed="8"/>
      <name val="Helv"/>
    </font>
    <font>
      <b/>
      <sz val="12"/>
      <color rgb="FFFF0000"/>
      <name val="Helv"/>
    </font>
    <font>
      <sz val="12"/>
      <color indexed="15"/>
      <name val="Helv"/>
    </font>
    <font>
      <sz val="11"/>
      <name val="Helv"/>
    </font>
    <font>
      <b/>
      <sz val="12"/>
      <color indexed="10"/>
      <name val="Helv"/>
    </font>
    <font>
      <sz val="12"/>
      <color rgb="FF7030A0"/>
      <name val="Helv"/>
    </font>
    <font>
      <sz val="12"/>
      <color indexed="14"/>
      <name val="Helv"/>
    </font>
    <font>
      <sz val="12"/>
      <color theme="5" tint="-0.249977111117893"/>
      <name val="Helv"/>
    </font>
    <font>
      <sz val="12"/>
      <color rgb="FFFFFF00"/>
      <name val="Helv"/>
    </font>
    <font>
      <sz val="12"/>
      <color rgb="FF0070C0"/>
      <name val="Helv"/>
    </font>
    <font>
      <sz val="12"/>
      <color theme="3" tint="0.39997558519241921"/>
      <name val="Helv"/>
    </font>
    <font>
      <sz val="12"/>
      <color indexed="11"/>
      <name val="Helv"/>
    </font>
    <font>
      <sz val="12"/>
      <color indexed="13"/>
      <name val="Helv"/>
    </font>
    <font>
      <sz val="12"/>
      <color theme="9" tint="0.59999389629810485"/>
      <name val="Helv"/>
    </font>
    <font>
      <sz val="12"/>
      <color rgb="FF92D050"/>
      <name val="Helv"/>
    </font>
    <font>
      <b/>
      <sz val="12"/>
      <color indexed="8"/>
      <name val="Helv"/>
    </font>
    <font>
      <sz val="20"/>
      <name val="Helv"/>
    </font>
    <font>
      <b/>
      <sz val="20"/>
      <name val="Helv"/>
    </font>
    <font>
      <b/>
      <sz val="12"/>
      <color theme="0"/>
      <name val="Helv"/>
    </font>
    <font>
      <b/>
      <sz val="12"/>
      <color indexed="13"/>
      <name val="Helv"/>
    </font>
    <font>
      <sz val="12"/>
      <color indexed="12"/>
      <name val="Helv"/>
    </font>
    <font>
      <sz val="12"/>
      <color rgb="FF00B0F0"/>
      <name val="Helv"/>
    </font>
    <font>
      <sz val="12"/>
      <color indexed="16"/>
      <name val="Helv"/>
    </font>
    <font>
      <b/>
      <sz val="15"/>
      <color indexed="12"/>
      <name val="Helv"/>
    </font>
    <font>
      <b/>
      <sz val="15"/>
      <name val="Helv"/>
    </font>
    <font>
      <sz val="12"/>
      <color indexed="57"/>
      <name val="Helv"/>
    </font>
    <font>
      <b/>
      <sz val="12"/>
      <color rgb="FFFFFF00"/>
      <name val="Helv"/>
    </font>
    <font>
      <sz val="12"/>
      <color rgb="FFC00000"/>
      <name val="Helv"/>
    </font>
    <font>
      <b/>
      <sz val="12"/>
      <color indexed="12"/>
      <name val="Helv"/>
    </font>
    <font>
      <b/>
      <sz val="14"/>
      <name val="Helv"/>
    </font>
    <font>
      <sz val="12"/>
      <color theme="5"/>
      <name val="Helv"/>
    </font>
    <font>
      <sz val="16"/>
      <name val="Helv"/>
    </font>
    <font>
      <b/>
      <sz val="16"/>
      <name val="Helv"/>
    </font>
    <font>
      <sz val="16"/>
      <color indexed="16"/>
      <name val="Helv"/>
    </font>
    <font>
      <sz val="16"/>
      <color rgb="FFFFFF00"/>
      <name val="Helv"/>
    </font>
    <font>
      <b/>
      <sz val="16"/>
      <color indexed="13"/>
      <name val="Helv"/>
    </font>
    <font>
      <sz val="12"/>
      <color theme="7" tint="-0.249977111117893"/>
      <name val="Helv"/>
    </font>
    <font>
      <sz val="13"/>
      <name val="Arial"/>
      <family val="2"/>
    </font>
    <font>
      <b/>
      <sz val="13"/>
      <name val="Arial"/>
      <family val="2"/>
    </font>
    <font>
      <sz val="12"/>
      <color indexed="9"/>
      <name val="Helv"/>
    </font>
    <font>
      <sz val="12"/>
      <color theme="0"/>
      <name val="Helv"/>
    </font>
    <font>
      <sz val="10"/>
      <name val="Arial"/>
      <family val="2"/>
    </font>
    <font>
      <sz val="14"/>
      <name val="Arial"/>
      <family val="2"/>
    </font>
    <font>
      <b/>
      <sz val="14"/>
      <name val="Arial"/>
      <family val="2"/>
    </font>
    <font>
      <sz val="12"/>
      <color theme="8" tint="-0.249977111117893"/>
      <name val="Helv"/>
    </font>
    <font>
      <b/>
      <sz val="12"/>
      <name val="Arial"/>
      <family val="2"/>
    </font>
    <font>
      <sz val="11"/>
      <color indexed="57"/>
      <name val="Helv"/>
    </font>
    <font>
      <sz val="12"/>
      <color rgb="FFFFFF00"/>
      <name val="Arial"/>
      <family val="2"/>
    </font>
    <font>
      <sz val="12"/>
      <color theme="1"/>
      <name val="Arial"/>
      <family val="2"/>
    </font>
    <font>
      <sz val="12"/>
      <color indexed="12"/>
      <name val="Arial"/>
      <family val="2"/>
    </font>
    <font>
      <sz val="12"/>
      <color indexed="10"/>
      <name val="Arial"/>
      <family val="2"/>
    </font>
    <font>
      <sz val="12"/>
      <color indexed="13"/>
      <name val="Arial"/>
      <family val="2"/>
    </font>
    <font>
      <sz val="11"/>
      <color indexed="10"/>
      <name val="Helv"/>
    </font>
    <font>
      <sz val="12"/>
      <color theme="1"/>
      <name val="Helv"/>
    </font>
    <font>
      <sz val="11"/>
      <color rgb="FFC00000"/>
      <name val="Helv"/>
    </font>
    <font>
      <sz val="11"/>
      <color rgb="FFFFFF00"/>
      <name val="Helv"/>
    </font>
    <font>
      <b/>
      <sz val="12"/>
      <color theme="1"/>
      <name val="Helv"/>
    </font>
    <font>
      <sz val="12"/>
      <color theme="1" tint="4.9989318521683403E-2"/>
      <name val="Helv"/>
    </font>
    <font>
      <b/>
      <sz val="12"/>
      <color theme="1" tint="4.9989318521683403E-2"/>
      <name val="Helv"/>
    </font>
    <font>
      <sz val="12"/>
      <color rgb="FFFF0000"/>
      <name val="Arial"/>
      <family val="2"/>
    </font>
    <font>
      <b/>
      <sz val="12"/>
      <color indexed="14"/>
      <name val="Helv"/>
    </font>
    <font>
      <b/>
      <u/>
      <sz val="13"/>
      <name val="Arial"/>
      <family val="2"/>
    </font>
    <font>
      <vertAlign val="superscript"/>
      <sz val="12"/>
      <name val="Helv"/>
    </font>
    <font>
      <sz val="14"/>
      <color rgb="FFFF0000"/>
      <name val="Arial"/>
      <family val="2"/>
    </font>
    <font>
      <sz val="11"/>
      <name val="Arial"/>
      <family val="2"/>
    </font>
    <font>
      <sz val="12"/>
      <color indexed="17"/>
      <name val="Helv"/>
    </font>
    <font>
      <b/>
      <u/>
      <sz val="12"/>
      <name val="Helv"/>
    </font>
    <font>
      <sz val="13"/>
      <color rgb="FFFFFF00"/>
      <name val="Arial"/>
      <family val="2"/>
    </font>
    <font>
      <sz val="11"/>
      <color indexed="8"/>
      <name val="Arial"/>
      <family val="2"/>
    </font>
    <font>
      <b/>
      <sz val="11"/>
      <color indexed="8"/>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4"/>
      <color rgb="FFFFFF00"/>
      <name val="Arial"/>
      <family val="2"/>
    </font>
    <font>
      <b/>
      <sz val="12"/>
      <color theme="0"/>
      <name val="Arial"/>
      <family val="2"/>
    </font>
    <font>
      <b/>
      <sz val="11"/>
      <color theme="1"/>
      <name val="Cambria"/>
      <family val="1"/>
      <scheme val="major"/>
    </font>
    <font>
      <sz val="11"/>
      <color theme="1"/>
      <name val="Cambria"/>
      <family val="1"/>
      <scheme val="major"/>
    </font>
    <font>
      <sz val="11"/>
      <name val="Cambria"/>
      <family val="1"/>
      <scheme val="major"/>
    </font>
    <font>
      <sz val="12"/>
      <color theme="1"/>
      <name val="Cambria"/>
      <family val="1"/>
      <scheme val="major"/>
    </font>
    <font>
      <b/>
      <sz val="12"/>
      <color theme="1"/>
      <name val="Cambria"/>
      <family val="1"/>
      <scheme val="major"/>
    </font>
    <font>
      <sz val="12"/>
      <name val="Cambria"/>
      <family val="1"/>
      <scheme val="major"/>
    </font>
    <font>
      <b/>
      <sz val="12"/>
      <name val="Cambria"/>
      <family val="1"/>
      <scheme val="major"/>
    </font>
    <font>
      <b/>
      <sz val="11"/>
      <name val="Cambria"/>
      <family val="1"/>
      <scheme val="major"/>
    </font>
    <font>
      <b/>
      <sz val="14"/>
      <color theme="1"/>
      <name val="Cambria"/>
      <family val="1"/>
      <scheme val="major"/>
    </font>
    <font>
      <b/>
      <sz val="10"/>
      <name val="Cambria"/>
      <family val="1"/>
      <scheme val="major"/>
    </font>
    <font>
      <sz val="10"/>
      <name val="Cambria"/>
      <family val="1"/>
      <scheme val="major"/>
    </font>
    <font>
      <b/>
      <sz val="14"/>
      <name val="Cambria"/>
      <family val="1"/>
      <scheme val="major"/>
    </font>
    <font>
      <sz val="12"/>
      <color rgb="FFFFC000"/>
      <name val="Helv"/>
    </font>
    <font>
      <b/>
      <sz val="12"/>
      <color indexed="51"/>
      <name val="Helv"/>
    </font>
    <font>
      <sz val="11"/>
      <name val="Helv"/>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b/>
      <u/>
      <sz val="14"/>
      <name val="Arial"/>
      <family val="2"/>
    </font>
    <font>
      <u/>
      <sz val="14"/>
      <name val="Arial"/>
      <family val="2"/>
    </font>
    <font>
      <b/>
      <sz val="18"/>
      <name val="Helv"/>
    </font>
    <font>
      <sz val="13"/>
      <name val="Helv"/>
    </font>
    <font>
      <b/>
      <sz val="11"/>
      <name val="Arial"/>
      <family val="2"/>
    </font>
    <font>
      <sz val="14"/>
      <name val="Helv"/>
    </font>
    <font>
      <b/>
      <u/>
      <sz val="14"/>
      <name val="Helv"/>
    </font>
    <font>
      <u/>
      <sz val="12"/>
      <name val="Helv"/>
    </font>
    <font>
      <b/>
      <sz val="12"/>
      <color rgb="FF0070C0"/>
      <name val="Helv"/>
    </font>
    <font>
      <b/>
      <u/>
      <sz val="12"/>
      <name val="Arial"/>
      <family val="2"/>
    </font>
    <font>
      <u/>
      <sz val="12"/>
      <color theme="1"/>
      <name val="Arial"/>
      <family val="2"/>
    </font>
    <font>
      <b/>
      <u/>
      <sz val="12"/>
      <color theme="1"/>
      <name val="Arial"/>
      <family val="2"/>
    </font>
    <font>
      <sz val="11.9"/>
      <name val="Helv"/>
    </font>
    <font>
      <vertAlign val="superscript"/>
      <sz val="10"/>
      <name val="Arial"/>
      <family val="2"/>
    </font>
    <font>
      <sz val="14"/>
      <name val="Cambria"/>
      <family val="1"/>
      <scheme val="major"/>
    </font>
    <font>
      <sz val="14"/>
      <color theme="1"/>
      <name val="Cambria"/>
      <family val="1"/>
      <scheme val="major"/>
    </font>
    <font>
      <b/>
      <sz val="14"/>
      <name val="Calibri"/>
      <family val="2"/>
      <scheme val="minor"/>
    </font>
    <font>
      <sz val="14"/>
      <name val="Calibri"/>
      <family val="2"/>
      <scheme val="minor"/>
    </font>
    <font>
      <sz val="12"/>
      <name val="Calibri"/>
      <family val="2"/>
      <scheme val="minor"/>
    </font>
    <font>
      <b/>
      <sz val="12"/>
      <name val="Calibri"/>
      <family val="2"/>
      <scheme val="minor"/>
    </font>
    <font>
      <sz val="12"/>
      <color theme="1"/>
      <name val="Calibri"/>
      <family val="2"/>
      <scheme val="minor"/>
    </font>
    <font>
      <b/>
      <sz val="12"/>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indexed="10"/>
        <bgColor indexed="64"/>
      </patternFill>
    </fill>
    <fill>
      <patternFill patternType="solid">
        <fgColor rgb="FFC00000"/>
        <bgColor indexed="64"/>
      </patternFill>
    </fill>
    <fill>
      <patternFill patternType="solid">
        <fgColor theme="0"/>
        <bgColor indexed="64"/>
      </patternFill>
    </fill>
    <fill>
      <patternFill patternType="solid">
        <fgColor rgb="FFFF0000"/>
        <bgColor indexed="64"/>
      </patternFill>
    </fill>
    <fill>
      <patternFill patternType="solid">
        <fgColor indexed="53"/>
        <bgColor indexed="64"/>
      </patternFill>
    </fill>
    <fill>
      <patternFill patternType="solid">
        <fgColor indexed="13"/>
        <bgColor indexed="64"/>
      </patternFill>
    </fill>
    <fill>
      <patternFill patternType="solid">
        <fgColor indexed="9"/>
        <bgColor indexed="64"/>
      </patternFill>
    </fill>
    <fill>
      <patternFill patternType="solid">
        <fgColor indexed="46"/>
        <bgColor indexed="64"/>
      </patternFill>
    </fill>
    <fill>
      <patternFill patternType="solid">
        <fgColor theme="1"/>
        <bgColor indexed="64"/>
      </patternFill>
    </fill>
  </fills>
  <borders count="26">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bottom style="hair">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double">
        <color indexed="64"/>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s>
  <cellStyleXfs count="13">
    <xf numFmtId="0" fontId="0" fillId="0" borderId="0"/>
    <xf numFmtId="0" fontId="1" fillId="0" borderId="0"/>
    <xf numFmtId="0" fontId="2" fillId="0" borderId="0"/>
    <xf numFmtId="0" fontId="1" fillId="0" borderId="0"/>
    <xf numFmtId="0" fontId="4" fillId="0" borderId="0" applyNumberFormat="0" applyFill="0" applyBorder="0" applyAlignment="0" applyProtection="0">
      <alignment vertical="top"/>
      <protection locked="0"/>
    </xf>
    <xf numFmtId="0" fontId="1" fillId="0" borderId="0"/>
    <xf numFmtId="0" fontId="2" fillId="0" borderId="0"/>
    <xf numFmtId="0" fontId="1" fillId="0" borderId="0"/>
    <xf numFmtId="0" fontId="55" fillId="0" borderId="0"/>
    <xf numFmtId="0" fontId="2" fillId="0" borderId="0"/>
    <xf numFmtId="0" fontId="2" fillId="0" borderId="0"/>
    <xf numFmtId="165" fontId="1" fillId="0" borderId="0"/>
    <xf numFmtId="0" fontId="2" fillId="0" borderId="0"/>
  </cellStyleXfs>
  <cellXfs count="1515">
    <xf numFmtId="0" fontId="0" fillId="0" borderId="0" xfId="0"/>
    <xf numFmtId="165" fontId="0" fillId="0" borderId="0" xfId="0" applyNumberFormat="1"/>
    <xf numFmtId="168" fontId="0" fillId="0" borderId="0" xfId="0" applyNumberFormat="1"/>
    <xf numFmtId="165" fontId="1" fillId="0" borderId="0" xfId="7" applyNumberFormat="1" applyAlignment="1" applyProtection="1">
      <alignment horizontal="left"/>
    </xf>
    <xf numFmtId="165" fontId="1" fillId="0" borderId="0" xfId="7" applyNumberFormat="1" applyAlignment="1" applyProtection="1">
      <alignment horizontal="center"/>
    </xf>
    <xf numFmtId="165" fontId="1" fillId="0" borderId="0" xfId="7" applyNumberFormat="1"/>
    <xf numFmtId="165" fontId="1" fillId="0" borderId="0" xfId="7" applyNumberFormat="1" applyAlignment="1"/>
    <xf numFmtId="165" fontId="7" fillId="0" borderId="0" xfId="7" applyNumberFormat="1" applyFont="1" applyAlignment="1" applyProtection="1">
      <alignment horizontal="left"/>
    </xf>
    <xf numFmtId="165" fontId="1" fillId="0" borderId="0" xfId="7" applyNumberFormat="1" applyAlignment="1">
      <alignment horizontal="left"/>
    </xf>
    <xf numFmtId="166" fontId="1" fillId="0" borderId="0" xfId="7" applyNumberFormat="1"/>
    <xf numFmtId="165" fontId="1" fillId="0" borderId="0" xfId="7" applyNumberFormat="1" applyAlignment="1">
      <alignment horizontal="center"/>
    </xf>
    <xf numFmtId="165" fontId="8" fillId="0" borderId="0" xfId="7" applyNumberFormat="1" applyFont="1" applyAlignment="1" applyProtection="1"/>
    <xf numFmtId="165" fontId="1" fillId="0" borderId="0" xfId="7" applyNumberFormat="1" applyAlignment="1" applyProtection="1">
      <alignment horizontal="fill"/>
    </xf>
    <xf numFmtId="165" fontId="9" fillId="0" borderId="0" xfId="7" applyNumberFormat="1" applyFont="1" applyAlignment="1" applyProtection="1">
      <alignment horizontal="left"/>
    </xf>
    <xf numFmtId="165" fontId="7" fillId="0" borderId="0" xfId="7" applyNumberFormat="1" applyFont="1" applyAlignment="1" applyProtection="1">
      <alignment horizontal="right"/>
    </xf>
    <xf numFmtId="165" fontId="1" fillId="0" borderId="0" xfId="7" applyNumberFormat="1" applyAlignment="1" applyProtection="1"/>
    <xf numFmtId="165" fontId="7" fillId="0" borderId="0" xfId="7" applyNumberFormat="1" applyFont="1" applyProtection="1"/>
    <xf numFmtId="165" fontId="1" fillId="0" borderId="0" xfId="7" applyNumberFormat="1" applyProtection="1"/>
    <xf numFmtId="165" fontId="10" fillId="0" borderId="0" xfId="7" applyNumberFormat="1" applyFont="1" applyProtection="1"/>
    <xf numFmtId="165" fontId="7" fillId="0" borderId="0" xfId="7" applyNumberFormat="1" applyFont="1" applyAlignment="1" applyProtection="1">
      <alignment horizontal="center"/>
    </xf>
    <xf numFmtId="165" fontId="7" fillId="0" borderId="0" xfId="7" quotePrefix="1" applyNumberFormat="1" applyFont="1" applyAlignment="1" applyProtection="1">
      <alignment horizontal="center"/>
    </xf>
    <xf numFmtId="165" fontId="7" fillId="0" borderId="0" xfId="7" quotePrefix="1" applyNumberFormat="1" applyFont="1" applyAlignment="1">
      <alignment horizontal="center"/>
    </xf>
    <xf numFmtId="165" fontId="11" fillId="0" borderId="0" xfId="7" applyNumberFormat="1" applyFont="1" applyAlignment="1" applyProtection="1">
      <alignment horizontal="left" vertical="center"/>
    </xf>
    <xf numFmtId="165" fontId="12" fillId="0" borderId="0" xfId="7" applyNumberFormat="1" applyFont="1" applyProtection="1"/>
    <xf numFmtId="165" fontId="1" fillId="0" borderId="0" xfId="7" applyNumberFormat="1" applyFont="1" applyProtection="1"/>
    <xf numFmtId="165" fontId="13" fillId="0" borderId="0" xfId="7" applyNumberFormat="1" applyFont="1" applyProtection="1"/>
    <xf numFmtId="170" fontId="14" fillId="0" borderId="0" xfId="7" applyNumberFormat="1" applyFont="1" applyProtection="1"/>
    <xf numFmtId="165" fontId="14" fillId="0" borderId="0" xfId="7" applyNumberFormat="1" applyFont="1" applyAlignment="1" applyProtection="1">
      <alignment horizontal="left"/>
    </xf>
    <xf numFmtId="165" fontId="14" fillId="0" borderId="0" xfId="7" applyNumberFormat="1" applyFont="1" applyProtection="1"/>
    <xf numFmtId="165" fontId="15" fillId="0" borderId="0" xfId="7" applyNumberFormat="1" applyFont="1" applyProtection="1"/>
    <xf numFmtId="165" fontId="11" fillId="0" borderId="0" xfId="7" applyNumberFormat="1" applyFont="1" applyAlignment="1" applyProtection="1">
      <alignment vertical="center"/>
    </xf>
    <xf numFmtId="165" fontId="1" fillId="0" borderId="0" xfId="7" applyNumberFormat="1" applyFill="1" applyProtection="1"/>
    <xf numFmtId="165" fontId="16" fillId="0" borderId="0" xfId="7" applyNumberFormat="1" applyFont="1" applyProtection="1"/>
    <xf numFmtId="165" fontId="17" fillId="0" borderId="0" xfId="7" applyNumberFormat="1" applyFont="1" applyAlignment="1" applyProtection="1">
      <alignment horizontal="left"/>
    </xf>
    <xf numFmtId="165" fontId="18" fillId="0" borderId="0" xfId="7" applyNumberFormat="1" applyFont="1" applyProtection="1"/>
    <xf numFmtId="165" fontId="19" fillId="2" borderId="0" xfId="7" applyNumberFormat="1" applyFont="1" applyFill="1" applyProtection="1"/>
    <xf numFmtId="165" fontId="20" fillId="0" borderId="0" xfId="7" applyNumberFormat="1" applyFont="1" applyProtection="1"/>
    <xf numFmtId="165" fontId="1" fillId="0" borderId="0" xfId="7" applyNumberFormat="1" applyFont="1" applyAlignment="1" applyProtection="1">
      <alignment horizontal="left"/>
    </xf>
    <xf numFmtId="170" fontId="1" fillId="0" borderId="0" xfId="7" applyNumberFormat="1" applyAlignment="1" applyProtection="1">
      <alignment horizontal="center"/>
    </xf>
    <xf numFmtId="165" fontId="14" fillId="0" borderId="0" xfId="7" applyNumberFormat="1" applyFont="1"/>
    <xf numFmtId="165" fontId="1" fillId="0" borderId="0" xfId="7" applyNumberFormat="1" applyFill="1" applyAlignment="1" applyProtection="1">
      <alignment horizontal="center"/>
    </xf>
    <xf numFmtId="165" fontId="1" fillId="0" borderId="0" xfId="7" applyNumberFormat="1" applyFill="1" applyAlignment="1" applyProtection="1">
      <alignment horizontal="left"/>
    </xf>
    <xf numFmtId="165" fontId="21" fillId="0" borderId="0" xfId="7" applyNumberFormat="1" applyFont="1" applyFill="1" applyAlignment="1" applyProtection="1">
      <alignment horizontal="right"/>
    </xf>
    <xf numFmtId="165" fontId="12" fillId="0" borderId="0" xfId="7" applyNumberFormat="1" applyFont="1"/>
    <xf numFmtId="165" fontId="12" fillId="0" borderId="0" xfId="7" applyNumberFormat="1" applyFont="1" applyAlignment="1" applyProtection="1">
      <alignment horizontal="right"/>
    </xf>
    <xf numFmtId="165" fontId="22" fillId="0" borderId="0" xfId="7" applyNumberFormat="1" applyFont="1" applyProtection="1"/>
    <xf numFmtId="165" fontId="11" fillId="0" borderId="0" xfId="7" applyNumberFormat="1" applyFont="1" applyAlignment="1" applyProtection="1">
      <alignment horizontal="fill" vertical="center"/>
    </xf>
    <xf numFmtId="165" fontId="12" fillId="0" borderId="0" xfId="7" applyNumberFormat="1" applyFont="1" applyAlignment="1" applyProtection="1">
      <alignment horizontal="left"/>
    </xf>
    <xf numFmtId="165" fontId="11" fillId="0" borderId="0" xfId="7" applyNumberFormat="1" applyFont="1" applyAlignment="1">
      <alignment vertical="center"/>
    </xf>
    <xf numFmtId="166" fontId="1" fillId="0" borderId="0" xfId="7" applyNumberFormat="1" applyProtection="1"/>
    <xf numFmtId="165" fontId="7" fillId="0" borderId="0" xfId="7" applyNumberFormat="1" applyFont="1"/>
    <xf numFmtId="168" fontId="1" fillId="0" borderId="0" xfId="7" applyNumberFormat="1" applyAlignment="1" applyProtection="1">
      <alignment horizontal="center"/>
    </xf>
    <xf numFmtId="165" fontId="22" fillId="0" borderId="0" xfId="7" applyNumberFormat="1" applyFont="1" applyAlignment="1" applyProtection="1">
      <alignment horizontal="left"/>
    </xf>
    <xf numFmtId="165" fontId="1" fillId="0" borderId="0" xfId="7" quotePrefix="1" applyNumberFormat="1"/>
    <xf numFmtId="165" fontId="13" fillId="3" borderId="0" xfId="7" applyNumberFormat="1" applyFont="1" applyFill="1" applyProtection="1"/>
    <xf numFmtId="165" fontId="23" fillId="0" borderId="0" xfId="7" applyNumberFormat="1" applyFont="1" applyProtection="1"/>
    <xf numFmtId="166" fontId="1" fillId="0" borderId="0" xfId="7" applyNumberFormat="1" applyAlignment="1" applyProtection="1">
      <alignment horizontal="center"/>
    </xf>
    <xf numFmtId="168" fontId="1" fillId="0" borderId="0" xfId="7" applyNumberFormat="1" applyAlignment="1" applyProtection="1">
      <alignment horizontal="left"/>
    </xf>
    <xf numFmtId="166" fontId="1" fillId="0" borderId="0" xfId="7" applyNumberFormat="1" applyAlignment="1" applyProtection="1">
      <alignment horizontal="left"/>
    </xf>
    <xf numFmtId="165" fontId="7" fillId="0" borderId="0" xfId="7" applyNumberFormat="1" applyFont="1" applyAlignment="1">
      <alignment horizontal="left"/>
    </xf>
    <xf numFmtId="165" fontId="7" fillId="0" borderId="0" xfId="7" applyNumberFormat="1" applyFont="1" applyAlignment="1" applyProtection="1">
      <alignment horizontal="left" wrapText="1"/>
    </xf>
    <xf numFmtId="165" fontId="7" fillId="0" borderId="0" xfId="7" applyNumberFormat="1" applyFont="1" applyAlignment="1" applyProtection="1">
      <alignment horizontal="fill"/>
    </xf>
    <xf numFmtId="165" fontId="1" fillId="0" borderId="0" xfId="7" applyNumberFormat="1" applyAlignment="1" applyProtection="1">
      <alignment horizontal="left" wrapText="1"/>
    </xf>
    <xf numFmtId="168" fontId="1" fillId="0" borderId="0" xfId="7" applyNumberFormat="1" applyAlignment="1">
      <alignment horizontal="center" vertical="top"/>
    </xf>
    <xf numFmtId="166" fontId="1" fillId="0" borderId="0" xfId="7" applyNumberFormat="1" applyAlignment="1">
      <alignment horizontal="center" vertical="top"/>
    </xf>
    <xf numFmtId="168" fontId="1" fillId="0" borderId="0" xfId="7" applyNumberFormat="1" applyFont="1" applyAlignment="1">
      <alignment horizontal="center"/>
    </xf>
    <xf numFmtId="165" fontId="1" fillId="0" borderId="0" xfId="7" applyNumberFormat="1" applyAlignment="1" applyProtection="1">
      <alignment horizontal="left" vertical="top" wrapText="1"/>
    </xf>
    <xf numFmtId="166" fontId="1" fillId="0" borderId="0" xfId="7" applyNumberFormat="1" applyFont="1" applyAlignment="1">
      <alignment horizontal="center"/>
    </xf>
    <xf numFmtId="165" fontId="24" fillId="0" borderId="0" xfId="7" applyNumberFormat="1" applyFont="1" applyProtection="1"/>
    <xf numFmtId="165" fontId="1" fillId="0" borderId="0" xfId="7" applyNumberFormat="1" applyFont="1" applyAlignment="1" applyProtection="1">
      <alignment horizontal="fill"/>
    </xf>
    <xf numFmtId="165" fontId="1" fillId="4" borderId="0" xfId="7" applyNumberFormat="1" applyFill="1" applyAlignment="1" applyProtection="1">
      <alignment horizontal="left"/>
    </xf>
    <xf numFmtId="165" fontId="25" fillId="5" borderId="0" xfId="7" applyNumberFormat="1" applyFont="1" applyFill="1" applyProtection="1"/>
    <xf numFmtId="165" fontId="13" fillId="5" borderId="0" xfId="7" applyNumberFormat="1" applyFont="1" applyFill="1" applyProtection="1"/>
    <xf numFmtId="170" fontId="7" fillId="0" borderId="0" xfId="7" applyNumberFormat="1" applyFont="1" applyAlignment="1" applyProtection="1">
      <alignment horizontal="center"/>
    </xf>
    <xf numFmtId="165" fontId="7" fillId="0" borderId="0" xfId="7" applyNumberFormat="1" applyFont="1" applyAlignment="1" applyProtection="1"/>
    <xf numFmtId="165" fontId="7" fillId="0" borderId="0" xfId="7" applyNumberFormat="1" applyFont="1" applyAlignment="1"/>
    <xf numFmtId="168" fontId="14" fillId="0" borderId="0" xfId="7" applyNumberFormat="1" applyFont="1"/>
    <xf numFmtId="165" fontId="1" fillId="0" borderId="0" xfId="7" applyNumberFormat="1" applyFont="1" applyAlignment="1" applyProtection="1">
      <alignment horizontal="center"/>
    </xf>
    <xf numFmtId="165" fontId="25" fillId="6" borderId="0" xfId="7" applyNumberFormat="1" applyFont="1" applyFill="1" applyProtection="1"/>
    <xf numFmtId="165" fontId="13" fillId="0" borderId="0" xfId="7" applyNumberFormat="1" applyFont="1"/>
    <xf numFmtId="167" fontId="1" fillId="0" borderId="0" xfId="7" applyNumberFormat="1" applyProtection="1"/>
    <xf numFmtId="169" fontId="1" fillId="0" borderId="0" xfId="7" applyNumberFormat="1" applyProtection="1"/>
    <xf numFmtId="165" fontId="1" fillId="2" borderId="0" xfId="7" applyNumberFormat="1" applyFill="1" applyAlignment="1" applyProtection="1">
      <alignment horizontal="left"/>
    </xf>
    <xf numFmtId="165" fontId="22" fillId="2" borderId="0" xfId="7" applyNumberFormat="1" applyFont="1" applyFill="1" applyAlignment="1" applyProtection="1">
      <alignment horizontal="left"/>
    </xf>
    <xf numFmtId="165" fontId="26" fillId="0" borderId="0" xfId="7" applyNumberFormat="1" applyFont="1" applyProtection="1"/>
    <xf numFmtId="165" fontId="14" fillId="0" borderId="0" xfId="7" applyNumberFormat="1" applyFont="1" applyAlignment="1" applyProtection="1">
      <alignment horizontal="left" wrapText="1"/>
    </xf>
    <xf numFmtId="165" fontId="22" fillId="0" borderId="0" xfId="7" applyNumberFormat="1" applyFont="1"/>
    <xf numFmtId="165" fontId="27" fillId="0" borderId="0" xfId="7" applyNumberFormat="1" applyFont="1" applyAlignment="1" applyProtection="1">
      <alignment horizontal="left"/>
    </xf>
    <xf numFmtId="165" fontId="27" fillId="0" borderId="0" xfId="7" applyNumberFormat="1" applyFont="1"/>
    <xf numFmtId="165" fontId="1" fillId="5" borderId="0" xfId="7" applyNumberFormat="1" applyFont="1" applyFill="1" applyProtection="1"/>
    <xf numFmtId="165" fontId="1" fillId="5" borderId="0" xfId="7" applyNumberFormat="1" applyFont="1" applyFill="1" applyAlignment="1" applyProtection="1">
      <alignment horizontal="left"/>
    </xf>
    <xf numFmtId="165" fontId="1" fillId="0" borderId="0" xfId="7" applyNumberFormat="1" applyAlignment="1">
      <alignment horizontal="right"/>
    </xf>
    <xf numFmtId="165" fontId="1" fillId="5" borderId="0" xfId="7" applyNumberFormat="1" applyFont="1" applyFill="1"/>
    <xf numFmtId="165" fontId="15" fillId="6" borderId="0" xfId="7" applyNumberFormat="1" applyFont="1" applyFill="1" applyAlignment="1" applyProtection="1">
      <alignment horizontal="left"/>
    </xf>
    <xf numFmtId="165" fontId="28" fillId="2" borderId="0" xfId="7" applyNumberFormat="1" applyFont="1" applyFill="1" applyAlignment="1" applyProtection="1">
      <alignment horizontal="left"/>
    </xf>
    <xf numFmtId="165" fontId="28" fillId="0" borderId="0" xfId="7" applyNumberFormat="1" applyFont="1" applyProtection="1"/>
    <xf numFmtId="165" fontId="28" fillId="0" borderId="0" xfId="7" applyNumberFormat="1" applyFont="1" applyAlignment="1" applyProtection="1">
      <alignment horizontal="left"/>
    </xf>
    <xf numFmtId="165" fontId="29" fillId="0" borderId="0" xfId="7" applyNumberFormat="1" applyFont="1" applyAlignment="1" applyProtection="1">
      <alignment horizontal="left"/>
    </xf>
    <xf numFmtId="165" fontId="30" fillId="0" borderId="0" xfId="7" applyNumberFormat="1" applyFont="1"/>
    <xf numFmtId="165" fontId="24" fillId="2" borderId="0" xfId="7" applyNumberFormat="1" applyFont="1" applyFill="1" applyProtection="1"/>
    <xf numFmtId="165" fontId="31" fillId="0" borderId="0" xfId="7" applyNumberFormat="1" applyFont="1"/>
    <xf numFmtId="169" fontId="1" fillId="0" borderId="0" xfId="7" applyNumberFormat="1"/>
    <xf numFmtId="165" fontId="22" fillId="2" borderId="0" xfId="7" applyNumberFormat="1" applyFont="1" applyFill="1" applyProtection="1"/>
    <xf numFmtId="170" fontId="14" fillId="0" borderId="0" xfId="7" applyNumberFormat="1" applyFont="1" applyAlignment="1" applyProtection="1">
      <alignment vertical="center" wrapText="1"/>
    </xf>
    <xf numFmtId="165" fontId="13" fillId="0" borderId="0" xfId="7" applyNumberFormat="1" applyFont="1" applyAlignment="1" applyProtection="1">
      <alignment horizontal="right"/>
    </xf>
    <xf numFmtId="165" fontId="32" fillId="0" borderId="0" xfId="7" applyNumberFormat="1" applyFont="1" applyProtection="1"/>
    <xf numFmtId="168" fontId="1" fillId="0" borderId="0" xfId="7" applyNumberFormat="1" applyAlignment="1">
      <alignment horizontal="center"/>
    </xf>
    <xf numFmtId="165" fontId="22" fillId="6" borderId="0" xfId="7" applyNumberFormat="1" applyFont="1" applyFill="1" applyProtection="1"/>
    <xf numFmtId="165" fontId="14" fillId="6" borderId="0" xfId="7" applyNumberFormat="1" applyFont="1" applyFill="1" applyAlignment="1" applyProtection="1">
      <alignment horizontal="left"/>
    </xf>
    <xf numFmtId="165" fontId="1" fillId="6" borderId="0" xfId="7" applyNumberFormat="1" applyFill="1"/>
    <xf numFmtId="165" fontId="22" fillId="6" borderId="0" xfId="7" applyNumberFormat="1" applyFont="1" applyFill="1"/>
    <xf numFmtId="165" fontId="34" fillId="0" borderId="0" xfId="7" applyNumberFormat="1" applyFont="1"/>
    <xf numFmtId="165" fontId="1" fillId="0" borderId="0" xfId="7" applyNumberFormat="1" applyAlignment="1" applyProtection="1">
      <alignment horizontal="right"/>
    </xf>
    <xf numFmtId="165" fontId="1" fillId="0" borderId="0" xfId="7" applyNumberFormat="1" applyFont="1"/>
    <xf numFmtId="165" fontId="13" fillId="0" borderId="0" xfId="7" applyNumberFormat="1" applyFont="1" applyAlignment="1" applyProtection="1">
      <alignment horizontal="left"/>
    </xf>
    <xf numFmtId="170" fontId="28" fillId="0" borderId="0" xfId="7" applyNumberFormat="1" applyFont="1" applyAlignment="1" applyProtection="1">
      <alignment horizontal="left" wrapText="1"/>
    </xf>
    <xf numFmtId="165" fontId="28" fillId="0" borderId="0" xfId="7" applyNumberFormat="1" applyFont="1"/>
    <xf numFmtId="170" fontId="28" fillId="0" borderId="0" xfId="7" applyNumberFormat="1" applyFont="1" applyAlignment="1" applyProtection="1">
      <alignment horizontal="left"/>
    </xf>
    <xf numFmtId="166" fontId="1" fillId="0" borderId="0" xfId="7" applyNumberFormat="1" applyAlignment="1">
      <alignment horizontal="right"/>
    </xf>
    <xf numFmtId="165" fontId="7" fillId="0" borderId="0" xfId="7" applyNumberFormat="1" applyFont="1" applyAlignment="1">
      <alignment wrapText="1"/>
    </xf>
    <xf numFmtId="165" fontId="1" fillId="0" borderId="0" xfId="7" applyNumberFormat="1" applyAlignment="1">
      <alignment vertical="top" wrapText="1"/>
    </xf>
    <xf numFmtId="165" fontId="14" fillId="0" borderId="0" xfId="7" applyNumberFormat="1" applyFont="1" applyAlignment="1" applyProtection="1">
      <alignment horizontal="center"/>
    </xf>
    <xf numFmtId="165" fontId="28" fillId="6" borderId="0" xfId="7" applyNumberFormat="1" applyFont="1" applyFill="1" applyProtection="1"/>
    <xf numFmtId="165" fontId="26" fillId="6" borderId="0" xfId="7" applyNumberFormat="1" applyFont="1" applyFill="1" applyProtection="1"/>
    <xf numFmtId="170" fontId="1" fillId="0" borderId="0" xfId="7" applyNumberFormat="1" applyProtection="1"/>
    <xf numFmtId="169" fontId="1" fillId="0" borderId="0" xfId="7" quotePrefix="1" applyNumberFormat="1" applyProtection="1"/>
    <xf numFmtId="165" fontId="1" fillId="0" borderId="0" xfId="7" quotePrefix="1" applyNumberFormat="1" applyProtection="1"/>
    <xf numFmtId="165" fontId="35" fillId="6" borderId="0" xfId="7" applyNumberFormat="1" applyFont="1" applyFill="1" applyProtection="1"/>
    <xf numFmtId="168" fontId="1" fillId="0" borderId="0" xfId="7" applyNumberFormat="1" applyAlignment="1" applyProtection="1">
      <alignment horizontal="center" vertical="top" wrapText="1"/>
    </xf>
    <xf numFmtId="165" fontId="1" fillId="0" borderId="0" xfId="7" applyNumberFormat="1" applyAlignment="1" applyProtection="1">
      <alignment horizontal="justify" vertical="top" wrapText="1"/>
    </xf>
    <xf numFmtId="167" fontId="1" fillId="0" borderId="0" xfId="7" applyNumberFormat="1" applyAlignment="1" applyProtection="1">
      <alignment horizontal="left"/>
    </xf>
    <xf numFmtId="171" fontId="36" fillId="7" borderId="0" xfId="7" applyNumberFormat="1" applyFont="1" applyFill="1" applyProtection="1"/>
    <xf numFmtId="165" fontId="36" fillId="7" borderId="0" xfId="7" applyNumberFormat="1" applyFont="1" applyFill="1" applyAlignment="1" applyProtection="1"/>
    <xf numFmtId="165" fontId="36" fillId="7" borderId="0" xfId="7" applyNumberFormat="1" applyFont="1" applyFill="1" applyAlignment="1" applyProtection="1">
      <alignment horizontal="left"/>
    </xf>
    <xf numFmtId="165" fontId="36" fillId="7" borderId="0" xfId="7" applyNumberFormat="1" applyFont="1" applyFill="1" applyProtection="1"/>
    <xf numFmtId="171" fontId="1" fillId="0" borderId="0" xfId="7" applyNumberFormat="1" applyProtection="1"/>
    <xf numFmtId="167" fontId="1" fillId="0" borderId="0" xfId="7" applyNumberFormat="1" applyAlignment="1" applyProtection="1">
      <alignment horizontal="fill"/>
    </xf>
    <xf numFmtId="165" fontId="37" fillId="2" borderId="0" xfId="7" applyNumberFormat="1" applyFont="1" applyFill="1"/>
    <xf numFmtId="165" fontId="38" fillId="2" borderId="0" xfId="7" applyNumberFormat="1" applyFont="1" applyFill="1"/>
    <xf numFmtId="165" fontId="38" fillId="2" borderId="0" xfId="7" applyNumberFormat="1" applyFont="1" applyFill="1" applyAlignment="1">
      <alignment horizontal="left"/>
    </xf>
    <xf numFmtId="165" fontId="36" fillId="7" borderId="0" xfId="7" applyNumberFormat="1" applyFont="1" applyFill="1"/>
    <xf numFmtId="166" fontId="36" fillId="7" borderId="0" xfId="7" applyNumberFormat="1" applyFont="1" applyFill="1" applyProtection="1"/>
    <xf numFmtId="166" fontId="1" fillId="0" borderId="0" xfId="7" applyNumberFormat="1" applyAlignment="1" applyProtection="1">
      <alignment horizontal="fill"/>
    </xf>
    <xf numFmtId="169" fontId="1" fillId="0" borderId="0" xfId="7" applyNumberFormat="1" applyFont="1"/>
    <xf numFmtId="165" fontId="1" fillId="0" borderId="0" xfId="7" applyNumberFormat="1" applyFont="1" applyAlignment="1"/>
    <xf numFmtId="165" fontId="1" fillId="0" borderId="0" xfId="7" applyNumberFormat="1" applyFont="1" applyAlignment="1">
      <alignment horizontal="left"/>
    </xf>
    <xf numFmtId="167" fontId="1" fillId="0" borderId="0" xfId="7" applyNumberFormat="1" applyFont="1"/>
    <xf numFmtId="166" fontId="1" fillId="0" borderId="0" xfId="7" applyNumberFormat="1" applyFont="1"/>
    <xf numFmtId="165" fontId="1" fillId="0" borderId="0" xfId="7" quotePrefix="1" applyNumberFormat="1" applyFont="1"/>
    <xf numFmtId="165" fontId="39" fillId="6" borderId="0" xfId="7" applyNumberFormat="1" applyFont="1" applyFill="1" applyProtection="1"/>
    <xf numFmtId="165" fontId="40" fillId="0" borderId="0" xfId="7" applyNumberFormat="1" applyFont="1"/>
    <xf numFmtId="165" fontId="22" fillId="4" borderId="0" xfId="7" applyNumberFormat="1" applyFont="1" applyFill="1" applyAlignment="1" applyProtection="1">
      <alignment horizontal="left"/>
    </xf>
    <xf numFmtId="2" fontId="3" fillId="0" borderId="1" xfId="6" applyNumberFormat="1" applyFont="1" applyBorder="1" applyAlignment="1">
      <alignment vertical="top" wrapText="1"/>
    </xf>
    <xf numFmtId="165" fontId="1" fillId="2" borderId="0" xfId="7" applyNumberFormat="1" applyFont="1" applyFill="1" applyProtection="1"/>
    <xf numFmtId="165" fontId="41" fillId="6" borderId="0" xfId="7" applyNumberFormat="1" applyFont="1" applyFill="1" applyProtection="1"/>
    <xf numFmtId="165" fontId="42" fillId="0" borderId="0" xfId="7" applyNumberFormat="1" applyFont="1" applyProtection="1"/>
    <xf numFmtId="165" fontId="40" fillId="0" borderId="0" xfId="7" applyNumberFormat="1" applyFont="1" applyProtection="1"/>
    <xf numFmtId="165" fontId="43" fillId="0" borderId="0" xfId="7" applyNumberFormat="1" applyFont="1"/>
    <xf numFmtId="166" fontId="7" fillId="0" borderId="0" xfId="7" applyNumberFormat="1" applyFont="1" applyAlignment="1">
      <alignment horizontal="right"/>
    </xf>
    <xf numFmtId="165" fontId="36" fillId="8" borderId="0" xfId="7" applyNumberFormat="1" applyFont="1" applyFill="1"/>
    <xf numFmtId="165" fontId="36" fillId="8" borderId="0" xfId="7" applyNumberFormat="1" applyFont="1" applyFill="1" applyAlignment="1"/>
    <xf numFmtId="165" fontId="44" fillId="0" borderId="0" xfId="7" applyNumberFormat="1" applyFont="1" applyProtection="1"/>
    <xf numFmtId="165" fontId="45" fillId="0" borderId="0" xfId="7" applyNumberFormat="1" applyFont="1"/>
    <xf numFmtId="165" fontId="45" fillId="0" borderId="0" xfId="7" applyNumberFormat="1" applyFont="1" applyAlignment="1"/>
    <xf numFmtId="165" fontId="46" fillId="0" borderId="0" xfId="7" applyNumberFormat="1" applyFont="1"/>
    <xf numFmtId="165" fontId="45" fillId="0" borderId="0" xfId="7" applyNumberFormat="1" applyFont="1" applyAlignment="1">
      <alignment horizontal="center"/>
    </xf>
    <xf numFmtId="165" fontId="47" fillId="5" borderId="0" xfId="7" applyNumberFormat="1" applyFont="1" applyFill="1"/>
    <xf numFmtId="165" fontId="47" fillId="5" borderId="0" xfId="7" applyNumberFormat="1" applyFont="1" applyFill="1" applyAlignment="1"/>
    <xf numFmtId="165" fontId="45" fillId="5" borderId="0" xfId="7" applyNumberFormat="1" applyFont="1" applyFill="1" applyProtection="1"/>
    <xf numFmtId="165" fontId="45" fillId="5" borderId="0" xfId="7" applyNumberFormat="1" applyFont="1" applyFill="1" applyAlignment="1" applyProtection="1"/>
    <xf numFmtId="165" fontId="48" fillId="5" borderId="0" xfId="7" applyNumberFormat="1" applyFont="1" applyFill="1" applyAlignment="1" applyProtection="1">
      <alignment horizontal="left"/>
    </xf>
    <xf numFmtId="165" fontId="48" fillId="5" borderId="0" xfId="7" applyNumberFormat="1" applyFont="1" applyFill="1" applyAlignment="1" applyProtection="1">
      <alignment horizontal="right"/>
    </xf>
    <xf numFmtId="165" fontId="45" fillId="0" borderId="0" xfId="7" applyNumberFormat="1" applyFont="1" applyAlignment="1" applyProtection="1">
      <alignment horizontal="center"/>
    </xf>
    <xf numFmtId="165" fontId="45" fillId="0" borderId="0" xfId="7" applyNumberFormat="1" applyFont="1" applyProtection="1"/>
    <xf numFmtId="165" fontId="18" fillId="0" borderId="0" xfId="7" applyNumberFormat="1" applyFont="1" applyAlignment="1" applyProtection="1">
      <alignment horizontal="right"/>
    </xf>
    <xf numFmtId="165" fontId="45" fillId="0" borderId="0" xfId="7" applyNumberFormat="1" applyFont="1" applyAlignment="1" applyProtection="1"/>
    <xf numFmtId="165" fontId="45" fillId="0" borderId="0" xfId="7" applyNumberFormat="1" applyFont="1" applyAlignment="1" applyProtection="1">
      <alignment horizontal="left"/>
    </xf>
    <xf numFmtId="166" fontId="45" fillId="0" borderId="0" xfId="7" applyNumberFormat="1" applyFont="1" applyProtection="1"/>
    <xf numFmtId="165" fontId="45" fillId="0" borderId="0" xfId="7" applyNumberFormat="1" applyFont="1" applyAlignment="1" applyProtection="1">
      <alignment horizontal="fill"/>
    </xf>
    <xf numFmtId="165" fontId="46" fillId="0" borderId="0" xfId="7" applyNumberFormat="1" applyFont="1" applyAlignment="1" applyProtection="1">
      <alignment horizontal="left"/>
    </xf>
    <xf numFmtId="165" fontId="46" fillId="0" borderId="0" xfId="7" applyNumberFormat="1" applyFont="1" applyProtection="1"/>
    <xf numFmtId="165" fontId="1" fillId="6" borderId="0" xfId="7" applyNumberFormat="1" applyFont="1" applyFill="1" applyProtection="1"/>
    <xf numFmtId="165" fontId="7" fillId="4" borderId="0" xfId="7" applyNumberFormat="1" applyFont="1" applyFill="1" applyAlignment="1" applyProtection="1">
      <alignment horizontal="left"/>
    </xf>
    <xf numFmtId="165" fontId="13" fillId="4" borderId="0" xfId="7" applyNumberFormat="1" applyFont="1" applyFill="1" applyAlignment="1" applyProtection="1">
      <alignment horizontal="left"/>
    </xf>
    <xf numFmtId="167" fontId="1" fillId="0" borderId="0" xfId="7" applyNumberFormat="1" applyAlignment="1" applyProtection="1"/>
    <xf numFmtId="165" fontId="5" fillId="0" borderId="0" xfId="7" applyNumberFormat="1" applyFont="1" applyProtection="1"/>
    <xf numFmtId="167" fontId="5" fillId="0" borderId="0" xfId="7" applyNumberFormat="1" applyFont="1" applyAlignment="1" applyProtection="1"/>
    <xf numFmtId="165" fontId="5" fillId="0" borderId="0" xfId="7" applyNumberFormat="1" applyFont="1" applyAlignment="1" applyProtection="1">
      <alignment horizontal="left"/>
    </xf>
    <xf numFmtId="165" fontId="5" fillId="0" borderId="0" xfId="7" applyNumberFormat="1" applyFont="1" applyAlignment="1" applyProtection="1">
      <alignment horizontal="center"/>
    </xf>
    <xf numFmtId="167" fontId="1" fillId="0" borderId="0" xfId="7" applyNumberFormat="1" applyAlignment="1"/>
    <xf numFmtId="165" fontId="1" fillId="4" borderId="0" xfId="7" applyNumberFormat="1" applyFill="1"/>
    <xf numFmtId="165" fontId="7" fillId="0" borderId="0" xfId="7" applyNumberFormat="1" applyFont="1" applyAlignment="1">
      <alignment horizontal="right"/>
    </xf>
    <xf numFmtId="165" fontId="50" fillId="0" borderId="0" xfId="7" applyNumberFormat="1" applyFont="1"/>
    <xf numFmtId="165" fontId="1" fillId="2" borderId="0" xfId="7" applyNumberFormat="1" applyFill="1"/>
    <xf numFmtId="165" fontId="43" fillId="0" borderId="0" xfId="7" applyNumberFormat="1" applyFont="1" applyAlignment="1">
      <alignment horizontal="center"/>
    </xf>
    <xf numFmtId="165" fontId="1" fillId="0" borderId="8" xfId="7" applyNumberFormat="1" applyBorder="1"/>
    <xf numFmtId="165" fontId="51" fillId="0" borderId="0" xfId="7" applyNumberFormat="1" applyFont="1"/>
    <xf numFmtId="165" fontId="1" fillId="0" borderId="9" xfId="7" applyNumberFormat="1" applyBorder="1"/>
    <xf numFmtId="169" fontId="51" fillId="0" borderId="0" xfId="7" applyNumberFormat="1" applyFont="1" applyProtection="1"/>
    <xf numFmtId="165" fontId="51" fillId="0" borderId="0" xfId="7" applyNumberFormat="1" applyFont="1" applyAlignment="1" applyProtection="1"/>
    <xf numFmtId="165" fontId="52" fillId="0" borderId="0" xfId="7" applyNumberFormat="1" applyFont="1" applyAlignment="1" applyProtection="1">
      <alignment horizontal="center"/>
    </xf>
    <xf numFmtId="165" fontId="51" fillId="0" borderId="0" xfId="7" applyNumberFormat="1" applyFont="1" applyProtection="1"/>
    <xf numFmtId="165" fontId="51" fillId="0" borderId="0" xfId="7" applyNumberFormat="1" applyFont="1" applyAlignment="1" applyProtection="1">
      <alignment horizontal="left"/>
    </xf>
    <xf numFmtId="165" fontId="51" fillId="0" borderId="0" xfId="7" applyNumberFormat="1" applyFont="1" applyAlignment="1">
      <alignment horizontal="center"/>
    </xf>
    <xf numFmtId="165" fontId="51" fillId="0" borderId="0" xfId="7" applyNumberFormat="1" applyFont="1" applyAlignment="1"/>
    <xf numFmtId="165" fontId="52" fillId="0" borderId="0" xfId="7" applyNumberFormat="1" applyFont="1" applyProtection="1"/>
    <xf numFmtId="165" fontId="1" fillId="0" borderId="10" xfId="7" applyNumberFormat="1" applyBorder="1"/>
    <xf numFmtId="165" fontId="52" fillId="0" borderId="0" xfId="7" applyNumberFormat="1" applyFont="1"/>
    <xf numFmtId="165" fontId="51" fillId="0" borderId="0" xfId="7" applyNumberFormat="1" applyFont="1" applyAlignment="1" applyProtection="1">
      <alignment horizontal="right"/>
    </xf>
    <xf numFmtId="165" fontId="51" fillId="0" borderId="0" xfId="7" applyNumberFormat="1" applyFont="1" applyAlignment="1">
      <alignment horizontal="left"/>
    </xf>
    <xf numFmtId="165" fontId="51" fillId="0" borderId="0" xfId="7" applyNumberFormat="1" applyFont="1" applyAlignment="1" applyProtection="1">
      <alignment horizontal="fill"/>
    </xf>
    <xf numFmtId="170" fontId="53" fillId="0" borderId="11" xfId="7" applyNumberFormat="1" applyFont="1" applyBorder="1" applyAlignment="1" applyProtection="1">
      <alignment horizontal="center"/>
    </xf>
    <xf numFmtId="165" fontId="1" fillId="0" borderId="12" xfId="7" applyNumberFormat="1" applyBorder="1" applyAlignment="1" applyProtection="1"/>
    <xf numFmtId="165" fontId="1" fillId="0" borderId="12" xfId="7" applyNumberFormat="1" applyBorder="1" applyAlignment="1" applyProtection="1">
      <alignment horizontal="left"/>
    </xf>
    <xf numFmtId="165" fontId="1" fillId="0" borderId="12" xfId="7" applyNumberFormat="1" applyBorder="1"/>
    <xf numFmtId="165" fontId="1" fillId="0" borderId="12" xfId="7" applyNumberFormat="1" applyBorder="1" applyAlignment="1">
      <alignment horizontal="left"/>
    </xf>
    <xf numFmtId="165" fontId="1" fillId="0" borderId="13" xfId="7" applyNumberFormat="1" applyBorder="1"/>
    <xf numFmtId="165" fontId="1" fillId="0" borderId="0" xfId="7" applyNumberFormat="1" applyBorder="1" applyAlignment="1"/>
    <xf numFmtId="165" fontId="1" fillId="0" borderId="0" xfId="7" applyNumberFormat="1" applyBorder="1" applyAlignment="1" applyProtection="1">
      <alignment horizontal="left"/>
    </xf>
    <xf numFmtId="165" fontId="1" fillId="0" borderId="0" xfId="7" applyNumberFormat="1" applyBorder="1"/>
    <xf numFmtId="165" fontId="1" fillId="0" borderId="0" xfId="7" applyNumberFormat="1" applyBorder="1" applyAlignment="1">
      <alignment horizontal="left"/>
    </xf>
    <xf numFmtId="165" fontId="1" fillId="0" borderId="0" xfId="7" applyNumberFormat="1" applyBorder="1" applyAlignment="1" applyProtection="1">
      <alignment horizontal="fill"/>
    </xf>
    <xf numFmtId="165" fontId="1" fillId="0" borderId="13" xfId="7" applyNumberFormat="1" applyBorder="1" applyProtection="1"/>
    <xf numFmtId="165" fontId="1" fillId="0" borderId="0" xfId="7" applyNumberFormat="1" applyBorder="1" applyAlignment="1" applyProtection="1"/>
    <xf numFmtId="165" fontId="22" fillId="0" borderId="0" xfId="7" applyNumberFormat="1" applyFont="1" applyBorder="1" applyProtection="1"/>
    <xf numFmtId="165" fontId="1" fillId="0" borderId="0" xfId="7" applyNumberFormat="1" applyBorder="1" applyProtection="1"/>
    <xf numFmtId="165" fontId="22" fillId="4" borderId="0" xfId="7" applyNumberFormat="1" applyFont="1" applyFill="1" applyBorder="1" applyProtection="1"/>
    <xf numFmtId="165" fontId="1" fillId="0" borderId="0" xfId="7" applyNumberFormat="1" applyBorder="1" applyAlignment="1" applyProtection="1">
      <alignment horizontal="right"/>
    </xf>
    <xf numFmtId="165" fontId="7" fillId="0" borderId="0" xfId="7" applyNumberFormat="1" applyFont="1" applyBorder="1" applyAlignment="1" applyProtection="1">
      <alignment horizontal="center"/>
    </xf>
    <xf numFmtId="165" fontId="7" fillId="0" borderId="0" xfId="7" applyNumberFormat="1" applyFont="1" applyBorder="1"/>
    <xf numFmtId="165" fontId="7" fillId="0" borderId="0" xfId="7" applyNumberFormat="1" applyFont="1" applyBorder="1" applyAlignment="1">
      <alignment horizontal="left"/>
    </xf>
    <xf numFmtId="165" fontId="7" fillId="0" borderId="0" xfId="7" applyNumberFormat="1" applyFont="1" applyBorder="1" applyProtection="1"/>
    <xf numFmtId="165" fontId="1" fillId="0" borderId="14" xfId="7" applyNumberFormat="1" applyBorder="1"/>
    <xf numFmtId="165" fontId="1" fillId="0" borderId="15" xfId="7" applyNumberFormat="1" applyBorder="1" applyAlignment="1"/>
    <xf numFmtId="165" fontId="1" fillId="0" borderId="15" xfId="7" applyNumberFormat="1" applyBorder="1"/>
    <xf numFmtId="165" fontId="1" fillId="0" borderId="15" xfId="7" applyNumberFormat="1" applyBorder="1" applyAlignment="1">
      <alignment horizontal="left"/>
    </xf>
    <xf numFmtId="165" fontId="1" fillId="0" borderId="15" xfId="7" applyNumberFormat="1" applyBorder="1" applyAlignment="1" applyProtection="1">
      <alignment horizontal="fill"/>
    </xf>
    <xf numFmtId="165" fontId="53" fillId="0" borderId="11" xfId="7" applyNumberFormat="1" applyFont="1" applyBorder="1" applyAlignment="1" applyProtection="1">
      <alignment horizontal="center"/>
    </xf>
    <xf numFmtId="166" fontId="1" fillId="0" borderId="13" xfId="7" applyNumberFormat="1" applyBorder="1" applyProtection="1"/>
    <xf numFmtId="166" fontId="1" fillId="0" borderId="14" xfId="7" applyNumberFormat="1" applyBorder="1" applyProtection="1"/>
    <xf numFmtId="165" fontId="7" fillId="0" borderId="15" xfId="7" applyNumberFormat="1" applyFont="1" applyBorder="1" applyAlignment="1" applyProtection="1">
      <alignment horizontal="center"/>
    </xf>
    <xf numFmtId="165" fontId="7" fillId="0" borderId="15" xfId="7" applyNumberFormat="1" applyFont="1" applyBorder="1"/>
    <xf numFmtId="165" fontId="7" fillId="0" borderId="15" xfId="7" applyNumberFormat="1" applyFont="1" applyBorder="1" applyAlignment="1">
      <alignment horizontal="left"/>
    </xf>
    <xf numFmtId="165" fontId="7" fillId="0" borderId="15" xfId="7" applyNumberFormat="1" applyFont="1" applyBorder="1" applyProtection="1"/>
    <xf numFmtId="165" fontId="10" fillId="0" borderId="0" xfId="7" applyNumberFormat="1" applyFont="1"/>
    <xf numFmtId="165" fontId="40" fillId="0" borderId="0" xfId="7" applyNumberFormat="1" applyFont="1" applyAlignment="1" applyProtection="1">
      <alignment horizontal="left"/>
    </xf>
    <xf numFmtId="165" fontId="1" fillId="0" borderId="0" xfId="7" applyNumberFormat="1" applyFont="1" applyAlignment="1" applyProtection="1"/>
    <xf numFmtId="170" fontId="1" fillId="0" borderId="0" xfId="7" applyNumberFormat="1" applyAlignment="1">
      <alignment horizontal="center"/>
    </xf>
    <xf numFmtId="168" fontId="1" fillId="0" borderId="0" xfId="7" applyNumberFormat="1"/>
    <xf numFmtId="165" fontId="1" fillId="0" borderId="0" xfId="7" applyNumberFormat="1" applyAlignment="1">
      <alignment wrapText="1"/>
    </xf>
    <xf numFmtId="165" fontId="1" fillId="0" borderId="0" xfId="7" applyNumberFormat="1" applyAlignment="1" applyProtection="1">
      <alignment vertical="center"/>
    </xf>
    <xf numFmtId="165" fontId="1" fillId="0" borderId="0" xfId="7" applyNumberFormat="1" applyFont="1" applyAlignment="1" applyProtection="1">
      <alignment horizontal="left" wrapText="1"/>
    </xf>
    <xf numFmtId="165" fontId="1" fillId="0" borderId="0" xfId="7" applyNumberFormat="1" applyAlignment="1" applyProtection="1">
      <alignment horizontal="left" vertical="center"/>
    </xf>
    <xf numFmtId="165" fontId="1" fillId="0" borderId="0" xfId="7" applyNumberFormat="1" applyFont="1" applyAlignment="1" applyProtection="1">
      <alignment vertical="center"/>
    </xf>
    <xf numFmtId="165" fontId="54" fillId="4" borderId="0" xfId="7" applyNumberFormat="1" applyFont="1" applyFill="1" applyProtection="1"/>
    <xf numFmtId="165" fontId="54" fillId="2" borderId="0" xfId="7" applyNumberFormat="1" applyFont="1" applyFill="1" applyProtection="1"/>
    <xf numFmtId="165" fontId="26" fillId="6" borderId="0" xfId="7" applyNumberFormat="1" applyFont="1" applyFill="1" applyAlignment="1" applyProtection="1">
      <alignment vertical="center"/>
    </xf>
    <xf numFmtId="165" fontId="26" fillId="6" borderId="0" xfId="7" applyNumberFormat="1" applyFont="1" applyFill="1" applyAlignment="1" applyProtection="1">
      <alignment horizontal="left"/>
    </xf>
    <xf numFmtId="165" fontId="13" fillId="6" borderId="0" xfId="7" applyNumberFormat="1" applyFont="1" applyFill="1" applyAlignment="1" applyProtection="1">
      <alignment horizontal="left"/>
    </xf>
    <xf numFmtId="165" fontId="41" fillId="0" borderId="0" xfId="7" applyNumberFormat="1" applyFont="1" applyProtection="1"/>
    <xf numFmtId="165" fontId="7" fillId="0" borderId="16" xfId="7" applyNumberFormat="1" applyFont="1" applyBorder="1" applyProtection="1"/>
    <xf numFmtId="165" fontId="1" fillId="0" borderId="17" xfId="7" applyNumberFormat="1" applyBorder="1" applyAlignment="1" applyProtection="1">
      <alignment horizontal="fill"/>
    </xf>
    <xf numFmtId="165" fontId="10" fillId="0" borderId="0" xfId="7" applyNumberFormat="1" applyFont="1" applyAlignment="1" applyProtection="1">
      <alignment horizontal="left"/>
    </xf>
    <xf numFmtId="165" fontId="22" fillId="4" borderId="0" xfId="7" applyNumberFormat="1" applyFont="1" applyFill="1" applyProtection="1"/>
    <xf numFmtId="165" fontId="26" fillId="4" borderId="0" xfId="7" applyNumberFormat="1" applyFont="1" applyFill="1" applyProtection="1"/>
    <xf numFmtId="165" fontId="26" fillId="4" borderId="0" xfId="7" applyNumberFormat="1" applyFont="1" applyFill="1"/>
    <xf numFmtId="165" fontId="34" fillId="6" borderId="0" xfId="7" applyNumberFormat="1" applyFont="1" applyFill="1" applyProtection="1"/>
    <xf numFmtId="168" fontId="1" fillId="0" borderId="0" xfId="7" applyNumberFormat="1" applyAlignment="1" applyProtection="1">
      <alignment horizontal="center" vertical="top"/>
    </xf>
    <xf numFmtId="165" fontId="20" fillId="0" borderId="0" xfId="7" applyNumberFormat="1" applyFont="1" applyAlignment="1" applyProtection="1">
      <alignment horizontal="right" vertical="center"/>
    </xf>
    <xf numFmtId="2" fontId="51" fillId="0" borderId="1" xfId="8" applyNumberFormat="1" applyFont="1" applyBorder="1" applyAlignment="1">
      <alignment vertical="top" wrapText="1"/>
    </xf>
    <xf numFmtId="165" fontId="1" fillId="0" borderId="0" xfId="7" applyNumberFormat="1" applyFill="1" applyBorder="1" applyAlignment="1" applyProtection="1">
      <alignment horizontal="left"/>
    </xf>
    <xf numFmtId="168" fontId="1" fillId="0" borderId="0" xfId="7" applyNumberFormat="1" applyAlignment="1">
      <alignment horizontal="center" vertical="top" wrapText="1"/>
    </xf>
    <xf numFmtId="165" fontId="7" fillId="0" borderId="0" xfId="7" applyNumberFormat="1" applyFont="1" applyAlignment="1" applyProtection="1">
      <alignment horizontal="left" vertical="top" wrapText="1"/>
    </xf>
    <xf numFmtId="165" fontId="41" fillId="6" borderId="0" xfId="7" applyNumberFormat="1" applyFont="1" applyFill="1"/>
    <xf numFmtId="165" fontId="20" fillId="0" borderId="0" xfId="7" applyNumberFormat="1" applyFont="1"/>
    <xf numFmtId="165" fontId="1" fillId="0" borderId="0" xfId="7" applyNumberFormat="1" applyBorder="1" applyAlignment="1">
      <alignment horizontal="left" vertical="top"/>
    </xf>
    <xf numFmtId="165" fontId="1" fillId="0" borderId="0" xfId="7" applyNumberFormat="1" applyFont="1" applyBorder="1" applyAlignment="1">
      <alignment horizontal="right" vertical="top"/>
    </xf>
    <xf numFmtId="165" fontId="1" fillId="6" borderId="0" xfId="7" applyNumberFormat="1" applyFont="1" applyFill="1"/>
    <xf numFmtId="165" fontId="13" fillId="6" borderId="0" xfId="7" applyNumberFormat="1" applyFont="1" applyFill="1"/>
    <xf numFmtId="165" fontId="7" fillId="0" borderId="0" xfId="7" applyNumberFormat="1" applyFont="1" applyAlignment="1">
      <alignment horizontal="left" vertical="top" wrapText="1"/>
    </xf>
    <xf numFmtId="165" fontId="7" fillId="4" borderId="0" xfId="7" applyNumberFormat="1" applyFont="1" applyFill="1" applyAlignment="1">
      <alignment wrapText="1"/>
    </xf>
    <xf numFmtId="166" fontId="12" fillId="0" borderId="0" xfId="7" applyNumberFormat="1" applyFont="1"/>
    <xf numFmtId="165" fontId="7" fillId="0" borderId="0" xfId="7" applyNumberFormat="1" applyFont="1" applyAlignment="1">
      <alignment horizontal="right" vertical="top"/>
    </xf>
    <xf numFmtId="165" fontId="1" fillId="0" borderId="0" xfId="7" applyNumberFormat="1" applyFont="1" applyAlignment="1">
      <alignment vertical="top" wrapText="1"/>
    </xf>
    <xf numFmtId="165" fontId="1" fillId="6" borderId="0" xfId="7" quotePrefix="1" applyNumberFormat="1" applyFill="1"/>
    <xf numFmtId="165" fontId="7" fillId="0" borderId="0" xfId="7" applyNumberFormat="1" applyFont="1" applyAlignment="1">
      <alignment horizontal="center"/>
    </xf>
    <xf numFmtId="165" fontId="7" fillId="0" borderId="0" xfId="7" applyNumberFormat="1" applyFont="1" applyAlignment="1">
      <alignment horizontal="left" wrapText="1"/>
    </xf>
    <xf numFmtId="165" fontId="1" fillId="0" borderId="0" xfId="7" applyNumberFormat="1" applyAlignment="1">
      <alignment horizontal="left" wrapText="1"/>
    </xf>
    <xf numFmtId="165" fontId="22" fillId="2" borderId="0" xfId="7" applyNumberFormat="1" applyFont="1" applyFill="1"/>
    <xf numFmtId="165" fontId="22" fillId="0" borderId="0" xfId="7" applyNumberFormat="1" applyFont="1" applyAlignment="1" applyProtection="1">
      <alignment horizontal="right"/>
    </xf>
    <xf numFmtId="165" fontId="1" fillId="6" borderId="0" xfId="7" applyNumberFormat="1" applyFill="1" applyAlignment="1">
      <alignment wrapText="1"/>
    </xf>
    <xf numFmtId="165" fontId="1" fillId="0" borderId="0" xfId="7" quotePrefix="1" applyNumberFormat="1" applyAlignment="1" applyProtection="1">
      <alignment horizontal="fill"/>
    </xf>
    <xf numFmtId="165" fontId="1" fillId="6" borderId="0" xfId="7" applyNumberFormat="1" applyFill="1" applyAlignment="1" applyProtection="1">
      <alignment horizontal="left"/>
    </xf>
    <xf numFmtId="166" fontId="1" fillId="0" borderId="0" xfId="7" applyNumberFormat="1" applyFont="1" applyProtection="1"/>
    <xf numFmtId="165" fontId="1" fillId="0" borderId="0" xfId="7" quotePrefix="1" applyNumberFormat="1" applyFont="1" applyAlignment="1" applyProtection="1">
      <alignment horizontal="fill"/>
    </xf>
    <xf numFmtId="165" fontId="7" fillId="0" borderId="0" xfId="7" quotePrefix="1" applyNumberFormat="1" applyFont="1" applyProtection="1"/>
    <xf numFmtId="165" fontId="1" fillId="0" borderId="0" xfId="7" quotePrefix="1" applyNumberFormat="1" applyFont="1" applyProtection="1"/>
    <xf numFmtId="165" fontId="28" fillId="6" borderId="0" xfId="7" applyNumberFormat="1" applyFont="1" applyFill="1"/>
    <xf numFmtId="168" fontId="7" fillId="0" borderId="0" xfId="7" applyNumberFormat="1" applyFont="1"/>
    <xf numFmtId="165" fontId="1" fillId="0" borderId="0" xfId="7" applyNumberFormat="1" applyFont="1" applyAlignment="1">
      <alignment horizontal="fill"/>
    </xf>
    <xf numFmtId="165" fontId="1" fillId="0" borderId="0" xfId="7" quotePrefix="1" applyNumberFormat="1" applyFont="1" applyAlignment="1">
      <alignment horizontal="fill"/>
    </xf>
    <xf numFmtId="169" fontId="7" fillId="0" borderId="0" xfId="7" applyNumberFormat="1" applyFont="1"/>
    <xf numFmtId="169" fontId="7" fillId="0" borderId="0" xfId="7" applyNumberFormat="1" applyFont="1" applyAlignment="1">
      <alignment horizontal="right"/>
    </xf>
    <xf numFmtId="165" fontId="58" fillId="0" borderId="0" xfId="7" applyNumberFormat="1" applyFont="1"/>
    <xf numFmtId="165" fontId="59" fillId="0" borderId="0" xfId="7" applyNumberFormat="1" applyFont="1" applyAlignment="1">
      <alignment horizontal="left" vertical="top"/>
    </xf>
    <xf numFmtId="168" fontId="17" fillId="0" borderId="0" xfId="7" applyNumberFormat="1" applyFont="1" applyAlignment="1" applyProtection="1">
      <alignment horizontal="center"/>
    </xf>
    <xf numFmtId="165" fontId="17" fillId="0" borderId="0" xfId="7" applyNumberFormat="1" applyFont="1" applyAlignment="1"/>
    <xf numFmtId="165" fontId="17" fillId="0" borderId="0" xfId="7" applyNumberFormat="1" applyFont="1"/>
    <xf numFmtId="165" fontId="17" fillId="0" borderId="0" xfId="7" applyNumberFormat="1" applyFont="1" applyAlignment="1">
      <alignment horizontal="left"/>
    </xf>
    <xf numFmtId="165" fontId="17" fillId="0" borderId="0" xfId="7" applyNumberFormat="1" applyFont="1" applyAlignment="1" applyProtection="1">
      <alignment horizontal="fill"/>
    </xf>
    <xf numFmtId="165" fontId="1" fillId="0" borderId="0" xfId="7" applyNumberFormat="1" applyFont="1" applyAlignment="1">
      <alignment wrapText="1"/>
    </xf>
    <xf numFmtId="165" fontId="35" fillId="5" borderId="0" xfId="7" applyNumberFormat="1" applyFont="1" applyFill="1"/>
    <xf numFmtId="167" fontId="17" fillId="0" borderId="0" xfId="7" applyNumberFormat="1" applyFont="1" applyProtection="1"/>
    <xf numFmtId="167" fontId="17" fillId="0" borderId="0" xfId="7" applyNumberFormat="1" applyFont="1" applyAlignment="1" applyProtection="1">
      <alignment horizontal="left"/>
    </xf>
    <xf numFmtId="171" fontId="17" fillId="0" borderId="0" xfId="7" applyNumberFormat="1" applyFont="1" applyProtection="1"/>
    <xf numFmtId="165" fontId="17" fillId="0" borderId="0" xfId="7" applyNumberFormat="1" applyFont="1" applyAlignment="1" applyProtection="1"/>
    <xf numFmtId="165" fontId="17" fillId="0" borderId="0" xfId="7" applyNumberFormat="1" applyFont="1" applyProtection="1"/>
    <xf numFmtId="165" fontId="60" fillId="6" borderId="0" xfId="7" applyNumberFormat="1" applyFont="1" applyFill="1" applyProtection="1"/>
    <xf numFmtId="165" fontId="17" fillId="6" borderId="0" xfId="7" applyNumberFormat="1" applyFont="1" applyFill="1" applyAlignment="1" applyProtection="1">
      <alignment horizontal="left"/>
    </xf>
    <xf numFmtId="165" fontId="17" fillId="0" borderId="0" xfId="7" applyNumberFormat="1" applyFont="1" applyAlignment="1" applyProtection="1">
      <alignment horizontal="center"/>
    </xf>
    <xf numFmtId="165" fontId="20" fillId="4" borderId="0" xfId="7" applyNumberFormat="1" applyFont="1" applyFill="1"/>
    <xf numFmtId="165" fontId="9" fillId="0" borderId="0" xfId="7" applyNumberFormat="1" applyFont="1"/>
    <xf numFmtId="165" fontId="9" fillId="0" borderId="0" xfId="7" applyNumberFormat="1" applyFont="1" applyAlignment="1">
      <alignment horizontal="left"/>
    </xf>
    <xf numFmtId="165" fontId="9" fillId="0" borderId="0" xfId="7" applyNumberFormat="1" applyFont="1" applyAlignment="1" applyProtection="1">
      <alignment horizontal="fill"/>
    </xf>
    <xf numFmtId="165" fontId="9" fillId="0" borderId="0" xfId="7" applyNumberFormat="1" applyFont="1" applyAlignment="1" applyProtection="1">
      <alignment horizontal="center"/>
    </xf>
    <xf numFmtId="165" fontId="9" fillId="0" borderId="0" xfId="7" applyNumberFormat="1" applyFont="1" applyProtection="1"/>
    <xf numFmtId="2" fontId="1" fillId="0" borderId="0" xfId="7" applyNumberFormat="1"/>
    <xf numFmtId="165" fontId="3" fillId="0" borderId="0" xfId="7" applyNumberFormat="1" applyFont="1" applyAlignment="1">
      <alignment horizontal="right"/>
    </xf>
    <xf numFmtId="2" fontId="7" fillId="0" borderId="0" xfId="7" applyNumberFormat="1" applyFont="1"/>
    <xf numFmtId="165" fontId="5" fillId="0" borderId="0" xfId="7" applyNumberFormat="1" applyFont="1"/>
    <xf numFmtId="165" fontId="5" fillId="0" borderId="0" xfId="7" applyNumberFormat="1" applyFont="1" applyAlignment="1"/>
    <xf numFmtId="165" fontId="59" fillId="0" borderId="15" xfId="7" applyNumberFormat="1" applyFont="1" applyBorder="1"/>
    <xf numFmtId="165" fontId="5" fillId="0" borderId="0" xfId="7" applyNumberFormat="1" applyFont="1" applyAlignment="1">
      <alignment horizontal="center"/>
    </xf>
    <xf numFmtId="165" fontId="5" fillId="0" borderId="0" xfId="7" applyNumberFormat="1" applyFont="1" applyAlignment="1">
      <alignment horizontal="right"/>
    </xf>
    <xf numFmtId="165" fontId="59" fillId="0" borderId="0" xfId="7" applyNumberFormat="1" applyFont="1" applyAlignment="1">
      <alignment horizontal="right"/>
    </xf>
    <xf numFmtId="165" fontId="59" fillId="0" borderId="0" xfId="7" applyNumberFormat="1" applyFont="1"/>
    <xf numFmtId="165" fontId="5" fillId="0" borderId="0" xfId="7" applyNumberFormat="1" applyFont="1" applyAlignment="1" applyProtection="1"/>
    <xf numFmtId="165" fontId="5" fillId="0" borderId="0" xfId="7" applyNumberFormat="1" applyFont="1" applyAlignment="1" applyProtection="1">
      <alignment horizontal="fill"/>
    </xf>
    <xf numFmtId="165" fontId="5" fillId="6" borderId="0" xfId="7" applyNumberFormat="1" applyFont="1" applyFill="1" applyAlignment="1" applyProtection="1">
      <alignment horizontal="left"/>
    </xf>
    <xf numFmtId="165" fontId="59" fillId="0" borderId="0" xfId="7" applyNumberFormat="1" applyFont="1" applyAlignment="1">
      <alignment horizontal="center"/>
    </xf>
    <xf numFmtId="165" fontId="59" fillId="0" borderId="0" xfId="7" applyNumberFormat="1" applyFont="1" applyAlignment="1" applyProtection="1">
      <alignment horizontal="right"/>
    </xf>
    <xf numFmtId="165" fontId="5" fillId="0" borderId="0" xfId="7" applyNumberFormat="1" applyFont="1" applyAlignment="1" applyProtection="1">
      <alignment horizontal="right"/>
    </xf>
    <xf numFmtId="165" fontId="59" fillId="0" borderId="0" xfId="7" applyNumberFormat="1" applyFont="1" applyAlignment="1" applyProtection="1">
      <alignment horizontal="fill"/>
    </xf>
    <xf numFmtId="165" fontId="59" fillId="0" borderId="0" xfId="7" applyNumberFormat="1" applyFont="1" applyAlignment="1" applyProtection="1">
      <alignment horizontal="left"/>
    </xf>
    <xf numFmtId="165" fontId="59" fillId="0" borderId="0" xfId="7" applyNumberFormat="1" applyFont="1" applyProtection="1"/>
    <xf numFmtId="168" fontId="5" fillId="0" borderId="0" xfId="7" applyNumberFormat="1" applyFont="1" applyAlignment="1" applyProtection="1">
      <alignment horizontal="center"/>
    </xf>
    <xf numFmtId="165" fontId="5" fillId="0" borderId="0" xfId="7" applyNumberFormat="1" applyFont="1" applyAlignment="1" applyProtection="1">
      <alignment horizontal="left" wrapText="1"/>
    </xf>
    <xf numFmtId="170" fontId="5" fillId="0" borderId="0" xfId="7" applyNumberFormat="1" applyFont="1" applyAlignment="1">
      <alignment horizontal="center"/>
    </xf>
    <xf numFmtId="166" fontId="5" fillId="0" borderId="0" xfId="7" applyNumberFormat="1" applyFont="1"/>
    <xf numFmtId="166" fontId="5" fillId="0" borderId="0" xfId="7" applyNumberFormat="1" applyFont="1" applyAlignment="1" applyProtection="1">
      <alignment horizontal="center"/>
    </xf>
    <xf numFmtId="165" fontId="5" fillId="0" borderId="11" xfId="7" applyNumberFormat="1" applyFont="1" applyBorder="1"/>
    <xf numFmtId="165" fontId="5" fillId="0" borderId="12" xfId="7" applyNumberFormat="1" applyFont="1" applyBorder="1"/>
    <xf numFmtId="168" fontId="5" fillId="0" borderId="13" xfId="7" applyNumberFormat="1" applyFont="1" applyBorder="1" applyAlignment="1" applyProtection="1">
      <alignment horizontal="center"/>
    </xf>
    <xf numFmtId="165" fontId="59" fillId="0" borderId="0" xfId="7" applyNumberFormat="1" applyFont="1" applyBorder="1" applyAlignment="1"/>
    <xf numFmtId="165" fontId="5" fillId="0" borderId="0" xfId="7" applyNumberFormat="1" applyFont="1" applyBorder="1"/>
    <xf numFmtId="165" fontId="5" fillId="0" borderId="0" xfId="7" applyNumberFormat="1" applyFont="1" applyBorder="1" applyAlignment="1">
      <alignment horizontal="center"/>
    </xf>
    <xf numFmtId="165" fontId="5" fillId="0" borderId="13" xfId="7" applyNumberFormat="1" applyFont="1" applyBorder="1"/>
    <xf numFmtId="165" fontId="5" fillId="0" borderId="0" xfId="7" applyNumberFormat="1" applyFont="1" applyBorder="1" applyAlignment="1"/>
    <xf numFmtId="165" fontId="61" fillId="2" borderId="0" xfId="7" applyNumberFormat="1" applyFont="1" applyFill="1" applyBorder="1"/>
    <xf numFmtId="165" fontId="61" fillId="9" borderId="0" xfId="7" applyNumberFormat="1" applyFont="1" applyFill="1" applyBorder="1"/>
    <xf numFmtId="165" fontId="5" fillId="0" borderId="0" xfId="7" applyNumberFormat="1" applyFont="1" applyBorder="1" applyAlignment="1">
      <alignment horizontal="right"/>
    </xf>
    <xf numFmtId="167" fontId="5" fillId="0" borderId="0" xfId="7" applyNumberFormat="1" applyFont="1" applyProtection="1"/>
    <xf numFmtId="165" fontId="56" fillId="0" borderId="0" xfId="7" applyNumberFormat="1" applyFont="1" applyBorder="1" applyAlignment="1">
      <alignment horizontal="fill"/>
    </xf>
    <xf numFmtId="167" fontId="1" fillId="0" borderId="0" xfId="7" applyNumberFormat="1"/>
    <xf numFmtId="165" fontId="59" fillId="0" borderId="0" xfId="7" applyNumberFormat="1" applyFont="1" applyBorder="1"/>
    <xf numFmtId="167" fontId="5" fillId="0" borderId="0" xfId="7" applyNumberFormat="1" applyFont="1" applyAlignment="1" applyProtection="1">
      <alignment horizontal="center"/>
    </xf>
    <xf numFmtId="165" fontId="5" fillId="0" borderId="14" xfId="7" applyNumberFormat="1" applyFont="1" applyBorder="1"/>
    <xf numFmtId="165" fontId="5" fillId="0" borderId="15" xfId="7" applyNumberFormat="1" applyFont="1" applyBorder="1" applyAlignment="1"/>
    <xf numFmtId="165" fontId="5" fillId="0" borderId="15" xfId="7" applyNumberFormat="1" applyFont="1" applyBorder="1"/>
    <xf numFmtId="165" fontId="5" fillId="0" borderId="15" xfId="7" applyNumberFormat="1" applyFont="1" applyBorder="1" applyAlignment="1">
      <alignment horizontal="center"/>
    </xf>
    <xf numFmtId="165" fontId="56" fillId="0" borderId="15" xfId="7" applyNumberFormat="1" applyFont="1" applyBorder="1" applyAlignment="1">
      <alignment horizontal="fill"/>
    </xf>
    <xf numFmtId="166" fontId="5" fillId="0" borderId="0" xfId="7" applyNumberFormat="1" applyFont="1" applyProtection="1"/>
    <xf numFmtId="166" fontId="5" fillId="0" borderId="0" xfId="7" applyNumberFormat="1" applyFont="1" applyAlignment="1"/>
    <xf numFmtId="172" fontId="7" fillId="0" borderId="0" xfId="7" applyNumberFormat="1" applyFont="1"/>
    <xf numFmtId="167" fontId="7" fillId="0" borderId="0" xfId="7" applyNumberFormat="1" applyFont="1"/>
    <xf numFmtId="165" fontId="7" fillId="0" borderId="0" xfId="7" quotePrefix="1" applyNumberFormat="1" applyFont="1"/>
    <xf numFmtId="171" fontId="5" fillId="0" borderId="0" xfId="7" applyNumberFormat="1" applyFont="1"/>
    <xf numFmtId="169" fontId="5" fillId="0" borderId="0" xfId="7" applyNumberFormat="1" applyFont="1" applyProtection="1"/>
    <xf numFmtId="165" fontId="5" fillId="6" borderId="0" xfId="7" applyNumberFormat="1" applyFont="1" applyFill="1" applyProtection="1"/>
    <xf numFmtId="165" fontId="62" fillId="0" borderId="0" xfId="7" applyNumberFormat="1" applyFont="1"/>
    <xf numFmtId="165" fontId="63" fillId="6" borderId="0" xfId="7" applyNumberFormat="1" applyFont="1" applyFill="1"/>
    <xf numFmtId="165" fontId="64" fillId="0" borderId="0" xfId="7" applyNumberFormat="1" applyFont="1" applyProtection="1"/>
    <xf numFmtId="165" fontId="5" fillId="0" borderId="0" xfId="7" applyNumberFormat="1" applyFont="1" applyAlignment="1">
      <alignment horizontal="left"/>
    </xf>
    <xf numFmtId="167" fontId="5" fillId="0" borderId="0" xfId="7" applyNumberFormat="1" applyFont="1" applyAlignment="1" applyProtection="1">
      <alignment horizontal="left"/>
    </xf>
    <xf numFmtId="169" fontId="5" fillId="0" borderId="0" xfId="7" applyNumberFormat="1" applyFont="1"/>
    <xf numFmtId="167" fontId="5" fillId="0" borderId="0" xfId="7" applyNumberFormat="1" applyFont="1"/>
    <xf numFmtId="171" fontId="5" fillId="0" borderId="0" xfId="7" applyNumberFormat="1" applyFont="1" applyProtection="1"/>
    <xf numFmtId="165" fontId="5" fillId="6" borderId="0" xfId="7" applyNumberFormat="1" applyFont="1" applyFill="1" applyAlignment="1" applyProtection="1">
      <alignment horizontal="left" wrapText="1"/>
    </xf>
    <xf numFmtId="165" fontId="61" fillId="2" borderId="0" xfId="7" applyNumberFormat="1" applyFont="1" applyFill="1" applyProtection="1"/>
    <xf numFmtId="165" fontId="59" fillId="0" borderId="0" xfId="7" applyNumberFormat="1" applyFont="1" applyAlignment="1">
      <alignment horizontal="left"/>
    </xf>
    <xf numFmtId="165" fontId="59" fillId="0" borderId="0" xfId="7" applyNumberFormat="1" applyFont="1" applyAlignment="1" applyProtection="1">
      <alignment horizontal="center"/>
    </xf>
    <xf numFmtId="165" fontId="61" fillId="6" borderId="0" xfId="7" applyNumberFormat="1" applyFont="1" applyFill="1"/>
    <xf numFmtId="165" fontId="59" fillId="0" borderId="0" xfId="7" applyNumberFormat="1" applyFont="1" applyAlignment="1">
      <alignment vertical="top" wrapText="1"/>
    </xf>
    <xf numFmtId="165" fontId="5" fillId="0" borderId="0" xfId="7" applyNumberFormat="1" applyFont="1" applyAlignment="1">
      <alignment vertical="top" wrapText="1"/>
    </xf>
    <xf numFmtId="165" fontId="63" fillId="4" borderId="0" xfId="7" applyNumberFormat="1" applyFont="1" applyFill="1"/>
    <xf numFmtId="165" fontId="63" fillId="0" borderId="0" xfId="7" applyNumberFormat="1" applyFont="1"/>
    <xf numFmtId="169" fontId="5" fillId="0" borderId="0" xfId="7" applyNumberFormat="1" applyFont="1" applyBorder="1" applyAlignment="1"/>
    <xf numFmtId="169" fontId="5" fillId="0" borderId="0" xfId="7" applyNumberFormat="1" applyFont="1" applyBorder="1"/>
    <xf numFmtId="165" fontId="5" fillId="0" borderId="0" xfId="7" applyNumberFormat="1" applyFont="1" applyFill="1" applyBorder="1"/>
    <xf numFmtId="165" fontId="5" fillId="0" borderId="0" xfId="7" applyNumberFormat="1" applyFont="1" applyFill="1" applyBorder="1" applyAlignment="1"/>
    <xf numFmtId="165" fontId="66" fillId="0" borderId="0" xfId="7" applyNumberFormat="1" applyFont="1" applyAlignment="1" applyProtection="1">
      <alignment horizontal="left"/>
    </xf>
    <xf numFmtId="165" fontId="67" fillId="0" borderId="0" xfId="7" applyNumberFormat="1" applyFont="1" applyAlignment="1"/>
    <xf numFmtId="165" fontId="67" fillId="0" borderId="0" xfId="7" applyNumberFormat="1" applyFont="1" applyAlignment="1" applyProtection="1">
      <alignment horizontal="left"/>
    </xf>
    <xf numFmtId="167" fontId="67" fillId="0" borderId="0" xfId="7" applyNumberFormat="1" applyFont="1"/>
    <xf numFmtId="165" fontId="67" fillId="0" borderId="0" xfId="7" applyNumberFormat="1" applyFont="1" applyAlignment="1">
      <alignment horizontal="left"/>
    </xf>
    <xf numFmtId="165" fontId="67" fillId="0" borderId="0" xfId="7" applyNumberFormat="1" applyFont="1"/>
    <xf numFmtId="165" fontId="68" fillId="6" borderId="0" xfId="7" applyNumberFormat="1" applyFont="1" applyFill="1" applyProtection="1"/>
    <xf numFmtId="167" fontId="67" fillId="0" borderId="0" xfId="7" applyNumberFormat="1" applyFont="1" applyAlignment="1" applyProtection="1">
      <alignment horizontal="left"/>
    </xf>
    <xf numFmtId="165" fontId="69" fillId="0" borderId="0" xfId="7" applyNumberFormat="1" applyFont="1" applyProtection="1"/>
    <xf numFmtId="165" fontId="70" fillId="0" borderId="0" xfId="7" applyNumberFormat="1" applyFont="1"/>
    <xf numFmtId="165" fontId="17" fillId="0" borderId="0" xfId="7" applyNumberFormat="1" applyFont="1" applyAlignment="1" applyProtection="1">
      <alignment horizontal="right"/>
    </xf>
    <xf numFmtId="165" fontId="71" fillId="0" borderId="0" xfId="7" applyNumberFormat="1" applyFont="1"/>
    <xf numFmtId="165" fontId="72" fillId="0" borderId="0" xfId="7" applyNumberFormat="1" applyFont="1"/>
    <xf numFmtId="165" fontId="26" fillId="6" borderId="0" xfId="7" applyNumberFormat="1" applyFont="1" applyFill="1"/>
    <xf numFmtId="166" fontId="1" fillId="0" borderId="0" xfId="7" applyNumberFormat="1" applyAlignment="1"/>
    <xf numFmtId="165" fontId="57" fillId="0" borderId="0" xfId="7" applyNumberFormat="1" applyFont="1" applyAlignment="1" applyProtection="1">
      <alignment horizontal="left"/>
    </xf>
    <xf numFmtId="166" fontId="59" fillId="0" borderId="0" xfId="7" applyNumberFormat="1" applyFont="1" applyAlignment="1">
      <alignment horizontal="right"/>
    </xf>
    <xf numFmtId="169" fontId="59" fillId="0" borderId="0" xfId="7" applyNumberFormat="1" applyFont="1" applyAlignment="1">
      <alignment horizontal="right"/>
    </xf>
    <xf numFmtId="165" fontId="1" fillId="0" borderId="0" xfId="7" applyNumberFormat="1" applyFont="1" applyAlignment="1">
      <alignment horizontal="right"/>
    </xf>
    <xf numFmtId="167" fontId="5" fillId="0" borderId="0" xfId="7" applyNumberFormat="1" applyFont="1" applyAlignment="1">
      <alignment horizontal="right"/>
    </xf>
    <xf numFmtId="167" fontId="59" fillId="0" borderId="0" xfId="7" applyNumberFormat="1" applyFont="1" applyAlignment="1" applyProtection="1">
      <alignment horizontal="right"/>
    </xf>
    <xf numFmtId="169" fontId="1" fillId="0" borderId="0" xfId="7" applyNumberFormat="1" applyAlignment="1">
      <alignment horizontal="right"/>
    </xf>
    <xf numFmtId="169" fontId="5" fillId="0" borderId="0" xfId="7" applyNumberFormat="1" applyFont="1" applyAlignment="1" applyProtection="1">
      <alignment horizontal="right"/>
    </xf>
    <xf numFmtId="169" fontId="59" fillId="0" borderId="0" xfId="7" applyNumberFormat="1" applyFont="1" applyAlignment="1" applyProtection="1">
      <alignment horizontal="right"/>
    </xf>
    <xf numFmtId="165" fontId="5" fillId="5" borderId="0" xfId="7" applyNumberFormat="1" applyFont="1" applyFill="1" applyAlignment="1" applyProtection="1">
      <alignment horizontal="left"/>
    </xf>
    <xf numFmtId="165" fontId="73" fillId="0" borderId="0" xfId="7" applyNumberFormat="1" applyFont="1" applyProtection="1"/>
    <xf numFmtId="165" fontId="5" fillId="0" borderId="0" xfId="7" quotePrefix="1" applyNumberFormat="1" applyFont="1" applyAlignment="1" applyProtection="1">
      <alignment horizontal="left"/>
    </xf>
    <xf numFmtId="165" fontId="5" fillId="4" borderId="0" xfId="7" applyNumberFormat="1" applyFont="1" applyFill="1" applyAlignment="1" applyProtection="1">
      <alignment horizontal="left"/>
    </xf>
    <xf numFmtId="171" fontId="5" fillId="0" borderId="0" xfId="7" applyNumberFormat="1" applyFont="1" applyAlignment="1">
      <alignment horizontal="right"/>
    </xf>
    <xf numFmtId="166" fontId="7" fillId="0" borderId="0" xfId="7" applyNumberFormat="1" applyFont="1"/>
    <xf numFmtId="165" fontId="1" fillId="6" borderId="0" xfId="7" applyNumberFormat="1" applyFill="1" applyAlignment="1" applyProtection="1">
      <alignment horizontal="left" wrapText="1"/>
    </xf>
    <xf numFmtId="165" fontId="63" fillId="0" borderId="0" xfId="7" applyNumberFormat="1" applyFont="1" applyProtection="1"/>
    <xf numFmtId="165" fontId="40" fillId="6" borderId="0" xfId="7" applyNumberFormat="1" applyFont="1" applyFill="1"/>
    <xf numFmtId="165" fontId="7" fillId="6" borderId="0" xfId="7" applyNumberFormat="1" applyFont="1" applyFill="1"/>
    <xf numFmtId="165" fontId="15" fillId="0" borderId="0" xfId="7" applyNumberFormat="1" applyFont="1"/>
    <xf numFmtId="165" fontId="61" fillId="6" borderId="0" xfId="7" applyNumberFormat="1" applyFont="1" applyFill="1" applyProtection="1"/>
    <xf numFmtId="166" fontId="5" fillId="0" borderId="0" xfId="7" applyNumberFormat="1" applyFont="1" applyAlignment="1" applyProtection="1">
      <alignment horizontal="right"/>
    </xf>
    <xf numFmtId="165" fontId="74" fillId="4" borderId="0" xfId="7" applyNumberFormat="1" applyFont="1" applyFill="1" applyAlignment="1" applyProtection="1">
      <alignment horizontal="right"/>
    </xf>
    <xf numFmtId="165" fontId="74" fillId="0" borderId="0" xfId="7" applyNumberFormat="1" applyFont="1" applyAlignment="1" applyProtection="1">
      <alignment horizontal="right"/>
    </xf>
    <xf numFmtId="170" fontId="7" fillId="0" borderId="0" xfId="7" applyNumberFormat="1" applyFont="1" applyAlignment="1">
      <alignment vertical="center"/>
    </xf>
    <xf numFmtId="2" fontId="51" fillId="0" borderId="0" xfId="8" applyNumberFormat="1" applyFont="1" applyBorder="1" applyAlignment="1">
      <alignment vertical="top" wrapText="1"/>
    </xf>
    <xf numFmtId="165" fontId="34" fillId="10" borderId="0" xfId="7" applyNumberFormat="1" applyFont="1" applyFill="1"/>
    <xf numFmtId="165" fontId="1" fillId="0" borderId="0" xfId="7" applyNumberFormat="1" applyAlignment="1">
      <alignment horizontal="fill"/>
    </xf>
    <xf numFmtId="165" fontId="56" fillId="0" borderId="0" xfId="7" applyNumberFormat="1" applyFont="1"/>
    <xf numFmtId="165" fontId="56" fillId="0" borderId="0" xfId="7" applyNumberFormat="1" applyFont="1" applyAlignment="1"/>
    <xf numFmtId="165" fontId="56" fillId="0" borderId="0" xfId="7" applyNumberFormat="1" applyFont="1" applyAlignment="1">
      <alignment horizontal="left"/>
    </xf>
    <xf numFmtId="165" fontId="77" fillId="0" borderId="0" xfId="7" applyNumberFormat="1" applyFont="1"/>
    <xf numFmtId="165" fontId="57" fillId="0" borderId="0" xfId="7" applyNumberFormat="1" applyFont="1"/>
    <xf numFmtId="165" fontId="78" fillId="0" borderId="0" xfId="7" applyNumberFormat="1" applyFont="1"/>
    <xf numFmtId="166" fontId="56" fillId="0" borderId="0" xfId="7" applyNumberFormat="1" applyFont="1"/>
    <xf numFmtId="166" fontId="77" fillId="0" borderId="0" xfId="7" applyNumberFormat="1" applyFont="1"/>
    <xf numFmtId="165" fontId="77" fillId="0" borderId="0" xfId="7" applyNumberFormat="1" applyFont="1" applyAlignment="1"/>
    <xf numFmtId="165" fontId="13" fillId="0" borderId="0" xfId="7" applyNumberFormat="1" applyFont="1" applyAlignment="1" applyProtection="1">
      <alignment vertical="center"/>
    </xf>
    <xf numFmtId="165" fontId="79" fillId="6" borderId="0" xfId="7" applyNumberFormat="1" applyFont="1" applyFill="1" applyProtection="1"/>
    <xf numFmtId="165" fontId="26" fillId="0" borderId="0" xfId="7" applyNumberFormat="1" applyFont="1" applyAlignment="1" applyProtection="1">
      <alignment vertical="center"/>
    </xf>
    <xf numFmtId="165" fontId="80" fillId="0" borderId="0" xfId="7" applyNumberFormat="1" applyFont="1"/>
    <xf numFmtId="165" fontId="52" fillId="0" borderId="0" xfId="7" applyNumberFormat="1" applyFont="1" applyAlignment="1"/>
    <xf numFmtId="165" fontId="52" fillId="0" borderId="0" xfId="7" applyNumberFormat="1" applyFont="1" applyAlignment="1">
      <alignment horizontal="center"/>
    </xf>
    <xf numFmtId="165" fontId="51" fillId="0" borderId="0" xfId="7" applyNumberFormat="1" applyFont="1" applyAlignment="1" applyProtection="1">
      <alignment horizontal="left" wrapText="1"/>
    </xf>
    <xf numFmtId="169" fontId="51" fillId="0" borderId="0" xfId="7" applyNumberFormat="1" applyFont="1" applyAlignment="1" applyProtection="1">
      <alignment horizontal="right"/>
    </xf>
    <xf numFmtId="165" fontId="7" fillId="0" borderId="0" xfId="7" applyNumberFormat="1" applyFont="1" applyAlignment="1" applyProtection="1">
      <alignment horizontal="center" wrapText="1"/>
    </xf>
    <xf numFmtId="165" fontId="56" fillId="0" borderId="0" xfId="7" applyNumberFormat="1" applyFont="1" applyProtection="1"/>
    <xf numFmtId="0" fontId="1" fillId="0" borderId="0" xfId="7" applyNumberFormat="1"/>
    <xf numFmtId="169" fontId="81" fillId="2" borderId="0" xfId="7" applyNumberFormat="1" applyFont="1" applyFill="1" applyProtection="1"/>
    <xf numFmtId="0" fontId="82" fillId="9" borderId="0" xfId="7" applyNumberFormat="1" applyFont="1" applyFill="1" applyBorder="1" applyAlignment="1">
      <alignment vertical="top" wrapText="1"/>
    </xf>
    <xf numFmtId="0" fontId="6" fillId="0" borderId="0" xfId="7" applyNumberFormat="1" applyFont="1"/>
    <xf numFmtId="165" fontId="62" fillId="0" borderId="0" xfId="7" applyNumberFormat="1" applyFont="1" applyAlignment="1"/>
    <xf numFmtId="165" fontId="62" fillId="0" borderId="0" xfId="7" applyNumberFormat="1" applyFont="1" applyAlignment="1" applyProtection="1">
      <alignment horizontal="left"/>
    </xf>
    <xf numFmtId="2" fontId="6" fillId="0" borderId="0" xfId="7" applyNumberFormat="1" applyFont="1"/>
    <xf numFmtId="0" fontId="1" fillId="0" borderId="0" xfId="7" applyNumberFormat="1" applyBorder="1"/>
    <xf numFmtId="0" fontId="6" fillId="0" borderId="0" xfId="7" applyNumberFormat="1" applyFont="1" applyBorder="1"/>
    <xf numFmtId="165" fontId="62" fillId="0" borderId="0" xfId="7" applyNumberFormat="1" applyFont="1" applyBorder="1"/>
    <xf numFmtId="165" fontId="62" fillId="0" borderId="0" xfId="7" applyNumberFormat="1" applyFont="1" applyBorder="1" applyAlignment="1" applyProtection="1">
      <alignment horizontal="left"/>
    </xf>
    <xf numFmtId="165" fontId="73" fillId="0" borderId="0" xfId="7" applyNumberFormat="1" applyFont="1" applyBorder="1"/>
    <xf numFmtId="165" fontId="62" fillId="0" borderId="0" xfId="7" applyNumberFormat="1" applyFont="1" applyBorder="1" applyAlignment="1"/>
    <xf numFmtId="0" fontId="1" fillId="0" borderId="0" xfId="7" applyNumberFormat="1" applyBorder="1" applyAlignment="1">
      <alignment wrapText="1"/>
    </xf>
    <xf numFmtId="0" fontId="6" fillId="0" borderId="0" xfId="7" applyNumberFormat="1" applyFont="1" applyBorder="1" applyAlignment="1">
      <alignment horizontal="right"/>
    </xf>
    <xf numFmtId="165" fontId="84" fillId="0" borderId="0" xfId="7" applyNumberFormat="1" applyFont="1" applyBorder="1"/>
    <xf numFmtId="0" fontId="85" fillId="0" borderId="0" xfId="7" applyNumberFormat="1" applyFont="1"/>
    <xf numFmtId="165" fontId="84" fillId="0" borderId="0" xfId="7" applyNumberFormat="1" applyFont="1" applyAlignment="1" applyProtection="1">
      <alignment horizontal="left"/>
    </xf>
    <xf numFmtId="165" fontId="62" fillId="0" borderId="0" xfId="7" applyNumberFormat="1" applyFont="1" applyAlignment="1">
      <alignment horizontal="left"/>
    </xf>
    <xf numFmtId="165" fontId="86" fillId="0" borderId="0" xfId="7" applyNumberFormat="1" applyFont="1" applyAlignment="1"/>
    <xf numFmtId="165" fontId="87" fillId="0" borderId="0" xfId="7" applyNumberFormat="1" applyFont="1" applyAlignment="1"/>
    <xf numFmtId="165" fontId="13" fillId="0" borderId="0" xfId="7" applyNumberFormat="1" applyFont="1" applyAlignment="1">
      <alignment wrapText="1"/>
    </xf>
    <xf numFmtId="165" fontId="73" fillId="0" borderId="0" xfId="7" applyNumberFormat="1" applyFont="1"/>
    <xf numFmtId="166" fontId="62" fillId="0" borderId="0" xfId="7" applyNumberFormat="1" applyFont="1"/>
    <xf numFmtId="165" fontId="62" fillId="0" borderId="0" xfId="7" applyNumberFormat="1" applyFont="1" applyAlignment="1">
      <alignment horizontal="right"/>
    </xf>
    <xf numFmtId="165" fontId="84" fillId="0" borderId="0" xfId="7" applyNumberFormat="1" applyFont="1"/>
    <xf numFmtId="165" fontId="6" fillId="0" borderId="0" xfId="7" applyNumberFormat="1" applyFont="1"/>
    <xf numFmtId="165" fontId="6" fillId="0" borderId="0" xfId="7" applyNumberFormat="1" applyFont="1" applyAlignment="1">
      <alignment horizontal="left"/>
    </xf>
    <xf numFmtId="165" fontId="6" fillId="0" borderId="0" xfId="7" applyNumberFormat="1" applyFont="1" applyAlignment="1" applyProtection="1">
      <alignment horizontal="left"/>
    </xf>
    <xf numFmtId="0" fontId="6" fillId="0" borderId="0" xfId="7" applyNumberFormat="1" applyFont="1" applyAlignment="1">
      <alignment horizontal="center"/>
    </xf>
    <xf numFmtId="165" fontId="81" fillId="2" borderId="0" xfId="7" applyNumberFormat="1" applyFont="1" applyFill="1" applyAlignment="1" applyProtection="1"/>
    <xf numFmtId="165" fontId="81" fillId="2" borderId="0" xfId="7" applyNumberFormat="1" applyFont="1" applyFill="1" applyAlignment="1" applyProtection="1">
      <alignment horizontal="left"/>
    </xf>
    <xf numFmtId="165" fontId="88" fillId="2" borderId="0" xfId="7" applyNumberFormat="1" applyFont="1" applyFill="1" applyAlignment="1"/>
    <xf numFmtId="165" fontId="88" fillId="2" borderId="0" xfId="7" applyNumberFormat="1" applyFont="1" applyFill="1"/>
    <xf numFmtId="165" fontId="81" fillId="2" borderId="0" xfId="7" applyNumberFormat="1" applyFont="1" applyFill="1"/>
    <xf numFmtId="165" fontId="81" fillId="2" borderId="0" xfId="7" applyNumberFormat="1" applyFont="1" applyFill="1" applyAlignment="1" applyProtection="1">
      <alignment horizontal="right"/>
    </xf>
    <xf numFmtId="165" fontId="1" fillId="4" borderId="0" xfId="7" applyNumberFormat="1" applyFont="1" applyFill="1"/>
    <xf numFmtId="165" fontId="54" fillId="0" borderId="0" xfId="7" applyNumberFormat="1" applyFont="1"/>
    <xf numFmtId="169" fontId="6" fillId="0" borderId="0" xfId="7" applyNumberFormat="1" applyFont="1" applyAlignment="1">
      <alignment vertical="top"/>
    </xf>
    <xf numFmtId="169" fontId="89" fillId="0" borderId="0" xfId="7" applyNumberFormat="1" applyFont="1" applyAlignment="1">
      <alignment horizontal="right"/>
    </xf>
    <xf numFmtId="169" fontId="5" fillId="0" borderId="0" xfId="7" applyNumberFormat="1" applyFont="1" applyAlignment="1">
      <alignment horizontal="center"/>
    </xf>
    <xf numFmtId="165" fontId="59" fillId="0" borderId="0" xfId="7" applyNumberFormat="1" applyFont="1" applyAlignment="1">
      <alignment vertical="top"/>
    </xf>
    <xf numFmtId="0" fontId="91" fillId="0" borderId="0" xfId="0" applyFont="1"/>
    <xf numFmtId="0" fontId="92" fillId="0" borderId="2" xfId="0" applyFont="1" applyFill="1" applyBorder="1" applyAlignment="1">
      <alignment horizontal="left" vertical="center" wrapText="1"/>
    </xf>
    <xf numFmtId="0" fontId="91" fillId="0" borderId="2" xfId="0" applyFont="1" applyBorder="1" applyAlignment="1">
      <alignment horizontal="left" vertical="center" wrapText="1"/>
    </xf>
    <xf numFmtId="2" fontId="92" fillId="0" borderId="2" xfId="2" applyNumberFormat="1" applyFont="1" applyFill="1" applyBorder="1" applyAlignment="1">
      <alignment vertical="top" wrapText="1"/>
    </xf>
    <xf numFmtId="0" fontId="93" fillId="0" borderId="2" xfId="0" applyFont="1" applyBorder="1" applyAlignment="1">
      <alignment vertical="center" wrapText="1"/>
    </xf>
    <xf numFmtId="0" fontId="93" fillId="0" borderId="2" xfId="0" applyFont="1" applyBorder="1" applyAlignment="1">
      <alignment horizontal="left" vertical="center" wrapText="1"/>
    </xf>
    <xf numFmtId="0" fontId="92" fillId="0" borderId="2" xfId="0" applyFont="1" applyFill="1" applyBorder="1" applyAlignment="1">
      <alignment horizontal="left" vertical="top" wrapText="1"/>
    </xf>
    <xf numFmtId="2" fontId="95" fillId="0" borderId="2" xfId="2" applyNumberFormat="1" applyFont="1" applyFill="1" applyBorder="1" applyAlignment="1">
      <alignment vertical="top" wrapText="1"/>
    </xf>
    <xf numFmtId="2" fontId="96" fillId="0" borderId="2" xfId="6" applyNumberFormat="1" applyFont="1" applyBorder="1" applyAlignment="1">
      <alignment horizontal="center" vertical="center" wrapText="1"/>
    </xf>
    <xf numFmtId="2" fontId="95" fillId="0" borderId="2" xfId="6" applyNumberFormat="1" applyFont="1" applyBorder="1" applyAlignment="1">
      <alignment horizontal="left" vertical="center" wrapText="1"/>
    </xf>
    <xf numFmtId="2" fontId="95" fillId="0" borderId="2" xfId="6" applyNumberFormat="1" applyFont="1" applyBorder="1" applyAlignment="1">
      <alignment vertical="center" wrapText="1"/>
    </xf>
    <xf numFmtId="2" fontId="95" fillId="0" borderId="2" xfId="6" applyNumberFormat="1" applyFont="1" applyBorder="1" applyAlignment="1">
      <alignment vertical="top" wrapText="1"/>
    </xf>
    <xf numFmtId="2" fontId="94" fillId="0" borderId="2" xfId="0" applyNumberFormat="1" applyFont="1" applyBorder="1" applyAlignment="1">
      <alignment horizontal="center" vertical="center" wrapText="1"/>
    </xf>
    <xf numFmtId="0" fontId="91" fillId="0" borderId="0" xfId="0" applyFont="1" applyAlignment="1">
      <alignment horizontal="center" vertical="center"/>
    </xf>
    <xf numFmtId="0" fontId="93" fillId="0" borderId="0" xfId="0" applyFont="1"/>
    <xf numFmtId="0" fontId="93" fillId="0" borderId="2" xfId="0" applyFont="1" applyBorder="1" applyAlignment="1">
      <alignment horizontal="center" vertical="center" wrapText="1"/>
    </xf>
    <xf numFmtId="2" fontId="93" fillId="0" borderId="2" xfId="0" applyNumberFormat="1" applyFont="1" applyBorder="1" applyAlignment="1">
      <alignment horizontal="center" vertical="center" wrapText="1"/>
    </xf>
    <xf numFmtId="0" fontId="95" fillId="0" borderId="2" xfId="0" applyFont="1" applyFill="1" applyBorder="1" applyAlignment="1">
      <alignment horizontal="left" vertical="center" wrapText="1"/>
    </xf>
    <xf numFmtId="2" fontId="95" fillId="0" borderId="2" xfId="0" applyNumberFormat="1" applyFont="1" applyFill="1" applyBorder="1" applyAlignment="1">
      <alignment horizontal="left" vertical="center" wrapText="1"/>
    </xf>
    <xf numFmtId="0" fontId="95" fillId="0" borderId="2" xfId="0" applyFont="1" applyFill="1" applyBorder="1" applyAlignment="1">
      <alignment horizontal="left" vertical="top" wrapText="1"/>
    </xf>
    <xf numFmtId="0" fontId="96" fillId="0" borderId="2" xfId="0" applyFont="1" applyFill="1" applyBorder="1" applyAlignment="1">
      <alignment horizontal="center" vertical="top" wrapText="1"/>
    </xf>
    <xf numFmtId="2" fontId="93" fillId="0" borderId="0" xfId="0" applyNumberFormat="1" applyFont="1"/>
    <xf numFmtId="0" fontId="93" fillId="0" borderId="0" xfId="0" applyFont="1" applyAlignment="1">
      <alignment horizontal="center"/>
    </xf>
    <xf numFmtId="0" fontId="93" fillId="0" borderId="0" xfId="0" applyFont="1" applyAlignment="1">
      <alignment horizontal="center" vertical="center"/>
    </xf>
    <xf numFmtId="2" fontId="93" fillId="0" borderId="0" xfId="0" applyNumberFormat="1" applyFont="1" applyAlignment="1">
      <alignment horizontal="center"/>
    </xf>
    <xf numFmtId="0" fontId="93" fillId="0" borderId="0" xfId="0" applyFont="1" applyAlignment="1">
      <alignment vertical="top" wrapText="1"/>
    </xf>
    <xf numFmtId="0" fontId="93" fillId="0" borderId="0" xfId="0" applyFont="1" applyAlignment="1">
      <alignment horizontal="center" vertical="center" wrapText="1"/>
    </xf>
    <xf numFmtId="0" fontId="93" fillId="0" borderId="0" xfId="0" applyFont="1" applyAlignment="1">
      <alignment horizontal="left" vertical="top" wrapText="1"/>
    </xf>
    <xf numFmtId="2" fontId="93" fillId="0" borderId="0" xfId="0" applyNumberFormat="1" applyFont="1" applyAlignment="1">
      <alignment vertical="top" wrapText="1"/>
    </xf>
    <xf numFmtId="0" fontId="96" fillId="0" borderId="2" xfId="0" applyFont="1" applyFill="1" applyBorder="1" applyAlignment="1">
      <alignment horizontal="center" vertical="center"/>
    </xf>
    <xf numFmtId="2" fontId="91" fillId="0" borderId="2" xfId="0" applyNumberFormat="1" applyFont="1" applyBorder="1" applyAlignment="1">
      <alignment horizontal="center" vertical="center"/>
    </xf>
    <xf numFmtId="2" fontId="90" fillId="0" borderId="2" xfId="0" applyNumberFormat="1" applyFont="1" applyBorder="1" applyAlignment="1">
      <alignment horizontal="center" vertical="center"/>
    </xf>
    <xf numFmtId="0" fontId="99" fillId="0" borderId="2" xfId="0" applyFont="1" applyFill="1" applyBorder="1" applyAlignment="1">
      <alignment horizontal="left" vertical="top" wrapText="1"/>
    </xf>
    <xf numFmtId="0" fontId="97" fillId="0" borderId="2" xfId="0" applyFont="1" applyFill="1" applyBorder="1" applyAlignment="1">
      <alignment horizontal="left" vertical="top" wrapText="1"/>
    </xf>
    <xf numFmtId="0" fontId="97" fillId="0" borderId="2" xfId="0" applyFont="1" applyFill="1" applyBorder="1" applyAlignment="1">
      <alignment horizontal="justify" vertical="top" wrapText="1"/>
    </xf>
    <xf numFmtId="0" fontId="92" fillId="0" borderId="2" xfId="0" applyFont="1" applyFill="1" applyBorder="1" applyAlignment="1">
      <alignment horizontal="justify" vertical="top" wrapText="1"/>
    </xf>
    <xf numFmtId="2" fontId="97" fillId="0" borderId="2" xfId="2" applyNumberFormat="1" applyFont="1" applyFill="1" applyBorder="1" applyAlignment="1">
      <alignment horizontal="center" vertical="center" wrapText="1"/>
    </xf>
    <xf numFmtId="164" fontId="97" fillId="0" borderId="2" xfId="2" applyNumberFormat="1" applyFont="1" applyFill="1" applyBorder="1" applyAlignment="1">
      <alignment horizontal="center" vertical="center" wrapText="1"/>
    </xf>
    <xf numFmtId="2" fontId="97" fillId="0" borderId="2" xfId="2" applyNumberFormat="1" applyFont="1" applyFill="1" applyBorder="1" applyAlignment="1">
      <alignment horizontal="left" vertical="center" wrapText="1"/>
    </xf>
    <xf numFmtId="0" fontId="100" fillId="0" borderId="2" xfId="0" applyFont="1" applyFill="1" applyBorder="1" applyAlignment="1">
      <alignment horizontal="justify" vertical="top" wrapText="1"/>
    </xf>
    <xf numFmtId="0" fontId="100" fillId="0" borderId="7" xfId="0" applyFont="1" applyFill="1" applyBorder="1" applyAlignment="1">
      <alignment horizontal="justify" vertical="top" wrapText="1"/>
    </xf>
    <xf numFmtId="0" fontId="91" fillId="0" borderId="2" xfId="0" applyFont="1" applyBorder="1" applyAlignment="1">
      <alignment vertical="center" wrapText="1"/>
    </xf>
    <xf numFmtId="0" fontId="95" fillId="0" borderId="2" xfId="0" applyFont="1" applyFill="1" applyBorder="1" applyAlignment="1">
      <alignment horizontal="justify" vertical="top" wrapText="1"/>
    </xf>
    <xf numFmtId="0" fontId="100" fillId="0" borderId="2" xfId="0" applyFont="1" applyFill="1" applyBorder="1" applyAlignment="1">
      <alignment horizontal="left" vertical="center" wrapText="1"/>
    </xf>
    <xf numFmtId="0" fontId="100" fillId="0" borderId="0" xfId="0" applyFont="1" applyFill="1" applyBorder="1" applyAlignment="1">
      <alignment horizontal="left" vertical="center" wrapText="1"/>
    </xf>
    <xf numFmtId="164" fontId="92" fillId="0" borderId="2" xfId="2" applyNumberFormat="1" applyFont="1" applyFill="1" applyBorder="1" applyAlignment="1">
      <alignment horizontal="center" vertical="center" wrapText="1"/>
    </xf>
    <xf numFmtId="0" fontId="92" fillId="0" borderId="2" xfId="0" applyFont="1" applyFill="1" applyBorder="1" applyAlignment="1">
      <alignment horizontal="center" vertical="center"/>
    </xf>
    <xf numFmtId="2" fontId="92" fillId="0" borderId="2" xfId="0" applyNumberFormat="1" applyFont="1" applyFill="1" applyBorder="1" applyAlignment="1">
      <alignment horizontal="center" vertical="center"/>
    </xf>
    <xf numFmtId="2" fontId="97" fillId="0" borderId="2" xfId="0" applyNumberFormat="1" applyFont="1" applyFill="1" applyBorder="1" applyAlignment="1">
      <alignment horizontal="center" vertical="center"/>
    </xf>
    <xf numFmtId="2" fontId="92" fillId="0" borderId="0" xfId="0" applyNumberFormat="1" applyFont="1" applyFill="1" applyBorder="1" applyAlignment="1">
      <alignment horizontal="left" vertical="top" wrapText="1"/>
    </xf>
    <xf numFmtId="0" fontId="97" fillId="0" borderId="2" xfId="0" applyFont="1" applyFill="1" applyBorder="1" applyAlignment="1">
      <alignment horizontal="center" vertical="center"/>
    </xf>
    <xf numFmtId="2" fontId="91" fillId="0" borderId="0" xfId="0" applyNumberFormat="1" applyFont="1" applyAlignment="1">
      <alignment horizontal="center" vertical="center"/>
    </xf>
    <xf numFmtId="0" fontId="101" fillId="0" borderId="2" xfId="0" applyFont="1" applyFill="1" applyBorder="1" applyAlignment="1">
      <alignment horizontal="center" vertical="center"/>
    </xf>
    <xf numFmtId="2" fontId="101" fillId="0" borderId="2" xfId="0" applyNumberFormat="1" applyFont="1" applyFill="1" applyBorder="1" applyAlignment="1">
      <alignment horizontal="center" vertical="center"/>
    </xf>
    <xf numFmtId="0" fontId="98" fillId="0" borderId="2" xfId="0" applyFont="1" applyBorder="1" applyAlignment="1">
      <alignment horizontal="center" vertical="center" wrapText="1"/>
    </xf>
    <xf numFmtId="2" fontId="98" fillId="0" borderId="2" xfId="0" applyNumberFormat="1" applyFont="1" applyBorder="1" applyAlignment="1">
      <alignment horizontal="center" vertical="center" wrapText="1"/>
    </xf>
    <xf numFmtId="2" fontId="92" fillId="0" borderId="2" xfId="2" applyNumberFormat="1" applyFont="1" applyFill="1" applyBorder="1" applyAlignment="1">
      <alignment horizontal="center" vertical="center" wrapText="1"/>
    </xf>
    <xf numFmtId="2" fontId="92" fillId="0" borderId="6" xfId="2" applyNumberFormat="1" applyFont="1" applyFill="1" applyBorder="1" applyAlignment="1">
      <alignment horizontal="center" vertical="center" wrapText="1"/>
    </xf>
    <xf numFmtId="0" fontId="91" fillId="0" borderId="2" xfId="0" applyFont="1" applyBorder="1" applyAlignment="1">
      <alignment horizontal="center" vertical="center"/>
    </xf>
    <xf numFmtId="2" fontId="97" fillId="0" borderId="6" xfId="2" applyNumberFormat="1" applyFont="1" applyFill="1" applyBorder="1" applyAlignment="1">
      <alignment horizontal="center" vertical="center" wrapText="1"/>
    </xf>
    <xf numFmtId="0" fontId="99" fillId="0" borderId="2" xfId="0" applyFont="1" applyBorder="1" applyAlignment="1">
      <alignment horizontal="justify" vertical="center" wrapText="1"/>
    </xf>
    <xf numFmtId="0" fontId="101" fillId="0" borderId="2" xfId="0" applyFont="1" applyFill="1" applyBorder="1" applyAlignment="1">
      <alignment horizontal="center" vertical="center" wrapText="1"/>
    </xf>
    <xf numFmtId="0" fontId="96" fillId="0" borderId="6" xfId="0" applyFont="1" applyFill="1" applyBorder="1" applyAlignment="1">
      <alignment horizontal="center" vertical="center"/>
    </xf>
    <xf numFmtId="0" fontId="95" fillId="0" borderId="2" xfId="0" applyFont="1" applyFill="1" applyBorder="1" applyAlignment="1">
      <alignment horizontal="center" vertical="center" wrapText="1"/>
    </xf>
    <xf numFmtId="0" fontId="100" fillId="0" borderId="2" xfId="0" applyFont="1" applyBorder="1" applyAlignment="1">
      <alignment horizontal="justify" vertical="center" wrapText="1"/>
    </xf>
    <xf numFmtId="0" fontId="100" fillId="0" borderId="1" xfId="0" applyFont="1" applyFill="1" applyBorder="1" applyAlignment="1">
      <alignment horizontal="justify" vertical="center" wrapText="1"/>
    </xf>
    <xf numFmtId="0" fontId="94" fillId="0" borderId="2" xfId="0" applyFont="1" applyBorder="1" applyAlignment="1">
      <alignment horizontal="center" vertical="center" wrapText="1"/>
    </xf>
    <xf numFmtId="2" fontId="94" fillId="0" borderId="2" xfId="0" applyNumberFormat="1" applyFont="1" applyBorder="1" applyAlignment="1">
      <alignment horizontal="center" vertical="top" wrapText="1"/>
    </xf>
    <xf numFmtId="0" fontId="94" fillId="0" borderId="2" xfId="0" applyFont="1" applyBorder="1" applyAlignment="1">
      <alignment horizontal="center" vertical="top" wrapText="1"/>
    </xf>
    <xf numFmtId="165" fontId="1" fillId="0" borderId="0" xfId="11" applyNumberFormat="1" applyAlignment="1" applyProtection="1">
      <alignment horizontal="left"/>
    </xf>
    <xf numFmtId="165" fontId="1" fillId="0" borderId="0" xfId="11" applyNumberFormat="1" applyAlignment="1" applyProtection="1">
      <alignment horizontal="center"/>
    </xf>
    <xf numFmtId="165" fontId="1" fillId="0" borderId="0" xfId="11"/>
    <xf numFmtId="165" fontId="1" fillId="0" borderId="0" xfId="11" applyAlignment="1"/>
    <xf numFmtId="165" fontId="7" fillId="0" borderId="0" xfId="11" applyNumberFormat="1" applyFont="1" applyAlignment="1" applyProtection="1">
      <alignment horizontal="left"/>
    </xf>
    <xf numFmtId="165" fontId="1" fillId="0" borderId="0" xfId="11" applyAlignment="1">
      <alignment horizontal="left"/>
    </xf>
    <xf numFmtId="166" fontId="1" fillId="0" borderId="0" xfId="11" applyNumberFormat="1"/>
    <xf numFmtId="165" fontId="1" fillId="0" borderId="0" xfId="11" applyAlignment="1">
      <alignment horizontal="center"/>
    </xf>
    <xf numFmtId="165" fontId="8" fillId="0" borderId="0" xfId="11" applyNumberFormat="1" applyFont="1" applyAlignment="1" applyProtection="1"/>
    <xf numFmtId="165" fontId="1" fillId="0" borderId="0" xfId="11" applyNumberFormat="1" applyAlignment="1" applyProtection="1">
      <alignment horizontal="fill"/>
    </xf>
    <xf numFmtId="165" fontId="9" fillId="0" borderId="0" xfId="11" applyNumberFormat="1" applyFont="1" applyAlignment="1" applyProtection="1">
      <alignment horizontal="left"/>
    </xf>
    <xf numFmtId="165" fontId="7" fillId="0" borderId="0" xfId="11" applyNumberFormat="1" applyFont="1" applyAlignment="1" applyProtection="1">
      <alignment horizontal="right"/>
    </xf>
    <xf numFmtId="165" fontId="1" fillId="0" borderId="0" xfId="11" applyNumberFormat="1" applyAlignment="1" applyProtection="1"/>
    <xf numFmtId="165" fontId="7" fillId="0" borderId="0" xfId="11" applyNumberFormat="1" applyFont="1" applyProtection="1"/>
    <xf numFmtId="165" fontId="1" fillId="0" borderId="0" xfId="11" applyNumberFormat="1" applyProtection="1"/>
    <xf numFmtId="165" fontId="10" fillId="0" borderId="0" xfId="11" applyNumberFormat="1" applyFont="1" applyProtection="1"/>
    <xf numFmtId="165" fontId="7" fillId="0" borderId="0" xfId="11" applyNumberFormat="1" applyFont="1" applyAlignment="1" applyProtection="1">
      <alignment horizontal="center"/>
    </xf>
    <xf numFmtId="165" fontId="7" fillId="0" borderId="0" xfId="11" quotePrefix="1" applyNumberFormat="1" applyFont="1" applyAlignment="1" applyProtection="1">
      <alignment horizontal="center"/>
    </xf>
    <xf numFmtId="165" fontId="7" fillId="0" borderId="0" xfId="11" quotePrefix="1" applyFont="1" applyAlignment="1">
      <alignment horizontal="center"/>
    </xf>
    <xf numFmtId="165" fontId="12" fillId="0" borderId="0" xfId="11" applyNumberFormat="1" applyFont="1" applyProtection="1"/>
    <xf numFmtId="165" fontId="13" fillId="0" borderId="0" xfId="11" applyNumberFormat="1" applyFont="1" applyProtection="1"/>
    <xf numFmtId="170" fontId="14" fillId="0" borderId="0" xfId="11" applyNumberFormat="1" applyFont="1" applyProtection="1"/>
    <xf numFmtId="165" fontId="14" fillId="0" borderId="0" xfId="11" applyNumberFormat="1" applyFont="1" applyAlignment="1" applyProtection="1">
      <alignment horizontal="left"/>
    </xf>
    <xf numFmtId="165" fontId="14" fillId="0" borderId="0" xfId="11" applyNumberFormat="1" applyFont="1" applyProtection="1"/>
    <xf numFmtId="165" fontId="15" fillId="0" borderId="0" xfId="11" applyNumberFormat="1" applyFont="1" applyProtection="1"/>
    <xf numFmtId="165" fontId="1" fillId="0" borderId="0" xfId="11" applyNumberFormat="1" applyFill="1" applyProtection="1"/>
    <xf numFmtId="165" fontId="1" fillId="0" borderId="0" xfId="11" applyAlignment="1" applyProtection="1">
      <alignment horizontal="left"/>
    </xf>
    <xf numFmtId="165" fontId="16" fillId="0" borderId="0" xfId="11" applyNumberFormat="1" applyFont="1" applyProtection="1"/>
    <xf numFmtId="165" fontId="17" fillId="0" borderId="0" xfId="11" applyNumberFormat="1" applyFont="1" applyAlignment="1" applyProtection="1">
      <alignment horizontal="left"/>
    </xf>
    <xf numFmtId="165" fontId="18" fillId="0" borderId="0" xfId="11" applyNumberFormat="1" applyFont="1" applyProtection="1"/>
    <xf numFmtId="165" fontId="19" fillId="2" borderId="0" xfId="11" applyNumberFormat="1" applyFont="1" applyFill="1" applyProtection="1"/>
    <xf numFmtId="165" fontId="27" fillId="2" borderId="0" xfId="11" applyNumberFormat="1" applyFont="1" applyFill="1" applyAlignment="1" applyProtection="1">
      <alignment horizontal="left"/>
    </xf>
    <xf numFmtId="165" fontId="20" fillId="0" borderId="0" xfId="11" applyNumberFormat="1" applyFont="1" applyProtection="1"/>
    <xf numFmtId="165" fontId="1" fillId="0" borderId="0" xfId="11" applyNumberFormat="1" applyFont="1" applyAlignment="1" applyProtection="1">
      <alignment horizontal="left"/>
    </xf>
    <xf numFmtId="170" fontId="1" fillId="0" borderId="0" xfId="11" applyNumberFormat="1" applyAlignment="1" applyProtection="1">
      <alignment horizontal="center"/>
    </xf>
    <xf numFmtId="165" fontId="14" fillId="0" borderId="0" xfId="11" applyFont="1"/>
    <xf numFmtId="165" fontId="1" fillId="0" borderId="0" xfId="11" applyNumberFormat="1" applyFill="1" applyAlignment="1" applyProtection="1">
      <alignment horizontal="center"/>
    </xf>
    <xf numFmtId="165" fontId="1" fillId="0" borderId="0" xfId="11" applyNumberFormat="1" applyFill="1" applyAlignment="1" applyProtection="1">
      <alignment horizontal="left"/>
    </xf>
    <xf numFmtId="165" fontId="21" fillId="0" borderId="0" xfId="11" applyNumberFormat="1" applyFont="1" applyFill="1" applyAlignment="1" applyProtection="1">
      <alignment horizontal="right"/>
    </xf>
    <xf numFmtId="165" fontId="12" fillId="0" borderId="0" xfId="11" applyFont="1"/>
    <xf numFmtId="165" fontId="27" fillId="0" borderId="0" xfId="11" applyNumberFormat="1" applyFont="1" applyAlignment="1" applyProtection="1">
      <alignment horizontal="left"/>
    </xf>
    <xf numFmtId="165" fontId="12" fillId="0" borderId="0" xfId="11" applyNumberFormat="1" applyFont="1" applyAlignment="1" applyProtection="1">
      <alignment horizontal="right"/>
    </xf>
    <xf numFmtId="165" fontId="22" fillId="0" borderId="0" xfId="11" applyNumberFormat="1" applyFont="1" applyProtection="1"/>
    <xf numFmtId="165" fontId="12" fillId="0" borderId="0" xfId="11" applyNumberFormat="1" applyFont="1" applyAlignment="1" applyProtection="1">
      <alignment horizontal="left"/>
    </xf>
    <xf numFmtId="166" fontId="1" fillId="0" borderId="0" xfId="11" applyNumberFormat="1" applyProtection="1"/>
    <xf numFmtId="165" fontId="13" fillId="0" borderId="0" xfId="11" applyFont="1"/>
    <xf numFmtId="165" fontId="7" fillId="0" borderId="0" xfId="11" applyFont="1"/>
    <xf numFmtId="168" fontId="1" fillId="0" borderId="0" xfId="11" applyNumberFormat="1" applyAlignment="1" applyProtection="1">
      <alignment horizontal="center"/>
    </xf>
    <xf numFmtId="165" fontId="22" fillId="0" borderId="0" xfId="11" applyNumberFormat="1" applyFont="1" applyAlignment="1" applyProtection="1">
      <alignment horizontal="left"/>
    </xf>
    <xf numFmtId="165" fontId="1" fillId="0" borderId="0" xfId="11" quotePrefix="1"/>
    <xf numFmtId="165" fontId="13" fillId="3" borderId="0" xfId="11" applyNumberFormat="1" applyFont="1" applyFill="1" applyProtection="1"/>
    <xf numFmtId="165" fontId="23" fillId="0" borderId="0" xfId="11" applyNumberFormat="1" applyFont="1" applyProtection="1"/>
    <xf numFmtId="165" fontId="14" fillId="2" borderId="0" xfId="11" applyNumberFormat="1" applyFont="1" applyFill="1" applyAlignment="1" applyProtection="1">
      <alignment horizontal="left"/>
    </xf>
    <xf numFmtId="166" fontId="1" fillId="0" borderId="0" xfId="11" applyNumberFormat="1" applyAlignment="1" applyProtection="1">
      <alignment horizontal="center"/>
    </xf>
    <xf numFmtId="168" fontId="1" fillId="0" borderId="0" xfId="11" applyNumberFormat="1" applyAlignment="1" applyProtection="1">
      <alignment horizontal="left"/>
    </xf>
    <xf numFmtId="166" fontId="1" fillId="0" borderId="0" xfId="11" applyNumberFormat="1" applyAlignment="1" applyProtection="1">
      <alignment horizontal="left"/>
    </xf>
    <xf numFmtId="165" fontId="1" fillId="0" borderId="0" xfId="11" applyNumberFormat="1" applyFont="1" applyProtection="1"/>
    <xf numFmtId="165" fontId="7" fillId="0" borderId="0" xfId="11" applyFont="1" applyAlignment="1">
      <alignment horizontal="left"/>
    </xf>
    <xf numFmtId="165" fontId="7" fillId="0" borderId="0" xfId="11" applyNumberFormat="1" applyFont="1" applyAlignment="1" applyProtection="1">
      <alignment horizontal="left" wrapText="1"/>
    </xf>
    <xf numFmtId="165" fontId="7" fillId="0" borderId="0" xfId="11" applyNumberFormat="1" applyFont="1" applyAlignment="1" applyProtection="1">
      <alignment horizontal="fill"/>
    </xf>
    <xf numFmtId="165" fontId="1" fillId="0" borderId="0" xfId="11" applyNumberFormat="1" applyAlignment="1" applyProtection="1">
      <alignment horizontal="left" wrapText="1"/>
    </xf>
    <xf numFmtId="168" fontId="1" fillId="0" borderId="0" xfId="11" applyNumberFormat="1" applyAlignment="1">
      <alignment horizontal="center" vertical="top"/>
    </xf>
    <xf numFmtId="166" fontId="1" fillId="0" borderId="0" xfId="11" applyNumberFormat="1" applyAlignment="1">
      <alignment horizontal="center" vertical="top"/>
    </xf>
    <xf numFmtId="168" fontId="1" fillId="0" borderId="0" xfId="11" applyNumberFormat="1" applyFont="1" applyAlignment="1">
      <alignment horizontal="center"/>
    </xf>
    <xf numFmtId="165" fontId="1" fillId="0" borderId="0" xfId="11" applyNumberFormat="1" applyAlignment="1" applyProtection="1">
      <alignment horizontal="left" vertical="top" wrapText="1"/>
    </xf>
    <xf numFmtId="166" fontId="1" fillId="0" borderId="0" xfId="11" applyNumberFormat="1" applyFont="1" applyAlignment="1">
      <alignment horizontal="center"/>
    </xf>
    <xf numFmtId="165" fontId="24" fillId="0" borderId="0" xfId="11" applyNumberFormat="1" applyFont="1" applyProtection="1"/>
    <xf numFmtId="165" fontId="1" fillId="0" borderId="0" xfId="11" applyNumberFormat="1" applyFont="1" applyAlignment="1" applyProtection="1">
      <alignment horizontal="fill"/>
    </xf>
    <xf numFmtId="165" fontId="1" fillId="4" borderId="0" xfId="11" applyNumberFormat="1" applyFill="1" applyAlignment="1" applyProtection="1">
      <alignment horizontal="left"/>
    </xf>
    <xf numFmtId="165" fontId="25" fillId="5" borderId="0" xfId="11" applyNumberFormat="1" applyFont="1" applyFill="1" applyProtection="1"/>
    <xf numFmtId="165" fontId="13" fillId="5" borderId="0" xfId="11" applyNumberFormat="1" applyFont="1" applyFill="1" applyProtection="1"/>
    <xf numFmtId="170" fontId="7" fillId="0" borderId="0" xfId="11" applyNumberFormat="1" applyFont="1" applyAlignment="1" applyProtection="1">
      <alignment horizontal="center"/>
    </xf>
    <xf numFmtId="165" fontId="7" fillId="0" borderId="0" xfId="11" applyNumberFormat="1" applyFont="1" applyAlignment="1" applyProtection="1"/>
    <xf numFmtId="165" fontId="7" fillId="0" borderId="0" xfId="11" applyFont="1" applyAlignment="1"/>
    <xf numFmtId="168" fontId="14" fillId="0" borderId="0" xfId="11" applyNumberFormat="1" applyFont="1"/>
    <xf numFmtId="165" fontId="1" fillId="0" borderId="0" xfId="11" applyNumberFormat="1" applyFont="1" applyAlignment="1" applyProtection="1">
      <alignment horizontal="center"/>
    </xf>
    <xf numFmtId="165" fontId="25" fillId="6" borderId="0" xfId="11" applyNumberFormat="1" applyFont="1" applyFill="1" applyProtection="1"/>
    <xf numFmtId="165" fontId="102" fillId="0" borderId="0" xfId="11" applyNumberFormat="1" applyFont="1" applyAlignment="1" applyProtection="1">
      <alignment horizontal="left"/>
    </xf>
    <xf numFmtId="167" fontId="1" fillId="0" borderId="0" xfId="11" applyNumberFormat="1" applyProtection="1"/>
    <xf numFmtId="169" fontId="1" fillId="0" borderId="0" xfId="11" applyNumberFormat="1" applyProtection="1"/>
    <xf numFmtId="165" fontId="1" fillId="2" borderId="0" xfId="11" applyNumberFormat="1" applyFill="1" applyAlignment="1" applyProtection="1">
      <alignment horizontal="left"/>
    </xf>
    <xf numFmtId="165" fontId="22" fillId="2" borderId="0" xfId="11" applyNumberFormat="1" applyFont="1" applyFill="1" applyAlignment="1" applyProtection="1">
      <alignment horizontal="left"/>
    </xf>
    <xf numFmtId="165" fontId="26" fillId="0" borderId="0" xfId="11" applyNumberFormat="1" applyFont="1" applyProtection="1"/>
    <xf numFmtId="165" fontId="14" fillId="0" borderId="0" xfId="11" applyNumberFormat="1" applyFont="1" applyAlignment="1" applyProtection="1">
      <alignment horizontal="left" wrapText="1"/>
    </xf>
    <xf numFmtId="165" fontId="22" fillId="0" borderId="0" xfId="11" applyFont="1"/>
    <xf numFmtId="165" fontId="27" fillId="0" borderId="0" xfId="11" applyFont="1"/>
    <xf numFmtId="165" fontId="1" fillId="5" borderId="0" xfId="11" applyNumberFormat="1" applyFont="1" applyFill="1" applyProtection="1"/>
    <xf numFmtId="165" fontId="1" fillId="5" borderId="0" xfId="11" applyNumberFormat="1" applyFont="1" applyFill="1" applyAlignment="1" applyProtection="1">
      <alignment horizontal="left"/>
    </xf>
    <xf numFmtId="165" fontId="1" fillId="0" borderId="0" xfId="11" applyAlignment="1">
      <alignment horizontal="right"/>
    </xf>
    <xf numFmtId="165" fontId="1" fillId="5" borderId="0" xfId="11" applyFont="1" applyFill="1"/>
    <xf numFmtId="165" fontId="15" fillId="6" borderId="0" xfId="11" applyNumberFormat="1" applyFont="1" applyFill="1" applyAlignment="1" applyProtection="1">
      <alignment horizontal="left"/>
    </xf>
    <xf numFmtId="165" fontId="29" fillId="0" borderId="0" xfId="11" applyNumberFormat="1" applyFont="1" applyAlignment="1" applyProtection="1">
      <alignment horizontal="left"/>
    </xf>
    <xf numFmtId="165" fontId="28" fillId="2" borderId="0" xfId="11" applyNumberFormat="1" applyFont="1" applyFill="1" applyAlignment="1" applyProtection="1">
      <alignment horizontal="left"/>
    </xf>
    <xf numFmtId="165" fontId="28" fillId="0" borderId="0" xfId="11" applyNumberFormat="1" applyFont="1" applyProtection="1"/>
    <xf numFmtId="165" fontId="28" fillId="0" borderId="0" xfId="11" applyNumberFormat="1" applyFont="1" applyAlignment="1" applyProtection="1">
      <alignment horizontal="left"/>
    </xf>
    <xf numFmtId="165" fontId="30" fillId="0" borderId="0" xfId="11" applyFont="1"/>
    <xf numFmtId="170" fontId="14" fillId="0" borderId="0" xfId="11" applyNumberFormat="1" applyFont="1" applyAlignment="1" applyProtection="1">
      <alignment vertical="center"/>
    </xf>
    <xf numFmtId="165" fontId="102" fillId="0" borderId="0" xfId="11" applyNumberFormat="1" applyFont="1" applyAlignment="1" applyProtection="1">
      <alignment horizontal="left" vertical="center"/>
    </xf>
    <xf numFmtId="165" fontId="14" fillId="0" borderId="0" xfId="11" applyNumberFormat="1" applyFont="1" applyAlignment="1" applyProtection="1">
      <alignment vertical="center"/>
    </xf>
    <xf numFmtId="165" fontId="24" fillId="2" borderId="0" xfId="11" applyNumberFormat="1" applyFont="1" applyFill="1" applyProtection="1"/>
    <xf numFmtId="165" fontId="31" fillId="0" borderId="0" xfId="11" applyFont="1"/>
    <xf numFmtId="169" fontId="1" fillId="0" borderId="0" xfId="11" applyNumberFormat="1"/>
    <xf numFmtId="165" fontId="22" fillId="2" borderId="0" xfId="11" applyNumberFormat="1" applyFont="1" applyFill="1" applyProtection="1"/>
    <xf numFmtId="170" fontId="14" fillId="0" borderId="0" xfId="11" applyNumberFormat="1" applyFont="1" applyAlignment="1" applyProtection="1">
      <alignment vertical="center" wrapText="1"/>
    </xf>
    <xf numFmtId="165" fontId="13" fillId="0" borderId="0" xfId="11" applyNumberFormat="1" applyFont="1" applyAlignment="1" applyProtection="1">
      <alignment horizontal="right"/>
    </xf>
    <xf numFmtId="165" fontId="32" fillId="0" borderId="0" xfId="11" applyNumberFormat="1" applyFont="1" applyProtection="1"/>
    <xf numFmtId="168" fontId="1" fillId="0" borderId="0" xfId="11" applyNumberFormat="1" applyAlignment="1">
      <alignment horizontal="center"/>
    </xf>
    <xf numFmtId="165" fontId="22" fillId="6" borderId="0" xfId="11" applyNumberFormat="1" applyFont="1" applyFill="1" applyProtection="1"/>
    <xf numFmtId="165" fontId="14" fillId="6" borderId="0" xfId="11" applyNumberFormat="1" applyFont="1" applyFill="1" applyAlignment="1" applyProtection="1">
      <alignment horizontal="left"/>
    </xf>
    <xf numFmtId="165" fontId="1" fillId="6" borderId="0" xfId="11" applyFill="1"/>
    <xf numFmtId="165" fontId="22" fillId="6" borderId="0" xfId="11" applyFont="1" applyFill="1"/>
    <xf numFmtId="165" fontId="34" fillId="0" borderId="0" xfId="11" applyFont="1"/>
    <xf numFmtId="165" fontId="1" fillId="0" borderId="0" xfId="11" applyNumberFormat="1" applyAlignment="1" applyProtection="1">
      <alignment horizontal="right"/>
    </xf>
    <xf numFmtId="165" fontId="1" fillId="0" borderId="0" xfId="11" applyFont="1"/>
    <xf numFmtId="165" fontId="13" fillId="0" borderId="0" xfId="11" applyNumberFormat="1" applyFont="1" applyAlignment="1" applyProtection="1">
      <alignment horizontal="left"/>
    </xf>
    <xf numFmtId="170" fontId="28" fillId="0" borderId="0" xfId="11" applyNumberFormat="1" applyFont="1" applyAlignment="1" applyProtection="1">
      <alignment horizontal="left" wrapText="1"/>
    </xf>
    <xf numFmtId="165" fontId="28" fillId="0" borderId="0" xfId="11" applyFont="1"/>
    <xf numFmtId="170" fontId="28" fillId="0" borderId="0" xfId="11" applyNumberFormat="1" applyFont="1" applyAlignment="1" applyProtection="1">
      <alignment horizontal="left"/>
    </xf>
    <xf numFmtId="166" fontId="1" fillId="0" borderId="0" xfId="11" applyNumberFormat="1" applyAlignment="1">
      <alignment horizontal="right"/>
    </xf>
    <xf numFmtId="165" fontId="7" fillId="0" borderId="0" xfId="11" applyFont="1" applyAlignment="1">
      <alignment wrapText="1"/>
    </xf>
    <xf numFmtId="165" fontId="1" fillId="0" borderId="0" xfId="11" applyAlignment="1">
      <alignment vertical="top" wrapText="1"/>
    </xf>
    <xf numFmtId="165" fontId="102" fillId="0" borderId="0" xfId="11" applyNumberFormat="1" applyFont="1" applyAlignment="1" applyProtection="1">
      <alignment horizontal="center"/>
    </xf>
    <xf numFmtId="165" fontId="28" fillId="6" borderId="0" xfId="11" applyNumberFormat="1" applyFont="1" applyFill="1" applyProtection="1"/>
    <xf numFmtId="165" fontId="26" fillId="6" borderId="0" xfId="11" applyNumberFormat="1" applyFont="1" applyFill="1" applyProtection="1"/>
    <xf numFmtId="170" fontId="1" fillId="0" borderId="0" xfId="11" applyNumberFormat="1" applyProtection="1"/>
    <xf numFmtId="169" fontId="1" fillId="0" borderId="0" xfId="11" quotePrefix="1" applyNumberFormat="1" applyProtection="1"/>
    <xf numFmtId="165" fontId="1" fillId="0" borderId="0" xfId="11" quotePrefix="1" applyNumberFormat="1" applyProtection="1"/>
    <xf numFmtId="165" fontId="35" fillId="6" borderId="0" xfId="11" applyNumberFormat="1" applyFont="1" applyFill="1" applyProtection="1"/>
    <xf numFmtId="168" fontId="1" fillId="0" borderId="0" xfId="11" applyNumberFormat="1" applyAlignment="1" applyProtection="1">
      <alignment horizontal="center" vertical="top" wrapText="1"/>
    </xf>
    <xf numFmtId="165" fontId="1" fillId="0" borderId="0" xfId="11" applyNumberFormat="1" applyAlignment="1" applyProtection="1">
      <alignment horizontal="justify" vertical="top" wrapText="1"/>
    </xf>
    <xf numFmtId="167" fontId="1" fillId="0" borderId="0" xfId="11" applyNumberFormat="1" applyAlignment="1" applyProtection="1">
      <alignment horizontal="left"/>
    </xf>
    <xf numFmtId="171" fontId="36" fillId="7" borderId="0" xfId="11" applyNumberFormat="1" applyFont="1" applyFill="1" applyProtection="1"/>
    <xf numFmtId="165" fontId="36" fillId="7" borderId="0" xfId="11" applyNumberFormat="1" applyFont="1" applyFill="1" applyAlignment="1" applyProtection="1"/>
    <xf numFmtId="165" fontId="36" fillId="7" borderId="0" xfId="11" applyNumberFormat="1" applyFont="1" applyFill="1" applyAlignment="1" applyProtection="1">
      <alignment horizontal="left"/>
    </xf>
    <xf numFmtId="165" fontId="36" fillId="7" borderId="0" xfId="11" applyNumberFormat="1" applyFont="1" applyFill="1" applyProtection="1"/>
    <xf numFmtId="171" fontId="1" fillId="0" borderId="0" xfId="11" applyNumberFormat="1" applyProtection="1"/>
    <xf numFmtId="167" fontId="1" fillId="0" borderId="0" xfId="11" applyNumberFormat="1" applyAlignment="1" applyProtection="1">
      <alignment horizontal="fill"/>
    </xf>
    <xf numFmtId="165" fontId="37" fillId="2" borderId="0" xfId="11" applyFont="1" applyFill="1"/>
    <xf numFmtId="165" fontId="38" fillId="2" borderId="0" xfId="11" applyFont="1" applyFill="1"/>
    <xf numFmtId="165" fontId="38" fillId="2" borderId="0" xfId="11" applyFont="1" applyFill="1" applyAlignment="1">
      <alignment horizontal="left"/>
    </xf>
    <xf numFmtId="165" fontId="36" fillId="7" borderId="0" xfId="11" applyFont="1" applyFill="1"/>
    <xf numFmtId="166" fontId="36" fillId="7" borderId="0" xfId="11" applyNumberFormat="1" applyFont="1" applyFill="1" applyProtection="1"/>
    <xf numFmtId="166" fontId="1" fillId="0" borderId="0" xfId="11" applyNumberFormat="1" applyAlignment="1" applyProtection="1">
      <alignment horizontal="fill"/>
    </xf>
    <xf numFmtId="169" fontId="1" fillId="0" borderId="0" xfId="11" applyNumberFormat="1" applyFont="1"/>
    <xf numFmtId="165" fontId="1" fillId="0" borderId="0" xfId="11" applyFont="1" applyAlignment="1"/>
    <xf numFmtId="165" fontId="1" fillId="0" borderId="0" xfId="11" applyFont="1" applyAlignment="1">
      <alignment horizontal="left"/>
    </xf>
    <xf numFmtId="167" fontId="1" fillId="0" borderId="0" xfId="11" applyNumberFormat="1" applyFont="1"/>
    <xf numFmtId="166" fontId="1" fillId="0" borderId="0" xfId="11" applyNumberFormat="1" applyFont="1"/>
    <xf numFmtId="165" fontId="1" fillId="0" borderId="0" xfId="11" quotePrefix="1" applyFont="1"/>
    <xf numFmtId="165" fontId="39" fillId="6" borderId="0" xfId="11" applyNumberFormat="1" applyFont="1" applyFill="1" applyProtection="1"/>
    <xf numFmtId="165" fontId="40" fillId="0" borderId="0" xfId="11" applyFont="1"/>
    <xf numFmtId="165" fontId="22" fillId="4" borderId="0" xfId="11" applyNumberFormat="1" applyFont="1" applyFill="1" applyAlignment="1" applyProtection="1">
      <alignment horizontal="left"/>
    </xf>
    <xf numFmtId="165" fontId="1" fillId="2" borderId="0" xfId="11" applyNumberFormat="1" applyFont="1" applyFill="1" applyProtection="1"/>
    <xf numFmtId="165" fontId="41" fillId="6" borderId="0" xfId="11" applyNumberFormat="1" applyFont="1" applyFill="1" applyProtection="1"/>
    <xf numFmtId="165" fontId="42" fillId="0" borderId="0" xfId="11" applyNumberFormat="1" applyFont="1" applyProtection="1"/>
    <xf numFmtId="165" fontId="40" fillId="0" borderId="0" xfId="11" applyNumberFormat="1" applyFont="1" applyProtection="1"/>
    <xf numFmtId="165" fontId="43" fillId="0" borderId="0" xfId="11" applyFont="1"/>
    <xf numFmtId="166" fontId="7" fillId="0" borderId="0" xfId="11" applyNumberFormat="1" applyFont="1" applyAlignment="1">
      <alignment horizontal="right"/>
    </xf>
    <xf numFmtId="165" fontId="1" fillId="0" borderId="0" xfId="11" applyAlignment="1">
      <alignment wrapText="1"/>
    </xf>
    <xf numFmtId="165" fontId="36" fillId="8" borderId="0" xfId="11" applyFont="1" applyFill="1"/>
    <xf numFmtId="165" fontId="36" fillId="8" borderId="0" xfId="11" applyFont="1" applyFill="1" applyAlignment="1"/>
    <xf numFmtId="165" fontId="44" fillId="0" borderId="0" xfId="11" applyNumberFormat="1" applyFont="1" applyProtection="1"/>
    <xf numFmtId="165" fontId="45" fillId="0" borderId="0" xfId="11" applyFont="1"/>
    <xf numFmtId="165" fontId="45" fillId="0" borderId="0" xfId="11" applyFont="1" applyAlignment="1"/>
    <xf numFmtId="165" fontId="46" fillId="0" borderId="0" xfId="11" applyFont="1"/>
    <xf numFmtId="165" fontId="45" fillId="0" borderId="0" xfId="11" applyFont="1" applyAlignment="1">
      <alignment horizontal="center"/>
    </xf>
    <xf numFmtId="165" fontId="47" fillId="5" borderId="0" xfId="11" applyFont="1" applyFill="1"/>
    <xf numFmtId="165" fontId="47" fillId="5" borderId="0" xfId="11" applyFont="1" applyFill="1" applyAlignment="1"/>
    <xf numFmtId="165" fontId="45" fillId="5" borderId="0" xfId="11" applyNumberFormat="1" applyFont="1" applyFill="1" applyProtection="1"/>
    <xf numFmtId="165" fontId="45" fillId="5" borderId="0" xfId="11" applyNumberFormat="1" applyFont="1" applyFill="1" applyAlignment="1" applyProtection="1"/>
    <xf numFmtId="165" fontId="48" fillId="5" borderId="0" xfId="11" applyNumberFormat="1" applyFont="1" applyFill="1" applyAlignment="1" applyProtection="1">
      <alignment horizontal="left"/>
    </xf>
    <xf numFmtId="165" fontId="48" fillId="5" borderId="0" xfId="11" applyNumberFormat="1" applyFont="1" applyFill="1" applyAlignment="1" applyProtection="1">
      <alignment horizontal="right"/>
    </xf>
    <xf numFmtId="165" fontId="45" fillId="0" borderId="0" xfId="11" applyNumberFormat="1" applyFont="1" applyAlignment="1" applyProtection="1">
      <alignment horizontal="center"/>
    </xf>
    <xf numFmtId="165" fontId="45" fillId="0" borderId="0" xfId="11" applyNumberFormat="1" applyFont="1" applyProtection="1"/>
    <xf numFmtId="165" fontId="18" fillId="0" borderId="0" xfId="11" applyNumberFormat="1" applyFont="1" applyAlignment="1" applyProtection="1">
      <alignment horizontal="right"/>
    </xf>
    <xf numFmtId="165" fontId="45" fillId="0" borderId="0" xfId="11" applyNumberFormat="1" applyFont="1" applyAlignment="1" applyProtection="1"/>
    <xf numFmtId="165" fontId="45" fillId="0" borderId="0" xfId="11" applyNumberFormat="1" applyFont="1" applyAlignment="1" applyProtection="1">
      <alignment horizontal="left"/>
    </xf>
    <xf numFmtId="166" fontId="45" fillId="0" borderId="0" xfId="11" applyNumberFormat="1" applyFont="1" applyProtection="1"/>
    <xf numFmtId="165" fontId="45" fillId="0" borderId="0" xfId="11" applyNumberFormat="1" applyFont="1" applyAlignment="1" applyProtection="1">
      <alignment horizontal="fill"/>
    </xf>
    <xf numFmtId="165" fontId="46" fillId="0" borderId="0" xfId="11" applyNumberFormat="1" applyFont="1" applyAlignment="1" applyProtection="1">
      <alignment horizontal="left"/>
    </xf>
    <xf numFmtId="165" fontId="46" fillId="0" borderId="0" xfId="11" applyNumberFormat="1" applyFont="1" applyProtection="1"/>
    <xf numFmtId="165" fontId="1" fillId="6" borderId="0" xfId="11" applyNumberFormat="1" applyFont="1" applyFill="1" applyProtection="1"/>
    <xf numFmtId="165" fontId="7" fillId="4" borderId="0" xfId="11" applyNumberFormat="1" applyFont="1" applyFill="1" applyAlignment="1" applyProtection="1">
      <alignment horizontal="left"/>
    </xf>
    <xf numFmtId="165" fontId="13" fillId="4" borderId="0" xfId="11" applyNumberFormat="1" applyFont="1" applyFill="1" applyAlignment="1" applyProtection="1">
      <alignment horizontal="left"/>
    </xf>
    <xf numFmtId="167" fontId="1" fillId="0" borderId="0" xfId="11" applyNumberFormat="1" applyAlignment="1" applyProtection="1"/>
    <xf numFmtId="165" fontId="5" fillId="0" borderId="0" xfId="11" applyNumberFormat="1" applyFont="1" applyProtection="1"/>
    <xf numFmtId="167" fontId="5" fillId="0" borderId="0" xfId="11" applyNumberFormat="1" applyFont="1" applyAlignment="1" applyProtection="1"/>
    <xf numFmtId="165" fontId="5" fillId="0" borderId="0" xfId="11" applyNumberFormat="1" applyFont="1" applyAlignment="1" applyProtection="1">
      <alignment horizontal="left"/>
    </xf>
    <xf numFmtId="165" fontId="5" fillId="0" borderId="0" xfId="11" applyNumberFormat="1" applyFont="1" applyAlignment="1" applyProtection="1">
      <alignment horizontal="center"/>
    </xf>
    <xf numFmtId="167" fontId="1" fillId="0" borderId="0" xfId="11" applyNumberFormat="1" applyAlignment="1"/>
    <xf numFmtId="165" fontId="1" fillId="4" borderId="0" xfId="11" applyFill="1"/>
    <xf numFmtId="165" fontId="7" fillId="0" borderId="0" xfId="11" applyFont="1" applyAlignment="1">
      <alignment horizontal="right"/>
    </xf>
    <xf numFmtId="165" fontId="50" fillId="0" borderId="0" xfId="11" applyFont="1"/>
    <xf numFmtId="165" fontId="1" fillId="2" borderId="0" xfId="11" applyFill="1"/>
    <xf numFmtId="165" fontId="43" fillId="0" borderId="0" xfId="11" applyNumberFormat="1" applyFont="1" applyAlignment="1">
      <alignment horizontal="center"/>
    </xf>
    <xf numFmtId="165" fontId="1" fillId="0" borderId="0" xfId="11" applyNumberFormat="1"/>
    <xf numFmtId="165" fontId="1" fillId="0" borderId="0" xfId="11" applyNumberFormat="1" applyAlignment="1">
      <alignment horizontal="center"/>
    </xf>
    <xf numFmtId="165" fontId="1" fillId="0" borderId="8" xfId="11" applyBorder="1"/>
    <xf numFmtId="165" fontId="51" fillId="0" borderId="0" xfId="11" applyNumberFormat="1" applyFont="1"/>
    <xf numFmtId="165" fontId="1" fillId="0" borderId="9" xfId="11" applyBorder="1"/>
    <xf numFmtId="169" fontId="51" fillId="0" borderId="0" xfId="11" applyNumberFormat="1" applyFont="1" applyProtection="1"/>
    <xf numFmtId="165" fontId="51" fillId="0" borderId="0" xfId="11" applyNumberFormat="1" applyFont="1" applyAlignment="1" applyProtection="1"/>
    <xf numFmtId="165" fontId="52" fillId="0" borderId="0" xfId="11" applyNumberFormat="1" applyFont="1" applyAlignment="1" applyProtection="1">
      <alignment horizontal="center"/>
    </xf>
    <xf numFmtId="165" fontId="51" fillId="0" borderId="0" xfId="11" applyNumberFormat="1" applyFont="1" applyProtection="1"/>
    <xf numFmtId="165" fontId="51" fillId="0" borderId="0" xfId="11" applyNumberFormat="1" applyFont="1" applyAlignment="1" applyProtection="1">
      <alignment horizontal="left"/>
    </xf>
    <xf numFmtId="165" fontId="51" fillId="0" borderId="0" xfId="11" applyNumberFormat="1" applyFont="1" applyAlignment="1">
      <alignment horizontal="center"/>
    </xf>
    <xf numFmtId="165" fontId="51" fillId="0" borderId="0" xfId="11" applyNumberFormat="1" applyFont="1" applyAlignment="1"/>
    <xf numFmtId="165" fontId="52" fillId="0" borderId="0" xfId="11" applyNumberFormat="1" applyFont="1" applyProtection="1"/>
    <xf numFmtId="165" fontId="1" fillId="0" borderId="10" xfId="11" applyBorder="1"/>
    <xf numFmtId="165" fontId="52" fillId="0" borderId="0" xfId="11" applyNumberFormat="1" applyFont="1"/>
    <xf numFmtId="165" fontId="51" fillId="0" borderId="0" xfId="11" applyNumberFormat="1" applyFont="1" applyAlignment="1" applyProtection="1">
      <alignment horizontal="right"/>
    </xf>
    <xf numFmtId="165" fontId="51" fillId="0" borderId="0" xfId="11" applyNumberFormat="1" applyFont="1" applyAlignment="1">
      <alignment horizontal="left"/>
    </xf>
    <xf numFmtId="165" fontId="51" fillId="0" borderId="0" xfId="11" applyNumberFormat="1" applyFont="1" applyAlignment="1" applyProtection="1">
      <alignment horizontal="fill"/>
    </xf>
    <xf numFmtId="170" fontId="53" fillId="0" borderId="11" xfId="11" applyNumberFormat="1" applyFont="1" applyBorder="1" applyAlignment="1" applyProtection="1">
      <alignment horizontal="center"/>
    </xf>
    <xf numFmtId="165" fontId="1" fillId="0" borderId="12" xfId="11" applyNumberFormat="1" applyBorder="1" applyAlignment="1" applyProtection="1"/>
    <xf numFmtId="165" fontId="1" fillId="0" borderId="12" xfId="11" applyNumberFormat="1" applyBorder="1" applyAlignment="1" applyProtection="1">
      <alignment horizontal="left"/>
    </xf>
    <xf numFmtId="165" fontId="1" fillId="0" borderId="12" xfId="11" applyBorder="1"/>
    <xf numFmtId="165" fontId="1" fillId="0" borderId="12" xfId="11" applyBorder="1" applyAlignment="1">
      <alignment horizontal="left"/>
    </xf>
    <xf numFmtId="165" fontId="1" fillId="0" borderId="13" xfId="11" applyBorder="1"/>
    <xf numFmtId="165" fontId="1" fillId="0" borderId="0" xfId="11" applyBorder="1" applyAlignment="1"/>
    <xf numFmtId="165" fontId="1" fillId="0" borderId="0" xfId="11" applyNumberFormat="1" applyBorder="1" applyAlignment="1" applyProtection="1">
      <alignment horizontal="left"/>
    </xf>
    <xf numFmtId="165" fontId="1" fillId="0" borderId="0" xfId="11" applyBorder="1"/>
    <xf numFmtId="165" fontId="1" fillId="0" borderId="0" xfId="11" applyBorder="1" applyAlignment="1">
      <alignment horizontal="left"/>
    </xf>
    <xf numFmtId="165" fontId="1" fillId="0" borderId="0" xfId="11" applyNumberFormat="1" applyBorder="1" applyAlignment="1" applyProtection="1">
      <alignment horizontal="fill"/>
    </xf>
    <xf numFmtId="165" fontId="1" fillId="0" borderId="13" xfId="11" applyNumberFormat="1" applyBorder="1" applyProtection="1"/>
    <xf numFmtId="165" fontId="1" fillId="0" borderId="0" xfId="11" applyNumberFormat="1" applyBorder="1" applyAlignment="1" applyProtection="1"/>
    <xf numFmtId="165" fontId="22" fillId="0" borderId="0" xfId="11" applyNumberFormat="1" applyFont="1" applyBorder="1" applyProtection="1"/>
    <xf numFmtId="165" fontId="1" fillId="0" borderId="0" xfId="11" applyNumberFormat="1" applyBorder="1" applyProtection="1"/>
    <xf numFmtId="165" fontId="22" fillId="4" borderId="0" xfId="11" applyNumberFormat="1" applyFont="1" applyFill="1" applyBorder="1" applyProtection="1"/>
    <xf numFmtId="165" fontId="1" fillId="0" borderId="0" xfId="11" applyNumberFormat="1" applyBorder="1" applyAlignment="1" applyProtection="1">
      <alignment horizontal="right"/>
    </xf>
    <xf numFmtId="165" fontId="7" fillId="0" borderId="0" xfId="11" applyNumberFormat="1" applyFont="1" applyBorder="1" applyAlignment="1" applyProtection="1">
      <alignment horizontal="center"/>
    </xf>
    <xf numFmtId="165" fontId="7" fillId="0" borderId="0" xfId="11" applyFont="1" applyBorder="1"/>
    <xf numFmtId="165" fontId="7" fillId="0" borderId="0" xfId="11" applyFont="1" applyBorder="1" applyAlignment="1">
      <alignment horizontal="left"/>
    </xf>
    <xf numFmtId="165" fontId="7" fillId="0" borderId="0" xfId="11" applyNumberFormat="1" applyFont="1" applyBorder="1" applyProtection="1"/>
    <xf numFmtId="165" fontId="1" fillId="0" borderId="14" xfId="11" applyBorder="1"/>
    <xf numFmtId="165" fontId="1" fillId="0" borderId="15" xfId="11" applyBorder="1" applyAlignment="1"/>
    <xf numFmtId="165" fontId="1" fillId="0" borderId="15" xfId="11" applyBorder="1"/>
    <xf numFmtId="165" fontId="1" fillId="0" borderId="15" xfId="11" applyBorder="1" applyAlignment="1">
      <alignment horizontal="left"/>
    </xf>
    <xf numFmtId="165" fontId="1" fillId="0" borderId="15" xfId="11" applyNumberFormat="1" applyBorder="1" applyAlignment="1" applyProtection="1">
      <alignment horizontal="fill"/>
    </xf>
    <xf numFmtId="165" fontId="53" fillId="0" borderId="11" xfId="11" applyNumberFormat="1" applyFont="1" applyBorder="1" applyAlignment="1" applyProtection="1">
      <alignment horizontal="center"/>
    </xf>
    <xf numFmtId="166" fontId="1" fillId="0" borderId="13" xfId="11" applyNumberFormat="1" applyBorder="1" applyProtection="1"/>
    <xf numFmtId="166" fontId="1" fillId="0" borderId="14" xfId="11" applyNumberFormat="1" applyBorder="1" applyProtection="1"/>
    <xf numFmtId="165" fontId="7" fillId="0" borderId="15" xfId="11" applyNumberFormat="1" applyFont="1" applyBorder="1" applyAlignment="1" applyProtection="1">
      <alignment horizontal="center"/>
    </xf>
    <xf numFmtId="165" fontId="7" fillId="0" borderId="15" xfId="11" applyFont="1" applyBorder="1"/>
    <xf numFmtId="165" fontId="7" fillId="0" borderId="15" xfId="11" applyFont="1" applyBorder="1" applyAlignment="1">
      <alignment horizontal="left"/>
    </xf>
    <xf numFmtId="165" fontId="7" fillId="0" borderId="15" xfId="11" applyNumberFormat="1" applyFont="1" applyBorder="1" applyProtection="1"/>
    <xf numFmtId="165" fontId="10" fillId="0" borderId="0" xfId="11" applyFont="1"/>
    <xf numFmtId="165" fontId="40" fillId="0" borderId="0" xfId="11" applyNumberFormat="1" applyFont="1" applyAlignment="1" applyProtection="1">
      <alignment horizontal="left"/>
    </xf>
    <xf numFmtId="165" fontId="1" fillId="0" borderId="0" xfId="11" applyNumberFormat="1" applyFont="1" applyAlignment="1" applyProtection="1"/>
    <xf numFmtId="170" fontId="1" fillId="0" borderId="0" xfId="11" applyNumberFormat="1" applyAlignment="1">
      <alignment horizontal="center"/>
    </xf>
    <xf numFmtId="168" fontId="1" fillId="0" borderId="0" xfId="11" applyNumberFormat="1"/>
    <xf numFmtId="165" fontId="1" fillId="0" borderId="0" xfId="11" applyNumberFormat="1" applyAlignment="1" applyProtection="1">
      <alignment vertical="center"/>
    </xf>
    <xf numFmtId="165" fontId="1" fillId="0" borderId="0" xfId="11" applyNumberFormat="1" applyFont="1" applyAlignment="1" applyProtection="1">
      <alignment horizontal="left" wrapText="1"/>
    </xf>
    <xf numFmtId="165" fontId="1" fillId="0" borderId="0" xfId="11" applyNumberFormat="1" applyAlignment="1" applyProtection="1">
      <alignment horizontal="left" vertical="center"/>
    </xf>
    <xf numFmtId="165" fontId="1" fillId="0" borderId="0" xfId="11" applyNumberFormat="1" applyFont="1" applyAlignment="1" applyProtection="1">
      <alignment vertical="center"/>
    </xf>
    <xf numFmtId="165" fontId="54" fillId="4" borderId="0" xfId="11" applyNumberFormat="1" applyFont="1" applyFill="1" applyProtection="1"/>
    <xf numFmtId="165" fontId="54" fillId="2" borderId="0" xfId="11" applyNumberFormat="1" applyFont="1" applyFill="1" applyProtection="1"/>
    <xf numFmtId="165" fontId="26" fillId="6" borderId="0" xfId="11" applyNumberFormat="1" applyFont="1" applyFill="1" applyAlignment="1" applyProtection="1">
      <alignment vertical="center"/>
    </xf>
    <xf numFmtId="165" fontId="26" fillId="6" borderId="0" xfId="11" applyNumberFormat="1" applyFont="1" applyFill="1" applyAlignment="1" applyProtection="1">
      <alignment horizontal="left"/>
    </xf>
    <xf numFmtId="165" fontId="13" fillId="6" borderId="0" xfId="11" applyNumberFormat="1" applyFont="1" applyFill="1" applyAlignment="1" applyProtection="1">
      <alignment horizontal="left"/>
    </xf>
    <xf numFmtId="165" fontId="41" fillId="0" borderId="0" xfId="11" applyNumberFormat="1" applyFont="1" applyProtection="1"/>
    <xf numFmtId="165" fontId="7" fillId="0" borderId="16" xfId="11" applyNumberFormat="1" applyFont="1" applyBorder="1" applyProtection="1"/>
    <xf numFmtId="165" fontId="1" fillId="0" borderId="17" xfId="11" applyNumberFormat="1" applyBorder="1" applyAlignment="1" applyProtection="1">
      <alignment horizontal="fill"/>
    </xf>
    <xf numFmtId="165" fontId="10" fillId="0" borderId="0" xfId="11" applyNumberFormat="1" applyFont="1" applyAlignment="1" applyProtection="1">
      <alignment horizontal="left"/>
    </xf>
    <xf numFmtId="165" fontId="22" fillId="4" borderId="0" xfId="11" applyNumberFormat="1" applyFont="1" applyFill="1" applyProtection="1"/>
    <xf numFmtId="165" fontId="26" fillId="4" borderId="0" xfId="11" applyNumberFormat="1" applyFont="1" applyFill="1" applyProtection="1"/>
    <xf numFmtId="165" fontId="26" fillId="4" borderId="0" xfId="11" applyFont="1" applyFill="1"/>
    <xf numFmtId="165" fontId="34" fillId="6" borderId="0" xfId="11" applyNumberFormat="1" applyFont="1" applyFill="1" applyProtection="1"/>
    <xf numFmtId="165" fontId="67" fillId="0" borderId="0" xfId="11" applyNumberFormat="1" applyFont="1" applyProtection="1"/>
    <xf numFmtId="165" fontId="67" fillId="6" borderId="0" xfId="11" applyNumberFormat="1" applyFont="1" applyFill="1" applyProtection="1"/>
    <xf numFmtId="165" fontId="67" fillId="0" borderId="0" xfId="11" applyFont="1"/>
    <xf numFmtId="168" fontId="1" fillId="0" borderId="0" xfId="11" applyNumberFormat="1" applyAlignment="1" applyProtection="1">
      <alignment horizontal="center" vertical="top"/>
    </xf>
    <xf numFmtId="165" fontId="67" fillId="0" borderId="0" xfId="11" applyNumberFormat="1" applyFont="1" applyAlignment="1" applyProtection="1">
      <alignment horizontal="right" vertical="center"/>
    </xf>
    <xf numFmtId="2" fontId="51" fillId="0" borderId="1" xfId="2" applyNumberFormat="1" applyFont="1" applyBorder="1" applyAlignment="1">
      <alignment vertical="top" wrapText="1"/>
    </xf>
    <xf numFmtId="165" fontId="1" fillId="0" borderId="0" xfId="11" applyNumberFormat="1" applyFill="1" applyBorder="1" applyAlignment="1" applyProtection="1">
      <alignment horizontal="left"/>
    </xf>
    <xf numFmtId="168" fontId="1" fillId="0" borderId="0" xfId="11" applyNumberFormat="1" applyAlignment="1">
      <alignment horizontal="center" vertical="top" wrapText="1"/>
    </xf>
    <xf numFmtId="165" fontId="7" fillId="0" borderId="0" xfId="11" applyNumberFormat="1" applyFont="1" applyAlignment="1" applyProtection="1">
      <alignment horizontal="left" vertical="top" wrapText="1"/>
    </xf>
    <xf numFmtId="165" fontId="41" fillId="6" borderId="0" xfId="11" applyFont="1" applyFill="1"/>
    <xf numFmtId="165" fontId="20" fillId="0" borderId="0" xfId="11" applyFont="1"/>
    <xf numFmtId="165" fontId="1" fillId="0" borderId="0" xfId="11" applyBorder="1" applyAlignment="1">
      <alignment horizontal="left" vertical="top"/>
    </xf>
    <xf numFmtId="165" fontId="1" fillId="0" borderId="0" xfId="11" applyFont="1" applyBorder="1" applyAlignment="1">
      <alignment horizontal="right" vertical="top"/>
    </xf>
    <xf numFmtId="165" fontId="1" fillId="6" borderId="0" xfId="11" applyFont="1" applyFill="1"/>
    <xf numFmtId="165" fontId="13" fillId="6" borderId="0" xfId="11" applyFont="1" applyFill="1"/>
    <xf numFmtId="165" fontId="7" fillId="0" borderId="0" xfId="11" applyFont="1" applyAlignment="1">
      <alignment horizontal="left" vertical="top" wrapText="1"/>
    </xf>
    <xf numFmtId="165" fontId="7" fillId="4" borderId="0" xfId="11" applyFont="1" applyFill="1" applyAlignment="1">
      <alignment wrapText="1"/>
    </xf>
    <xf numFmtId="166" fontId="12" fillId="0" borderId="0" xfId="11" applyNumberFormat="1" applyFont="1"/>
    <xf numFmtId="165" fontId="7" fillId="0" borderId="0" xfId="11" applyFont="1" applyAlignment="1">
      <alignment horizontal="right" vertical="top"/>
    </xf>
    <xf numFmtId="165" fontId="1" fillId="0" borderId="0" xfId="11" applyFont="1" applyAlignment="1">
      <alignment vertical="top" wrapText="1"/>
    </xf>
    <xf numFmtId="165" fontId="1" fillId="6" borderId="0" xfId="11" quotePrefix="1" applyFill="1"/>
    <xf numFmtId="165" fontId="7" fillId="0" borderId="0" xfId="11" applyFont="1" applyAlignment="1">
      <alignment horizontal="center"/>
    </xf>
    <xf numFmtId="165" fontId="7" fillId="0" borderId="0" xfId="11" applyFont="1" applyAlignment="1">
      <alignment horizontal="left" wrapText="1"/>
    </xf>
    <xf numFmtId="165" fontId="1" fillId="0" borderId="0" xfId="11" applyAlignment="1">
      <alignment horizontal="left" wrapText="1"/>
    </xf>
    <xf numFmtId="165" fontId="22" fillId="2" borderId="0" xfId="11" applyFont="1" applyFill="1"/>
    <xf numFmtId="165" fontId="22" fillId="0" borderId="0" xfId="11" applyNumberFormat="1" applyFont="1" applyAlignment="1" applyProtection="1">
      <alignment horizontal="right"/>
    </xf>
    <xf numFmtId="165" fontId="1" fillId="6" borderId="0" xfId="11" applyFill="1" applyAlignment="1">
      <alignment wrapText="1"/>
    </xf>
    <xf numFmtId="165" fontId="1" fillId="0" borderId="0" xfId="11" quotePrefix="1" applyNumberFormat="1" applyAlignment="1" applyProtection="1">
      <alignment horizontal="fill"/>
    </xf>
    <xf numFmtId="165" fontId="1" fillId="6" borderId="0" xfId="11" applyNumberFormat="1" applyFill="1" applyAlignment="1" applyProtection="1">
      <alignment horizontal="left"/>
    </xf>
    <xf numFmtId="166" fontId="1" fillId="0" borderId="0" xfId="11" applyNumberFormat="1" applyFont="1" applyProtection="1"/>
    <xf numFmtId="165" fontId="1" fillId="0" borderId="0" xfId="11" quotePrefix="1" applyNumberFormat="1" applyFont="1" applyAlignment="1" applyProtection="1">
      <alignment horizontal="fill"/>
    </xf>
    <xf numFmtId="165" fontId="7" fillId="0" borderId="0" xfId="11" quotePrefix="1" applyNumberFormat="1" applyFont="1" applyProtection="1"/>
    <xf numFmtId="165" fontId="1" fillId="0" borderId="0" xfId="11" quotePrefix="1" applyNumberFormat="1" applyFont="1" applyProtection="1"/>
    <xf numFmtId="165" fontId="28" fillId="6" borderId="0" xfId="11" applyFont="1" applyFill="1"/>
    <xf numFmtId="168" fontId="7" fillId="0" borderId="0" xfId="11" applyNumberFormat="1" applyFont="1"/>
    <xf numFmtId="165" fontId="1" fillId="0" borderId="0" xfId="11" applyFont="1" applyAlignment="1">
      <alignment horizontal="fill"/>
    </xf>
    <xf numFmtId="165" fontId="1" fillId="0" borderId="0" xfId="11" quotePrefix="1" applyFont="1" applyAlignment="1">
      <alignment horizontal="fill"/>
    </xf>
    <xf numFmtId="165" fontId="1" fillId="0" borderId="0" xfId="11" applyNumberFormat="1" applyFont="1"/>
    <xf numFmtId="169" fontId="7" fillId="0" borderId="0" xfId="11" applyNumberFormat="1" applyFont="1"/>
    <xf numFmtId="169" fontId="7" fillId="0" borderId="0" xfId="11" applyNumberFormat="1" applyFont="1" applyAlignment="1">
      <alignment horizontal="right"/>
    </xf>
    <xf numFmtId="165" fontId="58" fillId="0" borderId="0" xfId="11" applyFont="1"/>
    <xf numFmtId="165" fontId="59" fillId="0" borderId="0" xfId="11" applyFont="1" applyAlignment="1">
      <alignment horizontal="left" vertical="top"/>
    </xf>
    <xf numFmtId="168" fontId="17" fillId="0" borderId="0" xfId="11" applyNumberFormat="1" applyFont="1" applyAlignment="1" applyProtection="1">
      <alignment horizontal="center"/>
    </xf>
    <xf numFmtId="165" fontId="17" fillId="0" borderId="0" xfId="11" applyFont="1" applyAlignment="1"/>
    <xf numFmtId="165" fontId="17" fillId="0" borderId="0" xfId="11" applyFont="1"/>
    <xf numFmtId="165" fontId="17" fillId="0" borderId="0" xfId="11" applyFont="1" applyAlignment="1">
      <alignment horizontal="left"/>
    </xf>
    <xf numFmtId="165" fontId="17" fillId="0" borderId="0" xfId="11" applyNumberFormat="1" applyFont="1" applyAlignment="1" applyProtection="1">
      <alignment horizontal="fill"/>
    </xf>
    <xf numFmtId="165" fontId="1" fillId="0" borderId="0" xfId="11" applyFont="1" applyAlignment="1">
      <alignment wrapText="1"/>
    </xf>
    <xf numFmtId="165" fontId="35" fillId="5" borderId="0" xfId="11" applyFont="1" applyFill="1"/>
    <xf numFmtId="167" fontId="17" fillId="0" borderId="0" xfId="11" applyNumberFormat="1" applyFont="1" applyProtection="1"/>
    <xf numFmtId="167" fontId="17" fillId="0" borderId="0" xfId="11" applyNumberFormat="1" applyFont="1" applyAlignment="1" applyProtection="1">
      <alignment horizontal="left"/>
    </xf>
    <xf numFmtId="171" fontId="17" fillId="0" borderId="0" xfId="11" applyNumberFormat="1" applyFont="1" applyProtection="1"/>
    <xf numFmtId="165" fontId="17" fillId="0" borderId="0" xfId="11" applyNumberFormat="1" applyFont="1" applyAlignment="1" applyProtection="1"/>
    <xf numFmtId="165" fontId="17" fillId="0" borderId="0" xfId="11" applyNumberFormat="1" applyFont="1" applyProtection="1"/>
    <xf numFmtId="165" fontId="60" fillId="6" borderId="0" xfId="11" applyNumberFormat="1" applyFont="1" applyFill="1" applyProtection="1"/>
    <xf numFmtId="165" fontId="17" fillId="6" borderId="0" xfId="11" applyNumberFormat="1" applyFont="1" applyFill="1" applyAlignment="1" applyProtection="1">
      <alignment horizontal="left"/>
    </xf>
    <xf numFmtId="165" fontId="17" fillId="0" borderId="0" xfId="11" applyNumberFormat="1" applyFont="1" applyAlignment="1" applyProtection="1">
      <alignment horizontal="center"/>
    </xf>
    <xf numFmtId="165" fontId="20" fillId="4" borderId="0" xfId="11" applyFont="1" applyFill="1"/>
    <xf numFmtId="165" fontId="9" fillId="0" borderId="0" xfId="11" applyFont="1"/>
    <xf numFmtId="165" fontId="9" fillId="0" borderId="0" xfId="11" applyFont="1" applyAlignment="1">
      <alignment horizontal="left"/>
    </xf>
    <xf numFmtId="165" fontId="9" fillId="0" borderId="0" xfId="11" applyNumberFormat="1" applyFont="1" applyAlignment="1" applyProtection="1">
      <alignment horizontal="fill"/>
    </xf>
    <xf numFmtId="165" fontId="9" fillId="0" borderId="0" xfId="11" applyNumberFormat="1" applyFont="1" applyAlignment="1" applyProtection="1">
      <alignment horizontal="center"/>
    </xf>
    <xf numFmtId="165" fontId="9" fillId="0" borderId="0" xfId="11" applyNumberFormat="1" applyFont="1" applyProtection="1"/>
    <xf numFmtId="2" fontId="1" fillId="0" borderId="0" xfId="11" applyNumberFormat="1"/>
    <xf numFmtId="165" fontId="3" fillId="0" borderId="0" xfId="11" applyFont="1" applyAlignment="1">
      <alignment horizontal="right"/>
    </xf>
    <xf numFmtId="2" fontId="7" fillId="0" borderId="0" xfId="11" applyNumberFormat="1" applyFont="1"/>
    <xf numFmtId="165" fontId="5" fillId="0" borderId="0" xfId="11" applyFont="1"/>
    <xf numFmtId="165" fontId="5" fillId="0" borderId="0" xfId="11" applyFont="1" applyAlignment="1"/>
    <xf numFmtId="165" fontId="59" fillId="0" borderId="15" xfId="11" applyFont="1" applyBorder="1"/>
    <xf numFmtId="165" fontId="5" fillId="0" borderId="0" xfId="11" applyFont="1" applyAlignment="1">
      <alignment horizontal="center"/>
    </xf>
    <xf numFmtId="165" fontId="5" fillId="0" borderId="0" xfId="11" applyFont="1" applyAlignment="1">
      <alignment horizontal="right"/>
    </xf>
    <xf numFmtId="165" fontId="59" fillId="0" borderId="0" xfId="11" applyFont="1" applyAlignment="1">
      <alignment horizontal="right"/>
    </xf>
    <xf numFmtId="165" fontId="59" fillId="0" borderId="0" xfId="11" applyFont="1"/>
    <xf numFmtId="165" fontId="5" fillId="0" borderId="0" xfId="11" applyNumberFormat="1" applyFont="1" applyAlignment="1" applyProtection="1"/>
    <xf numFmtId="165" fontId="5" fillId="0" borderId="0" xfId="11" applyNumberFormat="1" applyFont="1" applyAlignment="1" applyProtection="1">
      <alignment horizontal="fill"/>
    </xf>
    <xf numFmtId="165" fontId="5" fillId="6" borderId="0" xfId="11" applyNumberFormat="1" applyFont="1" applyFill="1" applyAlignment="1" applyProtection="1">
      <alignment horizontal="left"/>
    </xf>
    <xf numFmtId="165" fontId="59" fillId="0" borderId="0" xfId="11" applyFont="1" applyAlignment="1">
      <alignment horizontal="center"/>
    </xf>
    <xf numFmtId="165" fontId="59" fillId="0" borderId="0" xfId="11" applyNumberFormat="1" applyFont="1" applyAlignment="1" applyProtection="1">
      <alignment horizontal="right"/>
    </xf>
    <xf numFmtId="165" fontId="5" fillId="0" borderId="0" xfId="11" applyNumberFormat="1" applyFont="1" applyAlignment="1" applyProtection="1">
      <alignment horizontal="right"/>
    </xf>
    <xf numFmtId="165" fontId="59" fillId="0" borderId="0" xfId="11" applyNumberFormat="1" applyFont="1" applyAlignment="1" applyProtection="1">
      <alignment horizontal="fill"/>
    </xf>
    <xf numFmtId="165" fontId="59" fillId="0" borderId="0" xfId="11" applyNumberFormat="1" applyFont="1" applyAlignment="1" applyProtection="1">
      <alignment horizontal="left"/>
    </xf>
    <xf numFmtId="165" fontId="59" fillId="0" borderId="0" xfId="11" applyNumberFormat="1" applyFont="1" applyProtection="1"/>
    <xf numFmtId="168" fontId="5" fillId="0" borderId="0" xfId="11" applyNumberFormat="1" applyFont="1" applyAlignment="1" applyProtection="1">
      <alignment horizontal="center"/>
    </xf>
    <xf numFmtId="165" fontId="5" fillId="0" borderId="0" xfId="11" applyNumberFormat="1" applyFont="1" applyAlignment="1" applyProtection="1">
      <alignment horizontal="left" wrapText="1"/>
    </xf>
    <xf numFmtId="170" fontId="5" fillId="0" borderId="0" xfId="11" applyNumberFormat="1" applyFont="1" applyAlignment="1">
      <alignment horizontal="center"/>
    </xf>
    <xf numFmtId="166" fontId="5" fillId="0" borderId="0" xfId="11" applyNumberFormat="1" applyFont="1"/>
    <xf numFmtId="166" fontId="5" fillId="0" borderId="0" xfId="11" applyNumberFormat="1" applyFont="1" applyAlignment="1" applyProtection="1">
      <alignment horizontal="center"/>
    </xf>
    <xf numFmtId="165" fontId="5" fillId="0" borderId="11" xfId="11" applyFont="1" applyBorder="1"/>
    <xf numFmtId="165" fontId="5" fillId="0" borderId="12" xfId="11" applyFont="1" applyBorder="1"/>
    <xf numFmtId="168" fontId="5" fillId="0" borderId="13" xfId="11" applyNumberFormat="1" applyFont="1" applyBorder="1" applyAlignment="1" applyProtection="1">
      <alignment horizontal="center"/>
    </xf>
    <xf numFmtId="165" fontId="59" fillId="0" borderId="0" xfId="11" applyFont="1" applyBorder="1" applyAlignment="1"/>
    <xf numFmtId="165" fontId="5" fillId="0" borderId="0" xfId="11" applyFont="1" applyBorder="1"/>
    <xf numFmtId="165" fontId="5" fillId="0" borderId="0" xfId="11" applyFont="1" applyBorder="1" applyAlignment="1">
      <alignment horizontal="center"/>
    </xf>
    <xf numFmtId="165" fontId="5" fillId="0" borderId="13" xfId="11" applyFont="1" applyBorder="1"/>
    <xf numFmtId="165" fontId="5" fillId="0" borderId="0" xfId="11" applyFont="1" applyBorder="1" applyAlignment="1"/>
    <xf numFmtId="165" fontId="61" fillId="2" borderId="0" xfId="11" applyFont="1" applyFill="1" applyBorder="1"/>
    <xf numFmtId="165" fontId="61" fillId="9" borderId="0" xfId="11" applyFont="1" applyFill="1" applyBorder="1"/>
    <xf numFmtId="165" fontId="5" fillId="0" borderId="0" xfId="11" applyFont="1" applyBorder="1" applyAlignment="1">
      <alignment horizontal="right"/>
    </xf>
    <xf numFmtId="167" fontId="5" fillId="0" borderId="0" xfId="11" applyNumberFormat="1" applyFont="1" applyProtection="1"/>
    <xf numFmtId="165" fontId="56" fillId="0" borderId="0" xfId="11" applyFont="1" applyBorder="1" applyAlignment="1">
      <alignment horizontal="fill"/>
    </xf>
    <xf numFmtId="167" fontId="1" fillId="0" borderId="0" xfId="11" applyNumberFormat="1"/>
    <xf numFmtId="165" fontId="59" fillId="0" borderId="0" xfId="11" applyFont="1" applyBorder="1"/>
    <xf numFmtId="167" fontId="5" fillId="0" borderId="0" xfId="11" applyNumberFormat="1" applyFont="1" applyAlignment="1" applyProtection="1">
      <alignment horizontal="center"/>
    </xf>
    <xf numFmtId="165" fontId="5" fillId="0" borderId="14" xfId="11" applyFont="1" applyBorder="1"/>
    <xf numFmtId="165" fontId="5" fillId="0" borderId="15" xfId="11" applyFont="1" applyBorder="1" applyAlignment="1"/>
    <xf numFmtId="165" fontId="5" fillId="0" borderId="15" xfId="11" applyFont="1" applyBorder="1"/>
    <xf numFmtId="165" fontId="5" fillId="0" borderId="15" xfId="11" applyFont="1" applyBorder="1" applyAlignment="1">
      <alignment horizontal="center"/>
    </xf>
    <xf numFmtId="165" fontId="56" fillId="0" borderId="15" xfId="11" applyFont="1" applyBorder="1" applyAlignment="1">
      <alignment horizontal="fill"/>
    </xf>
    <xf numFmtId="166" fontId="5" fillId="0" borderId="0" xfId="11" applyNumberFormat="1" applyFont="1" applyProtection="1"/>
    <xf numFmtId="166" fontId="5" fillId="0" borderId="0" xfId="11" applyNumberFormat="1" applyFont="1" applyAlignment="1"/>
    <xf numFmtId="172" fontId="7" fillId="0" borderId="0" xfId="11" applyNumberFormat="1" applyFont="1"/>
    <xf numFmtId="167" fontId="7" fillId="0" borderId="0" xfId="11" applyNumberFormat="1" applyFont="1"/>
    <xf numFmtId="165" fontId="7" fillId="0" borderId="0" xfId="11" quotePrefix="1" applyFont="1"/>
    <xf numFmtId="171" fontId="5" fillId="0" borderId="0" xfId="11" applyNumberFormat="1" applyFont="1"/>
    <xf numFmtId="169" fontId="5" fillId="0" borderId="0" xfId="11" applyNumberFormat="1" applyFont="1" applyProtection="1"/>
    <xf numFmtId="165" fontId="5" fillId="6" borderId="0" xfId="11" applyNumberFormat="1" applyFont="1" applyFill="1" applyProtection="1"/>
    <xf numFmtId="165" fontId="62" fillId="0" borderId="0" xfId="11" applyFont="1"/>
    <xf numFmtId="165" fontId="63" fillId="6" borderId="0" xfId="11" applyFont="1" applyFill="1"/>
    <xf numFmtId="165" fontId="64" fillId="0" borderId="0" xfId="11" applyNumberFormat="1" applyFont="1" applyProtection="1"/>
    <xf numFmtId="165" fontId="5" fillId="0" borderId="0" xfId="11" applyFont="1" applyAlignment="1">
      <alignment horizontal="left"/>
    </xf>
    <xf numFmtId="167" fontId="5" fillId="0" borderId="0" xfId="11" applyNumberFormat="1" applyFont="1" applyAlignment="1" applyProtection="1">
      <alignment horizontal="left"/>
    </xf>
    <xf numFmtId="169" fontId="5" fillId="0" borderId="0" xfId="11" applyNumberFormat="1" applyFont="1"/>
    <xf numFmtId="167" fontId="5" fillId="0" borderId="0" xfId="11" applyNumberFormat="1" applyFont="1"/>
    <xf numFmtId="171" fontId="5" fillId="0" borderId="0" xfId="11" applyNumberFormat="1" applyFont="1" applyProtection="1"/>
    <xf numFmtId="165" fontId="5" fillId="6" borderId="0" xfId="11" applyNumberFormat="1" applyFont="1" applyFill="1" applyAlignment="1" applyProtection="1">
      <alignment horizontal="left" wrapText="1"/>
    </xf>
    <xf numFmtId="165" fontId="61" fillId="2" borderId="0" xfId="11" applyNumberFormat="1" applyFont="1" applyFill="1" applyProtection="1"/>
    <xf numFmtId="165" fontId="59" fillId="0" borderId="0" xfId="11" applyFont="1" applyAlignment="1">
      <alignment horizontal="left"/>
    </xf>
    <xf numFmtId="165" fontId="59" fillId="0" borderId="0" xfId="11" applyNumberFormat="1" applyFont="1" applyAlignment="1" applyProtection="1">
      <alignment horizontal="center"/>
    </xf>
    <xf numFmtId="165" fontId="61" fillId="6" borderId="0" xfId="11" applyFont="1" applyFill="1"/>
    <xf numFmtId="165" fontId="59" fillId="0" borderId="0" xfId="11" applyFont="1" applyAlignment="1">
      <alignment vertical="top" wrapText="1"/>
    </xf>
    <xf numFmtId="165" fontId="5" fillId="0" borderId="0" xfId="11" applyFont="1" applyAlignment="1">
      <alignment vertical="top" wrapText="1"/>
    </xf>
    <xf numFmtId="165" fontId="63" fillId="4" borderId="0" xfId="11" applyFont="1" applyFill="1"/>
    <xf numFmtId="165" fontId="63" fillId="0" borderId="0" xfId="11" applyFont="1"/>
    <xf numFmtId="169" fontId="5" fillId="0" borderId="0" xfId="11" applyNumberFormat="1" applyFont="1" applyBorder="1" applyAlignment="1"/>
    <xf numFmtId="169" fontId="5" fillId="0" borderId="0" xfId="11" applyNumberFormat="1" applyFont="1" applyBorder="1"/>
    <xf numFmtId="165" fontId="5" fillId="0" borderId="0" xfId="11" applyFont="1" applyFill="1" applyBorder="1"/>
    <xf numFmtId="165" fontId="5" fillId="0" borderId="0" xfId="11" applyFont="1" applyFill="1" applyBorder="1" applyAlignment="1"/>
    <xf numFmtId="165" fontId="66" fillId="0" borderId="0" xfId="11" applyNumberFormat="1" applyFont="1" applyAlignment="1" applyProtection="1">
      <alignment horizontal="left"/>
    </xf>
    <xf numFmtId="165" fontId="67" fillId="0" borderId="0" xfId="11" applyFont="1" applyAlignment="1"/>
    <xf numFmtId="165" fontId="67" fillId="0" borderId="0" xfId="11" applyNumberFormat="1" applyFont="1" applyAlignment="1" applyProtection="1">
      <alignment horizontal="left"/>
    </xf>
    <xf numFmtId="167" fontId="67" fillId="0" borderId="0" xfId="11" applyNumberFormat="1" applyFont="1"/>
    <xf numFmtId="165" fontId="67" fillId="0" borderId="0" xfId="11" applyFont="1" applyAlignment="1">
      <alignment horizontal="left"/>
    </xf>
    <xf numFmtId="165" fontId="68" fillId="6" borderId="0" xfId="11" applyNumberFormat="1" applyFont="1" applyFill="1" applyProtection="1"/>
    <xf numFmtId="167" fontId="67" fillId="0" borderId="0" xfId="11" applyNumberFormat="1" applyFont="1" applyAlignment="1" applyProtection="1">
      <alignment horizontal="left"/>
    </xf>
    <xf numFmtId="165" fontId="69" fillId="0" borderId="0" xfId="11" applyNumberFormat="1" applyFont="1" applyProtection="1"/>
    <xf numFmtId="165" fontId="70" fillId="0" borderId="0" xfId="11" applyFont="1"/>
    <xf numFmtId="165" fontId="17" fillId="0" borderId="0" xfId="11" applyNumberFormat="1" applyFont="1" applyAlignment="1" applyProtection="1">
      <alignment horizontal="right"/>
    </xf>
    <xf numFmtId="165" fontId="71" fillId="0" borderId="0" xfId="11" applyFont="1"/>
    <xf numFmtId="165" fontId="72" fillId="0" borderId="0" xfId="11" applyFont="1"/>
    <xf numFmtId="165" fontId="26" fillId="6" borderId="0" xfId="11" applyFont="1" applyFill="1"/>
    <xf numFmtId="166" fontId="1" fillId="0" borderId="0" xfId="11" applyNumberFormat="1" applyAlignment="1"/>
    <xf numFmtId="165" fontId="57" fillId="0" borderId="0" xfId="11" applyNumberFormat="1" applyFont="1" applyAlignment="1" applyProtection="1">
      <alignment horizontal="left"/>
    </xf>
    <xf numFmtId="166" fontId="59" fillId="0" borderId="0" xfId="11" applyNumberFormat="1" applyFont="1" applyAlignment="1">
      <alignment horizontal="right"/>
    </xf>
    <xf numFmtId="169" fontId="59" fillId="0" borderId="0" xfId="11" applyNumberFormat="1" applyFont="1" applyAlignment="1">
      <alignment horizontal="right"/>
    </xf>
    <xf numFmtId="165" fontId="1" fillId="0" borderId="0" xfId="11" applyFont="1" applyAlignment="1">
      <alignment horizontal="right"/>
    </xf>
    <xf numFmtId="167" fontId="5" fillId="0" borderId="0" xfId="11" applyNumberFormat="1" applyFont="1" applyAlignment="1">
      <alignment horizontal="right"/>
    </xf>
    <xf numFmtId="167" fontId="59" fillId="0" borderId="0" xfId="11" applyNumberFormat="1" applyFont="1" applyAlignment="1" applyProtection="1">
      <alignment horizontal="right"/>
    </xf>
    <xf numFmtId="169" fontId="1" fillId="0" borderId="0" xfId="11" applyNumberFormat="1" applyAlignment="1">
      <alignment horizontal="right"/>
    </xf>
    <xf numFmtId="169" fontId="5" fillId="0" borderId="0" xfId="11" applyNumberFormat="1" applyFont="1" applyAlignment="1" applyProtection="1">
      <alignment horizontal="right"/>
    </xf>
    <xf numFmtId="169" fontId="59" fillId="0" borderId="0" xfId="11" applyNumberFormat="1" applyFont="1" applyAlignment="1" applyProtection="1">
      <alignment horizontal="right"/>
    </xf>
    <xf numFmtId="165" fontId="5" fillId="5" borderId="0" xfId="11" applyNumberFormat="1" applyFont="1" applyFill="1" applyAlignment="1" applyProtection="1">
      <alignment horizontal="left"/>
    </xf>
    <xf numFmtId="165" fontId="73" fillId="0" borderId="0" xfId="11" applyNumberFormat="1" applyFont="1" applyProtection="1"/>
    <xf numFmtId="165" fontId="5" fillId="0" borderId="0" xfId="11" quotePrefix="1" applyNumberFormat="1" applyFont="1" applyAlignment="1" applyProtection="1">
      <alignment horizontal="left"/>
    </xf>
    <xf numFmtId="165" fontId="5" fillId="4" borderId="0" xfId="11" applyNumberFormat="1" applyFont="1" applyFill="1" applyAlignment="1" applyProtection="1">
      <alignment horizontal="left"/>
    </xf>
    <xf numFmtId="171" fontId="5" fillId="0" borderId="0" xfId="11" applyNumberFormat="1" applyFont="1" applyAlignment="1">
      <alignment horizontal="right"/>
    </xf>
    <xf numFmtId="166" fontId="7" fillId="0" borderId="0" xfId="11" applyNumberFormat="1" applyFont="1"/>
    <xf numFmtId="165" fontId="1" fillId="6" borderId="0" xfId="11" applyNumberFormat="1" applyFill="1" applyAlignment="1" applyProtection="1">
      <alignment horizontal="left" wrapText="1"/>
    </xf>
    <xf numFmtId="165" fontId="63" fillId="0" borderId="0" xfId="11" applyNumberFormat="1" applyFont="1" applyProtection="1"/>
    <xf numFmtId="165" fontId="40" fillId="6" borderId="0" xfId="11" applyFont="1" applyFill="1"/>
    <xf numFmtId="165" fontId="7" fillId="6" borderId="0" xfId="11" applyFont="1" applyFill="1"/>
    <xf numFmtId="165" fontId="15" fillId="0" borderId="0" xfId="11" applyFont="1"/>
    <xf numFmtId="165" fontId="61" fillId="6" borderId="0" xfId="11" applyNumberFormat="1" applyFont="1" applyFill="1" applyProtection="1"/>
    <xf numFmtId="166" fontId="5" fillId="0" borderId="0" xfId="11" applyNumberFormat="1" applyFont="1" applyAlignment="1" applyProtection="1">
      <alignment horizontal="right"/>
    </xf>
    <xf numFmtId="165" fontId="74" fillId="4" borderId="0" xfId="11" applyNumberFormat="1" applyFont="1" applyFill="1" applyAlignment="1" applyProtection="1">
      <alignment horizontal="right"/>
    </xf>
    <xf numFmtId="165" fontId="74" fillId="0" borderId="0" xfId="11" applyNumberFormat="1" applyFont="1" applyAlignment="1" applyProtection="1">
      <alignment horizontal="right"/>
    </xf>
    <xf numFmtId="170" fontId="7" fillId="0" borderId="0" xfId="11" applyNumberFormat="1" applyFont="1" applyAlignment="1">
      <alignment vertical="center"/>
    </xf>
    <xf numFmtId="2" fontId="51" fillId="0" borderId="0" xfId="2" applyNumberFormat="1" applyFont="1" applyBorder="1" applyAlignment="1">
      <alignment vertical="top" wrapText="1"/>
    </xf>
    <xf numFmtId="165" fontId="34" fillId="10" borderId="0" xfId="11" applyFont="1" applyFill="1"/>
    <xf numFmtId="165" fontId="1" fillId="0" borderId="0" xfId="11" applyAlignment="1">
      <alignment horizontal="fill"/>
    </xf>
    <xf numFmtId="165" fontId="56" fillId="0" borderId="0" xfId="11" applyFont="1"/>
    <xf numFmtId="165" fontId="56" fillId="0" borderId="0" xfId="11" applyFont="1" applyAlignment="1"/>
    <xf numFmtId="165" fontId="56" fillId="0" borderId="0" xfId="11" applyFont="1" applyAlignment="1">
      <alignment horizontal="left"/>
    </xf>
    <xf numFmtId="165" fontId="51" fillId="0" borderId="0" xfId="11" applyFont="1"/>
    <xf numFmtId="165" fontId="77" fillId="0" borderId="0" xfId="11" applyFont="1"/>
    <xf numFmtId="165" fontId="57" fillId="0" borderId="0" xfId="11" applyFont="1"/>
    <xf numFmtId="165" fontId="78" fillId="0" borderId="0" xfId="11" applyFont="1"/>
    <xf numFmtId="166" fontId="56" fillId="0" borderId="0" xfId="11" applyNumberFormat="1" applyFont="1"/>
    <xf numFmtId="166" fontId="77" fillId="0" borderId="0" xfId="11" applyNumberFormat="1" applyFont="1"/>
    <xf numFmtId="165" fontId="77" fillId="0" borderId="0" xfId="11" applyFont="1" applyAlignment="1"/>
    <xf numFmtId="165" fontId="13" fillId="0" borderId="0" xfId="11" applyNumberFormat="1" applyFont="1" applyAlignment="1" applyProtection="1">
      <alignment vertical="center"/>
    </xf>
    <xf numFmtId="165" fontId="79" fillId="6" borderId="0" xfId="11" applyNumberFormat="1" applyFont="1" applyFill="1" applyProtection="1"/>
    <xf numFmtId="165" fontId="26" fillId="0" borderId="0" xfId="11" applyNumberFormat="1" applyFont="1" applyAlignment="1" applyProtection="1">
      <alignment vertical="center"/>
    </xf>
    <xf numFmtId="165" fontId="80" fillId="0" borderId="0" xfId="11" applyFont="1"/>
    <xf numFmtId="165" fontId="52" fillId="0" borderId="0" xfId="11" applyNumberFormat="1" applyFont="1" applyAlignment="1"/>
    <xf numFmtId="165" fontId="52" fillId="0" borderId="0" xfId="11" applyNumberFormat="1" applyFont="1" applyAlignment="1">
      <alignment horizontal="center"/>
    </xf>
    <xf numFmtId="165" fontId="51" fillId="0" borderId="0" xfId="11" applyNumberFormat="1" applyFont="1" applyAlignment="1" applyProtection="1">
      <alignment horizontal="left" wrapText="1"/>
    </xf>
    <xf numFmtId="169" fontId="51" fillId="0" borderId="0" xfId="11" applyNumberFormat="1" applyFont="1" applyAlignment="1" applyProtection="1">
      <alignment horizontal="right"/>
    </xf>
    <xf numFmtId="165" fontId="7" fillId="0" borderId="0" xfId="11" applyNumberFormat="1" applyFont="1" applyAlignment="1" applyProtection="1">
      <alignment horizontal="center" wrapText="1"/>
    </xf>
    <xf numFmtId="165" fontId="56" fillId="0" borderId="0" xfId="11" applyNumberFormat="1" applyFont="1"/>
    <xf numFmtId="165" fontId="56" fillId="0" borderId="0" xfId="11" applyNumberFormat="1" applyFont="1" applyAlignment="1"/>
    <xf numFmtId="165" fontId="56" fillId="0" borderId="0" xfId="11" applyNumberFormat="1" applyFont="1" applyProtection="1"/>
    <xf numFmtId="165" fontId="56" fillId="0" borderId="0" xfId="11" applyNumberFormat="1" applyFont="1" applyAlignment="1">
      <alignment horizontal="left"/>
    </xf>
    <xf numFmtId="0" fontId="1" fillId="0" borderId="0" xfId="11" applyNumberFormat="1"/>
    <xf numFmtId="169" fontId="81" fillId="2" borderId="0" xfId="11" applyNumberFormat="1" applyFont="1" applyFill="1" applyProtection="1"/>
    <xf numFmtId="165" fontId="7" fillId="0" borderId="0" xfId="11" applyNumberFormat="1" applyFont="1"/>
    <xf numFmtId="165" fontId="7" fillId="0" borderId="0" xfId="11" applyNumberFormat="1" applyFont="1" applyAlignment="1"/>
    <xf numFmtId="165" fontId="7" fillId="0" borderId="0" xfId="11" applyNumberFormat="1" applyFont="1" applyAlignment="1">
      <alignment horizontal="left"/>
    </xf>
    <xf numFmtId="0" fontId="82" fillId="9" borderId="0" xfId="11" applyNumberFormat="1" applyFont="1" applyFill="1" applyBorder="1" applyAlignment="1">
      <alignment vertical="top" wrapText="1"/>
    </xf>
    <xf numFmtId="0" fontId="6" fillId="0" borderId="0" xfId="11" applyNumberFormat="1" applyFont="1"/>
    <xf numFmtId="165" fontId="62" fillId="0" borderId="0" xfId="11" applyNumberFormat="1" applyFont="1" applyAlignment="1"/>
    <xf numFmtId="165" fontId="62" fillId="0" borderId="0" xfId="11" applyNumberFormat="1" applyFont="1"/>
    <xf numFmtId="165" fontId="62" fillId="0" borderId="0" xfId="11" applyNumberFormat="1" applyFont="1" applyAlignment="1" applyProtection="1">
      <alignment horizontal="left"/>
    </xf>
    <xf numFmtId="2" fontId="6" fillId="0" borderId="0" xfId="11" applyNumberFormat="1" applyFont="1"/>
    <xf numFmtId="0" fontId="1" fillId="0" borderId="0" xfId="11" applyNumberFormat="1" applyBorder="1"/>
    <xf numFmtId="0" fontId="6" fillId="0" borderId="0" xfId="11" applyNumberFormat="1" applyFont="1" applyBorder="1"/>
    <xf numFmtId="165" fontId="62" fillId="0" borderId="0" xfId="11" applyNumberFormat="1" applyFont="1" applyBorder="1"/>
    <xf numFmtId="165" fontId="62" fillId="0" borderId="0" xfId="11" applyNumberFormat="1" applyFont="1" applyBorder="1" applyAlignment="1" applyProtection="1">
      <alignment horizontal="left"/>
    </xf>
    <xf numFmtId="165" fontId="73" fillId="0" borderId="0" xfId="11" applyNumberFormat="1" applyFont="1" applyBorder="1"/>
    <xf numFmtId="165" fontId="62" fillId="0" borderId="0" xfId="11" applyNumberFormat="1" applyFont="1" applyBorder="1" applyAlignment="1"/>
    <xf numFmtId="0" fontId="1" fillId="0" borderId="0" xfId="11" applyNumberFormat="1" applyBorder="1" applyAlignment="1">
      <alignment wrapText="1"/>
    </xf>
    <xf numFmtId="0" fontId="6" fillId="0" borderId="0" xfId="11" applyNumberFormat="1" applyFont="1" applyBorder="1" applyAlignment="1">
      <alignment horizontal="right"/>
    </xf>
    <xf numFmtId="165" fontId="84" fillId="0" borderId="0" xfId="11" applyNumberFormat="1" applyFont="1" applyBorder="1"/>
    <xf numFmtId="0" fontId="85" fillId="0" borderId="0" xfId="11" applyNumberFormat="1" applyFont="1"/>
    <xf numFmtId="165" fontId="84" fillId="0" borderId="0" xfId="11" applyNumberFormat="1" applyFont="1" applyAlignment="1" applyProtection="1">
      <alignment horizontal="left"/>
    </xf>
    <xf numFmtId="165" fontId="62" fillId="0" borderId="0" xfId="11" applyNumberFormat="1" applyFont="1" applyAlignment="1">
      <alignment horizontal="left"/>
    </xf>
    <xf numFmtId="165" fontId="86" fillId="0" borderId="0" xfId="11" applyNumberFormat="1" applyFont="1" applyAlignment="1"/>
    <xf numFmtId="165" fontId="87" fillId="0" borderId="0" xfId="11" applyNumberFormat="1" applyFont="1" applyAlignment="1"/>
    <xf numFmtId="165" fontId="13" fillId="0" borderId="0" xfId="11" applyFont="1" applyAlignment="1">
      <alignment wrapText="1"/>
    </xf>
    <xf numFmtId="165" fontId="73" fillId="0" borderId="0" xfId="11" applyNumberFormat="1" applyFont="1"/>
    <xf numFmtId="166" fontId="62" fillId="0" borderId="0" xfId="11" applyNumberFormat="1" applyFont="1"/>
    <xf numFmtId="165" fontId="62" fillId="0" borderId="0" xfId="11" applyNumberFormat="1" applyFont="1" applyAlignment="1">
      <alignment horizontal="right"/>
    </xf>
    <xf numFmtId="165" fontId="84" fillId="0" borderId="0" xfId="11" applyNumberFormat="1" applyFont="1"/>
    <xf numFmtId="165" fontId="6" fillId="0" borderId="0" xfId="11" applyNumberFormat="1" applyFont="1"/>
    <xf numFmtId="165" fontId="6" fillId="0" borderId="0" xfId="11" applyNumberFormat="1" applyFont="1" applyAlignment="1">
      <alignment horizontal="left"/>
    </xf>
    <xf numFmtId="165" fontId="1" fillId="0" borderId="0" xfId="11" applyNumberFormat="1" applyAlignment="1"/>
    <xf numFmtId="165" fontId="1" fillId="0" borderId="0" xfId="11" applyNumberFormat="1" applyAlignment="1">
      <alignment horizontal="left"/>
    </xf>
    <xf numFmtId="165" fontId="6" fillId="0" borderId="0" xfId="11" applyNumberFormat="1" applyFont="1" applyAlignment="1" applyProtection="1">
      <alignment horizontal="left"/>
    </xf>
    <xf numFmtId="165" fontId="1" fillId="0" borderId="0" xfId="11" applyNumberFormat="1" applyBorder="1" applyAlignment="1">
      <alignment horizontal="left"/>
    </xf>
    <xf numFmtId="165" fontId="1" fillId="0" borderId="0" xfId="11" applyNumberFormat="1" applyBorder="1" applyAlignment="1">
      <alignment horizontal="left" vertical="top"/>
    </xf>
    <xf numFmtId="165" fontId="7" fillId="0" borderId="0" xfId="11" applyNumberFormat="1" applyFont="1" applyAlignment="1">
      <alignment horizontal="right"/>
    </xf>
    <xf numFmtId="0" fontId="6" fillId="0" borderId="0" xfId="11" applyNumberFormat="1" applyFont="1" applyAlignment="1">
      <alignment horizontal="center"/>
    </xf>
    <xf numFmtId="165" fontId="81" fillId="2" borderId="0" xfId="11" applyNumberFormat="1" applyFont="1" applyFill="1" applyAlignment="1" applyProtection="1"/>
    <xf numFmtId="165" fontId="81" fillId="2" borderId="0" xfId="11" applyNumberFormat="1" applyFont="1" applyFill="1" applyAlignment="1" applyProtection="1">
      <alignment horizontal="left"/>
    </xf>
    <xf numFmtId="165" fontId="88" fillId="2" borderId="0" xfId="11" applyNumberFormat="1" applyFont="1" applyFill="1" applyAlignment="1"/>
    <xf numFmtId="165" fontId="88" fillId="2" borderId="0" xfId="11" applyNumberFormat="1" applyFont="1" applyFill="1"/>
    <xf numFmtId="165" fontId="81" fillId="2" borderId="0" xfId="11" applyNumberFormat="1" applyFont="1" applyFill="1"/>
    <xf numFmtId="165" fontId="81" fillId="2" borderId="0" xfId="11" applyNumberFormat="1" applyFont="1" applyFill="1" applyAlignment="1" applyProtection="1">
      <alignment horizontal="right"/>
    </xf>
    <xf numFmtId="165" fontId="1" fillId="4" borderId="0" xfId="11" applyFont="1" applyFill="1"/>
    <xf numFmtId="165" fontId="54" fillId="0" borderId="0" xfId="11" applyFont="1"/>
    <xf numFmtId="165" fontId="5" fillId="0" borderId="0" xfId="11" applyNumberFormat="1" applyFont="1"/>
    <xf numFmtId="165" fontId="5" fillId="0" borderId="0" xfId="11" applyNumberFormat="1" applyFont="1" applyAlignment="1"/>
    <xf numFmtId="165" fontId="5" fillId="0" borderId="0" xfId="11" applyNumberFormat="1" applyFont="1" applyAlignment="1">
      <alignment horizontal="center"/>
    </xf>
    <xf numFmtId="165" fontId="5" fillId="0" borderId="0" xfId="11" applyNumberFormat="1" applyFont="1" applyAlignment="1">
      <alignment horizontal="right"/>
    </xf>
    <xf numFmtId="169" fontId="6" fillId="0" borderId="0" xfId="11" applyNumberFormat="1" applyFont="1" applyAlignment="1">
      <alignment vertical="top"/>
    </xf>
    <xf numFmtId="169" fontId="89" fillId="0" borderId="0" xfId="11" applyNumberFormat="1" applyFont="1" applyAlignment="1">
      <alignment horizontal="right"/>
    </xf>
    <xf numFmtId="169" fontId="5" fillId="0" borderId="0" xfId="11" applyNumberFormat="1" applyFont="1" applyAlignment="1">
      <alignment horizontal="center"/>
    </xf>
    <xf numFmtId="165" fontId="59" fillId="0" borderId="0" xfId="11" applyNumberFormat="1" applyFont="1" applyAlignment="1">
      <alignment vertical="top"/>
    </xf>
    <xf numFmtId="165" fontId="1" fillId="0" borderId="0" xfId="11" applyNumberFormat="1" applyBorder="1" applyAlignment="1" applyProtection="1">
      <alignment horizontal="center"/>
    </xf>
    <xf numFmtId="165" fontId="1" fillId="0" borderId="0" xfId="11" applyBorder="1" applyAlignment="1">
      <alignment horizontal="center"/>
    </xf>
    <xf numFmtId="165" fontId="8" fillId="0" borderId="0" xfId="11" applyNumberFormat="1" applyFont="1" applyBorder="1" applyAlignment="1" applyProtection="1">
      <alignment horizontal="center"/>
    </xf>
    <xf numFmtId="165" fontId="104" fillId="0" borderId="0" xfId="11" applyNumberFormat="1" applyFont="1" applyBorder="1" applyAlignment="1" applyProtection="1">
      <alignment horizontal="left"/>
    </xf>
    <xf numFmtId="165" fontId="10" fillId="0" borderId="0" xfId="11" applyNumberFormat="1" applyFont="1" applyBorder="1" applyProtection="1"/>
    <xf numFmtId="170" fontId="1" fillId="0" borderId="0" xfId="11" applyNumberFormat="1" applyBorder="1" applyProtection="1"/>
    <xf numFmtId="165" fontId="1" fillId="0" borderId="0" xfId="11" applyBorder="1" applyAlignment="1" applyProtection="1">
      <alignment horizontal="left"/>
    </xf>
    <xf numFmtId="170" fontId="1" fillId="0" borderId="0" xfId="11" applyNumberFormat="1" applyBorder="1" applyAlignment="1" applyProtection="1">
      <alignment horizontal="center"/>
    </xf>
    <xf numFmtId="165" fontId="1" fillId="0" borderId="0" xfId="11" applyNumberFormat="1" applyFont="1" applyAlignment="1" applyProtection="1">
      <alignment horizontal="right"/>
    </xf>
    <xf numFmtId="165" fontId="105" fillId="0" borderId="0" xfId="11" applyNumberFormat="1" applyFont="1" applyBorder="1" applyAlignment="1" applyProtection="1">
      <alignment horizontal="left" wrapText="1"/>
    </xf>
    <xf numFmtId="166" fontId="1" fillId="0" borderId="0" xfId="11" applyNumberFormat="1" applyBorder="1" applyProtection="1"/>
    <xf numFmtId="168" fontId="1" fillId="0" borderId="0" xfId="11" applyNumberFormat="1" applyBorder="1" applyAlignment="1" applyProtection="1">
      <alignment horizontal="center"/>
    </xf>
    <xf numFmtId="168" fontId="1" fillId="0" borderId="0" xfId="11" applyNumberFormat="1" applyBorder="1" applyAlignment="1" applyProtection="1">
      <alignment horizontal="left"/>
    </xf>
    <xf numFmtId="165" fontId="7" fillId="0" borderId="0" xfId="11" applyNumberFormat="1" applyFont="1" applyBorder="1" applyAlignment="1" applyProtection="1">
      <alignment horizontal="left"/>
    </xf>
    <xf numFmtId="165" fontId="7" fillId="0" borderId="0" xfId="11" applyNumberFormat="1" applyFont="1" applyBorder="1" applyAlignment="1" applyProtection="1">
      <alignment horizontal="left" wrapText="1"/>
    </xf>
    <xf numFmtId="165" fontId="1" fillId="0" borderId="0" xfId="11" applyNumberFormat="1" applyBorder="1" applyAlignment="1" applyProtection="1">
      <alignment horizontal="left" wrapText="1"/>
    </xf>
    <xf numFmtId="168" fontId="1" fillId="0" borderId="0" xfId="11" applyNumberFormat="1" applyBorder="1" applyAlignment="1">
      <alignment horizontal="center" vertical="top"/>
    </xf>
    <xf numFmtId="168" fontId="1" fillId="0" borderId="0" xfId="11" applyNumberFormat="1" applyFont="1" applyBorder="1" applyAlignment="1">
      <alignment horizontal="center"/>
    </xf>
    <xf numFmtId="165" fontId="1" fillId="0" borderId="0" xfId="11" applyNumberFormat="1" applyBorder="1" applyAlignment="1" applyProtection="1">
      <alignment horizontal="left" vertical="top" wrapText="1"/>
    </xf>
    <xf numFmtId="168" fontId="1" fillId="0" borderId="0" xfId="11" applyNumberFormat="1" applyBorder="1"/>
    <xf numFmtId="167" fontId="1" fillId="0" borderId="0" xfId="11" applyNumberFormat="1" applyBorder="1" applyProtection="1"/>
    <xf numFmtId="169" fontId="1" fillId="0" borderId="0" xfId="11" applyNumberFormat="1" applyBorder="1" applyProtection="1"/>
    <xf numFmtId="168" fontId="1" fillId="0" borderId="0" xfId="11" applyNumberFormat="1" applyBorder="1" applyAlignment="1">
      <alignment horizontal="center"/>
    </xf>
    <xf numFmtId="170" fontId="1" fillId="0" borderId="0" xfId="11" applyNumberFormat="1" applyBorder="1" applyAlignment="1" applyProtection="1">
      <alignment horizontal="left"/>
    </xf>
    <xf numFmtId="165" fontId="1" fillId="0" borderId="0" xfId="11" applyFill="1" applyBorder="1"/>
    <xf numFmtId="170" fontId="1" fillId="0" borderId="0" xfId="11" applyNumberFormat="1" applyBorder="1" applyAlignment="1" applyProtection="1">
      <alignment horizontal="center" vertical="top"/>
    </xf>
    <xf numFmtId="165" fontId="7" fillId="0" borderId="0" xfId="11" applyFont="1" applyFill="1" applyBorder="1" applyAlignment="1">
      <alignment wrapText="1"/>
    </xf>
    <xf numFmtId="170" fontId="1" fillId="0" borderId="0" xfId="11" applyNumberFormat="1" applyBorder="1" applyAlignment="1">
      <alignment horizontal="center" vertical="top"/>
    </xf>
    <xf numFmtId="165" fontId="7" fillId="0" borderId="0" xfId="11" applyFont="1" applyFill="1" applyBorder="1"/>
    <xf numFmtId="165" fontId="12" fillId="0" borderId="0" xfId="11" applyFont="1" applyAlignment="1">
      <alignment horizontal="right"/>
    </xf>
    <xf numFmtId="165" fontId="1" fillId="0" borderId="0" xfId="11" applyFont="1" applyFill="1" applyBorder="1" applyAlignment="1">
      <alignment wrapText="1"/>
    </xf>
    <xf numFmtId="165" fontId="1" fillId="0" borderId="0" xfId="11" applyFill="1" applyBorder="1" applyAlignment="1">
      <alignment wrapText="1"/>
    </xf>
    <xf numFmtId="165" fontId="1" fillId="0" borderId="0" xfId="11" applyFill="1" applyBorder="1" applyAlignment="1">
      <alignment horizontal="left" vertical="top" wrapText="1"/>
    </xf>
    <xf numFmtId="165" fontId="7" fillId="0" borderId="0" xfId="11" applyFont="1" applyFill="1" applyBorder="1" applyAlignment="1">
      <alignment horizontal="left" vertical="top" wrapText="1"/>
    </xf>
    <xf numFmtId="165" fontId="1" fillId="0" borderId="0" xfId="11" applyBorder="1" applyAlignment="1">
      <alignment horizontal="center" vertical="top"/>
    </xf>
    <xf numFmtId="168" fontId="1" fillId="0" borderId="0" xfId="11" applyNumberFormat="1" applyBorder="1" applyAlignment="1" applyProtection="1">
      <alignment horizontal="center" vertical="top" wrapText="1"/>
    </xf>
    <xf numFmtId="165" fontId="1" fillId="0" borderId="0" xfId="11" applyNumberFormat="1" applyBorder="1" applyAlignment="1" applyProtection="1">
      <alignment horizontal="justify" vertical="top" wrapText="1"/>
    </xf>
    <xf numFmtId="167" fontId="1" fillId="0" borderId="0" xfId="11" applyNumberFormat="1" applyAlignment="1" applyProtection="1">
      <alignment horizontal="center"/>
    </xf>
    <xf numFmtId="171" fontId="1" fillId="0" borderId="0" xfId="11" applyNumberFormat="1" applyBorder="1" applyProtection="1"/>
    <xf numFmtId="165" fontId="10" fillId="0" borderId="0" xfId="11" applyFont="1" applyBorder="1"/>
    <xf numFmtId="166" fontId="1" fillId="0" borderId="0" xfId="11" applyNumberFormat="1" applyBorder="1" applyAlignment="1" applyProtection="1">
      <alignment horizontal="center"/>
    </xf>
    <xf numFmtId="170" fontId="1" fillId="0" borderId="0" xfId="11" applyNumberFormat="1" applyBorder="1" applyAlignment="1">
      <alignment horizontal="center"/>
    </xf>
    <xf numFmtId="165" fontId="1" fillId="0" borderId="0" xfId="11" applyBorder="1" applyAlignment="1">
      <alignment wrapText="1"/>
    </xf>
    <xf numFmtId="165" fontId="1" fillId="0" borderId="0" xfId="11" applyNumberFormat="1" applyBorder="1" applyAlignment="1" applyProtection="1">
      <alignment vertical="center"/>
    </xf>
    <xf numFmtId="165" fontId="1" fillId="0" borderId="0" xfId="11" applyNumberFormat="1" applyAlignment="1" applyProtection="1">
      <alignment horizontal="center" vertical="center"/>
    </xf>
    <xf numFmtId="165" fontId="10" fillId="0" borderId="0" xfId="11" applyNumberFormat="1" applyFont="1" applyBorder="1" applyAlignment="1" applyProtection="1">
      <alignment horizontal="left"/>
    </xf>
    <xf numFmtId="168" fontId="1" fillId="0" borderId="0" xfId="11" applyNumberFormat="1" applyBorder="1" applyAlignment="1" applyProtection="1">
      <alignment horizontal="center" vertical="top"/>
    </xf>
    <xf numFmtId="165" fontId="1" fillId="0" borderId="0" xfId="11" applyNumberFormat="1" applyAlignment="1" applyProtection="1">
      <alignment horizontal="right" vertical="top"/>
    </xf>
    <xf numFmtId="168" fontId="1" fillId="0" borderId="0" xfId="11" applyNumberFormat="1" applyBorder="1" applyAlignment="1">
      <alignment horizontal="center" vertical="top" wrapText="1"/>
    </xf>
    <xf numFmtId="165" fontId="106" fillId="0" borderId="0" xfId="11" applyFont="1" applyBorder="1"/>
    <xf numFmtId="165" fontId="106" fillId="0" borderId="0" xfId="11" applyFont="1" applyBorder="1" applyAlignment="1"/>
    <xf numFmtId="165" fontId="107" fillId="0" borderId="0" xfId="11" applyFont="1" applyBorder="1"/>
    <xf numFmtId="165" fontId="106" fillId="0" borderId="0" xfId="11" applyFont="1" applyBorder="1" applyAlignment="1">
      <alignment horizontal="center"/>
    </xf>
    <xf numFmtId="165" fontId="106" fillId="0" borderId="0" xfId="11" applyNumberFormat="1" applyFont="1" applyBorder="1" applyProtection="1"/>
    <xf numFmtId="165" fontId="106" fillId="0" borderId="0" xfId="11" applyFont="1" applyBorder="1" applyAlignment="1">
      <alignment horizontal="right"/>
    </xf>
    <xf numFmtId="165" fontId="108" fillId="0" borderId="0" xfId="11" applyFont="1" applyBorder="1" applyAlignment="1">
      <alignment wrapText="1"/>
    </xf>
    <xf numFmtId="165" fontId="106" fillId="0" borderId="0" xfId="11" applyFont="1" applyBorder="1" applyAlignment="1">
      <alignment wrapText="1"/>
    </xf>
    <xf numFmtId="171" fontId="106" fillId="0" borderId="0" xfId="11" applyNumberFormat="1" applyFont="1" applyBorder="1" applyAlignment="1"/>
    <xf numFmtId="165" fontId="106" fillId="0" borderId="0" xfId="11" applyNumberFormat="1" applyFont="1" applyBorder="1" applyAlignment="1"/>
    <xf numFmtId="165" fontId="106" fillId="0" borderId="0" xfId="11" applyNumberFormat="1" applyFont="1" applyBorder="1" applyAlignment="1" applyProtection="1">
      <alignment horizontal="fill"/>
    </xf>
    <xf numFmtId="165" fontId="108" fillId="0" borderId="0" xfId="11" applyFont="1" applyBorder="1"/>
    <xf numFmtId="165" fontId="106" fillId="0" borderId="0" xfId="11" applyFont="1" applyBorder="1" applyAlignment="1">
      <alignment horizontal="left"/>
    </xf>
    <xf numFmtId="165" fontId="109" fillId="0" borderId="0" xfId="11" applyFont="1" applyBorder="1" applyAlignment="1">
      <alignment horizontal="center" wrapText="1"/>
    </xf>
    <xf numFmtId="165" fontId="57" fillId="0" borderId="0" xfId="11" applyFont="1" applyBorder="1" applyAlignment="1">
      <alignment horizontal="center" wrapText="1"/>
    </xf>
    <xf numFmtId="2" fontId="57" fillId="0" borderId="0" xfId="11" applyNumberFormat="1" applyFont="1" applyBorder="1" applyAlignment="1">
      <alignment horizontal="center" vertical="center" wrapText="1"/>
    </xf>
    <xf numFmtId="165" fontId="56" fillId="0" borderId="0" xfId="11" applyFont="1" applyBorder="1" applyAlignment="1">
      <alignment horizontal="left" vertical="justify" wrapText="1"/>
    </xf>
    <xf numFmtId="165" fontId="56" fillId="0" borderId="0" xfId="11" applyFont="1" applyBorder="1"/>
    <xf numFmtId="165" fontId="57" fillId="0" borderId="0" xfId="11" applyFont="1" applyBorder="1" applyAlignment="1">
      <alignment horizontal="center" vertical="center" wrapText="1"/>
    </xf>
    <xf numFmtId="2" fontId="56" fillId="0" borderId="0" xfId="11" applyNumberFormat="1" applyFont="1" applyBorder="1"/>
    <xf numFmtId="164" fontId="57" fillId="0" borderId="0" xfId="11" applyNumberFormat="1" applyFont="1" applyBorder="1" applyAlignment="1">
      <alignment horizontal="center" vertical="center"/>
    </xf>
    <xf numFmtId="2" fontId="57" fillId="0" borderId="0" xfId="11" applyNumberFormat="1" applyFont="1" applyBorder="1" applyAlignment="1">
      <alignment horizontal="center" vertical="center"/>
    </xf>
    <xf numFmtId="165" fontId="57" fillId="0" borderId="0" xfId="11" applyFont="1" applyBorder="1" applyAlignment="1">
      <alignment horizontal="left" vertical="justify" wrapText="1"/>
    </xf>
    <xf numFmtId="165" fontId="56" fillId="0" borderId="0" xfId="11" applyFont="1" applyBorder="1" applyAlignment="1">
      <alignment horizontal="justify" vertical="justify" wrapText="1"/>
    </xf>
    <xf numFmtId="2" fontId="56" fillId="0" borderId="0" xfId="11" applyNumberFormat="1" applyFont="1" applyBorder="1" applyAlignment="1">
      <alignment horizontal="center" vertical="center"/>
    </xf>
    <xf numFmtId="165" fontId="56" fillId="0" borderId="0" xfId="11" applyFont="1" applyBorder="1" applyAlignment="1">
      <alignment horizontal="center" vertical="center"/>
    </xf>
    <xf numFmtId="165" fontId="56" fillId="0" borderId="0" xfId="11" applyFont="1" applyBorder="1" applyAlignment="1">
      <alignment horizontal="left" vertical="center"/>
    </xf>
    <xf numFmtId="2" fontId="111" fillId="0" borderId="0" xfId="11" applyNumberFormat="1" applyFont="1" applyBorder="1"/>
    <xf numFmtId="2" fontId="57" fillId="0" borderId="0" xfId="11" applyNumberFormat="1" applyFont="1" applyBorder="1"/>
    <xf numFmtId="165" fontId="57" fillId="0" borderId="0" xfId="11" applyFont="1" applyBorder="1" applyAlignment="1">
      <alignment horizontal="center" vertical="center"/>
    </xf>
    <xf numFmtId="165" fontId="57" fillId="0" borderId="0" xfId="11" applyFont="1" applyBorder="1" applyAlignment="1">
      <alignment horizontal="justify" vertical="justify" wrapText="1"/>
    </xf>
    <xf numFmtId="2" fontId="112" fillId="0" borderId="0" xfId="11" applyNumberFormat="1" applyFont="1" applyBorder="1"/>
    <xf numFmtId="165" fontId="56" fillId="0" borderId="0" xfId="11" applyFont="1" applyBorder="1" applyAlignment="1">
      <alignment horizontal="right"/>
    </xf>
    <xf numFmtId="2" fontId="56" fillId="0" borderId="0" xfId="11" quotePrefix="1" applyNumberFormat="1" applyFont="1" applyBorder="1"/>
    <xf numFmtId="2" fontId="56" fillId="0" borderId="0" xfId="11" applyNumberFormat="1" applyFont="1" applyBorder="1" applyAlignment="1">
      <alignment horizontal="right" vertical="center"/>
    </xf>
    <xf numFmtId="165" fontId="57" fillId="0" borderId="0" xfId="11" applyFont="1" applyBorder="1"/>
    <xf numFmtId="165" fontId="57" fillId="0" borderId="0" xfId="11" applyFont="1" applyBorder="1" applyAlignment="1">
      <alignment wrapText="1"/>
    </xf>
    <xf numFmtId="165" fontId="56" fillId="0" borderId="0" xfId="11" applyFont="1" applyBorder="1" applyAlignment="1">
      <alignment wrapText="1"/>
    </xf>
    <xf numFmtId="165" fontId="56" fillId="0" borderId="0" xfId="11" applyFont="1" applyBorder="1" applyAlignment="1">
      <alignment horizontal="right" wrapText="1"/>
    </xf>
    <xf numFmtId="165" fontId="57" fillId="0" borderId="0" xfId="11" applyFont="1" applyBorder="1" applyAlignment="1">
      <alignment horizontal="left" vertical="center" wrapText="1"/>
    </xf>
    <xf numFmtId="165" fontId="57" fillId="0" borderId="0" xfId="11" applyFont="1" applyBorder="1" applyAlignment="1">
      <alignment horizontal="left" wrapText="1"/>
    </xf>
    <xf numFmtId="165" fontId="113" fillId="0" borderId="0" xfId="11" applyNumberFormat="1" applyFont="1" applyAlignment="1" applyProtection="1">
      <alignment horizontal="center" vertical="center"/>
    </xf>
    <xf numFmtId="168" fontId="114" fillId="0" borderId="0" xfId="11" applyNumberFormat="1" applyFont="1" applyAlignment="1" applyProtection="1">
      <alignment horizontal="center"/>
    </xf>
    <xf numFmtId="165" fontId="45" fillId="0" borderId="0" xfId="11" applyFont="1" applyAlignment="1">
      <alignment horizontal="right" vertical="top"/>
    </xf>
    <xf numFmtId="165" fontId="115" fillId="0" borderId="0" xfId="11" applyFont="1" applyBorder="1" applyAlignment="1">
      <alignment horizontal="justify" vertical="top" wrapText="1"/>
    </xf>
    <xf numFmtId="170" fontId="116" fillId="0" borderId="0" xfId="11" applyNumberFormat="1" applyFont="1" applyAlignment="1">
      <alignment vertical="top"/>
    </xf>
    <xf numFmtId="165" fontId="1" fillId="0" borderId="0" xfId="11" applyAlignment="1">
      <alignment vertical="top"/>
    </xf>
    <xf numFmtId="168" fontId="116" fillId="0" borderId="0" xfId="11" applyNumberFormat="1" applyFont="1"/>
    <xf numFmtId="169" fontId="1" fillId="0" borderId="0" xfId="11" applyNumberFormat="1" applyAlignment="1">
      <alignment horizontal="center"/>
    </xf>
    <xf numFmtId="165" fontId="1" fillId="0" borderId="0" xfId="11" applyAlignment="1">
      <alignment horizontal="fill" vertical="top"/>
    </xf>
    <xf numFmtId="165" fontId="1" fillId="0" borderId="0" xfId="11" applyAlignment="1">
      <alignment horizontal="fill" vertical="top" wrapText="1"/>
    </xf>
    <xf numFmtId="165" fontId="1" fillId="0" borderId="0" xfId="11" applyNumberFormat="1" applyAlignment="1">
      <alignment vertical="top" wrapText="1"/>
    </xf>
    <xf numFmtId="168" fontId="29" fillId="0" borderId="0" xfId="11" applyNumberFormat="1" applyFont="1" applyAlignment="1">
      <alignment vertical="top"/>
    </xf>
    <xf numFmtId="165" fontId="14" fillId="0" borderId="0" xfId="11" applyFont="1" applyAlignment="1"/>
    <xf numFmtId="165" fontId="14" fillId="0" borderId="0" xfId="11" applyFont="1" applyAlignment="1">
      <alignment wrapText="1"/>
    </xf>
    <xf numFmtId="165" fontId="14" fillId="0" borderId="0" xfId="11" applyFont="1" applyAlignment="1">
      <alignment horizontal="center"/>
    </xf>
    <xf numFmtId="165" fontId="14" fillId="0" borderId="0" xfId="11" quotePrefix="1" applyFont="1" applyAlignment="1">
      <alignment vertical="top"/>
    </xf>
    <xf numFmtId="165" fontId="14" fillId="0" borderId="0" xfId="11" quotePrefix="1" applyFont="1"/>
    <xf numFmtId="168" fontId="7" fillId="0" borderId="0" xfId="11" applyNumberFormat="1" applyFont="1" applyAlignment="1">
      <alignment vertical="top"/>
    </xf>
    <xf numFmtId="165" fontId="1" fillId="0" borderId="0" xfId="11" applyFont="1" applyAlignment="1">
      <alignment horizontal="center"/>
    </xf>
    <xf numFmtId="165" fontId="1" fillId="0" borderId="0" xfId="11" applyFont="1" applyAlignment="1">
      <alignment vertical="top"/>
    </xf>
    <xf numFmtId="165" fontId="1" fillId="0" borderId="0" xfId="11" applyFont="1" applyAlignment="1">
      <alignment horizontal="left" vertical="top" wrapText="1"/>
    </xf>
    <xf numFmtId="170" fontId="7" fillId="0" borderId="0" xfId="11" applyNumberFormat="1" applyFont="1"/>
    <xf numFmtId="170" fontId="1" fillId="0" borderId="0" xfId="11" applyNumberFormat="1" applyAlignment="1">
      <alignment vertical="top"/>
    </xf>
    <xf numFmtId="168" fontId="1" fillId="0" borderId="0" xfId="11" applyNumberFormat="1" applyAlignment="1">
      <alignment vertical="top"/>
    </xf>
    <xf numFmtId="170" fontId="116" fillId="0" borderId="0" xfId="11" applyNumberFormat="1" applyFont="1"/>
    <xf numFmtId="165" fontId="116" fillId="0" borderId="0" xfId="11" applyFont="1"/>
    <xf numFmtId="165" fontId="117" fillId="0" borderId="0" xfId="11" applyFont="1" applyBorder="1" applyAlignment="1">
      <alignment horizontal="center" vertical="center"/>
    </xf>
    <xf numFmtId="165" fontId="7" fillId="0" borderId="0" xfId="11" applyFont="1" applyBorder="1" applyAlignment="1">
      <alignment horizontal="center"/>
    </xf>
    <xf numFmtId="165" fontId="7" fillId="0" borderId="0" xfId="11" applyFont="1" applyBorder="1" applyAlignment="1">
      <alignment horizontal="center" vertical="center"/>
    </xf>
    <xf numFmtId="165" fontId="7" fillId="0" borderId="0" xfId="11" applyFont="1" applyBorder="1" applyAlignment="1">
      <alignment vertical="top"/>
    </xf>
    <xf numFmtId="165" fontId="7" fillId="0" borderId="0" xfId="11" applyFont="1" applyBorder="1" applyAlignment="1">
      <alignment horizontal="left" vertical="top" wrapText="1"/>
    </xf>
    <xf numFmtId="165" fontId="1" fillId="0" borderId="0" xfId="11" applyBorder="1" applyAlignment="1">
      <alignment vertical="top"/>
    </xf>
    <xf numFmtId="165" fontId="1" fillId="0" borderId="0" xfId="11" applyBorder="1" applyAlignment="1">
      <alignment horizontal="left" vertical="top" wrapText="1"/>
    </xf>
    <xf numFmtId="165" fontId="1" fillId="0" borderId="0" xfId="11" applyBorder="1" applyAlignment="1">
      <alignment vertical="top" wrapText="1"/>
    </xf>
    <xf numFmtId="165" fontId="12" fillId="0" borderId="0" xfId="11" applyFont="1" applyBorder="1" applyAlignment="1">
      <alignment horizontal="left" vertical="top"/>
    </xf>
    <xf numFmtId="165" fontId="13" fillId="0" borderId="0" xfId="11" applyFont="1" applyBorder="1" applyAlignment="1">
      <alignment horizontal="left" vertical="top"/>
    </xf>
    <xf numFmtId="166" fontId="1" fillId="0" borderId="0" xfId="11" applyNumberFormat="1" applyBorder="1" applyAlignment="1">
      <alignment horizontal="left" vertical="top"/>
    </xf>
    <xf numFmtId="165" fontId="34" fillId="0" borderId="0" xfId="11" applyFont="1" applyBorder="1" applyAlignment="1">
      <alignment horizontal="left" vertical="top"/>
    </xf>
    <xf numFmtId="12" fontId="1" fillId="0" borderId="0" xfId="11" applyNumberFormat="1" applyBorder="1" applyAlignment="1">
      <alignment horizontal="left" vertical="top"/>
    </xf>
    <xf numFmtId="165" fontId="1" fillId="0" borderId="0" xfId="11" applyBorder="1" applyAlignment="1">
      <alignment horizontal="right" vertical="top"/>
    </xf>
    <xf numFmtId="165" fontId="118" fillId="0" borderId="0" xfId="11" applyFont="1" applyBorder="1" applyAlignment="1">
      <alignment horizontal="left" vertical="top"/>
    </xf>
    <xf numFmtId="165" fontId="7" fillId="0" borderId="0" xfId="11" applyFont="1" applyBorder="1" applyAlignment="1">
      <alignment horizontal="right" vertical="top"/>
    </xf>
    <xf numFmtId="165" fontId="7" fillId="0" borderId="0" xfId="11" applyFont="1" applyBorder="1" applyAlignment="1">
      <alignment horizontal="left" vertical="top"/>
    </xf>
    <xf numFmtId="165" fontId="1" fillId="2" borderId="0" xfId="11" applyFill="1" applyBorder="1" applyAlignment="1">
      <alignment horizontal="left" vertical="top"/>
    </xf>
    <xf numFmtId="165" fontId="80" fillId="0" borderId="0" xfId="11" applyFont="1" applyBorder="1" applyAlignment="1">
      <alignment horizontal="left" vertical="top"/>
    </xf>
    <xf numFmtId="165" fontId="7" fillId="0" borderId="0" xfId="11" applyFont="1" applyBorder="1" applyAlignment="1">
      <alignment horizontal="left" wrapText="1"/>
    </xf>
    <xf numFmtId="165" fontId="7" fillId="0" borderId="0" xfId="11" applyFont="1" applyFill="1" applyBorder="1" applyAlignment="1">
      <alignment horizontal="left" vertical="top"/>
    </xf>
    <xf numFmtId="165" fontId="1" fillId="0" borderId="0" xfId="11" applyFill="1" applyBorder="1" applyAlignment="1">
      <alignment horizontal="left" vertical="top"/>
    </xf>
    <xf numFmtId="165" fontId="22" fillId="0" borderId="0" xfId="11" applyFont="1" applyBorder="1" applyAlignment="1">
      <alignment horizontal="left" vertical="top"/>
    </xf>
    <xf numFmtId="169" fontId="1" fillId="0" borderId="0" xfId="11" applyNumberFormat="1" applyBorder="1" applyAlignment="1">
      <alignment horizontal="left" vertical="top"/>
    </xf>
    <xf numFmtId="165" fontId="1" fillId="2" borderId="0" xfId="11" applyFont="1" applyFill="1" applyBorder="1" applyAlignment="1">
      <alignment horizontal="left" vertical="top"/>
    </xf>
    <xf numFmtId="165" fontId="54" fillId="0" borderId="0" xfId="11" applyFont="1" applyBorder="1" applyAlignment="1">
      <alignment horizontal="left" vertical="top"/>
    </xf>
    <xf numFmtId="165" fontId="80" fillId="0" borderId="0" xfId="11" applyFont="1" applyBorder="1" applyAlignment="1">
      <alignment horizontal="center" vertical="top"/>
    </xf>
    <xf numFmtId="165" fontId="1" fillId="0" borderId="0" xfId="11" applyFont="1" applyBorder="1" applyAlignment="1">
      <alignment horizontal="left" vertical="top"/>
    </xf>
    <xf numFmtId="165" fontId="1" fillId="5" borderId="0" xfId="11" applyFill="1" applyBorder="1" applyAlignment="1">
      <alignment horizontal="left" vertical="top"/>
    </xf>
    <xf numFmtId="165" fontId="7" fillId="5" borderId="0" xfId="11" applyFont="1" applyFill="1" applyBorder="1" applyAlignment="1">
      <alignment horizontal="left" vertical="top"/>
    </xf>
    <xf numFmtId="165" fontId="1" fillId="5" borderId="0" xfId="11" applyFill="1" applyBorder="1"/>
    <xf numFmtId="165" fontId="1" fillId="2" borderId="0" xfId="11" applyFill="1" applyBorder="1" applyAlignment="1">
      <alignment vertical="top" wrapText="1"/>
    </xf>
    <xf numFmtId="165" fontId="1" fillId="0" borderId="0" xfId="11" applyFont="1" applyBorder="1" applyAlignment="1">
      <alignment horizontal="left" vertical="top" wrapText="1"/>
    </xf>
    <xf numFmtId="165" fontId="1" fillId="2" borderId="0" xfId="11" applyFill="1" applyBorder="1" applyAlignment="1">
      <alignment horizontal="left" vertical="top" wrapText="1"/>
    </xf>
    <xf numFmtId="165" fontId="13" fillId="2" borderId="0" xfId="11" applyFont="1" applyFill="1" applyBorder="1" applyAlignment="1">
      <alignment horizontal="left" vertical="top"/>
    </xf>
    <xf numFmtId="165" fontId="1" fillId="2" borderId="0" xfId="11" applyFill="1" applyBorder="1"/>
    <xf numFmtId="165" fontId="22" fillId="2" borderId="0" xfId="11" applyFont="1" applyFill="1" applyBorder="1" applyAlignment="1">
      <alignment horizontal="left" vertical="top"/>
    </xf>
    <xf numFmtId="165" fontId="7" fillId="2" borderId="0" xfId="11" applyFont="1" applyFill="1" applyBorder="1" applyAlignment="1">
      <alignment horizontal="left" vertical="top"/>
    </xf>
    <xf numFmtId="165" fontId="7" fillId="2" borderId="0" xfId="11" applyFont="1" applyFill="1" applyBorder="1" applyAlignment="1">
      <alignment horizontal="left" vertical="top" wrapText="1"/>
    </xf>
    <xf numFmtId="165" fontId="1" fillId="2" borderId="0" xfId="11" applyFont="1" applyFill="1" applyBorder="1" applyAlignment="1">
      <alignment horizontal="left" vertical="top" wrapText="1"/>
    </xf>
    <xf numFmtId="165" fontId="1" fillId="6" borderId="0" xfId="11" applyFont="1" applyFill="1" applyBorder="1" applyAlignment="1">
      <alignment horizontal="left" vertical="top"/>
    </xf>
    <xf numFmtId="165" fontId="1" fillId="6" borderId="0" xfId="11" applyFill="1" applyBorder="1" applyAlignment="1">
      <alignment horizontal="left" vertical="top" wrapText="1"/>
    </xf>
    <xf numFmtId="165" fontId="13" fillId="6" borderId="0" xfId="11" applyFont="1" applyFill="1" applyBorder="1" applyAlignment="1">
      <alignment horizontal="left" vertical="top"/>
    </xf>
    <xf numFmtId="165" fontId="1" fillId="6" borderId="0" xfId="11" applyFont="1" applyFill="1" applyBorder="1" applyAlignment="1">
      <alignment horizontal="left" vertical="top" wrapText="1"/>
    </xf>
    <xf numFmtId="165" fontId="7" fillId="2" borderId="0" xfId="11" applyFont="1" applyFill="1" applyBorder="1" applyAlignment="1">
      <alignment horizontal="right" vertical="top"/>
    </xf>
    <xf numFmtId="165" fontId="22" fillId="2" borderId="0" xfId="11" applyFont="1" applyFill="1" applyBorder="1"/>
    <xf numFmtId="165" fontId="1" fillId="5" borderId="0" xfId="11" applyFont="1" applyFill="1" applyBorder="1" applyAlignment="1">
      <alignment horizontal="left" vertical="top"/>
    </xf>
    <xf numFmtId="165" fontId="1" fillId="5" borderId="0" xfId="11" applyFont="1" applyFill="1" applyBorder="1"/>
    <xf numFmtId="165" fontId="1" fillId="5" borderId="0" xfId="11" applyFill="1" applyBorder="1" applyAlignment="1">
      <alignment horizontal="left" vertical="top" wrapText="1"/>
    </xf>
    <xf numFmtId="167" fontId="1" fillId="5" borderId="0" xfId="11" applyNumberFormat="1" applyFont="1" applyFill="1" applyBorder="1" applyAlignment="1">
      <alignment horizontal="left" vertical="top"/>
    </xf>
    <xf numFmtId="165" fontId="1" fillId="5" borderId="0" xfId="11" applyFont="1" applyFill="1" applyBorder="1" applyAlignment="1">
      <alignment vertical="top"/>
    </xf>
    <xf numFmtId="165" fontId="102" fillId="2" borderId="0" xfId="11" applyFont="1" applyFill="1" applyBorder="1" applyAlignment="1">
      <alignment horizontal="left" vertical="top"/>
    </xf>
    <xf numFmtId="165" fontId="7" fillId="0" borderId="0" xfId="11" applyFont="1" applyBorder="1" applyAlignment="1">
      <alignment horizontal="center" vertical="top"/>
    </xf>
    <xf numFmtId="165" fontId="15" fillId="0" borderId="0" xfId="11" applyFont="1" applyBorder="1" applyAlignment="1">
      <alignment horizontal="left" vertical="top"/>
    </xf>
    <xf numFmtId="169" fontId="1" fillId="0" borderId="0" xfId="11" applyNumberFormat="1" applyFont="1" applyBorder="1" applyAlignment="1">
      <alignment horizontal="left" vertical="top"/>
    </xf>
    <xf numFmtId="165" fontId="13" fillId="2" borderId="0" xfId="11" applyFont="1" applyFill="1" applyBorder="1"/>
    <xf numFmtId="165" fontId="1" fillId="5" borderId="0" xfId="11" applyFont="1" applyFill="1" applyBorder="1" applyAlignment="1">
      <alignment horizontal="left" vertical="top" wrapText="1"/>
    </xf>
    <xf numFmtId="171" fontId="1" fillId="0" borderId="0" xfId="11" applyNumberFormat="1" applyBorder="1" applyAlignment="1">
      <alignment horizontal="left" vertical="top"/>
    </xf>
    <xf numFmtId="165" fontId="13" fillId="0" borderId="0" xfId="11" applyFont="1" applyBorder="1" applyAlignment="1">
      <alignment horizontal="left"/>
    </xf>
    <xf numFmtId="165" fontId="1" fillId="5" borderId="0" xfId="11" applyFont="1" applyFill="1" applyBorder="1" applyAlignment="1">
      <alignment horizontal="right" vertical="top"/>
    </xf>
    <xf numFmtId="165" fontId="7" fillId="5" borderId="0" xfId="11" applyFont="1" applyFill="1" applyBorder="1" applyAlignment="1">
      <alignment horizontal="right" vertical="top"/>
    </xf>
    <xf numFmtId="165" fontId="35" fillId="2" borderId="0" xfId="11" applyFont="1" applyFill="1" applyBorder="1" applyAlignment="1">
      <alignment horizontal="left" vertical="top"/>
    </xf>
    <xf numFmtId="165" fontId="35" fillId="2" borderId="0" xfId="11" applyFont="1" applyFill="1" applyBorder="1"/>
    <xf numFmtId="165" fontId="1" fillId="2" borderId="0" xfId="11" applyFill="1" applyBorder="1" applyAlignment="1">
      <alignment horizontal="right" vertical="top"/>
    </xf>
    <xf numFmtId="165" fontId="12" fillId="2" borderId="0" xfId="11" applyFont="1" applyFill="1" applyBorder="1" applyAlignment="1">
      <alignment horizontal="left" vertical="top"/>
    </xf>
    <xf numFmtId="165" fontId="23" fillId="2" borderId="0" xfId="11" applyFont="1" applyFill="1" applyBorder="1" applyAlignment="1">
      <alignment horizontal="left" vertical="top"/>
    </xf>
    <xf numFmtId="165" fontId="119" fillId="2" borderId="0" xfId="11" applyFont="1" applyFill="1" applyBorder="1" applyAlignment="1">
      <alignment horizontal="right" vertical="top"/>
    </xf>
    <xf numFmtId="165" fontId="119" fillId="2" borderId="0" xfId="11" applyFont="1" applyFill="1" applyBorder="1" applyAlignment="1">
      <alignment horizontal="left" vertical="top"/>
    </xf>
    <xf numFmtId="165" fontId="23" fillId="2" borderId="0" xfId="11" applyFont="1" applyFill="1" applyBorder="1"/>
    <xf numFmtId="165" fontId="67" fillId="11" borderId="0" xfId="11" applyFont="1" applyFill="1" applyBorder="1"/>
    <xf numFmtId="165" fontId="62" fillId="11" borderId="0" xfId="11" applyFont="1" applyFill="1" applyBorder="1" applyAlignment="1">
      <alignment horizontal="left" vertical="top"/>
    </xf>
    <xf numFmtId="165" fontId="62" fillId="11" borderId="0" xfId="11" applyFont="1" applyFill="1" applyBorder="1" applyAlignment="1">
      <alignment horizontal="right" vertical="top"/>
    </xf>
    <xf numFmtId="165" fontId="62" fillId="11" borderId="0" xfId="11" applyFont="1" applyFill="1" applyBorder="1" applyAlignment="1">
      <alignment horizontal="left" vertical="top" wrapText="1"/>
    </xf>
    <xf numFmtId="165" fontId="84" fillId="11" borderId="0" xfId="11" applyFont="1" applyFill="1" applyBorder="1" applyAlignment="1">
      <alignment horizontal="right" vertical="top"/>
    </xf>
    <xf numFmtId="165" fontId="121" fillId="11" borderId="0" xfId="11" applyFont="1" applyFill="1" applyBorder="1" applyAlignment="1">
      <alignment horizontal="left" vertical="top"/>
    </xf>
    <xf numFmtId="165" fontId="84" fillId="11" borderId="0" xfId="11" applyFont="1" applyFill="1" applyBorder="1" applyAlignment="1">
      <alignment horizontal="left" vertical="top"/>
    </xf>
    <xf numFmtId="169" fontId="62" fillId="11" borderId="0" xfId="11" applyNumberFormat="1" applyFont="1" applyFill="1" applyBorder="1" applyAlignment="1">
      <alignment horizontal="left" vertical="top"/>
    </xf>
    <xf numFmtId="165" fontId="67" fillId="11" borderId="0" xfId="11" applyFont="1" applyFill="1" applyBorder="1" applyAlignment="1">
      <alignment horizontal="left" vertical="top"/>
    </xf>
    <xf numFmtId="165" fontId="62" fillId="11" borderId="0" xfId="11" applyFont="1" applyFill="1" applyBorder="1" applyAlignment="1">
      <alignment vertical="top" wrapText="1"/>
    </xf>
    <xf numFmtId="165" fontId="67" fillId="11" borderId="0" xfId="11" applyFont="1" applyFill="1" applyBorder="1" applyAlignment="1">
      <alignment vertical="top"/>
    </xf>
    <xf numFmtId="165" fontId="18" fillId="0" borderId="0" xfId="11" applyFont="1" applyBorder="1" applyAlignment="1">
      <alignment horizontal="left" vertical="top"/>
    </xf>
    <xf numFmtId="169" fontId="1" fillId="0" borderId="0" xfId="11" applyNumberFormat="1" applyBorder="1"/>
    <xf numFmtId="165" fontId="7" fillId="0" borderId="0" xfId="11" applyNumberFormat="1" applyFont="1" applyBorder="1" applyAlignment="1">
      <alignment horizontal="left" vertical="top"/>
    </xf>
    <xf numFmtId="165" fontId="123" fillId="0" borderId="0" xfId="11" applyFont="1" applyBorder="1" applyAlignment="1">
      <alignment horizontal="left" vertical="top" wrapText="1"/>
    </xf>
    <xf numFmtId="165" fontId="116" fillId="0" borderId="0" xfId="11" applyFont="1" applyBorder="1" applyAlignment="1">
      <alignment horizontal="center" vertical="top"/>
    </xf>
    <xf numFmtId="165" fontId="116" fillId="0" borderId="0" xfId="11" applyFont="1" applyBorder="1" applyAlignment="1">
      <alignment vertical="top"/>
    </xf>
    <xf numFmtId="165" fontId="116" fillId="0" borderId="0" xfId="11" applyFont="1" applyFill="1" applyBorder="1" applyAlignment="1">
      <alignment vertical="top"/>
    </xf>
    <xf numFmtId="165" fontId="116" fillId="0" borderId="0" xfId="11" applyFont="1" applyBorder="1" applyAlignment="1">
      <alignment horizontal="left" vertical="top"/>
    </xf>
    <xf numFmtId="165" fontId="116" fillId="0" borderId="0" xfId="11" applyFont="1" applyBorder="1"/>
    <xf numFmtId="165" fontId="43" fillId="0" borderId="0" xfId="11" applyFont="1" applyFill="1" applyBorder="1" applyAlignment="1">
      <alignment horizontal="center" vertical="top"/>
    </xf>
    <xf numFmtId="165" fontId="43" fillId="0" borderId="4" xfId="11" applyFont="1" applyBorder="1"/>
    <xf numFmtId="165" fontId="43" fillId="0" borderId="0" xfId="11" applyFont="1" applyFill="1" applyBorder="1" applyAlignment="1">
      <alignment vertical="top"/>
    </xf>
    <xf numFmtId="165" fontId="43" fillId="0" borderId="0" xfId="11" applyFont="1" applyBorder="1" applyAlignment="1">
      <alignment horizontal="center" vertical="top"/>
    </xf>
    <xf numFmtId="165" fontId="116" fillId="0" borderId="0" xfId="11" applyFont="1" applyBorder="1" applyAlignment="1">
      <alignment horizontal="center"/>
    </xf>
    <xf numFmtId="165" fontId="20" fillId="0" borderId="0" xfId="11" applyFont="1" applyBorder="1" applyAlignment="1">
      <alignment horizontal="left" vertical="top"/>
    </xf>
    <xf numFmtId="165" fontId="7" fillId="0" borderId="0" xfId="11" applyFont="1" applyBorder="1" applyAlignment="1">
      <alignment horizontal="left" vertical="center"/>
    </xf>
    <xf numFmtId="165" fontId="13" fillId="5" borderId="0" xfId="11" applyFont="1" applyFill="1" applyBorder="1" applyAlignment="1">
      <alignment horizontal="left" vertical="top"/>
    </xf>
    <xf numFmtId="165" fontId="43" fillId="0" borderId="0" xfId="11" applyFont="1" applyBorder="1" applyAlignment="1">
      <alignment horizontal="left" vertical="top"/>
    </xf>
    <xf numFmtId="165" fontId="1" fillId="0" borderId="0" xfId="11" quotePrefix="1" applyBorder="1" applyAlignment="1">
      <alignment horizontal="left" vertical="top"/>
    </xf>
    <xf numFmtId="2" fontId="2" fillId="0" borderId="0" xfId="11" applyNumberFormat="1" applyFont="1" applyFill="1" applyBorder="1" applyAlignment="1">
      <alignment horizontal="right" vertical="top" wrapText="1"/>
    </xf>
    <xf numFmtId="49" fontId="2" fillId="0" borderId="0" xfId="11" applyNumberFormat="1" applyFont="1" applyFill="1" applyBorder="1" applyAlignment="1">
      <alignment horizontal="left" vertical="top" wrapText="1"/>
    </xf>
    <xf numFmtId="0" fontId="3" fillId="0" borderId="0" xfId="11" applyNumberFormat="1" applyFont="1" applyFill="1" applyBorder="1" applyAlignment="1">
      <alignment horizontal="center" vertical="top" wrapText="1"/>
    </xf>
    <xf numFmtId="2" fontId="2" fillId="0" borderId="0" xfId="11" applyNumberFormat="1" applyFont="1" applyFill="1" applyBorder="1" applyAlignment="1">
      <alignment horizontal="center" vertical="top" wrapText="1"/>
    </xf>
    <xf numFmtId="2" fontId="3" fillId="0" borderId="0" xfId="11" applyNumberFormat="1" applyFont="1" applyFill="1" applyBorder="1" applyAlignment="1">
      <alignment horizontal="right" vertical="top" wrapText="1"/>
    </xf>
    <xf numFmtId="0" fontId="2" fillId="0" borderId="0" xfId="11" applyNumberFormat="1" applyFont="1" applyFill="1" applyBorder="1" applyAlignment="1">
      <alignment horizontal="left" vertical="top" wrapText="1"/>
    </xf>
    <xf numFmtId="0" fontId="3" fillId="0" borderId="0" xfId="11" applyNumberFormat="1" applyFont="1" applyFill="1" applyBorder="1" applyAlignment="1">
      <alignment horizontal="left" vertical="top" wrapText="1"/>
    </xf>
    <xf numFmtId="164" fontId="2" fillId="0" borderId="0" xfId="11" applyNumberFormat="1" applyFont="1" applyFill="1" applyBorder="1" applyAlignment="1">
      <alignment horizontal="right" vertical="top" wrapText="1"/>
    </xf>
    <xf numFmtId="173" fontId="2" fillId="0" borderId="0" xfId="11" applyNumberFormat="1" applyFont="1" applyFill="1" applyBorder="1" applyAlignment="1">
      <alignment horizontal="right" vertical="top" wrapText="1"/>
    </xf>
    <xf numFmtId="1" fontId="2" fillId="0" borderId="0" xfId="11" applyNumberFormat="1" applyFont="1" applyFill="1" applyBorder="1" applyAlignment="1">
      <alignment horizontal="right" vertical="top" wrapText="1"/>
    </xf>
    <xf numFmtId="2" fontId="2" fillId="0" borderId="0" xfId="11" applyNumberFormat="1" applyFont="1" applyFill="1" applyBorder="1" applyAlignment="1">
      <alignment horizontal="right" vertical="center" wrapText="1"/>
    </xf>
    <xf numFmtId="49" fontId="2" fillId="0" borderId="0" xfId="11" applyNumberFormat="1" applyFont="1" applyFill="1" applyBorder="1" applyAlignment="1">
      <alignment horizontal="center" vertical="top" wrapText="1"/>
    </xf>
    <xf numFmtId="173" fontId="2" fillId="2" borderId="0" xfId="11" applyNumberFormat="1" applyFont="1" applyFill="1" applyBorder="1" applyAlignment="1">
      <alignment horizontal="right" vertical="top" wrapText="1"/>
    </xf>
    <xf numFmtId="49" fontId="2" fillId="2" borderId="0" xfId="11" applyNumberFormat="1" applyFont="1" applyFill="1" applyBorder="1" applyAlignment="1">
      <alignment horizontal="left" vertical="top" wrapText="1"/>
    </xf>
    <xf numFmtId="2" fontId="2" fillId="2" borderId="0" xfId="11" applyNumberFormat="1" applyFont="1" applyFill="1" applyBorder="1" applyAlignment="1">
      <alignment horizontal="right" vertical="top" wrapText="1"/>
    </xf>
    <xf numFmtId="49" fontId="2" fillId="2" borderId="0" xfId="11" applyNumberFormat="1" applyFont="1" applyFill="1" applyBorder="1" applyAlignment="1">
      <alignment horizontal="center" vertical="top" wrapText="1"/>
    </xf>
    <xf numFmtId="0" fontId="2" fillId="0" borderId="0" xfId="11" applyNumberFormat="1" applyFont="1" applyFill="1" applyBorder="1" applyAlignment="1">
      <alignment horizontal="justify" vertical="top" wrapText="1"/>
    </xf>
    <xf numFmtId="0" fontId="2" fillId="0" borderId="0" xfId="11" applyNumberFormat="1" applyFont="1" applyFill="1" applyBorder="1" applyAlignment="1">
      <alignment horizontal="center" vertical="top" wrapText="1"/>
    </xf>
    <xf numFmtId="2" fontId="3" fillId="2" borderId="0" xfId="11" applyNumberFormat="1" applyFont="1" applyFill="1" applyBorder="1" applyAlignment="1">
      <alignment horizontal="right" vertical="top" wrapText="1"/>
    </xf>
    <xf numFmtId="2" fontId="99" fillId="0" borderId="2" xfId="2" applyNumberFormat="1" applyFont="1" applyFill="1" applyBorder="1" applyAlignment="1">
      <alignment vertical="center" wrapText="1"/>
    </xf>
    <xf numFmtId="0" fontId="96" fillId="0" borderId="2" xfId="0" applyFont="1" applyFill="1" applyBorder="1" applyAlignment="1">
      <alignment horizontal="left" vertical="center" wrapText="1"/>
    </xf>
    <xf numFmtId="165" fontId="1" fillId="0" borderId="0" xfId="11" applyAlignment="1">
      <alignment horizontal="center"/>
    </xf>
    <xf numFmtId="165" fontId="1" fillId="0" borderId="0" xfId="11" applyNumberFormat="1" applyAlignment="1" applyProtection="1">
      <alignment horizontal="center"/>
    </xf>
    <xf numFmtId="165" fontId="1" fillId="0" borderId="0" xfId="11" applyNumberFormat="1" applyAlignment="1" applyProtection="1">
      <alignment horizontal="center"/>
    </xf>
    <xf numFmtId="165" fontId="1" fillId="0" borderId="0" xfId="11" applyNumberFormat="1" applyAlignment="1" applyProtection="1">
      <alignment horizontal="center" wrapText="1"/>
    </xf>
    <xf numFmtId="0" fontId="98" fillId="0" borderId="2" xfId="0" applyNumberFormat="1" applyFont="1" applyBorder="1" applyAlignment="1">
      <alignment horizontal="center" vertical="center" wrapText="1"/>
    </xf>
    <xf numFmtId="0" fontId="93" fillId="0" borderId="0" xfId="0" applyNumberFormat="1" applyFont="1" applyAlignment="1">
      <alignment horizontal="center" vertical="center"/>
    </xf>
    <xf numFmtId="0" fontId="93" fillId="0" borderId="0" xfId="0" applyNumberFormat="1" applyFont="1" applyAlignment="1">
      <alignment horizontal="center" vertical="center" wrapText="1"/>
    </xf>
    <xf numFmtId="165" fontId="1" fillId="0" borderId="0" xfId="11" applyNumberFormat="1" applyAlignment="1" applyProtection="1">
      <alignment horizontal="center"/>
    </xf>
    <xf numFmtId="165" fontId="1" fillId="0" borderId="0" xfId="11" applyNumberFormat="1" applyAlignment="1" applyProtection="1">
      <alignment horizontal="fill" wrapText="1"/>
    </xf>
    <xf numFmtId="165" fontId="0" fillId="0" borderId="0" xfId="0" applyNumberFormat="1" applyAlignment="1">
      <alignment wrapText="1"/>
    </xf>
    <xf numFmtId="165" fontId="22" fillId="0" borderId="0" xfId="11" applyNumberFormat="1" applyFont="1" applyAlignment="1" applyProtection="1">
      <alignment horizontal="left" wrapText="1"/>
    </xf>
    <xf numFmtId="165" fontId="71" fillId="0" borderId="0" xfId="11" applyFont="1" applyAlignment="1">
      <alignment wrapText="1"/>
    </xf>
    <xf numFmtId="165" fontId="102" fillId="2" borderId="0" xfId="11" applyFont="1" applyFill="1" applyBorder="1" applyAlignment="1">
      <alignment horizontal="left" vertical="top" wrapText="1"/>
    </xf>
    <xf numFmtId="165" fontId="118" fillId="0" borderId="0" xfId="11" applyFont="1" applyBorder="1" applyAlignment="1">
      <alignment horizontal="left" vertical="top" wrapText="1"/>
    </xf>
    <xf numFmtId="165" fontId="1" fillId="0" borderId="0" xfId="11" applyBorder="1" applyAlignment="1">
      <alignment horizontal="right" vertical="top" wrapText="1"/>
    </xf>
    <xf numFmtId="165" fontId="7" fillId="0" borderId="0" xfId="11" applyFont="1" applyBorder="1" applyAlignment="1">
      <alignment horizontal="right" vertical="top" wrapText="1"/>
    </xf>
    <xf numFmtId="165" fontId="1" fillId="4" borderId="0" xfId="11" applyNumberFormat="1" applyFill="1" applyAlignment="1" applyProtection="1">
      <alignment horizontal="left" wrapText="1"/>
    </xf>
    <xf numFmtId="165" fontId="22" fillId="4" borderId="0" xfId="11" applyNumberFormat="1" applyFont="1" applyFill="1" applyAlignment="1" applyProtection="1">
      <alignment horizontal="left" wrapText="1"/>
    </xf>
    <xf numFmtId="165" fontId="22" fillId="6" borderId="0" xfId="11" applyNumberFormat="1" applyFont="1" applyFill="1" applyAlignment="1" applyProtection="1">
      <alignment wrapText="1"/>
    </xf>
    <xf numFmtId="0" fontId="0" fillId="0" borderId="0" xfId="0" applyAlignment="1">
      <alignment wrapText="1"/>
    </xf>
    <xf numFmtId="165" fontId="1" fillId="0" borderId="0" xfId="11" applyNumberFormat="1" applyAlignment="1" applyProtection="1">
      <alignment horizontal="center"/>
    </xf>
    <xf numFmtId="165" fontId="1" fillId="0" borderId="0" xfId="11" applyAlignment="1">
      <alignment horizontal="center"/>
    </xf>
    <xf numFmtId="0" fontId="126" fillId="0" borderId="2" xfId="0" applyNumberFormat="1" applyFont="1" applyBorder="1" applyAlignment="1">
      <alignment horizontal="center" vertical="center" wrapText="1"/>
    </xf>
    <xf numFmtId="2" fontId="126" fillId="0" borderId="2" xfId="0" applyNumberFormat="1" applyFont="1" applyBorder="1" applyAlignment="1">
      <alignment horizontal="center" vertical="center" wrapText="1"/>
    </xf>
    <xf numFmtId="0" fontId="126" fillId="0" borderId="2" xfId="0" applyFont="1" applyBorder="1" applyAlignment="1">
      <alignment horizontal="center" vertical="center" wrapText="1"/>
    </xf>
    <xf numFmtId="0" fontId="126" fillId="0" borderId="5" xfId="0" applyFont="1" applyBorder="1" applyAlignment="1">
      <alignment horizontal="center" vertical="center" wrapText="1"/>
    </xf>
    <xf numFmtId="2" fontId="101" fillId="0" borderId="2" xfId="6" applyNumberFormat="1" applyFont="1" applyBorder="1" applyAlignment="1">
      <alignment horizontal="center" vertical="center" wrapText="1"/>
    </xf>
    <xf numFmtId="2" fontId="125" fillId="0" borderId="2" xfId="6" applyNumberFormat="1" applyFont="1" applyBorder="1" applyAlignment="1">
      <alignment horizontal="left" vertical="center" wrapText="1"/>
    </xf>
    <xf numFmtId="2" fontId="125" fillId="0" borderId="2" xfId="6" applyNumberFormat="1" applyFont="1" applyBorder="1" applyAlignment="1">
      <alignment vertical="center" wrapText="1"/>
    </xf>
    <xf numFmtId="2" fontId="98" fillId="0" borderId="2" xfId="0" applyNumberFormat="1" applyFont="1" applyBorder="1" applyAlignment="1">
      <alignment horizontal="center" vertical="top" wrapText="1"/>
    </xf>
    <xf numFmtId="0" fontId="98" fillId="0" borderId="2" xfId="0" applyFont="1" applyBorder="1" applyAlignment="1">
      <alignment horizontal="center" vertical="top" wrapText="1"/>
    </xf>
    <xf numFmtId="2" fontId="125" fillId="0" borderId="2" xfId="6" applyNumberFormat="1" applyFont="1" applyBorder="1" applyAlignment="1">
      <alignment vertical="top" wrapText="1"/>
    </xf>
    <xf numFmtId="0" fontId="101" fillId="0" borderId="2" xfId="0" applyFont="1" applyFill="1" applyBorder="1" applyAlignment="1">
      <alignment horizontal="center" vertical="top" wrapText="1"/>
    </xf>
    <xf numFmtId="170" fontId="0" fillId="0" borderId="0" xfId="0" applyNumberFormat="1"/>
    <xf numFmtId="165" fontId="0" fillId="0" borderId="0" xfId="0" applyNumberFormat="1" applyAlignment="1">
      <alignment vertical="center"/>
    </xf>
    <xf numFmtId="0" fontId="0" fillId="0" borderId="0" xfId="0" applyAlignment="1">
      <alignment vertical="center"/>
    </xf>
    <xf numFmtId="166" fontId="0" fillId="0" borderId="0" xfId="0" applyNumberFormat="1" applyAlignment="1">
      <alignment vertical="center"/>
    </xf>
    <xf numFmtId="169" fontId="0" fillId="0" borderId="0" xfId="0" applyNumberFormat="1" applyAlignment="1">
      <alignment vertical="center"/>
    </xf>
    <xf numFmtId="165" fontId="0" fillId="0" borderId="0" xfId="0" applyNumberFormat="1" applyAlignment="1">
      <alignment vertical="center" wrapText="1"/>
    </xf>
    <xf numFmtId="168" fontId="0" fillId="0" borderId="0" xfId="0" applyNumberFormat="1" applyAlignment="1">
      <alignment vertical="center"/>
    </xf>
    <xf numFmtId="170" fontId="0" fillId="0" borderId="0" xfId="0" applyNumberFormat="1" applyAlignment="1">
      <alignment vertical="center"/>
    </xf>
    <xf numFmtId="2" fontId="0" fillId="0" borderId="0" xfId="0" applyNumberFormat="1" applyAlignment="1">
      <alignment vertical="center"/>
    </xf>
    <xf numFmtId="0" fontId="126" fillId="5" borderId="2" xfId="0" applyNumberFormat="1" applyFont="1" applyFill="1" applyBorder="1" applyAlignment="1">
      <alignment horizontal="center" vertical="center" wrapText="1"/>
    </xf>
    <xf numFmtId="2" fontId="127" fillId="0" borderId="2" xfId="0" applyNumberFormat="1" applyFont="1" applyFill="1" applyBorder="1" applyAlignment="1">
      <alignment horizontal="center" vertical="center"/>
    </xf>
    <xf numFmtId="0" fontId="129" fillId="0" borderId="2" xfId="0" applyFont="1" applyFill="1" applyBorder="1" applyAlignment="1">
      <alignment horizontal="left" vertical="center"/>
    </xf>
    <xf numFmtId="0" fontId="0" fillId="0" borderId="0" xfId="0" applyFont="1" applyAlignment="1">
      <alignment horizontal="center" vertical="center"/>
    </xf>
    <xf numFmtId="0" fontId="0" fillId="0" borderId="0" xfId="0" applyNumberFormat="1" applyFont="1" applyAlignment="1">
      <alignment horizontal="center" vertical="center"/>
    </xf>
    <xf numFmtId="2" fontId="0" fillId="0" borderId="0" xfId="0" applyNumberFormat="1" applyFont="1" applyAlignment="1">
      <alignment horizontal="center" vertical="center"/>
    </xf>
    <xf numFmtId="0" fontId="129" fillId="0" borderId="2" xfId="0" applyNumberFormat="1" applyFont="1" applyFill="1" applyBorder="1" applyAlignment="1">
      <alignment horizontal="center" vertical="center" wrapText="1"/>
    </xf>
    <xf numFmtId="2" fontId="129" fillId="0" borderId="2" xfId="0" applyNumberFormat="1" applyFont="1" applyFill="1" applyBorder="1" applyAlignment="1">
      <alignment horizontal="center" vertical="center"/>
    </xf>
    <xf numFmtId="0" fontId="129" fillId="0" borderId="2" xfId="0" applyFont="1" applyFill="1" applyBorder="1" applyAlignment="1">
      <alignment horizontal="center" vertical="center"/>
    </xf>
    <xf numFmtId="0" fontId="131" fillId="0" borderId="2" xfId="0" applyNumberFormat="1" applyFont="1" applyBorder="1" applyAlignment="1">
      <alignment horizontal="center" vertical="center"/>
    </xf>
    <xf numFmtId="2" fontId="131" fillId="0" borderId="2" xfId="0" applyNumberFormat="1" applyFont="1" applyBorder="1" applyAlignment="1">
      <alignment horizontal="center" vertical="center"/>
    </xf>
    <xf numFmtId="2" fontId="132" fillId="0" borderId="2" xfId="0" applyNumberFormat="1" applyFont="1" applyBorder="1" applyAlignment="1">
      <alignment horizontal="center" vertical="center"/>
    </xf>
    <xf numFmtId="0" fontId="129" fillId="0" borderId="2" xfId="0" applyFont="1" applyFill="1" applyBorder="1" applyAlignment="1">
      <alignment horizontal="justify" vertical="center" wrapText="1"/>
    </xf>
    <xf numFmtId="2" fontId="129" fillId="0" borderId="2" xfId="2" applyNumberFormat="1" applyFont="1" applyFill="1" applyBorder="1" applyAlignment="1">
      <alignment horizontal="center" vertical="center" wrapText="1"/>
    </xf>
    <xf numFmtId="0" fontId="129" fillId="0" borderId="2" xfId="2" applyNumberFormat="1" applyFont="1" applyFill="1" applyBorder="1" applyAlignment="1">
      <alignment horizontal="center" vertical="center" wrapText="1"/>
    </xf>
    <xf numFmtId="2" fontId="130" fillId="0" borderId="2" xfId="2" applyNumberFormat="1" applyFont="1" applyFill="1" applyBorder="1" applyAlignment="1">
      <alignment horizontal="center" vertical="center" wrapText="1"/>
    </xf>
    <xf numFmtId="0" fontId="130" fillId="0" borderId="2" xfId="0" applyFont="1" applyFill="1" applyBorder="1" applyAlignment="1">
      <alignment horizontal="center" vertical="center" wrapText="1"/>
    </xf>
    <xf numFmtId="0" fontId="129" fillId="0" borderId="2" xfId="0" applyNumberFormat="1" applyFont="1" applyFill="1" applyBorder="1" applyAlignment="1">
      <alignment horizontal="left" vertical="center" wrapText="1"/>
    </xf>
    <xf numFmtId="2" fontId="129" fillId="0" borderId="2" xfId="0" applyNumberFormat="1" applyFont="1" applyFill="1" applyBorder="1" applyAlignment="1">
      <alignment horizontal="left" vertical="center" wrapText="1"/>
    </xf>
    <xf numFmtId="0" fontId="0" fillId="0" borderId="0" xfId="0" applyFont="1" applyAlignment="1">
      <alignment vertical="center"/>
    </xf>
    <xf numFmtId="0" fontId="130" fillId="0" borderId="2" xfId="0" applyFont="1" applyFill="1" applyBorder="1" applyAlignment="1">
      <alignment horizontal="justify" vertical="center" wrapText="1"/>
    </xf>
    <xf numFmtId="0" fontId="131" fillId="0" borderId="2" xfId="0" applyFont="1" applyBorder="1" applyAlignment="1">
      <alignment vertical="center"/>
    </xf>
    <xf numFmtId="2" fontId="0" fillId="0" borderId="0" xfId="0" applyNumberFormat="1" applyFont="1" applyAlignment="1">
      <alignment horizontal="right" vertical="center"/>
    </xf>
    <xf numFmtId="2" fontId="130" fillId="0" borderId="2" xfId="0" applyNumberFormat="1" applyFont="1" applyFill="1" applyBorder="1" applyAlignment="1">
      <alignment horizontal="left" vertical="center" wrapText="1"/>
    </xf>
    <xf numFmtId="0" fontId="131" fillId="5" borderId="2" xfId="0" applyNumberFormat="1" applyFont="1" applyFill="1" applyBorder="1" applyAlignment="1">
      <alignment horizontal="center" vertical="center"/>
    </xf>
    <xf numFmtId="0" fontId="127" fillId="0" borderId="2" xfId="0" applyFont="1" applyFill="1" applyBorder="1" applyAlignment="1">
      <alignment horizontal="center" vertical="center"/>
    </xf>
    <xf numFmtId="0" fontId="129" fillId="0" borderId="2" xfId="0" applyFont="1" applyFill="1" applyBorder="1" applyAlignment="1">
      <alignment horizontal="left" vertical="center" wrapText="1"/>
    </xf>
    <xf numFmtId="0" fontId="126" fillId="0" borderId="2" xfId="0" applyFont="1" applyBorder="1" applyAlignment="1">
      <alignment horizontal="justify" vertical="center" wrapText="1"/>
    </xf>
    <xf numFmtId="2" fontId="126" fillId="0" borderId="2" xfId="0" applyNumberFormat="1" applyFont="1" applyBorder="1" applyAlignment="1">
      <alignment horizontal="justify" vertical="center" wrapText="1"/>
    </xf>
    <xf numFmtId="2" fontId="125" fillId="0" borderId="2" xfId="2" applyNumberFormat="1" applyFont="1" applyFill="1" applyBorder="1" applyAlignment="1">
      <alignment horizontal="justify" vertical="center" wrapText="1"/>
    </xf>
    <xf numFmtId="0" fontId="125" fillId="0" borderId="2" xfId="0" applyFont="1" applyFill="1" applyBorder="1" applyAlignment="1">
      <alignment horizontal="justify" vertical="center" wrapText="1"/>
    </xf>
    <xf numFmtId="2" fontId="125" fillId="0" borderId="2" xfId="0" applyNumberFormat="1" applyFont="1" applyFill="1" applyBorder="1" applyAlignment="1">
      <alignment horizontal="justify" vertical="center" wrapText="1"/>
    </xf>
    <xf numFmtId="0" fontId="128" fillId="0" borderId="21" xfId="0" applyFont="1" applyFill="1" applyBorder="1" applyAlignment="1">
      <alignment horizontal="center" vertical="center" wrapText="1"/>
    </xf>
    <xf numFmtId="2" fontId="127" fillId="0" borderId="22" xfId="0" applyNumberFormat="1" applyFont="1" applyFill="1" applyBorder="1" applyAlignment="1">
      <alignment horizontal="right" vertical="center"/>
    </xf>
    <xf numFmtId="0" fontId="129" fillId="0" borderId="21" xfId="0" applyFont="1" applyFill="1" applyBorder="1" applyAlignment="1">
      <alignment horizontal="center" vertical="center" wrapText="1"/>
    </xf>
    <xf numFmtId="2" fontId="130" fillId="0" borderId="22" xfId="0" applyNumberFormat="1" applyFont="1" applyFill="1" applyBorder="1" applyAlignment="1">
      <alignment horizontal="right" vertical="center"/>
    </xf>
    <xf numFmtId="2" fontId="129" fillId="0" borderId="22" xfId="0" applyNumberFormat="1" applyFont="1" applyFill="1" applyBorder="1" applyAlignment="1">
      <alignment horizontal="right" vertical="center"/>
    </xf>
    <xf numFmtId="0" fontId="129" fillId="0" borderId="21" xfId="0" applyFont="1" applyFill="1" applyBorder="1" applyAlignment="1">
      <alignment horizontal="center" vertical="center"/>
    </xf>
    <xf numFmtId="2" fontId="131" fillId="0" borderId="22" xfId="0" applyNumberFormat="1" applyFont="1" applyBorder="1" applyAlignment="1">
      <alignment horizontal="right" vertical="center"/>
    </xf>
    <xf numFmtId="2" fontId="132" fillId="0" borderId="22" xfId="0" applyNumberFormat="1" applyFont="1" applyBorder="1" applyAlignment="1">
      <alignment horizontal="right" vertical="center"/>
    </xf>
    <xf numFmtId="0" fontId="130" fillId="0" borderId="21" xfId="0" applyFont="1" applyFill="1" applyBorder="1" applyAlignment="1">
      <alignment horizontal="center" vertical="center"/>
    </xf>
    <xf numFmtId="0" fontId="130" fillId="5" borderId="21" xfId="0" applyFont="1" applyFill="1" applyBorder="1" applyAlignment="1">
      <alignment horizontal="center" vertical="center"/>
    </xf>
    <xf numFmtId="2" fontId="130" fillId="0" borderId="22" xfId="2" applyNumberFormat="1" applyFont="1" applyFill="1" applyBorder="1" applyAlignment="1">
      <alignment horizontal="right" vertical="center" wrapText="1"/>
    </xf>
    <xf numFmtId="2" fontId="132" fillId="5" borderId="22" xfId="0" applyNumberFormat="1" applyFont="1" applyFill="1" applyBorder="1" applyAlignment="1">
      <alignment horizontal="right" vertical="center"/>
    </xf>
    <xf numFmtId="2" fontId="129" fillId="0" borderId="22" xfId="2" applyNumberFormat="1" applyFont="1" applyFill="1" applyBorder="1" applyAlignment="1">
      <alignment horizontal="right" vertical="center" wrapText="1"/>
    </xf>
    <xf numFmtId="2" fontId="129" fillId="0" borderId="2" xfId="0" applyNumberFormat="1" applyFont="1" applyFill="1" applyBorder="1" applyAlignment="1">
      <alignment horizontal="center" vertical="center" wrapText="1"/>
    </xf>
    <xf numFmtId="0" fontId="131" fillId="0" borderId="21" xfId="0" applyFont="1" applyBorder="1" applyAlignment="1">
      <alignment horizontal="center" vertical="center"/>
    </xf>
    <xf numFmtId="0" fontId="131" fillId="0" borderId="23" xfId="0" applyFont="1" applyBorder="1" applyAlignment="1">
      <alignment horizontal="center" vertical="center"/>
    </xf>
    <xf numFmtId="0" fontId="129" fillId="0" borderId="24" xfId="0" applyFont="1" applyFill="1" applyBorder="1" applyAlignment="1">
      <alignment horizontal="justify" vertical="center" wrapText="1"/>
    </xf>
    <xf numFmtId="0" fontId="131" fillId="0" borderId="24" xfId="0" applyNumberFormat="1" applyFont="1" applyBorder="1" applyAlignment="1">
      <alignment horizontal="center" vertical="center"/>
    </xf>
    <xf numFmtId="2" fontId="131" fillId="0" borderId="24" xfId="0" applyNumberFormat="1" applyFont="1" applyBorder="1" applyAlignment="1">
      <alignment horizontal="center" vertical="center"/>
    </xf>
    <xf numFmtId="2" fontId="132" fillId="0" borderId="24" xfId="0" applyNumberFormat="1" applyFont="1" applyBorder="1" applyAlignment="1">
      <alignment horizontal="center" vertical="center"/>
    </xf>
    <xf numFmtId="2" fontId="132" fillId="0" borderId="25" xfId="0" applyNumberFormat="1" applyFont="1" applyBorder="1" applyAlignment="1">
      <alignment horizontal="right" vertical="center"/>
    </xf>
    <xf numFmtId="2" fontId="126" fillId="2" borderId="2" xfId="0" applyNumberFormat="1" applyFont="1" applyFill="1" applyBorder="1" applyAlignment="1">
      <alignment horizontal="center" vertical="center" wrapText="1"/>
    </xf>
    <xf numFmtId="2" fontId="126" fillId="5" borderId="2" xfId="0" applyNumberFormat="1" applyFont="1" applyFill="1" applyBorder="1" applyAlignment="1">
      <alignment horizontal="center" vertical="center" wrapText="1"/>
    </xf>
    <xf numFmtId="0" fontId="98" fillId="0" borderId="3" xfId="0" applyFont="1" applyBorder="1" applyAlignment="1">
      <alignment horizontal="center" vertical="center" wrapText="1"/>
    </xf>
    <xf numFmtId="0" fontId="98" fillId="0" borderId="4" xfId="0" applyFont="1" applyBorder="1" applyAlignment="1">
      <alignment horizontal="center" vertical="center" wrapText="1"/>
    </xf>
    <xf numFmtId="0" fontId="98" fillId="0" borderId="5" xfId="0" applyFont="1" applyBorder="1" applyAlignment="1">
      <alignment horizontal="center" vertical="center" wrapText="1"/>
    </xf>
    <xf numFmtId="2" fontId="98" fillId="0" borderId="3" xfId="0" applyNumberFormat="1" applyFont="1" applyBorder="1" applyAlignment="1">
      <alignment horizontal="center" vertical="top" wrapText="1"/>
    </xf>
    <xf numFmtId="2" fontId="98" fillId="0" borderId="5" xfId="0" applyNumberFormat="1" applyFont="1" applyBorder="1" applyAlignment="1">
      <alignment horizontal="center" vertical="top" wrapText="1"/>
    </xf>
    <xf numFmtId="2" fontId="98" fillId="0" borderId="3" xfId="0" applyNumberFormat="1" applyFont="1" applyBorder="1" applyAlignment="1">
      <alignment horizontal="center" vertical="center" wrapText="1"/>
    </xf>
    <xf numFmtId="2" fontId="98" fillId="0" borderId="5" xfId="0" applyNumberFormat="1" applyFont="1" applyBorder="1" applyAlignment="1">
      <alignment horizontal="center" vertical="center" wrapText="1"/>
    </xf>
    <xf numFmtId="0" fontId="127" fillId="0" borderId="11" xfId="0" applyFont="1" applyFill="1" applyBorder="1" applyAlignment="1">
      <alignment horizontal="center" vertical="center" wrapText="1"/>
    </xf>
    <xf numFmtId="0" fontId="127" fillId="0" borderId="12" xfId="0" applyFont="1" applyFill="1" applyBorder="1" applyAlignment="1">
      <alignment horizontal="center" vertical="center" wrapText="1"/>
    </xf>
    <xf numFmtId="0" fontId="127" fillId="0" borderId="8" xfId="0" applyFont="1" applyFill="1" applyBorder="1" applyAlignment="1">
      <alignment horizontal="center" vertical="center" wrapText="1"/>
    </xf>
    <xf numFmtId="0" fontId="127" fillId="0" borderId="18" xfId="0" applyFont="1" applyFill="1" applyBorder="1" applyAlignment="1">
      <alignment horizontal="center" vertical="center"/>
    </xf>
    <xf numFmtId="0" fontId="127" fillId="0" borderId="19" xfId="0" applyFont="1" applyFill="1" applyBorder="1" applyAlignment="1">
      <alignment horizontal="center" vertical="center"/>
    </xf>
    <xf numFmtId="0" fontId="127" fillId="0" borderId="20" xfId="0" applyFont="1" applyFill="1" applyBorder="1" applyAlignment="1">
      <alignment horizontal="center" vertical="center"/>
    </xf>
    <xf numFmtId="0" fontId="127" fillId="0" borderId="2" xfId="0" applyNumberFormat="1" applyFont="1" applyFill="1" applyBorder="1" applyAlignment="1">
      <alignment horizontal="center" vertical="center" wrapText="1"/>
    </xf>
    <xf numFmtId="0" fontId="129" fillId="0" borderId="2" xfId="0" applyFont="1" applyFill="1" applyBorder="1" applyAlignment="1">
      <alignment horizontal="left" vertical="center" wrapText="1"/>
    </xf>
    <xf numFmtId="0" fontId="131" fillId="0" borderId="2" xfId="0" applyFont="1" applyBorder="1" applyAlignment="1">
      <alignment horizontal="left" vertical="center" wrapText="1"/>
    </xf>
    <xf numFmtId="2" fontId="129" fillId="0" borderId="2" xfId="2" applyNumberFormat="1" applyFont="1" applyFill="1" applyBorder="1" applyAlignment="1">
      <alignment horizontal="left" vertical="center" wrapText="1"/>
    </xf>
    <xf numFmtId="0" fontId="129" fillId="0" borderId="2" xfId="0" applyFont="1" applyBorder="1" applyAlignment="1">
      <alignment horizontal="left" vertical="center" wrapText="1"/>
    </xf>
    <xf numFmtId="0" fontId="129" fillId="0" borderId="2" xfId="0" applyFont="1" applyBorder="1" applyAlignment="1" applyProtection="1">
      <alignment horizontal="left" vertical="center" wrapText="1"/>
    </xf>
    <xf numFmtId="164" fontId="129" fillId="0" borderId="2" xfId="2" applyNumberFormat="1" applyFont="1" applyFill="1" applyBorder="1" applyAlignment="1">
      <alignment horizontal="left" vertical="center" wrapText="1"/>
    </xf>
    <xf numFmtId="0" fontId="1" fillId="0" borderId="0" xfId="11" applyNumberFormat="1" applyBorder="1" applyAlignment="1">
      <alignment horizontal="center"/>
    </xf>
    <xf numFmtId="165" fontId="43" fillId="0" borderId="0" xfId="11" applyNumberFormat="1" applyFont="1" applyAlignment="1">
      <alignment horizontal="center"/>
    </xf>
    <xf numFmtId="165" fontId="59" fillId="0" borderId="0" xfId="11" applyNumberFormat="1" applyFont="1" applyAlignment="1">
      <alignment horizontal="center"/>
    </xf>
    <xf numFmtId="166" fontId="1" fillId="0" borderId="0" xfId="11" applyNumberFormat="1" applyAlignment="1">
      <alignment horizontal="right"/>
    </xf>
    <xf numFmtId="165" fontId="1" fillId="0" borderId="0" xfId="11" applyAlignment="1">
      <alignment horizontal="center"/>
    </xf>
    <xf numFmtId="165" fontId="7" fillId="0" borderId="0" xfId="11" applyFont="1" applyAlignment="1">
      <alignment horizontal="center" vertical="top" wrapText="1"/>
    </xf>
    <xf numFmtId="165" fontId="52" fillId="0" borderId="0" xfId="11" applyNumberFormat="1" applyFont="1" applyAlignment="1">
      <alignment horizontal="center"/>
    </xf>
    <xf numFmtId="165" fontId="7" fillId="0" borderId="0" xfId="11" applyFont="1" applyAlignment="1">
      <alignment horizontal="right"/>
    </xf>
    <xf numFmtId="0" fontId="56" fillId="0" borderId="0" xfId="11" applyNumberFormat="1" applyFont="1" applyAlignment="1">
      <alignment horizontal="center" wrapText="1"/>
    </xf>
    <xf numFmtId="165" fontId="1" fillId="0" borderId="0" xfId="11" quotePrefix="1" applyNumberFormat="1" applyAlignment="1" applyProtection="1">
      <alignment horizontal="center"/>
    </xf>
    <xf numFmtId="165" fontId="1" fillId="0" borderId="0" xfId="11" applyNumberFormat="1" applyAlignment="1" applyProtection="1">
      <alignment horizontal="center"/>
    </xf>
    <xf numFmtId="165" fontId="1" fillId="0" borderId="0" xfId="11" applyNumberFormat="1" applyAlignment="1" applyProtection="1">
      <alignment horizontal="center" wrapText="1"/>
    </xf>
    <xf numFmtId="165" fontId="7" fillId="0" borderId="0" xfId="11" applyFont="1" applyAlignment="1">
      <alignment horizontal="center"/>
    </xf>
    <xf numFmtId="165" fontId="7" fillId="0" borderId="0" xfId="11" applyFont="1" applyAlignment="1">
      <alignment vertical="top" wrapText="1"/>
    </xf>
    <xf numFmtId="165" fontId="1" fillId="0" borderId="0" xfId="11" applyAlignment="1">
      <alignment vertical="top"/>
    </xf>
    <xf numFmtId="165" fontId="7" fillId="0" borderId="0" xfId="11" applyNumberFormat="1" applyFont="1" applyAlignment="1" applyProtection="1">
      <alignment horizontal="left" vertical="top"/>
    </xf>
    <xf numFmtId="165" fontId="1" fillId="6" borderId="0" xfId="11" applyNumberFormat="1" applyFill="1" applyAlignment="1" applyProtection="1">
      <alignment horizontal="left" vertical="top" wrapText="1"/>
    </xf>
    <xf numFmtId="165" fontId="1" fillId="6" borderId="0" xfId="11" applyNumberFormat="1" applyFont="1" applyFill="1" applyAlignment="1" applyProtection="1">
      <alignment horizontal="left" vertical="top" wrapText="1"/>
    </xf>
    <xf numFmtId="165" fontId="7" fillId="0" borderId="0" xfId="11" applyNumberFormat="1" applyFont="1" applyAlignment="1" applyProtection="1">
      <alignment vertical="top"/>
    </xf>
    <xf numFmtId="165" fontId="1" fillId="4" borderId="0" xfId="11" applyNumberFormat="1" applyFill="1" applyAlignment="1" applyProtection="1">
      <alignment horizontal="left" vertical="top" wrapText="1"/>
    </xf>
    <xf numFmtId="165" fontId="1" fillId="4" borderId="0" xfId="11" applyNumberFormat="1" applyFont="1" applyFill="1" applyAlignment="1" applyProtection="1">
      <alignment horizontal="left" vertical="top" wrapText="1"/>
    </xf>
    <xf numFmtId="165" fontId="43" fillId="0" borderId="0" xfId="11" applyFont="1" applyBorder="1" applyAlignment="1">
      <alignment horizontal="center" vertical="center"/>
    </xf>
    <xf numFmtId="165" fontId="1" fillId="0" borderId="0" xfId="11" applyBorder="1" applyAlignment="1">
      <alignment horizontal="center" vertical="top" wrapText="1"/>
    </xf>
    <xf numFmtId="165" fontId="120" fillId="0" borderId="0" xfId="11" applyFont="1" applyBorder="1" applyAlignment="1">
      <alignment horizontal="center" vertical="center"/>
    </xf>
    <xf numFmtId="165" fontId="62" fillId="11" borderId="0" xfId="11" applyFont="1" applyFill="1" applyBorder="1" applyAlignment="1">
      <alignment horizontal="center" vertical="center" wrapText="1"/>
    </xf>
    <xf numFmtId="165" fontId="62" fillId="11" borderId="0" xfId="11" applyFont="1" applyFill="1" applyBorder="1" applyAlignment="1">
      <alignment horizontal="center" vertical="top"/>
    </xf>
    <xf numFmtId="165" fontId="122" fillId="11" borderId="0" xfId="11" applyFont="1" applyFill="1" applyBorder="1" applyAlignment="1">
      <alignment horizontal="center" vertical="center"/>
    </xf>
    <xf numFmtId="165" fontId="1" fillId="0" borderId="0" xfId="11" applyFont="1" applyAlignment="1">
      <alignment horizontal="left" vertical="top" wrapText="1"/>
    </xf>
    <xf numFmtId="165" fontId="57" fillId="0" borderId="0" xfId="11" applyFont="1" applyBorder="1" applyAlignment="1">
      <alignment horizontal="center" wrapText="1"/>
    </xf>
    <xf numFmtId="165" fontId="56" fillId="0" borderId="0" xfId="11" applyFont="1" applyBorder="1" applyAlignment="1">
      <alignment horizontal="center" vertical="center"/>
    </xf>
    <xf numFmtId="2" fontId="56" fillId="0" borderId="0" xfId="11" applyNumberFormat="1" applyFont="1" applyBorder="1" applyAlignment="1">
      <alignment horizontal="center"/>
    </xf>
    <xf numFmtId="2" fontId="94" fillId="0" borderId="3" xfId="0" applyNumberFormat="1" applyFont="1" applyBorder="1" applyAlignment="1">
      <alignment horizontal="center" vertical="top" wrapText="1"/>
    </xf>
    <xf numFmtId="2" fontId="94" fillId="0" borderId="5" xfId="0" applyNumberFormat="1" applyFont="1" applyBorder="1" applyAlignment="1">
      <alignment horizontal="center" vertical="top" wrapText="1"/>
    </xf>
    <xf numFmtId="0" fontId="98" fillId="0" borderId="3" xfId="0" applyFont="1" applyBorder="1" applyAlignment="1">
      <alignment horizontal="center" wrapText="1"/>
    </xf>
    <xf numFmtId="0" fontId="98" fillId="0" borderId="4" xfId="0" applyFont="1" applyBorder="1" applyAlignment="1">
      <alignment horizontal="center" wrapText="1"/>
    </xf>
    <xf numFmtId="0" fontId="98" fillId="0" borderId="5" xfId="0" applyFont="1" applyBorder="1" applyAlignment="1">
      <alignment horizontal="center" wrapText="1"/>
    </xf>
    <xf numFmtId="2" fontId="94" fillId="0" borderId="3" xfId="0" applyNumberFormat="1" applyFont="1" applyBorder="1" applyAlignment="1">
      <alignment horizontal="center" vertical="center" wrapText="1"/>
    </xf>
    <xf numFmtId="2" fontId="94" fillId="0" borderId="5" xfId="0" applyNumberFormat="1" applyFont="1" applyBorder="1" applyAlignment="1">
      <alignment horizontal="center" vertical="center" wrapText="1"/>
    </xf>
    <xf numFmtId="0" fontId="101" fillId="0" borderId="3" xfId="0" applyFont="1" applyFill="1" applyBorder="1" applyAlignment="1">
      <alignment horizontal="center" vertical="center" wrapText="1"/>
    </xf>
    <xf numFmtId="0" fontId="101" fillId="0" borderId="4" xfId="0" applyFont="1" applyFill="1" applyBorder="1" applyAlignment="1">
      <alignment horizontal="center" vertical="center" wrapText="1"/>
    </xf>
    <xf numFmtId="0" fontId="101" fillId="0" borderId="5" xfId="0" applyFont="1" applyFill="1" applyBorder="1" applyAlignment="1">
      <alignment horizontal="center" vertical="center" wrapText="1"/>
    </xf>
    <xf numFmtId="0" fontId="101" fillId="0" borderId="2" xfId="0" applyFont="1" applyFill="1" applyBorder="1" applyAlignment="1">
      <alignment horizontal="center" vertical="center"/>
    </xf>
    <xf numFmtId="0" fontId="101" fillId="0" borderId="2" xfId="0" applyFont="1" applyFill="1" applyBorder="1" applyAlignment="1">
      <alignment horizontal="center" vertical="center" wrapText="1"/>
    </xf>
    <xf numFmtId="165" fontId="7" fillId="0" borderId="0" xfId="7" applyNumberFormat="1" applyFont="1" applyAlignment="1">
      <alignment horizontal="right"/>
    </xf>
    <xf numFmtId="0" fontId="56" fillId="0" borderId="0" xfId="7" applyNumberFormat="1" applyFont="1" applyAlignment="1">
      <alignment horizontal="center" wrapText="1"/>
    </xf>
    <xf numFmtId="165" fontId="1" fillId="0" borderId="0" xfId="7" quotePrefix="1" applyNumberFormat="1" applyAlignment="1" applyProtection="1">
      <alignment horizontal="center"/>
    </xf>
    <xf numFmtId="165" fontId="1" fillId="0" borderId="0" xfId="7" applyNumberFormat="1" applyAlignment="1" applyProtection="1">
      <alignment horizontal="center"/>
    </xf>
    <xf numFmtId="165" fontId="1" fillId="0" borderId="0" xfId="7" applyNumberFormat="1" applyAlignment="1" applyProtection="1">
      <alignment horizontal="center" wrapText="1"/>
    </xf>
    <xf numFmtId="165" fontId="7" fillId="0" borderId="0" xfId="7" applyNumberFormat="1" applyFont="1" applyAlignment="1">
      <alignment horizontal="center"/>
    </xf>
    <xf numFmtId="165" fontId="43" fillId="0" borderId="0" xfId="7" applyNumberFormat="1" applyFont="1" applyAlignment="1">
      <alignment horizontal="center"/>
    </xf>
    <xf numFmtId="165" fontId="52" fillId="0" borderId="0" xfId="7" applyNumberFormat="1" applyFont="1" applyAlignment="1">
      <alignment horizontal="center"/>
    </xf>
    <xf numFmtId="165" fontId="7" fillId="0" borderId="0" xfId="7" applyNumberFormat="1" applyFont="1" applyAlignment="1">
      <alignment vertical="top" wrapText="1"/>
    </xf>
    <xf numFmtId="165" fontId="1" fillId="0" borderId="0" xfId="7" applyNumberFormat="1" applyAlignment="1">
      <alignment vertical="top"/>
    </xf>
    <xf numFmtId="165" fontId="7" fillId="0" borderId="0" xfId="7" applyNumberFormat="1" applyFont="1" applyAlignment="1" applyProtection="1">
      <alignment horizontal="left" vertical="top"/>
    </xf>
    <xf numFmtId="165" fontId="1" fillId="6" borderId="0" xfId="7" applyNumberFormat="1" applyFill="1" applyAlignment="1" applyProtection="1">
      <alignment horizontal="left" vertical="top" wrapText="1"/>
    </xf>
    <xf numFmtId="165" fontId="1" fillId="6" borderId="0" xfId="7" applyNumberFormat="1" applyFont="1" applyFill="1" applyAlignment="1" applyProtection="1">
      <alignment horizontal="left" vertical="top" wrapText="1"/>
    </xf>
    <xf numFmtId="165" fontId="7" fillId="0" borderId="0" xfId="7" applyNumberFormat="1" applyFont="1" applyAlignment="1" applyProtection="1">
      <alignment vertical="top"/>
    </xf>
    <xf numFmtId="165" fontId="1" fillId="4" borderId="0" xfId="7" applyNumberFormat="1" applyFill="1" applyAlignment="1" applyProtection="1">
      <alignment horizontal="left" vertical="top" wrapText="1"/>
    </xf>
    <xf numFmtId="165" fontId="1" fillId="4" borderId="0" xfId="7" applyNumberFormat="1" applyFont="1" applyFill="1" applyAlignment="1" applyProtection="1">
      <alignment horizontal="left" vertical="top" wrapText="1"/>
    </xf>
    <xf numFmtId="0" fontId="1" fillId="0" borderId="0" xfId="7" applyNumberFormat="1" applyBorder="1" applyAlignment="1">
      <alignment horizontal="center"/>
    </xf>
    <xf numFmtId="165" fontId="59" fillId="0" borderId="0" xfId="7" applyNumberFormat="1" applyFont="1" applyAlignment="1">
      <alignment horizontal="center"/>
    </xf>
    <xf numFmtId="166" fontId="1" fillId="0" borderId="0" xfId="7" applyNumberFormat="1" applyAlignment="1">
      <alignment horizontal="right"/>
    </xf>
    <xf numFmtId="165" fontId="1" fillId="0" borderId="0" xfId="7" applyNumberFormat="1" applyAlignment="1">
      <alignment horizontal="center"/>
    </xf>
    <xf numFmtId="165" fontId="7" fillId="0" borderId="0" xfId="7" applyNumberFormat="1" applyFont="1" applyAlignment="1">
      <alignment horizontal="center" vertical="top" wrapText="1"/>
    </xf>
  </cellXfs>
  <cellStyles count="13">
    <cellStyle name="Hyperlink 2" xfId="4"/>
    <cellStyle name="Normal" xfId="0" builtinId="0"/>
    <cellStyle name="Normal 2" xfId="1"/>
    <cellStyle name="Normal 2 2" xfId="9"/>
    <cellStyle name="Normal 2 3" xfId="10"/>
    <cellStyle name="Normal 3" xfId="3"/>
    <cellStyle name="Normal 3 2 2" xfId="11"/>
    <cellStyle name="Normal 3 4" xfId="12"/>
    <cellStyle name="Normal 4" xfId="5"/>
    <cellStyle name="Normal 5" xfId="7"/>
    <cellStyle name="Normal_Phase XI QS" xfId="2"/>
    <cellStyle name="Normal_Phase XI QS 2" xfId="6"/>
    <cellStyle name="Normal_Phase XI QS 3" xf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drawing1.xml><?xml version="1.0" encoding="utf-8"?>
<xdr:wsDr xmlns:xdr="http://schemas.openxmlformats.org/drawingml/2006/spreadsheetDrawing" xmlns:a="http://schemas.openxmlformats.org/drawingml/2006/main">
  <xdr:twoCellAnchor editAs="oneCell">
    <xdr:from>
      <xdr:col>14</xdr:col>
      <xdr:colOff>457200</xdr:colOff>
      <xdr:row>7792</xdr:row>
      <xdr:rowOff>190500</xdr:rowOff>
    </xdr:from>
    <xdr:to>
      <xdr:col>14</xdr:col>
      <xdr:colOff>552450</xdr:colOff>
      <xdr:row>7792</xdr:row>
      <xdr:rowOff>200025</xdr:rowOff>
    </xdr:to>
    <xdr:sp macro="" textlink="">
      <xdr:nvSpPr>
        <xdr:cNvPr id="2" name="Text Box 1"/>
        <xdr:cNvSpPr txBox="1">
          <a:spLocks noChangeArrowheads="1"/>
        </xdr:cNvSpPr>
      </xdr:nvSpPr>
      <xdr:spPr bwMode="auto">
        <a:xfrm>
          <a:off x="22221825" y="24115014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xdr:cNvSpPr txBox="1">
          <a:spLocks noChangeArrowheads="1"/>
        </xdr:cNvSpPr>
      </xdr:nvSpPr>
      <xdr:spPr bwMode="auto">
        <a:xfrm>
          <a:off x="14706600" y="0"/>
          <a:ext cx="9525" cy="4762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7734</xdr:row>
      <xdr:rowOff>152400</xdr:rowOff>
    </xdr:to>
    <xdr:sp macro="" textlink="">
      <xdr:nvSpPr>
        <xdr:cNvPr id="2" name="Text Box 1"/>
        <xdr:cNvSpPr txBox="1">
          <a:spLocks noChangeArrowheads="1"/>
        </xdr:cNvSpPr>
      </xdr:nvSpPr>
      <xdr:spPr bwMode="auto">
        <a:xfrm>
          <a:off x="12239625" y="1119177975"/>
          <a:ext cx="95250" cy="16192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7792</xdr:row>
      <xdr:rowOff>190500</xdr:rowOff>
    </xdr:from>
    <xdr:to>
      <xdr:col>14</xdr:col>
      <xdr:colOff>552450</xdr:colOff>
      <xdr:row>7792</xdr:row>
      <xdr:rowOff>200025</xdr:rowOff>
    </xdr:to>
    <xdr:sp macro="" textlink="">
      <xdr:nvSpPr>
        <xdr:cNvPr id="2" name="Text Box 1"/>
        <xdr:cNvSpPr txBox="1">
          <a:spLocks noChangeArrowheads="1"/>
        </xdr:cNvSpPr>
      </xdr:nvSpPr>
      <xdr:spPr bwMode="auto">
        <a:xfrm>
          <a:off x="22221825" y="24062531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xdr:cNvSpPr txBox="1">
          <a:spLocks noChangeArrowheads="1"/>
        </xdr:cNvSpPr>
      </xdr:nvSpPr>
      <xdr:spPr bwMode="auto">
        <a:xfrm>
          <a:off x="14706600" y="0"/>
          <a:ext cx="9525"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esktop/DB%20SECTION/E/ALL%20DATAS%20FOR%202013%20TO%202022/ALL%20DATAS%20FOR%202022%20-%2023/Soft%20copy/COIMBATORE%20APPROVED%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lvamani/AppData/Roaming/Microsoft/Excel/HO%20Final%20DATA%202020-20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oganathan/Desktop/share/Indiragandhi/revised%20estimate%202017-18/Final%20D5%20MArina%20Police%20Stati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elvamani/AppData/Roaming/Microsoft/Excel/CHECKED%20DATA%20FOR%20THE%20YEAR%202020%20-%202021%2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elvamani/AppData/Roaming/Microsoft/Excel/Prison%20DATA%2020-2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30 grade) (2)"/>
      <sheetName val="  Coastal  Elec.Data  (2)"/>
      <sheetName val="Abstract "/>
      <sheetName val="G. Abstract"/>
      <sheetName val="2 in 1 incl. F.E."/>
      <sheetName val="pile data "/>
      <sheetName val="  Coastal  Elec.Data "/>
      <sheetName val="lead  charge"/>
      <sheetName val="Elec.Data"/>
      <sheetName val="Sliding and french window"/>
      <sheetName val="Data"/>
      <sheetName val="Chart1"/>
      <sheetName val="building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87">
          <cell r="AS187">
            <v>613.38</v>
          </cell>
        </row>
        <row r="590">
          <cell r="K590">
            <v>563.35</v>
          </cell>
        </row>
        <row r="1185">
          <cell r="K1185">
            <v>845.1</v>
          </cell>
        </row>
        <row r="1344">
          <cell r="K1344">
            <v>327.71</v>
          </cell>
        </row>
        <row r="1400">
          <cell r="K1400">
            <v>258.76</v>
          </cell>
        </row>
        <row r="1426">
          <cell r="K1426">
            <v>297.33</v>
          </cell>
        </row>
        <row r="1498">
          <cell r="K1498">
            <v>47.21</v>
          </cell>
        </row>
        <row r="1638">
          <cell r="K1638">
            <v>349.29</v>
          </cell>
        </row>
        <row r="2716">
          <cell r="K2716">
            <v>64.16</v>
          </cell>
        </row>
        <row r="3038">
          <cell r="K3038">
            <v>1552.7</v>
          </cell>
        </row>
        <row r="3115">
          <cell r="AG3115">
            <v>494</v>
          </cell>
          <cell r="AH3115">
            <v>446</v>
          </cell>
        </row>
        <row r="3202">
          <cell r="K3202">
            <v>93.28</v>
          </cell>
        </row>
        <row r="3216">
          <cell r="K3216">
            <v>100.62</v>
          </cell>
        </row>
        <row r="3348">
          <cell r="K3348">
            <v>130.34</v>
          </cell>
        </row>
        <row r="3371">
          <cell r="K3371">
            <v>86.42</v>
          </cell>
        </row>
      </sheetData>
      <sheetData sheetId="11" refreshError="1"/>
      <sheetData sheetId="1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s>
    <sheetDataSet>
      <sheetData sheetId="0"/>
      <sheetData sheetId="1"/>
      <sheetData sheetId="2"/>
      <sheetData sheetId="3"/>
      <sheetData sheetId="4"/>
      <sheetData sheetId="5"/>
      <sheetData sheetId="6">
        <row r="10">
          <cell r="D10">
            <v>27</v>
          </cell>
          <cell r="E10">
            <v>246.69</v>
          </cell>
          <cell r="G10">
            <v>36</v>
          </cell>
          <cell r="H10">
            <v>266.10000000000002</v>
          </cell>
          <cell r="M10">
            <v>36</v>
          </cell>
          <cell r="N10">
            <v>443.72</v>
          </cell>
          <cell r="P10">
            <v>36</v>
          </cell>
          <cell r="Q10">
            <v>216.92</v>
          </cell>
        </row>
        <row r="11">
          <cell r="D11">
            <v>7</v>
          </cell>
          <cell r="E11">
            <v>72.8</v>
          </cell>
          <cell r="K11">
            <v>17.55</v>
          </cell>
          <cell r="P11">
            <v>7</v>
          </cell>
          <cell r="Q11">
            <v>49.98</v>
          </cell>
        </row>
        <row r="12">
          <cell r="D12">
            <v>27</v>
          </cell>
          <cell r="E12">
            <v>246.69</v>
          </cell>
          <cell r="J12">
            <v>0</v>
          </cell>
          <cell r="P12">
            <v>0</v>
          </cell>
          <cell r="Q12">
            <v>0</v>
          </cell>
        </row>
        <row r="13">
          <cell r="D13">
            <v>27</v>
          </cell>
          <cell r="E13">
            <v>246.69</v>
          </cell>
          <cell r="P13">
            <v>16</v>
          </cell>
          <cell r="Q13">
            <v>108.12</v>
          </cell>
        </row>
        <row r="14">
          <cell r="D14">
            <v>0</v>
          </cell>
          <cell r="E14">
            <v>0</v>
          </cell>
        </row>
        <row r="15">
          <cell r="D15">
            <v>0</v>
          </cell>
        </row>
        <row r="16">
          <cell r="D16">
            <v>27</v>
          </cell>
          <cell r="E16">
            <v>246.69</v>
          </cell>
        </row>
        <row r="17">
          <cell r="E17">
            <v>0</v>
          </cell>
        </row>
      </sheetData>
      <sheetData sheetId="7">
        <row r="2860">
          <cell r="K2860">
            <v>1340</v>
          </cell>
        </row>
        <row r="2884">
          <cell r="K2884">
            <v>1344</v>
          </cell>
        </row>
        <row r="2899">
          <cell r="K2899">
            <v>1372</v>
          </cell>
        </row>
        <row r="2921">
          <cell r="K2921">
            <v>1398</v>
          </cell>
        </row>
        <row r="2945">
          <cell r="K2945">
            <v>2506</v>
          </cell>
        </row>
        <row r="2965">
          <cell r="K2965">
            <v>932</v>
          </cell>
        </row>
        <row r="2977">
          <cell r="K2977">
            <v>688</v>
          </cell>
        </row>
        <row r="2988">
          <cell r="K2988">
            <v>129</v>
          </cell>
        </row>
        <row r="3080">
          <cell r="K3080">
            <v>172</v>
          </cell>
        </row>
        <row r="3105">
          <cell r="K3105">
            <v>219</v>
          </cell>
        </row>
        <row r="3135">
          <cell r="K3135">
            <v>462</v>
          </cell>
        </row>
        <row r="3221">
          <cell r="K3221">
            <v>3250</v>
          </cell>
        </row>
        <row r="3233">
          <cell r="K3233">
            <v>4016</v>
          </cell>
        </row>
        <row r="3277">
          <cell r="K3277">
            <v>467</v>
          </cell>
        </row>
        <row r="3289">
          <cell r="I3289">
            <v>82.6</v>
          </cell>
        </row>
        <row r="3295">
          <cell r="K3295">
            <v>21</v>
          </cell>
        </row>
        <row r="3313">
          <cell r="I3313">
            <v>4.96</v>
          </cell>
        </row>
        <row r="3316">
          <cell r="I3316">
            <v>3.7</v>
          </cell>
        </row>
        <row r="3319">
          <cell r="K3319">
            <v>2588</v>
          </cell>
        </row>
        <row r="3441">
          <cell r="K3441">
            <v>718</v>
          </cell>
        </row>
        <row r="3458">
          <cell r="K3458">
            <v>2505</v>
          </cell>
        </row>
        <row r="3638">
          <cell r="K3638">
            <v>2579</v>
          </cell>
        </row>
        <row r="3712">
          <cell r="K3712">
            <v>76</v>
          </cell>
        </row>
        <row r="3744">
          <cell r="K3744">
            <v>1919</v>
          </cell>
        </row>
        <row r="3762">
          <cell r="K3762">
            <v>1768</v>
          </cell>
        </row>
        <row r="3767">
          <cell r="K3767">
            <v>1284</v>
          </cell>
        </row>
      </sheetData>
      <sheetData sheetId="8"/>
      <sheetData sheetId="9">
        <row r="16">
          <cell r="Y16">
            <v>1250</v>
          </cell>
        </row>
        <row r="18">
          <cell r="Y18">
            <v>5438</v>
          </cell>
        </row>
        <row r="31">
          <cell r="Y31">
            <v>5800</v>
          </cell>
        </row>
        <row r="2299">
          <cell r="H2299" t="str">
            <v>Electrical HELPERp-15 it-100</v>
          </cell>
        </row>
        <row r="3241">
          <cell r="I3241">
            <v>223.2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Elec.Data"/>
      <sheetName val="Elec.abs"/>
      <sheetName val="Data"/>
      <sheetName val="Develop"/>
      <sheetName val="Building (2)"/>
      <sheetName val="Abstract"/>
      <sheetName val="G. Abstract (2.11.2017)"/>
      <sheetName val="Sheet1"/>
    </sheetNames>
    <sheetDataSet>
      <sheetData sheetId="0" refreshError="1"/>
      <sheetData sheetId="1" refreshError="1"/>
      <sheetData sheetId="2" refreshError="1"/>
      <sheetData sheetId="3" refreshError="1">
        <row r="3154">
          <cell r="K3154">
            <v>562</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s>
    <sheetDataSet>
      <sheetData sheetId="0"/>
      <sheetData sheetId="1"/>
      <sheetData sheetId="2"/>
      <sheetData sheetId="3"/>
      <sheetData sheetId="4"/>
      <sheetData sheetId="5"/>
      <sheetData sheetId="6"/>
      <sheetData sheetId="7"/>
      <sheetData sheetId="8"/>
      <sheetData sheetId="9">
        <row r="1185">
          <cell r="K1185">
            <v>688.2</v>
          </cell>
        </row>
        <row r="2063">
          <cell r="K2063">
            <v>610.45000000000005</v>
          </cell>
        </row>
        <row r="2087">
          <cell r="K2087">
            <v>497.65</v>
          </cell>
        </row>
        <row r="2277">
          <cell r="K2277">
            <v>467</v>
          </cell>
        </row>
        <row r="3038">
          <cell r="K3038">
            <v>1300</v>
          </cell>
        </row>
        <row r="3115">
          <cell r="AF3115">
            <v>452</v>
          </cell>
          <cell r="AH3115">
            <v>404</v>
          </cell>
        </row>
        <row r="3216">
          <cell r="K3216">
            <v>81.760000000000005</v>
          </cell>
        </row>
        <row r="3348">
          <cell r="K3348">
            <v>98.77</v>
          </cell>
        </row>
        <row r="3371">
          <cell r="K3371">
            <v>69.59</v>
          </cell>
        </row>
        <row r="3738">
          <cell r="K3738">
            <v>75.23</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s>
    <sheetDataSet>
      <sheetData sheetId="0"/>
      <sheetData sheetId="1"/>
      <sheetData sheetId="2"/>
      <sheetData sheetId="3"/>
      <sheetData sheetId="4"/>
      <sheetData sheetId="5"/>
      <sheetData sheetId="6">
        <row r="10">
          <cell r="D10">
            <v>26</v>
          </cell>
          <cell r="E10">
            <v>239.02</v>
          </cell>
          <cell r="G10">
            <v>35</v>
          </cell>
          <cell r="H10">
            <v>259.64999999999998</v>
          </cell>
          <cell r="M10">
            <v>35</v>
          </cell>
          <cell r="N10">
            <v>432.95</v>
          </cell>
          <cell r="P10">
            <v>35</v>
          </cell>
          <cell r="Q10">
            <v>211.65</v>
          </cell>
        </row>
        <row r="11">
          <cell r="D11">
            <v>7</v>
          </cell>
          <cell r="E11">
            <v>72.8</v>
          </cell>
          <cell r="K11">
            <v>0</v>
          </cell>
          <cell r="P11">
            <v>0</v>
          </cell>
          <cell r="Q11">
            <v>0</v>
          </cell>
        </row>
        <row r="12">
          <cell r="D12">
            <v>26</v>
          </cell>
          <cell r="E12">
            <v>239.02</v>
          </cell>
          <cell r="J12">
            <v>0</v>
          </cell>
          <cell r="P12">
            <v>0</v>
          </cell>
          <cell r="Q12">
            <v>0</v>
          </cell>
        </row>
        <row r="13">
          <cell r="D13">
            <v>26</v>
          </cell>
          <cell r="E13">
            <v>239.02</v>
          </cell>
          <cell r="P13">
            <v>0</v>
          </cell>
          <cell r="Q13">
            <v>0</v>
          </cell>
        </row>
        <row r="14">
          <cell r="D14">
            <v>0</v>
          </cell>
          <cell r="E14">
            <v>0</v>
          </cell>
        </row>
        <row r="15">
          <cell r="D15">
            <v>0</v>
          </cell>
        </row>
        <row r="16">
          <cell r="D16">
            <v>26</v>
          </cell>
          <cell r="E16">
            <v>239.02</v>
          </cell>
        </row>
        <row r="17">
          <cell r="E17">
            <v>0</v>
          </cell>
        </row>
      </sheetData>
      <sheetData sheetId="7">
        <row r="2860">
          <cell r="K2860">
            <v>1340</v>
          </cell>
        </row>
        <row r="2884">
          <cell r="K2884">
            <v>1344</v>
          </cell>
        </row>
        <row r="2899">
          <cell r="K2899">
            <v>1372</v>
          </cell>
        </row>
        <row r="2921">
          <cell r="K2921">
            <v>1399</v>
          </cell>
        </row>
        <row r="2945">
          <cell r="K2945">
            <v>2507</v>
          </cell>
        </row>
        <row r="2965">
          <cell r="K2965">
            <v>934</v>
          </cell>
        </row>
        <row r="2977">
          <cell r="K2977">
            <v>688</v>
          </cell>
        </row>
        <row r="2988">
          <cell r="K2988">
            <v>129</v>
          </cell>
        </row>
        <row r="3080">
          <cell r="K3080">
            <v>172</v>
          </cell>
        </row>
        <row r="3105">
          <cell r="K3105">
            <v>219</v>
          </cell>
        </row>
        <row r="3135">
          <cell r="K3135">
            <v>462</v>
          </cell>
        </row>
        <row r="3221">
          <cell r="K3221">
            <v>3250</v>
          </cell>
        </row>
        <row r="3233">
          <cell r="K3233">
            <v>4020</v>
          </cell>
        </row>
        <row r="3277">
          <cell r="K3277">
            <v>467</v>
          </cell>
        </row>
        <row r="3289">
          <cell r="I3289">
            <v>82.6</v>
          </cell>
        </row>
        <row r="3313">
          <cell r="I3313">
            <v>4.96</v>
          </cell>
        </row>
        <row r="3316">
          <cell r="I3316">
            <v>3.7</v>
          </cell>
        </row>
        <row r="3319">
          <cell r="K3319">
            <v>2355</v>
          </cell>
        </row>
        <row r="3441">
          <cell r="K3441">
            <v>718</v>
          </cell>
        </row>
        <row r="3458">
          <cell r="K3458">
            <v>2505</v>
          </cell>
        </row>
        <row r="3638">
          <cell r="K3638">
            <v>2579</v>
          </cell>
        </row>
        <row r="3712">
          <cell r="K3712">
            <v>80</v>
          </cell>
        </row>
        <row r="3744">
          <cell r="K3744">
            <v>1920</v>
          </cell>
        </row>
        <row r="3762">
          <cell r="K3762">
            <v>1770</v>
          </cell>
        </row>
        <row r="3767">
          <cell r="K3767">
            <v>1300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DB%20SECTION/AppData/2273" TargetMode="External"/><Relationship Id="rId1" Type="http://schemas.openxmlformats.org/officeDocument/2006/relationships/hyperlink" Target="../DB%20SECTION/AppData/2273"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DB%20SECTION/AppData/Roaming/2273" TargetMode="External"/><Relationship Id="rId1" Type="http://schemas.openxmlformats.org/officeDocument/2006/relationships/hyperlink" Target="../DB%20SECTION/AppData/Roaming/2273"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A1:G103"/>
  <sheetViews>
    <sheetView tabSelected="1" view="pageBreakPreview" zoomScale="80" zoomScaleSheetLayoutView="80" workbookViewId="0">
      <selection activeCell="F31" sqref="F31"/>
    </sheetView>
  </sheetViews>
  <sheetFormatPr defaultRowHeight="15.75"/>
  <cols>
    <col min="1" max="1" width="6" style="1340" customWidth="1"/>
    <col min="2" max="2" width="10.7109375" style="530" customWidth="1"/>
    <col min="3" max="3" width="58.140625" style="531" customWidth="1"/>
    <col min="4" max="4" width="12.140625" style="532" customWidth="1"/>
    <col min="5" max="5" width="10.42578125" style="529" customWidth="1"/>
    <col min="6" max="6" width="16.7109375" style="529" customWidth="1"/>
    <col min="7" max="7" width="13.28515625" style="518" customWidth="1"/>
    <col min="8" max="16384" width="9.140625" style="518"/>
  </cols>
  <sheetData>
    <row r="1" spans="1:6" ht="46.5" customHeight="1">
      <c r="A1" s="1431" t="s">
        <v>4520</v>
      </c>
      <c r="B1" s="1432"/>
      <c r="C1" s="1432"/>
      <c r="D1" s="1432"/>
      <c r="E1" s="1432"/>
      <c r="F1" s="1433"/>
    </row>
    <row r="2" spans="1:6" ht="23.25" customHeight="1">
      <c r="A2" s="1431" t="s">
        <v>3004</v>
      </c>
      <c r="B2" s="1432"/>
      <c r="C2" s="1432"/>
      <c r="D2" s="1432"/>
      <c r="E2" s="1432"/>
      <c r="F2" s="1433"/>
    </row>
    <row r="3" spans="1:6" ht="36">
      <c r="A3" s="1338" t="s">
        <v>3006</v>
      </c>
      <c r="B3" s="558" t="s">
        <v>3</v>
      </c>
      <c r="C3" s="558" t="s">
        <v>4</v>
      </c>
      <c r="D3" s="559" t="s">
        <v>10</v>
      </c>
      <c r="E3" s="558" t="s">
        <v>5</v>
      </c>
      <c r="F3" s="558" t="s">
        <v>6</v>
      </c>
    </row>
    <row r="4" spans="1:6" ht="120.75" customHeight="1">
      <c r="A4" s="1356">
        <v>1</v>
      </c>
      <c r="B4" s="1357">
        <v>245.82</v>
      </c>
      <c r="C4" s="1403" t="str">
        <f>Dtl!B4</f>
        <v>Pointing the Disturbed Pressed Tiles in C.M 1:3 (One of Cement and three of Sand) 20mm thick for full depth of tiles including  curing and racking out the joints of 20mm deep and disposing the debries away from the site etc., all complete and as directed by the departmental officers</v>
      </c>
      <c r="D4" s="1357">
        <f>[1]Data!$K$1344</f>
        <v>327.71</v>
      </c>
      <c r="E4" s="1358" t="s">
        <v>110</v>
      </c>
      <c r="F4" s="1357">
        <f>B4*D4</f>
        <v>80557.672199999986</v>
      </c>
    </row>
    <row r="5" spans="1:6" ht="179.25" customHeight="1">
      <c r="A5" s="1356">
        <v>2</v>
      </c>
      <c r="B5" s="1357">
        <v>3.24</v>
      </c>
      <c r="C5" s="1403" t="str">
        <f>Dtl!B10</f>
        <v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v>
      </c>
      <c r="D5" s="1357">
        <f>[1]Data!$K$1185</f>
        <v>845.1</v>
      </c>
      <c r="E5" s="1358" t="s">
        <v>110</v>
      </c>
      <c r="F5" s="1357">
        <f t="shared" ref="F5:F23" si="0">B5*D5</f>
        <v>2738.1240000000003</v>
      </c>
    </row>
    <row r="6" spans="1:6" ht="154.5" customHeight="1">
      <c r="A6" s="1356">
        <v>3</v>
      </c>
      <c r="B6" s="1357">
        <v>32.76</v>
      </c>
      <c r="C6" s="1403" t="str">
        <f>Dtl!B13</f>
        <v>Brick partition walls 75mm thick using Fly ash bricks  of size 9”x4½”x3” (23x11.4x7.5cm) in cement mortar 1:4 (One of cement and four of C.S sand) for super structure in the following floors  including  scaffoldings, curing etc., complete in all respect complying with relevant standard specifications and drawings</v>
      </c>
      <c r="D6" s="1357">
        <f>[1]Data!$AS$187</f>
        <v>613.38</v>
      </c>
      <c r="E6" s="1358" t="s">
        <v>174</v>
      </c>
      <c r="F6" s="1357">
        <f t="shared" si="0"/>
        <v>20094.328799999999</v>
      </c>
    </row>
    <row r="7" spans="1:6" ht="147" customHeight="1">
      <c r="A7" s="1356">
        <v>4</v>
      </c>
      <c r="B7" s="1357">
        <v>60.98</v>
      </c>
      <c r="C7" s="1404" t="str">
        <f>Dtl!B18</f>
        <v>Plastering with cm 1:5 (One of cement and five of C.S sand) 12mm thick finished with neat cement including providing band cornice, ceiling cornice, curing, scaffolding, etc., complete in all respects and complying with relevant standard specifications.</v>
      </c>
      <c r="D7" s="1357">
        <f>[1]Data!$K$1400</f>
        <v>258.76</v>
      </c>
      <c r="E7" s="1358" t="s">
        <v>174</v>
      </c>
      <c r="F7" s="1357">
        <f t="shared" si="0"/>
        <v>15779.184799999999</v>
      </c>
    </row>
    <row r="8" spans="1:6" ht="126" customHeight="1">
      <c r="A8" s="1356">
        <v>5</v>
      </c>
      <c r="B8" s="1357">
        <v>112</v>
      </c>
      <c r="C8" s="1405" t="str">
        <f>Dtl!B24</f>
        <v>Special ceiling plastering in cement mortar 1:3 (One of cement and three of sand) 10mm thick for bottom of roof, stair, waist, landing and sunshades in all floors finished with neat cement including hacking the areas, providing band cornice, scaffolding, curing etc., complete</v>
      </c>
      <c r="D8" s="1357">
        <f>[1]Data!$K$1426</f>
        <v>297.33</v>
      </c>
      <c r="E8" s="1358" t="s">
        <v>174</v>
      </c>
      <c r="F8" s="1357">
        <f t="shared" si="0"/>
        <v>33300.959999999999</v>
      </c>
    </row>
    <row r="9" spans="1:6" ht="193.5" customHeight="1">
      <c r="A9" s="1356">
        <v>6</v>
      </c>
      <c r="B9" s="1357">
        <v>28.8</v>
      </c>
      <c r="C9" s="1406" t="str">
        <f>Dtl!B30</f>
        <v xml:space="preserve">Providing  Cuddappah slab of 20mm thick, finishing with two sides for cupboard,  ward-robes, shelves ,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v>
      </c>
      <c r="D9" s="1357">
        <f>[1]Data!$K$590</f>
        <v>563.35</v>
      </c>
      <c r="E9" s="1358" t="s">
        <v>110</v>
      </c>
      <c r="F9" s="1357">
        <f t="shared" si="0"/>
        <v>16224.480000000001</v>
      </c>
    </row>
    <row r="10" spans="1:6" ht="155.25" customHeight="1">
      <c r="A10" s="1376">
        <v>7</v>
      </c>
      <c r="B10" s="1357">
        <v>283.45</v>
      </c>
      <c r="C10" s="1407" t="str">
        <f>Dtl!B36</f>
        <v>Painting the old walls with one coats of oil bound distemper of approved brand over cement plastered wall surfaces including cost of paints, putty, brushes, watering, curing,scraping etc., all complete as directed by the departmental officers (paints and its shade shall be got approved from the Executive Engineer before use)</v>
      </c>
      <c r="D10" s="1357">
        <v>68.69</v>
      </c>
      <c r="E10" s="1358" t="s">
        <v>110</v>
      </c>
      <c r="F10" s="1357">
        <f t="shared" si="0"/>
        <v>19470.180499999999</v>
      </c>
    </row>
    <row r="11" spans="1:6" ht="72">
      <c r="A11" s="1356">
        <v>8</v>
      </c>
      <c r="B11" s="1357">
        <v>112</v>
      </c>
      <c r="C11" s="1406" t="str">
        <f>Dtl!B70</f>
        <v>White washing three coats using clean shell lime slaked including cost of lime, gum, blue, brushes, including scaffolding etc., complete in all respects.</v>
      </c>
      <c r="D11" s="1357">
        <f>[1]Data!$K$1498</f>
        <v>47.21</v>
      </c>
      <c r="E11" s="1358" t="s">
        <v>174</v>
      </c>
      <c r="F11" s="1357">
        <f t="shared" si="0"/>
        <v>5287.52</v>
      </c>
    </row>
    <row r="12" spans="1:6" ht="108">
      <c r="A12" s="1356">
        <v>9</v>
      </c>
      <c r="B12" s="1357">
        <v>60.98</v>
      </c>
      <c r="C12" s="1406" t="str">
        <f>Dtl!B76</f>
        <v>Painting Primer coat using approved quality of white cement over the cement plastered / concrete wall surfaces,ceiling or other similar works including cost of white cement, putty, brushes, watering, curing, etc., all complete and as directed by the depar</v>
      </c>
      <c r="D12" s="1357">
        <f>[1]Data!$K$2716</f>
        <v>64.16</v>
      </c>
      <c r="E12" s="1358" t="s">
        <v>174</v>
      </c>
      <c r="F12" s="1357">
        <f t="shared" si="0"/>
        <v>3912.4767999999995</v>
      </c>
    </row>
    <row r="13" spans="1:6" ht="108">
      <c r="A13" s="1356">
        <v>10</v>
      </c>
      <c r="B13" s="1357">
        <v>444.92</v>
      </c>
      <c r="C13" s="1406" t="str">
        <f>Dtl!B82</f>
        <v>Painting the old walls with one coat of approved best exterinal emulsion paint in addition to one coat of approved primer cement paint over cement plastered wall surfaces and ceiling including cost of cement paints, putty, brushes, watering, curing, etc.,shes, watering, curing, etc.</v>
      </c>
      <c r="D13" s="1357">
        <f>[1]Data!$K$3371</f>
        <v>86.42</v>
      </c>
      <c r="E13" s="1358" t="s">
        <v>110</v>
      </c>
      <c r="F13" s="1357">
        <f t="shared" si="0"/>
        <v>38449.986400000002</v>
      </c>
    </row>
    <row r="14" spans="1:6" ht="144" customHeight="1">
      <c r="A14" s="1356">
        <v>11</v>
      </c>
      <c r="B14" s="1357">
        <v>60.98</v>
      </c>
      <c r="C14" s="1407" t="str">
        <f>Dtl!B95</f>
        <v>Painting the new walls with two coats of oil bound distemper of approved brand over cement plastered wall surfaces including cost of paints, putty, brushes, watering, curing, etc., all complete as directed by the departmental officers (paints and its shade shall be got approved from the Executive Engineer before use)</v>
      </c>
      <c r="D14" s="1357">
        <f>[1]Data!$K$3348</f>
        <v>130.34</v>
      </c>
      <c r="E14" s="1358" t="s">
        <v>110</v>
      </c>
      <c r="F14" s="1357">
        <f t="shared" si="0"/>
        <v>7948.1332000000002</v>
      </c>
    </row>
    <row r="15" spans="1:6" ht="130.5" customHeight="1">
      <c r="A15" s="1356">
        <v>12</v>
      </c>
      <c r="B15" s="1357">
        <v>4</v>
      </c>
      <c r="C15" s="1406" t="str">
        <f>Dtl!B101</f>
        <v xml:space="preserve">Supplying and fixing of 15 mm dia C.P. Long body tap of best quality including cost of fittings with required specials, bends, labour for fixing etc., all complete and as directed by the departmental officers.(The quality and brand of fittings should be got approved from Executive Engineer before use).
</v>
      </c>
      <c r="D15" s="1357">
        <f>[1]Data!$AG$3115</f>
        <v>494</v>
      </c>
      <c r="E15" s="1358" t="s">
        <v>227</v>
      </c>
      <c r="F15" s="1357">
        <f t="shared" si="0"/>
        <v>1976</v>
      </c>
    </row>
    <row r="16" spans="1:6" ht="140.25" customHeight="1">
      <c r="A16" s="1356">
        <v>13</v>
      </c>
      <c r="B16" s="1430">
        <v>3</v>
      </c>
      <c r="C16" s="1406" t="str">
        <f>Dtl!B104</f>
        <v>Supplying and fixing of 15mm dia CP short body Tap of Best quality including cost of fittings with required specials, bends, labour for fixing etc., all complete and as directed by the departmental officers.,(The quality and brand of fittings should be got approved from Executive Engineer before use).</v>
      </c>
      <c r="D16" s="1357">
        <f>[1]Data!$AH$3115</f>
        <v>446</v>
      </c>
      <c r="E16" s="1358" t="s">
        <v>227</v>
      </c>
      <c r="F16" s="1357">
        <f t="shared" si="0"/>
        <v>1338</v>
      </c>
    </row>
    <row r="17" spans="1:7" ht="153" customHeight="1">
      <c r="A17" s="1356">
        <v>14</v>
      </c>
      <c r="B17" s="1357">
        <v>20.75</v>
      </c>
      <c r="C17" s="1403" t="str">
        <f>Dtl!B107</f>
        <v>Painting the old wood work with one coats of approved first class synthetic enamel ready mixed paint in addition to one coat of primer of approved quality and shade,  the paint should be supplied by the contractor at his own cost (The quality and the shade of paint should be got approved by the Executive Engineer before use) complying with relevant standard specifications.</v>
      </c>
      <c r="D17" s="1357">
        <f>[1]Data!$K$3216</f>
        <v>100.62</v>
      </c>
      <c r="E17" s="1358" t="s">
        <v>110</v>
      </c>
      <c r="F17" s="1357">
        <f t="shared" si="0"/>
        <v>2087.8650000000002</v>
      </c>
    </row>
    <row r="18" spans="1:7" ht="171" customHeight="1">
      <c r="A18" s="1356">
        <v>15</v>
      </c>
      <c r="B18" s="1357">
        <v>16.38</v>
      </c>
      <c r="C18" s="1403" t="str">
        <f>Dtl!B112</f>
        <v>Painting the old Iron work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18" s="1357">
        <f>[1]Data!$K$3202</f>
        <v>93.28</v>
      </c>
      <c r="E18" s="1358" t="s">
        <v>140</v>
      </c>
      <c r="F18" s="1357">
        <f t="shared" si="0"/>
        <v>1527.9263999999998</v>
      </c>
    </row>
    <row r="19" spans="1:7" ht="77.25" customHeight="1">
      <c r="A19" s="1356">
        <v>16</v>
      </c>
      <c r="B19" s="1429">
        <v>6</v>
      </c>
      <c r="C19" s="1403" t="str">
        <f>Dtl!B118</f>
        <v>Supplying and fixing of 18 W LED tube lights with necessary fittings including cost of all materials and labour for fixing in position etc.,</v>
      </c>
      <c r="D19" s="1357">
        <v>690</v>
      </c>
      <c r="E19" s="1358" t="s">
        <v>227</v>
      </c>
      <c r="F19" s="1357">
        <f t="shared" si="0"/>
        <v>4140</v>
      </c>
    </row>
    <row r="20" spans="1:7" ht="72">
      <c r="A20" s="1356">
        <v>17</v>
      </c>
      <c r="B20" s="1357">
        <v>6</v>
      </c>
      <c r="C20" s="1403" t="str">
        <f>Dtl!B123</f>
        <v>Supplying and fixing of 25W LED single street light fittings complete with approved make and brand  fixing the bulb including cost of all materials and labour for fixing in position etc.</v>
      </c>
      <c r="D20" s="1357">
        <v>3367</v>
      </c>
      <c r="E20" s="1359" t="s">
        <v>227</v>
      </c>
      <c r="F20" s="1357">
        <f t="shared" si="0"/>
        <v>20202</v>
      </c>
    </row>
    <row r="21" spans="1:7" ht="144">
      <c r="A21" s="1356">
        <v>18</v>
      </c>
      <c r="B21" s="1357">
        <v>28</v>
      </c>
      <c r="C21" s="1403" t="str">
        <f>Dtl!B126</f>
        <v>Supplying and fixing of 110mm dia PVC SWR pipe for Rain water down  fall pipe Typre 'A' with necessary gratings, shoes, bends, off sets, clamps, teak woods plugs, and of approved quality and including fixing C.I. gratings at the junction of parapet  and floor or roof slab  etc., including finishing   etc., complete complying  with relevant standard specifications.</v>
      </c>
      <c r="D21" s="1357">
        <f>[1]Data!$K$1638</f>
        <v>349.29</v>
      </c>
      <c r="E21" s="1359" t="s">
        <v>203</v>
      </c>
      <c r="F21" s="1357">
        <f t="shared" si="0"/>
        <v>9780.1200000000008</v>
      </c>
    </row>
    <row r="22" spans="1:7" ht="171.75" customHeight="1">
      <c r="A22" s="1356">
        <v>19</v>
      </c>
      <c r="B22" s="1357">
        <v>5</v>
      </c>
      <c r="C22" s="1403" t="str">
        <f>Dtl!B130</f>
        <v>Supply and delivery of following Electric Ceiling fan with blades and double ball bearing, capacitor, type complete with 300 mm down rods canopies, capacitor, shackle blades with speed regulator (resistance type suitable) for operator on 230 volts 50 HTZ single phase AC supply confirming to ISS No. 374/79 and provided with insulation. (The brand should be got approved from the Executive Engineer before supply made)</v>
      </c>
      <c r="D22" s="1357">
        <f>[1]Data!$K$3038</f>
        <v>1552.7</v>
      </c>
      <c r="E22" s="1358" t="s">
        <v>227</v>
      </c>
      <c r="F22" s="1357">
        <f t="shared" si="0"/>
        <v>7763.5</v>
      </c>
    </row>
    <row r="23" spans="1:7" ht="72">
      <c r="A23" s="1356">
        <v>20</v>
      </c>
      <c r="B23" s="1357">
        <v>5</v>
      </c>
      <c r="C23" s="1403" t="str">
        <f>Dtl!B136</f>
        <v>Charges for assembling and fixing of ceiling fan of different sweep with necessary connections and fixing of fan regulator on the existing board etc., all complete (Excluding cost of fan)</v>
      </c>
      <c r="D23" s="1357">
        <v>571</v>
      </c>
      <c r="E23" s="1358" t="s">
        <v>227</v>
      </c>
      <c r="F23" s="1357">
        <f t="shared" si="0"/>
        <v>2855</v>
      </c>
    </row>
    <row r="24" spans="1:7" ht="33" customHeight="1">
      <c r="A24" s="1356"/>
      <c r="B24" s="1357"/>
      <c r="C24" s="1360"/>
      <c r="D24" s="1436" t="s">
        <v>3007</v>
      </c>
      <c r="E24" s="1437"/>
      <c r="F24" s="559">
        <f>SUM(F4:F23)</f>
        <v>295433.45809999993</v>
      </c>
    </row>
    <row r="25" spans="1:7" ht="33" customHeight="1">
      <c r="A25" s="1356"/>
      <c r="B25" s="1357"/>
      <c r="C25" s="1361" t="s">
        <v>4586</v>
      </c>
      <c r="D25" s="559"/>
      <c r="E25" s="558"/>
      <c r="F25" s="1357">
        <f>F24*18%</f>
        <v>53178.022457999985</v>
      </c>
    </row>
    <row r="26" spans="1:7" ht="33" customHeight="1">
      <c r="A26" s="1356"/>
      <c r="B26" s="1357"/>
      <c r="C26" s="1360"/>
      <c r="D26" s="1434" t="s">
        <v>3008</v>
      </c>
      <c r="E26" s="1435"/>
      <c r="F26" s="559">
        <f>SUM(F24:F25)</f>
        <v>348611.48055799992</v>
      </c>
    </row>
    <row r="27" spans="1:7" ht="33" customHeight="1">
      <c r="A27" s="1356"/>
      <c r="B27" s="1357"/>
      <c r="C27" s="1362" t="s">
        <v>244</v>
      </c>
      <c r="D27" s="1363"/>
      <c r="E27" s="1364"/>
      <c r="F27" s="1357">
        <f>F26*1%</f>
        <v>3486.1148055799995</v>
      </c>
    </row>
    <row r="28" spans="1:7" ht="33" customHeight="1">
      <c r="A28" s="1356"/>
      <c r="B28" s="1357"/>
      <c r="C28" s="1365" t="s">
        <v>245</v>
      </c>
      <c r="D28" s="1363"/>
      <c r="E28" s="1364"/>
      <c r="F28" s="1357">
        <f>F26*7.5%</f>
        <v>26145.861041849992</v>
      </c>
    </row>
    <row r="29" spans="1:7" ht="33" customHeight="1">
      <c r="A29" s="1356"/>
      <c r="B29" s="1357"/>
      <c r="C29" s="1366"/>
      <c r="D29" s="1434" t="s">
        <v>257</v>
      </c>
      <c r="E29" s="1435"/>
      <c r="F29" s="559">
        <f>SUM(F26:F28)</f>
        <v>378243.45640542993</v>
      </c>
    </row>
    <row r="30" spans="1:7" ht="33" customHeight="1">
      <c r="A30" s="1356"/>
      <c r="B30" s="1357"/>
      <c r="C30" s="1366"/>
      <c r="D30" s="1434" t="s">
        <v>2914</v>
      </c>
      <c r="E30" s="1435"/>
      <c r="F30" s="559">
        <v>378300</v>
      </c>
      <c r="G30" s="525">
        <f>378300-F29</f>
        <v>56.543594570073765</v>
      </c>
    </row>
    <row r="31" spans="1:7">
      <c r="A31" s="1339"/>
      <c r="B31" s="527"/>
      <c r="C31" s="526"/>
      <c r="D31" s="528"/>
      <c r="E31" s="526"/>
      <c r="F31" s="526"/>
      <c r="G31" s="525"/>
    </row>
    <row r="32" spans="1:7">
      <c r="A32" s="1339"/>
      <c r="B32" s="527"/>
      <c r="C32" s="526"/>
      <c r="D32" s="528"/>
      <c r="E32" s="526"/>
      <c r="F32" s="528"/>
    </row>
    <row r="33" spans="1:6">
      <c r="A33" s="1339"/>
      <c r="B33" s="527"/>
      <c r="C33" s="518"/>
      <c r="D33" s="525"/>
      <c r="E33" s="518"/>
      <c r="F33" s="518"/>
    </row>
    <row r="34" spans="1:6">
      <c r="A34" s="1339"/>
      <c r="B34" s="527"/>
      <c r="C34" s="518"/>
      <c r="D34" s="525"/>
      <c r="E34" s="518"/>
      <c r="F34" s="518"/>
    </row>
    <row r="35" spans="1:6">
      <c r="A35" s="1339"/>
      <c r="B35" s="527"/>
      <c r="C35" s="518"/>
      <c r="D35" s="525"/>
      <c r="E35" s="518"/>
      <c r="F35" s="518"/>
    </row>
    <row r="36" spans="1:6">
      <c r="A36" s="1339"/>
      <c r="B36" s="527"/>
      <c r="C36" s="518"/>
      <c r="D36" s="525"/>
      <c r="E36" s="518"/>
      <c r="F36" s="525"/>
    </row>
    <row r="37" spans="1:6">
      <c r="A37" s="1339"/>
      <c r="B37" s="527"/>
      <c r="C37" s="518"/>
      <c r="D37" s="525"/>
      <c r="E37" s="518"/>
      <c r="F37" s="518"/>
    </row>
    <row r="38" spans="1:6">
      <c r="A38" s="1339"/>
      <c r="B38" s="527"/>
      <c r="C38" s="518"/>
      <c r="D38" s="525"/>
      <c r="E38" s="518"/>
      <c r="F38" s="518"/>
    </row>
    <row r="39" spans="1:6">
      <c r="A39" s="1339"/>
      <c r="B39" s="527"/>
      <c r="C39" s="518"/>
      <c r="D39" s="525"/>
      <c r="E39" s="518"/>
      <c r="F39" s="518"/>
    </row>
    <row r="40" spans="1:6">
      <c r="A40" s="1339"/>
      <c r="B40" s="527"/>
      <c r="C40" s="518"/>
      <c r="D40" s="525"/>
      <c r="E40" s="518"/>
      <c r="F40" s="518"/>
    </row>
    <row r="41" spans="1:6">
      <c r="A41" s="1339"/>
      <c r="B41" s="527"/>
      <c r="C41" s="518"/>
      <c r="D41" s="525"/>
      <c r="E41" s="518"/>
      <c r="F41" s="518"/>
    </row>
    <row r="42" spans="1:6">
      <c r="A42" s="1339"/>
      <c r="B42" s="527"/>
      <c r="C42" s="518"/>
      <c r="D42" s="525"/>
      <c r="E42" s="518"/>
      <c r="F42" s="518"/>
    </row>
    <row r="43" spans="1:6">
      <c r="A43" s="1339"/>
      <c r="B43" s="527"/>
      <c r="C43" s="518"/>
      <c r="D43" s="525"/>
      <c r="E43" s="518"/>
      <c r="F43" s="518"/>
    </row>
    <row r="44" spans="1:6">
      <c r="A44" s="1339"/>
      <c r="B44" s="527"/>
      <c r="C44" s="518"/>
      <c r="D44" s="525"/>
      <c r="E44" s="518"/>
      <c r="F44" s="518"/>
    </row>
    <row r="45" spans="1:6">
      <c r="A45" s="1339"/>
      <c r="B45" s="527"/>
      <c r="C45" s="518"/>
      <c r="D45" s="525"/>
      <c r="E45" s="518"/>
      <c r="F45" s="518"/>
    </row>
    <row r="46" spans="1:6">
      <c r="A46" s="1339"/>
      <c r="B46" s="527"/>
      <c r="C46" s="518"/>
      <c r="D46" s="525"/>
      <c r="E46" s="518"/>
      <c r="F46" s="518"/>
    </row>
    <row r="47" spans="1:6">
      <c r="A47" s="1339"/>
      <c r="B47" s="527"/>
      <c r="C47" s="518"/>
      <c r="D47" s="525"/>
      <c r="E47" s="518"/>
      <c r="F47" s="518"/>
    </row>
    <row r="48" spans="1:6">
      <c r="A48" s="1339"/>
      <c r="B48" s="527"/>
      <c r="C48" s="518"/>
      <c r="D48" s="525"/>
      <c r="E48" s="518"/>
      <c r="F48" s="518"/>
    </row>
    <row r="49" spans="1:6">
      <c r="A49" s="1339"/>
      <c r="B49" s="527"/>
      <c r="C49" s="518"/>
      <c r="D49" s="525"/>
      <c r="E49" s="518"/>
      <c r="F49" s="518"/>
    </row>
    <row r="50" spans="1:6">
      <c r="A50" s="1339"/>
      <c r="B50" s="527"/>
      <c r="C50" s="518"/>
      <c r="D50" s="525"/>
      <c r="E50" s="518"/>
      <c r="F50" s="518"/>
    </row>
    <row r="51" spans="1:6">
      <c r="A51" s="1339"/>
      <c r="B51" s="527"/>
      <c r="C51" s="518"/>
      <c r="D51" s="525"/>
      <c r="E51" s="518"/>
      <c r="F51" s="518"/>
    </row>
    <row r="52" spans="1:6">
      <c r="A52" s="1339"/>
      <c r="B52" s="527"/>
      <c r="C52" s="518"/>
      <c r="D52" s="525"/>
      <c r="E52" s="518"/>
      <c r="F52" s="518"/>
    </row>
    <row r="53" spans="1:6">
      <c r="A53" s="1339"/>
      <c r="B53" s="527"/>
      <c r="C53" s="518"/>
      <c r="D53" s="525"/>
      <c r="E53" s="518"/>
      <c r="F53" s="518"/>
    </row>
    <row r="54" spans="1:6">
      <c r="A54" s="1339"/>
      <c r="B54" s="527"/>
      <c r="C54" s="518"/>
      <c r="D54" s="525"/>
      <c r="E54" s="518"/>
      <c r="F54" s="518"/>
    </row>
    <row r="55" spans="1:6">
      <c r="A55" s="1339"/>
      <c r="B55" s="527"/>
      <c r="C55" s="518"/>
      <c r="D55" s="525"/>
      <c r="E55" s="518"/>
      <c r="F55" s="518"/>
    </row>
    <row r="56" spans="1:6">
      <c r="A56" s="1339"/>
      <c r="B56" s="527"/>
      <c r="C56" s="518"/>
      <c r="D56" s="525"/>
      <c r="E56" s="518"/>
      <c r="F56" s="518"/>
    </row>
    <row r="57" spans="1:6">
      <c r="A57" s="1339"/>
      <c r="B57" s="527"/>
      <c r="C57" s="518"/>
      <c r="D57" s="525"/>
      <c r="E57" s="518"/>
      <c r="F57" s="518"/>
    </row>
    <row r="58" spans="1:6">
      <c r="A58" s="1339"/>
      <c r="B58" s="527"/>
      <c r="C58" s="518"/>
      <c r="D58" s="525"/>
      <c r="E58" s="518"/>
      <c r="F58" s="518"/>
    </row>
    <row r="59" spans="1:6">
      <c r="A59" s="1339"/>
      <c r="B59" s="527"/>
      <c r="C59" s="518"/>
      <c r="D59" s="525"/>
      <c r="E59" s="518"/>
      <c r="F59" s="518"/>
    </row>
    <row r="60" spans="1:6">
      <c r="A60" s="1339"/>
      <c r="B60" s="527"/>
      <c r="C60" s="518"/>
      <c r="D60" s="525"/>
      <c r="E60" s="518"/>
      <c r="F60" s="518"/>
    </row>
    <row r="61" spans="1:6">
      <c r="A61" s="1339"/>
      <c r="B61" s="527"/>
      <c r="C61" s="518"/>
      <c r="D61" s="525"/>
      <c r="E61" s="518"/>
      <c r="F61" s="518"/>
    </row>
    <row r="62" spans="1:6">
      <c r="A62" s="1339"/>
      <c r="B62" s="527"/>
      <c r="C62" s="518"/>
      <c r="D62" s="525"/>
      <c r="E62" s="518"/>
      <c r="F62" s="518"/>
    </row>
    <row r="63" spans="1:6">
      <c r="A63" s="1339"/>
      <c r="B63" s="527"/>
      <c r="C63" s="518"/>
      <c r="D63" s="525"/>
      <c r="E63" s="518"/>
      <c r="F63" s="518"/>
    </row>
    <row r="64" spans="1:6">
      <c r="A64" s="1339"/>
      <c r="B64" s="527"/>
      <c r="C64" s="518"/>
      <c r="D64" s="525"/>
      <c r="E64" s="518"/>
      <c r="F64" s="518"/>
    </row>
    <row r="65" spans="1:6">
      <c r="A65" s="1339"/>
      <c r="B65" s="527"/>
      <c r="C65" s="518"/>
      <c r="D65" s="525"/>
      <c r="E65" s="518"/>
      <c r="F65" s="518"/>
    </row>
    <row r="66" spans="1:6">
      <c r="A66" s="1339"/>
      <c r="B66" s="527"/>
      <c r="C66" s="518"/>
      <c r="D66" s="525"/>
      <c r="E66" s="518"/>
      <c r="F66" s="518"/>
    </row>
    <row r="67" spans="1:6">
      <c r="A67" s="1339"/>
      <c r="B67" s="527"/>
      <c r="C67" s="518"/>
      <c r="D67" s="525"/>
      <c r="E67" s="518"/>
      <c r="F67" s="518"/>
    </row>
    <row r="68" spans="1:6">
      <c r="A68" s="1339"/>
      <c r="B68" s="527"/>
      <c r="C68" s="518"/>
      <c r="D68" s="525"/>
      <c r="E68" s="518"/>
      <c r="F68" s="518"/>
    </row>
    <row r="69" spans="1:6">
      <c r="A69" s="1339"/>
      <c r="B69" s="527"/>
      <c r="C69" s="518"/>
      <c r="D69" s="525"/>
      <c r="E69" s="518"/>
      <c r="F69" s="518"/>
    </row>
    <row r="70" spans="1:6">
      <c r="A70" s="1339"/>
      <c r="B70" s="527"/>
      <c r="C70" s="518"/>
      <c r="D70" s="525"/>
      <c r="E70" s="518"/>
      <c r="F70" s="518"/>
    </row>
    <row r="71" spans="1:6">
      <c r="A71" s="1339"/>
      <c r="B71" s="527"/>
      <c r="C71" s="518"/>
      <c r="D71" s="525"/>
      <c r="E71" s="518"/>
      <c r="F71" s="518"/>
    </row>
    <row r="72" spans="1:6">
      <c r="A72" s="1339"/>
      <c r="B72" s="527"/>
      <c r="C72" s="518"/>
      <c r="D72" s="525"/>
      <c r="E72" s="518"/>
      <c r="F72" s="518"/>
    </row>
    <row r="73" spans="1:6">
      <c r="A73" s="1339"/>
      <c r="B73" s="527"/>
      <c r="C73" s="518"/>
      <c r="D73" s="525"/>
      <c r="E73" s="518"/>
      <c r="F73" s="518"/>
    </row>
    <row r="74" spans="1:6">
      <c r="A74" s="1339"/>
      <c r="B74" s="527"/>
      <c r="C74" s="518"/>
      <c r="D74" s="525"/>
      <c r="E74" s="518"/>
      <c r="F74" s="518"/>
    </row>
    <row r="75" spans="1:6">
      <c r="A75" s="1339"/>
      <c r="B75" s="527"/>
      <c r="C75" s="518"/>
      <c r="D75" s="525"/>
      <c r="E75" s="518"/>
      <c r="F75" s="518"/>
    </row>
    <row r="76" spans="1:6">
      <c r="A76" s="1339"/>
      <c r="B76" s="527"/>
      <c r="C76" s="518"/>
      <c r="D76" s="525"/>
      <c r="E76" s="518"/>
      <c r="F76" s="518"/>
    </row>
    <row r="77" spans="1:6">
      <c r="A77" s="1339"/>
      <c r="B77" s="527"/>
      <c r="C77" s="518"/>
      <c r="D77" s="525"/>
      <c r="E77" s="518"/>
      <c r="F77" s="518"/>
    </row>
    <row r="78" spans="1:6">
      <c r="A78" s="1339"/>
      <c r="B78" s="527"/>
      <c r="C78" s="518"/>
      <c r="D78" s="525"/>
      <c r="E78" s="518"/>
      <c r="F78" s="518"/>
    </row>
    <row r="79" spans="1:6">
      <c r="A79" s="1339"/>
      <c r="B79" s="527"/>
      <c r="C79" s="518"/>
      <c r="D79" s="525"/>
      <c r="E79" s="518"/>
      <c r="F79" s="518"/>
    </row>
    <row r="80" spans="1:6">
      <c r="A80" s="1339"/>
      <c r="B80" s="527"/>
      <c r="C80" s="518"/>
      <c r="D80" s="525"/>
      <c r="E80" s="518"/>
      <c r="F80" s="518"/>
    </row>
    <row r="81" spans="1:6">
      <c r="A81" s="1339"/>
      <c r="B81" s="527"/>
      <c r="C81" s="518"/>
      <c r="D81" s="525"/>
      <c r="E81" s="518"/>
      <c r="F81" s="518"/>
    </row>
    <row r="82" spans="1:6">
      <c r="A82" s="1339"/>
      <c r="B82" s="527"/>
      <c r="C82" s="518"/>
      <c r="D82" s="525"/>
      <c r="E82" s="518"/>
      <c r="F82" s="518"/>
    </row>
    <row r="83" spans="1:6">
      <c r="A83" s="1339"/>
      <c r="B83" s="527"/>
      <c r="C83" s="518"/>
      <c r="D83" s="525"/>
      <c r="E83" s="518"/>
      <c r="F83" s="518"/>
    </row>
    <row r="84" spans="1:6">
      <c r="A84" s="1339"/>
      <c r="B84" s="527"/>
      <c r="C84" s="518"/>
      <c r="D84" s="525"/>
      <c r="E84" s="518"/>
      <c r="F84" s="518"/>
    </row>
    <row r="85" spans="1:6">
      <c r="A85" s="1339"/>
      <c r="B85" s="527"/>
      <c r="C85" s="518"/>
      <c r="D85" s="525"/>
      <c r="E85" s="518"/>
      <c r="F85" s="518"/>
    </row>
    <row r="86" spans="1:6">
      <c r="A86" s="1339"/>
      <c r="B86" s="527"/>
      <c r="C86" s="518"/>
      <c r="D86" s="525"/>
      <c r="E86" s="518"/>
      <c r="F86" s="518"/>
    </row>
    <row r="87" spans="1:6">
      <c r="A87" s="1339"/>
      <c r="B87" s="527"/>
      <c r="C87" s="518"/>
      <c r="D87" s="525"/>
      <c r="E87" s="518"/>
      <c r="F87" s="518"/>
    </row>
    <row r="88" spans="1:6">
      <c r="A88" s="1339"/>
      <c r="B88" s="527"/>
      <c r="C88" s="518"/>
      <c r="D88" s="525"/>
      <c r="E88" s="518"/>
      <c r="F88" s="518"/>
    </row>
    <row r="89" spans="1:6">
      <c r="A89" s="1339"/>
      <c r="B89" s="527"/>
      <c r="C89" s="518"/>
      <c r="D89" s="525"/>
      <c r="E89" s="518"/>
      <c r="F89" s="518"/>
    </row>
    <row r="90" spans="1:6">
      <c r="A90" s="1339"/>
      <c r="B90" s="527"/>
      <c r="C90" s="518"/>
      <c r="D90" s="525"/>
      <c r="E90" s="518"/>
      <c r="F90" s="518"/>
    </row>
    <row r="91" spans="1:6">
      <c r="A91" s="1339"/>
      <c r="B91" s="527"/>
      <c r="C91" s="518"/>
      <c r="D91" s="525"/>
      <c r="E91" s="518"/>
      <c r="F91" s="518"/>
    </row>
    <row r="92" spans="1:6">
      <c r="A92" s="1339"/>
      <c r="B92" s="527"/>
      <c r="C92" s="518"/>
      <c r="D92" s="525"/>
      <c r="E92" s="518"/>
      <c r="F92" s="518"/>
    </row>
    <row r="93" spans="1:6">
      <c r="A93" s="1339"/>
      <c r="B93" s="527"/>
      <c r="C93" s="518"/>
      <c r="D93" s="525"/>
      <c r="E93" s="518"/>
      <c r="F93" s="518"/>
    </row>
    <row r="94" spans="1:6">
      <c r="A94" s="1339"/>
      <c r="B94" s="527"/>
      <c r="C94" s="518"/>
      <c r="D94" s="525"/>
      <c r="E94" s="518"/>
      <c r="F94" s="518"/>
    </row>
    <row r="95" spans="1:6">
      <c r="A95" s="1339"/>
      <c r="B95" s="527"/>
      <c r="C95" s="518"/>
      <c r="D95" s="525"/>
      <c r="E95" s="518"/>
      <c r="F95" s="518"/>
    </row>
    <row r="96" spans="1:6">
      <c r="A96" s="1339"/>
      <c r="B96" s="527"/>
      <c r="C96" s="518"/>
      <c r="D96" s="525"/>
      <c r="E96" s="518"/>
      <c r="F96" s="518"/>
    </row>
    <row r="97" spans="1:6">
      <c r="A97" s="1339"/>
      <c r="B97" s="527"/>
      <c r="C97" s="518"/>
      <c r="D97" s="525"/>
      <c r="E97" s="518"/>
      <c r="F97" s="518"/>
    </row>
    <row r="98" spans="1:6">
      <c r="A98" s="1339"/>
      <c r="B98" s="527"/>
      <c r="C98" s="518"/>
      <c r="D98" s="525"/>
      <c r="E98" s="518"/>
      <c r="F98" s="518"/>
    </row>
    <row r="99" spans="1:6">
      <c r="A99" s="1339"/>
      <c r="B99" s="527"/>
      <c r="C99" s="518"/>
      <c r="D99" s="525"/>
      <c r="E99" s="518"/>
      <c r="F99" s="518"/>
    </row>
    <row r="100" spans="1:6">
      <c r="A100" s="1339"/>
      <c r="B100" s="527"/>
      <c r="C100" s="518"/>
      <c r="D100" s="525"/>
      <c r="E100" s="518"/>
      <c r="F100" s="518"/>
    </row>
    <row r="101" spans="1:6">
      <c r="A101" s="1339"/>
      <c r="B101" s="527"/>
      <c r="C101" s="518"/>
      <c r="D101" s="525"/>
      <c r="E101" s="518"/>
      <c r="F101" s="518"/>
    </row>
    <row r="102" spans="1:6">
      <c r="A102" s="1339"/>
      <c r="B102" s="527"/>
      <c r="C102" s="518"/>
      <c r="D102" s="525"/>
      <c r="E102" s="518"/>
      <c r="F102" s="518"/>
    </row>
    <row r="103" spans="1:6">
      <c r="A103" s="1339"/>
      <c r="B103" s="527"/>
      <c r="C103" s="518"/>
      <c r="D103" s="525"/>
      <c r="E103" s="518"/>
      <c r="F103" s="518"/>
    </row>
  </sheetData>
  <mergeCells count="6">
    <mergeCell ref="A1:F1"/>
    <mergeCell ref="A2:F2"/>
    <mergeCell ref="D29:E29"/>
    <mergeCell ref="D30:E30"/>
    <mergeCell ref="D24:E24"/>
    <mergeCell ref="D26:E26"/>
  </mergeCells>
  <printOptions horizontalCentered="1"/>
  <pageMargins left="0.19685039370078741" right="0" top="0.59055118110236227" bottom="0" header="0" footer="0"/>
  <pageSetup paperSize="9" scale="70" orientation="portrait" r:id="rId1"/>
</worksheet>
</file>

<file path=xl/worksheets/sheet2.xml><?xml version="1.0" encoding="utf-8"?>
<worksheet xmlns="http://schemas.openxmlformats.org/spreadsheetml/2006/main" xmlns:r="http://schemas.openxmlformats.org/officeDocument/2006/relationships">
  <dimension ref="A1:M141"/>
  <sheetViews>
    <sheetView view="pageBreakPreview" zoomScaleSheetLayoutView="100" workbookViewId="0">
      <selection activeCell="I4" sqref="I4"/>
    </sheetView>
  </sheetViews>
  <sheetFormatPr defaultRowHeight="15"/>
  <cols>
    <col min="1" max="1" width="5.7109375" style="1379" customWidth="1"/>
    <col min="2" max="2" width="52" style="1395" customWidth="1"/>
    <col min="3" max="4" width="6.7109375" style="1380" customWidth="1"/>
    <col min="5" max="5" width="11.42578125" style="1381" customWidth="1"/>
    <col min="6" max="6" width="12.140625" style="1381" customWidth="1"/>
    <col min="7" max="7" width="11.85546875" style="1381" customWidth="1"/>
    <col min="8" max="8" width="11.140625" style="1398" customWidth="1"/>
    <col min="9" max="16384" width="9.140625" style="1395"/>
  </cols>
  <sheetData>
    <row r="1" spans="1:8" ht="42.75" customHeight="1" thickBot="1">
      <c r="A1" s="1438" t="str">
        <f>Abt!A1</f>
        <v xml:space="preserve"> NAME OF WORK : Special Repair works for the Existing Fire and Rescue Service Station Building at Ganapathy in Coimbatore City.</v>
      </c>
      <c r="B1" s="1439"/>
      <c r="C1" s="1439"/>
      <c r="D1" s="1439"/>
      <c r="E1" s="1439"/>
      <c r="F1" s="1439"/>
      <c r="G1" s="1439"/>
      <c r="H1" s="1440"/>
    </row>
    <row r="2" spans="1:8" ht="24.95" customHeight="1" thickTop="1">
      <c r="A2" s="1441" t="s">
        <v>3003</v>
      </c>
      <c r="B2" s="1442"/>
      <c r="C2" s="1442"/>
      <c r="D2" s="1442"/>
      <c r="E2" s="1442"/>
      <c r="F2" s="1442"/>
      <c r="G2" s="1442"/>
      <c r="H2" s="1443"/>
    </row>
    <row r="3" spans="1:8" ht="37.5" customHeight="1">
      <c r="A3" s="1408" t="s">
        <v>3005</v>
      </c>
      <c r="B3" s="1401" t="s">
        <v>7</v>
      </c>
      <c r="C3" s="1444" t="s">
        <v>1</v>
      </c>
      <c r="D3" s="1444"/>
      <c r="E3" s="1377" t="s">
        <v>8</v>
      </c>
      <c r="F3" s="1377" t="s">
        <v>2</v>
      </c>
      <c r="G3" s="1377" t="s">
        <v>9</v>
      </c>
      <c r="H3" s="1409" t="s">
        <v>0</v>
      </c>
    </row>
    <row r="4" spans="1:8" ht="69.75" customHeight="1">
      <c r="A4" s="1410">
        <v>1</v>
      </c>
      <c r="B4" s="1449" t="s">
        <v>4475</v>
      </c>
      <c r="C4" s="1449"/>
      <c r="D4" s="1449"/>
      <c r="E4" s="1449"/>
      <c r="F4" s="1449"/>
      <c r="G4" s="1449"/>
      <c r="H4" s="1411"/>
    </row>
    <row r="5" spans="1:8" ht="27.75" customHeight="1">
      <c r="A5" s="1410"/>
      <c r="B5" s="1378" t="s">
        <v>4476</v>
      </c>
      <c r="C5" s="1382">
        <v>1</v>
      </c>
      <c r="D5" s="1382">
        <v>2</v>
      </c>
      <c r="E5" s="1383">
        <v>14.54</v>
      </c>
      <c r="F5" s="1383">
        <v>5</v>
      </c>
      <c r="G5" s="1383"/>
      <c r="H5" s="1412">
        <f>C5*D5*E5*F5</f>
        <v>145.39999999999998</v>
      </c>
    </row>
    <row r="6" spans="1:8" ht="22.5" customHeight="1">
      <c r="A6" s="1410"/>
      <c r="B6" s="1378" t="s">
        <v>4477</v>
      </c>
      <c r="C6" s="1382">
        <v>1</v>
      </c>
      <c r="D6" s="1382">
        <v>1</v>
      </c>
      <c r="E6" s="1383">
        <v>13.2</v>
      </c>
      <c r="F6" s="1383">
        <v>6.1</v>
      </c>
      <c r="G6" s="1383"/>
      <c r="H6" s="1412">
        <f>C6*D6*E6*F6</f>
        <v>80.52</v>
      </c>
    </row>
    <row r="7" spans="1:8" ht="22.5" customHeight="1">
      <c r="A7" s="1410"/>
      <c r="B7" s="1378" t="s">
        <v>4478</v>
      </c>
      <c r="C7" s="1382">
        <v>1</v>
      </c>
      <c r="D7" s="1382">
        <v>1</v>
      </c>
      <c r="E7" s="1383">
        <v>48</v>
      </c>
      <c r="F7" s="1383"/>
      <c r="G7" s="1383">
        <v>0.23</v>
      </c>
      <c r="H7" s="1412">
        <f>G7*E7*D7*C7</f>
        <v>11.040000000000001</v>
      </c>
    </row>
    <row r="8" spans="1:8" ht="22.5" customHeight="1">
      <c r="A8" s="1410"/>
      <c r="B8" s="1378" t="s">
        <v>4479</v>
      </c>
      <c r="C8" s="1382">
        <v>1</v>
      </c>
      <c r="D8" s="1382">
        <v>1</v>
      </c>
      <c r="E8" s="1383">
        <v>38.54</v>
      </c>
      <c r="F8" s="1383"/>
      <c r="G8" s="1383">
        <v>0.23</v>
      </c>
      <c r="H8" s="1412">
        <f>G8*E8*D8*C8</f>
        <v>8.8642000000000003</v>
      </c>
    </row>
    <row r="9" spans="1:8" ht="22.5" customHeight="1">
      <c r="A9" s="1410"/>
      <c r="B9" s="1384"/>
      <c r="C9" s="1382"/>
      <c r="D9" s="1382"/>
      <c r="E9" s="1383"/>
      <c r="F9" s="1383"/>
      <c r="G9" s="1383"/>
      <c r="H9" s="1411">
        <f>SUM(H5:H8)</f>
        <v>245.82419999999996</v>
      </c>
    </row>
    <row r="10" spans="1:8" ht="67.5" customHeight="1">
      <c r="A10" s="1413">
        <v>2</v>
      </c>
      <c r="B10" s="1445" t="s">
        <v>107</v>
      </c>
      <c r="C10" s="1445"/>
      <c r="D10" s="1445"/>
      <c r="E10" s="1445"/>
      <c r="F10" s="1445"/>
      <c r="G10" s="1445"/>
      <c r="H10" s="1414"/>
    </row>
    <row r="11" spans="1:8" ht="19.5" customHeight="1">
      <c r="A11" s="1413"/>
      <c r="B11" s="1402" t="s">
        <v>4473</v>
      </c>
      <c r="C11" s="1385">
        <v>3</v>
      </c>
      <c r="D11" s="1385">
        <v>3</v>
      </c>
      <c r="E11" s="1386">
        <v>0.6</v>
      </c>
      <c r="F11" s="1386">
        <v>0.6</v>
      </c>
      <c r="G11" s="1387"/>
      <c r="H11" s="1414">
        <f>F11*E11*D11*C11</f>
        <v>3.24</v>
      </c>
    </row>
    <row r="12" spans="1:8" ht="19.5" customHeight="1">
      <c r="A12" s="1413"/>
      <c r="B12" s="1402"/>
      <c r="C12" s="1385"/>
      <c r="D12" s="1385"/>
      <c r="E12" s="1386"/>
      <c r="F12" s="1386"/>
      <c r="G12" s="1387" t="s">
        <v>257</v>
      </c>
      <c r="H12" s="1415">
        <v>3.24</v>
      </c>
    </row>
    <row r="13" spans="1:8" ht="59.25" customHeight="1">
      <c r="A13" s="1413">
        <v>3</v>
      </c>
      <c r="B13" s="1445" t="s">
        <v>4579</v>
      </c>
      <c r="C13" s="1445"/>
      <c r="D13" s="1445"/>
      <c r="E13" s="1445"/>
      <c r="F13" s="1445"/>
      <c r="G13" s="1445"/>
      <c r="H13" s="1415"/>
    </row>
    <row r="14" spans="1:8" ht="19.5" customHeight="1">
      <c r="A14" s="1413"/>
      <c r="B14" s="1388" t="s">
        <v>4480</v>
      </c>
      <c r="C14" s="1385"/>
      <c r="D14" s="1385"/>
      <c r="E14" s="1386"/>
      <c r="F14" s="1386"/>
      <c r="G14" s="1387"/>
      <c r="H14" s="1415"/>
    </row>
    <row r="15" spans="1:8" ht="19.5" customHeight="1">
      <c r="A15" s="1413"/>
      <c r="B15" s="1402" t="s">
        <v>4481</v>
      </c>
      <c r="C15" s="1385">
        <v>1</v>
      </c>
      <c r="D15" s="1385">
        <v>20</v>
      </c>
      <c r="E15" s="1386">
        <v>0.6</v>
      </c>
      <c r="F15" s="1386"/>
      <c r="G15" s="1386">
        <v>2.1</v>
      </c>
      <c r="H15" s="1414">
        <f>G15*E15*D15*C15</f>
        <v>25.2</v>
      </c>
    </row>
    <row r="16" spans="1:8" ht="19.5" customHeight="1">
      <c r="A16" s="1413"/>
      <c r="B16" s="1402" t="s">
        <v>4482</v>
      </c>
      <c r="C16" s="1385">
        <v>1</v>
      </c>
      <c r="D16" s="1385">
        <v>6</v>
      </c>
      <c r="E16" s="1386">
        <v>0.6</v>
      </c>
      <c r="F16" s="1386"/>
      <c r="G16" s="1386">
        <v>2.1</v>
      </c>
      <c r="H16" s="1414">
        <f>G16*E16*D16*C16</f>
        <v>7.5600000000000005</v>
      </c>
    </row>
    <row r="17" spans="1:8" ht="19.5" customHeight="1">
      <c r="A17" s="1413"/>
      <c r="B17" s="1402"/>
      <c r="C17" s="1385"/>
      <c r="D17" s="1385"/>
      <c r="E17" s="1386"/>
      <c r="F17" s="1386"/>
      <c r="G17" s="1387" t="s">
        <v>257</v>
      </c>
      <c r="H17" s="1415">
        <f>SUM(H15:H16)</f>
        <v>32.76</v>
      </c>
    </row>
    <row r="18" spans="1:8" ht="58.5" customHeight="1">
      <c r="A18" s="1413">
        <v>4</v>
      </c>
      <c r="B18" s="1445" t="s">
        <v>4483</v>
      </c>
      <c r="C18" s="1445"/>
      <c r="D18" s="1445"/>
      <c r="E18" s="1445"/>
      <c r="F18" s="1445"/>
      <c r="G18" s="1445"/>
      <c r="H18" s="1415"/>
    </row>
    <row r="19" spans="1:8" ht="19.5" customHeight="1">
      <c r="A19" s="1413"/>
      <c r="B19" s="1402" t="s">
        <v>4481</v>
      </c>
      <c r="C19" s="1385">
        <v>2</v>
      </c>
      <c r="D19" s="1385">
        <v>16</v>
      </c>
      <c r="E19" s="1386">
        <v>0.6</v>
      </c>
      <c r="F19" s="1386"/>
      <c r="G19" s="1386">
        <v>2.1</v>
      </c>
      <c r="H19" s="1414">
        <f>G19*E19*D19*C19</f>
        <v>40.32</v>
      </c>
    </row>
    <row r="20" spans="1:8" ht="19.5" customHeight="1">
      <c r="A20" s="1413"/>
      <c r="B20" s="1402" t="s">
        <v>4484</v>
      </c>
      <c r="C20" s="1385">
        <v>1</v>
      </c>
      <c r="D20" s="1385">
        <v>16</v>
      </c>
      <c r="E20" s="1386">
        <v>0.12</v>
      </c>
      <c r="F20" s="1386"/>
      <c r="G20" s="1386">
        <v>2.1</v>
      </c>
      <c r="H20" s="1414">
        <f>G20*E20*D20*C20</f>
        <v>4.032</v>
      </c>
    </row>
    <row r="21" spans="1:8" ht="19.5" customHeight="1">
      <c r="A21" s="1413"/>
      <c r="B21" s="1402" t="s">
        <v>4485</v>
      </c>
      <c r="C21" s="1385">
        <v>2</v>
      </c>
      <c r="D21" s="1385">
        <v>6</v>
      </c>
      <c r="E21" s="1386">
        <v>0.6</v>
      </c>
      <c r="F21" s="1386"/>
      <c r="G21" s="1386">
        <v>2.1</v>
      </c>
      <c r="H21" s="1414">
        <f>G21*E21*D21*C21</f>
        <v>15.120000000000001</v>
      </c>
    </row>
    <row r="22" spans="1:8" ht="19.5" customHeight="1">
      <c r="A22" s="1413"/>
      <c r="B22" s="1402" t="s">
        <v>4486</v>
      </c>
      <c r="C22" s="1385">
        <v>1</v>
      </c>
      <c r="D22" s="1385">
        <v>6</v>
      </c>
      <c r="E22" s="1386">
        <v>0.12</v>
      </c>
      <c r="F22" s="1386"/>
      <c r="G22" s="1386">
        <v>2.1</v>
      </c>
      <c r="H22" s="1414">
        <f>G22*E22*D22*C22</f>
        <v>1.512</v>
      </c>
    </row>
    <row r="23" spans="1:8" ht="19.5" customHeight="1">
      <c r="A23" s="1413"/>
      <c r="B23" s="1402"/>
      <c r="C23" s="1385"/>
      <c r="D23" s="1385"/>
      <c r="E23" s="1386"/>
      <c r="F23" s="1386"/>
      <c r="G23" s="1387" t="s">
        <v>257</v>
      </c>
      <c r="H23" s="1415">
        <f>SUM(H19:H22)</f>
        <v>60.984000000000009</v>
      </c>
    </row>
    <row r="24" spans="1:8" ht="65.25" customHeight="1">
      <c r="A24" s="1413">
        <v>5</v>
      </c>
      <c r="B24" s="1445" t="s">
        <v>4487</v>
      </c>
      <c r="C24" s="1445"/>
      <c r="D24" s="1445"/>
      <c r="E24" s="1445"/>
      <c r="F24" s="1445"/>
      <c r="G24" s="1445"/>
      <c r="H24" s="1415"/>
    </row>
    <row r="25" spans="1:8" ht="19.5" customHeight="1">
      <c r="A25" s="1413"/>
      <c r="B25" s="1402" t="s">
        <v>4488</v>
      </c>
      <c r="C25" s="1385">
        <v>1</v>
      </c>
      <c r="D25" s="1385">
        <v>1</v>
      </c>
      <c r="E25" s="1386">
        <v>4.9000000000000004</v>
      </c>
      <c r="F25" s="1386">
        <v>6</v>
      </c>
      <c r="G25" s="1387"/>
      <c r="H25" s="1415">
        <f>F25*E25*D25*C25</f>
        <v>29.400000000000002</v>
      </c>
    </row>
    <row r="26" spans="1:8" ht="19.5" customHeight="1">
      <c r="A26" s="1413"/>
      <c r="B26" s="1402" t="s">
        <v>4489</v>
      </c>
      <c r="C26" s="1385">
        <v>1</v>
      </c>
      <c r="D26" s="1385">
        <v>1</v>
      </c>
      <c r="E26" s="1386">
        <v>4.5999999999999996</v>
      </c>
      <c r="F26" s="1386">
        <v>6</v>
      </c>
      <c r="G26" s="1387"/>
      <c r="H26" s="1415">
        <f>F26*E26*D26*C26</f>
        <v>27.599999999999998</v>
      </c>
    </row>
    <row r="27" spans="1:8" ht="19.5" customHeight="1">
      <c r="A27" s="1413"/>
      <c r="B27" s="1402" t="s">
        <v>4521</v>
      </c>
      <c r="C27" s="1385">
        <v>1</v>
      </c>
      <c r="D27" s="1385">
        <v>1</v>
      </c>
      <c r="E27" s="1386">
        <v>4.5999999999999996</v>
      </c>
      <c r="F27" s="1386">
        <v>5</v>
      </c>
      <c r="G27" s="1387"/>
      <c r="H27" s="1415">
        <f>F27*E27*D27*C27</f>
        <v>23</v>
      </c>
    </row>
    <row r="28" spans="1:8" ht="19.5" customHeight="1">
      <c r="A28" s="1413"/>
      <c r="B28" s="1402" t="s">
        <v>4522</v>
      </c>
      <c r="C28" s="1385">
        <v>1</v>
      </c>
      <c r="D28" s="1385">
        <v>2</v>
      </c>
      <c r="E28" s="1386">
        <v>4</v>
      </c>
      <c r="F28" s="1386">
        <v>4</v>
      </c>
      <c r="G28" s="1387"/>
      <c r="H28" s="1415">
        <f>F28*E28*D28*C28</f>
        <v>32</v>
      </c>
    </row>
    <row r="29" spans="1:8" ht="19.5" customHeight="1">
      <c r="A29" s="1413"/>
      <c r="B29" s="1402"/>
      <c r="C29" s="1385"/>
      <c r="D29" s="1385"/>
      <c r="E29" s="1386"/>
      <c r="F29" s="1386"/>
      <c r="G29" s="1387" t="s">
        <v>257</v>
      </c>
      <c r="H29" s="1415">
        <f>SUM(H25:H28)</f>
        <v>112</v>
      </c>
    </row>
    <row r="30" spans="1:8" ht="86.25" customHeight="1">
      <c r="A30" s="1413">
        <v>6</v>
      </c>
      <c r="B30" s="1445" t="s">
        <v>4490</v>
      </c>
      <c r="C30" s="1445"/>
      <c r="D30" s="1445"/>
      <c r="E30" s="1445"/>
      <c r="F30" s="1445"/>
      <c r="G30" s="1445"/>
      <c r="H30" s="1415"/>
    </row>
    <row r="31" spans="1:8" ht="19.5" customHeight="1">
      <c r="A31" s="1413"/>
      <c r="B31" s="1388" t="s">
        <v>4491</v>
      </c>
      <c r="C31" s="1385"/>
      <c r="D31" s="1385"/>
      <c r="E31" s="1386"/>
      <c r="F31" s="1386"/>
      <c r="G31" s="1387"/>
      <c r="H31" s="1415"/>
    </row>
    <row r="32" spans="1:8" ht="19.5" customHeight="1">
      <c r="A32" s="1413"/>
      <c r="B32" s="1388" t="s">
        <v>4480</v>
      </c>
      <c r="C32" s="1385"/>
      <c r="D32" s="1385"/>
      <c r="E32" s="1386"/>
      <c r="F32" s="1386"/>
      <c r="G32" s="1387"/>
      <c r="H32" s="1415"/>
    </row>
    <row r="33" spans="1:13" ht="19.5" customHeight="1">
      <c r="A33" s="1413"/>
      <c r="B33" s="1402" t="s">
        <v>4481</v>
      </c>
      <c r="C33" s="1385">
        <v>6</v>
      </c>
      <c r="D33" s="1385">
        <v>5</v>
      </c>
      <c r="E33" s="1386">
        <v>1.2</v>
      </c>
      <c r="F33" s="1386">
        <v>0.6</v>
      </c>
      <c r="G33" s="1387"/>
      <c r="H33" s="1415">
        <f>F33*E33*D33*C33</f>
        <v>21.599999999999998</v>
      </c>
    </row>
    <row r="34" spans="1:13" ht="19.5" customHeight="1">
      <c r="A34" s="1413"/>
      <c r="B34" s="1402" t="s">
        <v>4482</v>
      </c>
      <c r="C34" s="1385">
        <v>2</v>
      </c>
      <c r="D34" s="1385">
        <v>5</v>
      </c>
      <c r="E34" s="1386">
        <v>1.2</v>
      </c>
      <c r="F34" s="1386">
        <v>0.6</v>
      </c>
      <c r="G34" s="1387"/>
      <c r="H34" s="1415">
        <f>F34*E34*D34*C34</f>
        <v>7.1999999999999993</v>
      </c>
    </row>
    <row r="35" spans="1:13" ht="19.5" customHeight="1">
      <c r="A35" s="1413"/>
      <c r="B35" s="1402"/>
      <c r="C35" s="1385"/>
      <c r="D35" s="1385"/>
      <c r="E35" s="1386"/>
      <c r="F35" s="1386"/>
      <c r="G35" s="1387" t="s">
        <v>257</v>
      </c>
      <c r="H35" s="1415">
        <f>SUM(H33:H34)</f>
        <v>28.799999999999997</v>
      </c>
    </row>
    <row r="36" spans="1:13" ht="68.25" customHeight="1">
      <c r="A36" s="1413">
        <v>7</v>
      </c>
      <c r="B36" s="1447" t="s">
        <v>4462</v>
      </c>
      <c r="C36" s="1447"/>
      <c r="D36" s="1447"/>
      <c r="E36" s="1447"/>
      <c r="F36" s="1447"/>
      <c r="G36" s="1447"/>
      <c r="H36" s="1415"/>
      <c r="M36" s="1395">
        <f>3.6+3.925+3.6+3.925</f>
        <v>15.05</v>
      </c>
    </row>
    <row r="37" spans="1:13" ht="15.75">
      <c r="A37" s="1413"/>
      <c r="B37" s="1396" t="s">
        <v>12</v>
      </c>
      <c r="C37" s="1385"/>
      <c r="D37" s="1385"/>
      <c r="E37" s="1386"/>
      <c r="F37" s="1386"/>
      <c r="G37" s="1386"/>
      <c r="H37" s="1415"/>
      <c r="M37" s="1395">
        <f>3.8+4.04+3.8+4.04</f>
        <v>15.68</v>
      </c>
    </row>
    <row r="38" spans="1:13" ht="15.75">
      <c r="A38" s="1416"/>
      <c r="B38" s="1388" t="s">
        <v>4492</v>
      </c>
      <c r="C38" s="1386">
        <v>1</v>
      </c>
      <c r="D38" s="1386">
        <v>1</v>
      </c>
      <c r="E38" s="1386">
        <v>20.3</v>
      </c>
      <c r="F38" s="1386"/>
      <c r="G38" s="1386">
        <v>3.18</v>
      </c>
      <c r="H38" s="1414">
        <f>G38*E38*D38*C38</f>
        <v>64.554000000000002</v>
      </c>
      <c r="J38" s="1395">
        <f>1.5-0.38+2.4+0.75-0.12</f>
        <v>4.1499999999999995</v>
      </c>
      <c r="K38" s="1395">
        <f>J38+6+6+4.15</f>
        <v>20.299999999999997</v>
      </c>
    </row>
    <row r="39" spans="1:13" ht="15.75">
      <c r="A39" s="1416"/>
      <c r="B39" s="1388" t="s">
        <v>24</v>
      </c>
      <c r="C39" s="1386">
        <v>-1</v>
      </c>
      <c r="D39" s="1386">
        <v>1</v>
      </c>
      <c r="E39" s="1386">
        <v>1</v>
      </c>
      <c r="F39" s="1386"/>
      <c r="G39" s="1386">
        <v>2.1</v>
      </c>
      <c r="H39" s="1414">
        <f t="shared" ref="H39:H68" si="0">G39*E39*D39*C39</f>
        <v>-2.1</v>
      </c>
    </row>
    <row r="40" spans="1:13" ht="15.75">
      <c r="A40" s="1416"/>
      <c r="B40" s="1388" t="s">
        <v>24</v>
      </c>
      <c r="C40" s="1386">
        <v>-1</v>
      </c>
      <c r="D40" s="1386">
        <v>2</v>
      </c>
      <c r="E40" s="1386">
        <v>0.9</v>
      </c>
      <c r="F40" s="1386"/>
      <c r="G40" s="1386">
        <v>2.1</v>
      </c>
      <c r="H40" s="1414">
        <f t="shared" si="0"/>
        <v>-3.7800000000000002</v>
      </c>
    </row>
    <row r="41" spans="1:13" ht="15.75">
      <c r="A41" s="1416"/>
      <c r="B41" s="1388" t="s">
        <v>25</v>
      </c>
      <c r="C41" s="1386">
        <v>-1</v>
      </c>
      <c r="D41" s="1386">
        <v>2</v>
      </c>
      <c r="E41" s="1386">
        <v>1.5</v>
      </c>
      <c r="F41" s="1386"/>
      <c r="G41" s="1386">
        <v>1.35</v>
      </c>
      <c r="H41" s="1414">
        <f t="shared" si="0"/>
        <v>-4.0500000000000007</v>
      </c>
    </row>
    <row r="42" spans="1:13" ht="15.75">
      <c r="A42" s="1416"/>
      <c r="B42" s="1388" t="s">
        <v>27</v>
      </c>
      <c r="C42" s="1386">
        <v>1</v>
      </c>
      <c r="D42" s="1386">
        <v>1</v>
      </c>
      <c r="E42" s="1386">
        <v>5.2</v>
      </c>
      <c r="F42" s="1386">
        <v>0.1</v>
      </c>
      <c r="G42" s="1386"/>
      <c r="H42" s="1414">
        <f>F42*E42*D42*C42</f>
        <v>0.52</v>
      </c>
    </row>
    <row r="43" spans="1:13" ht="15.75">
      <c r="A43" s="1416"/>
      <c r="B43" s="1388" t="s">
        <v>27</v>
      </c>
      <c r="C43" s="1386">
        <v>1</v>
      </c>
      <c r="D43" s="1386">
        <v>2</v>
      </c>
      <c r="E43" s="1386">
        <v>5.0999999999999996</v>
      </c>
      <c r="F43" s="1386">
        <v>0.1</v>
      </c>
      <c r="G43" s="1386"/>
      <c r="H43" s="1414">
        <f>F43*E43*D43*C43</f>
        <v>1.02</v>
      </c>
      <c r="L43" s="1395">
        <f>3.3+1.27</f>
        <v>4.57</v>
      </c>
    </row>
    <row r="44" spans="1:13" ht="15.75">
      <c r="A44" s="1416"/>
      <c r="B44" s="1388" t="s">
        <v>28</v>
      </c>
      <c r="C44" s="1386">
        <v>1</v>
      </c>
      <c r="D44" s="1386">
        <v>2</v>
      </c>
      <c r="E44" s="1386">
        <v>6</v>
      </c>
      <c r="F44" s="1386">
        <v>0.1</v>
      </c>
      <c r="G44" s="1386"/>
      <c r="H44" s="1414">
        <f>F44*E44*D44*C44</f>
        <v>1.2000000000000002</v>
      </c>
    </row>
    <row r="45" spans="1:13" ht="15.75">
      <c r="A45" s="1416"/>
      <c r="B45" s="1388" t="s">
        <v>4493</v>
      </c>
      <c r="C45" s="1386">
        <v>1</v>
      </c>
      <c r="D45" s="1386">
        <v>1</v>
      </c>
      <c r="E45" s="1386">
        <v>18</v>
      </c>
      <c r="F45" s="1386"/>
      <c r="G45" s="1386">
        <v>3.18</v>
      </c>
      <c r="H45" s="1414">
        <f>G45*E45*D45*C45</f>
        <v>57.24</v>
      </c>
    </row>
    <row r="46" spans="1:13" ht="15.75">
      <c r="A46" s="1416"/>
      <c r="B46" s="1388" t="s">
        <v>24</v>
      </c>
      <c r="C46" s="1386">
        <v>-1</v>
      </c>
      <c r="D46" s="1386">
        <v>1</v>
      </c>
      <c r="E46" s="1386">
        <v>1</v>
      </c>
      <c r="F46" s="1386"/>
      <c r="G46" s="1386">
        <v>2.1</v>
      </c>
      <c r="H46" s="1414">
        <f t="shared" si="0"/>
        <v>-2.1</v>
      </c>
    </row>
    <row r="47" spans="1:13" ht="15.75">
      <c r="A47" s="1416"/>
      <c r="B47" s="1388" t="s">
        <v>4494</v>
      </c>
      <c r="C47" s="1386">
        <v>-1</v>
      </c>
      <c r="D47" s="1386">
        <v>1</v>
      </c>
      <c r="E47" s="1386">
        <v>0.75</v>
      </c>
      <c r="F47" s="1386"/>
      <c r="G47" s="1386">
        <v>0.6</v>
      </c>
      <c r="H47" s="1414">
        <f t="shared" si="0"/>
        <v>-0.44999999999999996</v>
      </c>
    </row>
    <row r="48" spans="1:13" ht="19.5" customHeight="1">
      <c r="A48" s="1416"/>
      <c r="B48" s="1388" t="s">
        <v>27</v>
      </c>
      <c r="C48" s="1386">
        <v>1</v>
      </c>
      <c r="D48" s="1386">
        <v>1</v>
      </c>
      <c r="E48" s="1386">
        <v>5.2</v>
      </c>
      <c r="F48" s="1386">
        <v>0.1</v>
      </c>
      <c r="G48" s="1386"/>
      <c r="H48" s="1414">
        <f>F48*E48*D48*C48</f>
        <v>0.52</v>
      </c>
    </row>
    <row r="49" spans="1:11" ht="18.75" customHeight="1">
      <c r="A49" s="1416"/>
      <c r="B49" s="1388" t="s">
        <v>4495</v>
      </c>
      <c r="C49" s="1386">
        <v>1</v>
      </c>
      <c r="D49" s="1386">
        <v>1</v>
      </c>
      <c r="E49" s="1386">
        <v>6</v>
      </c>
      <c r="F49" s="1386">
        <v>0.1</v>
      </c>
      <c r="G49" s="1386"/>
      <c r="H49" s="1414">
        <f>F49*E49*D49*C49</f>
        <v>0.60000000000000009</v>
      </c>
    </row>
    <row r="50" spans="1:11" ht="19.5" customHeight="1">
      <c r="A50" s="1416"/>
      <c r="B50" s="1388" t="s">
        <v>4496</v>
      </c>
      <c r="C50" s="1386">
        <v>1</v>
      </c>
      <c r="D50" s="1386">
        <v>1</v>
      </c>
      <c r="E50" s="1386">
        <v>8</v>
      </c>
      <c r="F50" s="1386"/>
      <c r="G50" s="1386">
        <v>3.18</v>
      </c>
      <c r="H50" s="1414">
        <f t="shared" si="0"/>
        <v>25.44</v>
      </c>
    </row>
    <row r="51" spans="1:11" ht="19.5" customHeight="1">
      <c r="A51" s="1416"/>
      <c r="B51" s="1388" t="s">
        <v>24</v>
      </c>
      <c r="C51" s="1386">
        <v>-1</v>
      </c>
      <c r="D51" s="1386">
        <v>1</v>
      </c>
      <c r="E51" s="1386">
        <v>0.9</v>
      </c>
      <c r="F51" s="1386"/>
      <c r="G51" s="1386">
        <v>2.1</v>
      </c>
      <c r="H51" s="1414">
        <f t="shared" si="0"/>
        <v>-1.8900000000000001</v>
      </c>
    </row>
    <row r="52" spans="1:11" ht="19.5" customHeight="1">
      <c r="A52" s="1416"/>
      <c r="B52" s="1388" t="s">
        <v>27</v>
      </c>
      <c r="C52" s="1386">
        <v>1</v>
      </c>
      <c r="D52" s="1386">
        <v>1</v>
      </c>
      <c r="E52" s="1386">
        <v>5.0999999999999996</v>
      </c>
      <c r="F52" s="1386">
        <v>0.15</v>
      </c>
      <c r="G52" s="1386"/>
      <c r="H52" s="1414">
        <f>F52*E52*D52*C52</f>
        <v>0.7649999999999999</v>
      </c>
    </row>
    <row r="53" spans="1:11" ht="19.5" customHeight="1">
      <c r="A53" s="1416"/>
      <c r="B53" s="1388" t="s">
        <v>56</v>
      </c>
      <c r="C53" s="1386">
        <v>-1</v>
      </c>
      <c r="D53" s="1386">
        <v>1</v>
      </c>
      <c r="E53" s="1386">
        <v>0.6</v>
      </c>
      <c r="F53" s="1386"/>
      <c r="G53" s="1386">
        <v>0.6</v>
      </c>
      <c r="H53" s="1414">
        <f t="shared" si="0"/>
        <v>-0.36</v>
      </c>
    </row>
    <row r="54" spans="1:11" ht="19.5" customHeight="1">
      <c r="A54" s="1416"/>
      <c r="B54" s="1388" t="s">
        <v>32</v>
      </c>
      <c r="C54" s="1386">
        <v>1</v>
      </c>
      <c r="D54" s="1386">
        <v>1</v>
      </c>
      <c r="E54" s="1386">
        <v>5.7</v>
      </c>
      <c r="F54" s="1386">
        <v>0.15</v>
      </c>
      <c r="G54" s="1386"/>
      <c r="H54" s="1414">
        <f>F54*E54*D54*C54</f>
        <v>0.85499999999999998</v>
      </c>
    </row>
    <row r="55" spans="1:11" ht="19.5" customHeight="1">
      <c r="A55" s="1416"/>
      <c r="B55" s="1388" t="s">
        <v>61</v>
      </c>
      <c r="C55" s="1386">
        <v>1</v>
      </c>
      <c r="D55" s="1386">
        <v>1</v>
      </c>
      <c r="E55" s="1386">
        <v>2.4</v>
      </c>
      <c r="F55" s="1386">
        <v>0.1</v>
      </c>
      <c r="G55" s="1386"/>
      <c r="H55" s="1414">
        <f>F55*E55*D55*C55</f>
        <v>0.24</v>
      </c>
    </row>
    <row r="56" spans="1:11" ht="19.5" customHeight="1">
      <c r="A56" s="1417"/>
      <c r="B56" s="1388" t="s">
        <v>4497</v>
      </c>
      <c r="C56" s="1389">
        <v>1</v>
      </c>
      <c r="D56" s="1389">
        <v>1</v>
      </c>
      <c r="E56" s="1389">
        <v>21.1</v>
      </c>
      <c r="F56" s="1389"/>
      <c r="G56" s="1389">
        <v>3.18</v>
      </c>
      <c r="H56" s="1414">
        <f t="shared" si="0"/>
        <v>67.098000000000013</v>
      </c>
      <c r="J56" s="1395">
        <f>6+6+4.55+4.55</f>
        <v>21.1</v>
      </c>
    </row>
    <row r="57" spans="1:11" ht="19.5" customHeight="1">
      <c r="A57" s="1416"/>
      <c r="B57" s="1388" t="s">
        <v>4498</v>
      </c>
      <c r="C57" s="1389">
        <v>-1</v>
      </c>
      <c r="D57" s="1389">
        <v>1</v>
      </c>
      <c r="E57" s="1389">
        <v>1</v>
      </c>
      <c r="F57" s="1389"/>
      <c r="G57" s="1389">
        <v>2.1</v>
      </c>
      <c r="H57" s="1414">
        <f t="shared" si="0"/>
        <v>-2.1</v>
      </c>
    </row>
    <row r="58" spans="1:11" ht="19.5" customHeight="1">
      <c r="A58" s="1416"/>
      <c r="B58" s="1388" t="s">
        <v>4499</v>
      </c>
      <c r="C58" s="1389">
        <v>-1</v>
      </c>
      <c r="D58" s="1389">
        <v>2</v>
      </c>
      <c r="E58" s="1389">
        <v>1.5</v>
      </c>
      <c r="F58" s="1389"/>
      <c r="G58" s="1389">
        <v>1.35</v>
      </c>
      <c r="H58" s="1414">
        <f t="shared" si="0"/>
        <v>-4.0500000000000007</v>
      </c>
    </row>
    <row r="59" spans="1:11" ht="19.5" customHeight="1">
      <c r="A59" s="1416"/>
      <c r="B59" s="1388" t="s">
        <v>27</v>
      </c>
      <c r="C59" s="1389">
        <v>1</v>
      </c>
      <c r="D59" s="1389">
        <v>1</v>
      </c>
      <c r="E59" s="1389">
        <v>5.2</v>
      </c>
      <c r="F59" s="1389">
        <v>0.1</v>
      </c>
      <c r="G59" s="1389"/>
      <c r="H59" s="1414">
        <f>F59*E59*D59*C59</f>
        <v>0.52</v>
      </c>
      <c r="K59" s="1395">
        <f>2.07+2.07+2.77+2.77</f>
        <v>9.68</v>
      </c>
    </row>
    <row r="60" spans="1:11" ht="19.5" customHeight="1">
      <c r="A60" s="1416"/>
      <c r="B60" s="1388" t="s">
        <v>4500</v>
      </c>
      <c r="C60" s="1389">
        <v>1</v>
      </c>
      <c r="D60" s="1389">
        <v>2</v>
      </c>
      <c r="E60" s="1389">
        <v>5.7</v>
      </c>
      <c r="F60" s="1389">
        <v>0.1</v>
      </c>
      <c r="G60" s="1389"/>
      <c r="H60" s="1414">
        <f>F60*E60*D60*C60</f>
        <v>1.1400000000000001</v>
      </c>
    </row>
    <row r="61" spans="1:11" ht="19.5" customHeight="1">
      <c r="A61" s="1416"/>
      <c r="B61" s="1388" t="s">
        <v>55</v>
      </c>
      <c r="C61" s="1389">
        <v>1</v>
      </c>
      <c r="D61" s="1389">
        <v>1</v>
      </c>
      <c r="E61" s="1389">
        <v>7</v>
      </c>
      <c r="F61" s="1389"/>
      <c r="G61" s="1389">
        <v>3.18</v>
      </c>
      <c r="H61" s="1414">
        <f t="shared" si="0"/>
        <v>22.26</v>
      </c>
    </row>
    <row r="62" spans="1:11" ht="19.5" customHeight="1">
      <c r="A62" s="1416"/>
      <c r="B62" s="1388" t="s">
        <v>26</v>
      </c>
      <c r="C62" s="1389">
        <v>-1</v>
      </c>
      <c r="D62" s="1389">
        <v>1</v>
      </c>
      <c r="E62" s="1389">
        <v>0.75</v>
      </c>
      <c r="F62" s="1389"/>
      <c r="G62" s="1389">
        <v>2.1</v>
      </c>
      <c r="H62" s="1414">
        <f t="shared" si="0"/>
        <v>-1.5750000000000002</v>
      </c>
    </row>
    <row r="63" spans="1:11" ht="19.5" customHeight="1">
      <c r="A63" s="1416"/>
      <c r="B63" s="1388" t="s">
        <v>27</v>
      </c>
      <c r="C63" s="1389">
        <v>1</v>
      </c>
      <c r="D63" s="1389">
        <v>1</v>
      </c>
      <c r="E63" s="1389">
        <v>4.95</v>
      </c>
      <c r="F63" s="1389">
        <v>0.1</v>
      </c>
      <c r="G63" s="1389"/>
      <c r="H63" s="1414">
        <f>F63*E63*D63*C63</f>
        <v>0.49500000000000005</v>
      </c>
    </row>
    <row r="64" spans="1:11" ht="19.5" customHeight="1">
      <c r="A64" s="1416"/>
      <c r="B64" s="1388" t="s">
        <v>37</v>
      </c>
      <c r="C64" s="1389">
        <v>-1</v>
      </c>
      <c r="D64" s="1389">
        <v>1</v>
      </c>
      <c r="E64" s="1389">
        <v>0.9</v>
      </c>
      <c r="F64" s="1389"/>
      <c r="G64" s="1389">
        <v>0.6</v>
      </c>
      <c r="H64" s="1414">
        <f t="shared" si="0"/>
        <v>-0.54</v>
      </c>
    </row>
    <row r="65" spans="1:8" ht="19.5" customHeight="1">
      <c r="A65" s="1416"/>
      <c r="B65" s="1388" t="s">
        <v>38</v>
      </c>
      <c r="C65" s="1389">
        <v>1</v>
      </c>
      <c r="D65" s="1389">
        <v>1</v>
      </c>
      <c r="E65" s="1389">
        <v>3</v>
      </c>
      <c r="F65" s="1389">
        <v>0.1</v>
      </c>
      <c r="G65" s="1389"/>
      <c r="H65" s="1414">
        <f>F65*E65*D65*C65</f>
        <v>0.30000000000000004</v>
      </c>
    </row>
    <row r="66" spans="1:8" ht="19.5" customHeight="1">
      <c r="A66" s="1416"/>
      <c r="B66" s="1388" t="s">
        <v>39</v>
      </c>
      <c r="C66" s="1389">
        <v>1</v>
      </c>
      <c r="D66" s="1389">
        <v>2</v>
      </c>
      <c r="E66" s="1389">
        <v>0.9</v>
      </c>
      <c r="F66" s="1389"/>
      <c r="G66" s="1389">
        <v>2.1</v>
      </c>
      <c r="H66" s="1414">
        <f t="shared" si="0"/>
        <v>3.7800000000000002</v>
      </c>
    </row>
    <row r="67" spans="1:8" ht="19.5" customHeight="1">
      <c r="A67" s="1416"/>
      <c r="B67" s="1388" t="s">
        <v>4501</v>
      </c>
      <c r="C67" s="1389">
        <v>1</v>
      </c>
      <c r="D67" s="1389">
        <v>1</v>
      </c>
      <c r="E67" s="1389">
        <v>13.8</v>
      </c>
      <c r="F67" s="1389"/>
      <c r="G67" s="1389">
        <v>4.5</v>
      </c>
      <c r="H67" s="1414">
        <f t="shared" si="0"/>
        <v>62.1</v>
      </c>
    </row>
    <row r="68" spans="1:8" ht="19.5" customHeight="1">
      <c r="A68" s="1416"/>
      <c r="B68" s="1388" t="s">
        <v>24</v>
      </c>
      <c r="C68" s="1389">
        <v>-1</v>
      </c>
      <c r="D68" s="1389">
        <v>2</v>
      </c>
      <c r="E68" s="1389">
        <v>1</v>
      </c>
      <c r="F68" s="1389"/>
      <c r="G68" s="1389">
        <v>2.1</v>
      </c>
      <c r="H68" s="1414">
        <f t="shared" si="0"/>
        <v>-4.2</v>
      </c>
    </row>
    <row r="69" spans="1:8" ht="19.5" customHeight="1">
      <c r="A69" s="1413"/>
      <c r="B69" s="1388"/>
      <c r="C69" s="1390"/>
      <c r="D69" s="1390"/>
      <c r="E69" s="1389"/>
      <c r="F69" s="1389"/>
      <c r="G69" s="1391" t="s">
        <v>257</v>
      </c>
      <c r="H69" s="1418">
        <f>SUM(H38:H68)</f>
        <v>283.45200000000006</v>
      </c>
    </row>
    <row r="70" spans="1:8" ht="45" customHeight="1">
      <c r="A70" s="1413">
        <v>8</v>
      </c>
      <c r="B70" s="1445" t="s">
        <v>4502</v>
      </c>
      <c r="C70" s="1445"/>
      <c r="D70" s="1445"/>
      <c r="E70" s="1445"/>
      <c r="F70" s="1445"/>
      <c r="G70" s="1445"/>
      <c r="H70" s="1418"/>
    </row>
    <row r="71" spans="1:8" ht="21.75" customHeight="1">
      <c r="A71" s="1413"/>
      <c r="B71" s="1388" t="s">
        <v>4503</v>
      </c>
      <c r="C71" s="1390">
        <v>1</v>
      </c>
      <c r="D71" s="1390">
        <v>1</v>
      </c>
      <c r="E71" s="1389">
        <v>6</v>
      </c>
      <c r="F71" s="1389">
        <v>4.9000000000000004</v>
      </c>
      <c r="G71" s="1391"/>
      <c r="H71" s="1418">
        <f>F71*E71*D71*C71</f>
        <v>29.400000000000002</v>
      </c>
    </row>
    <row r="72" spans="1:8" ht="22.5" customHeight="1">
      <c r="A72" s="1413"/>
      <c r="B72" s="1388" t="s">
        <v>4504</v>
      </c>
      <c r="C72" s="1390">
        <v>1</v>
      </c>
      <c r="D72" s="1390">
        <v>1</v>
      </c>
      <c r="E72" s="1389">
        <v>6</v>
      </c>
      <c r="F72" s="1389">
        <v>4.5999999999999996</v>
      </c>
      <c r="G72" s="1391"/>
      <c r="H72" s="1418">
        <f>F72*E72*D72*C72</f>
        <v>27.599999999999998</v>
      </c>
    </row>
    <row r="73" spans="1:8" ht="22.5" customHeight="1">
      <c r="A73" s="1413"/>
      <c r="B73" s="1402" t="s">
        <v>4521</v>
      </c>
      <c r="C73" s="1385">
        <v>1</v>
      </c>
      <c r="D73" s="1385">
        <v>1</v>
      </c>
      <c r="E73" s="1386">
        <v>4.5999999999999996</v>
      </c>
      <c r="F73" s="1386">
        <v>5</v>
      </c>
      <c r="G73" s="1387"/>
      <c r="H73" s="1415">
        <f>F73*E73*D73*C73</f>
        <v>23</v>
      </c>
    </row>
    <row r="74" spans="1:8" ht="22.5" customHeight="1">
      <c r="A74" s="1413"/>
      <c r="B74" s="1402" t="s">
        <v>4522</v>
      </c>
      <c r="C74" s="1385">
        <v>1</v>
      </c>
      <c r="D74" s="1385">
        <v>2</v>
      </c>
      <c r="E74" s="1386">
        <v>4</v>
      </c>
      <c r="F74" s="1386">
        <v>4</v>
      </c>
      <c r="G74" s="1387"/>
      <c r="H74" s="1415">
        <f>F74*E74*D74*C74</f>
        <v>32</v>
      </c>
    </row>
    <row r="75" spans="1:8" ht="23.25" customHeight="1">
      <c r="A75" s="1413"/>
      <c r="B75" s="1388"/>
      <c r="C75" s="1390"/>
      <c r="D75" s="1390"/>
      <c r="E75" s="1389"/>
      <c r="F75" s="1389"/>
      <c r="G75" s="1391" t="s">
        <v>257</v>
      </c>
      <c r="H75" s="1418">
        <f>SUM(H71:H74)</f>
        <v>112</v>
      </c>
    </row>
    <row r="76" spans="1:8" ht="63.75" customHeight="1">
      <c r="A76" s="1413">
        <v>9</v>
      </c>
      <c r="B76" s="1450" t="s">
        <v>4505</v>
      </c>
      <c r="C76" s="1450"/>
      <c r="D76" s="1450"/>
      <c r="E76" s="1450"/>
      <c r="F76" s="1450"/>
      <c r="G76" s="1450"/>
      <c r="H76" s="1418"/>
    </row>
    <row r="77" spans="1:8" ht="29.25" customHeight="1">
      <c r="A77" s="1413"/>
      <c r="B77" s="1402" t="s">
        <v>4481</v>
      </c>
      <c r="C77" s="1385">
        <v>2</v>
      </c>
      <c r="D77" s="1385">
        <v>16</v>
      </c>
      <c r="E77" s="1386">
        <v>0.6</v>
      </c>
      <c r="F77" s="1386"/>
      <c r="G77" s="1386">
        <v>2.1</v>
      </c>
      <c r="H77" s="1414">
        <f>G77*E77*D77*C77</f>
        <v>40.32</v>
      </c>
    </row>
    <row r="78" spans="1:8" ht="29.25" customHeight="1">
      <c r="A78" s="1413"/>
      <c r="B78" s="1402" t="s">
        <v>4484</v>
      </c>
      <c r="C78" s="1385">
        <v>1</v>
      </c>
      <c r="D78" s="1385">
        <v>16</v>
      </c>
      <c r="E78" s="1386">
        <v>0.12</v>
      </c>
      <c r="F78" s="1386"/>
      <c r="G78" s="1386">
        <v>2.1</v>
      </c>
      <c r="H78" s="1414">
        <f t="shared" ref="H78:H80" si="1">G78*E78*D78*C78</f>
        <v>4.032</v>
      </c>
    </row>
    <row r="79" spans="1:8" ht="26.25" customHeight="1">
      <c r="A79" s="1413"/>
      <c r="B79" s="1402" t="s">
        <v>4591</v>
      </c>
      <c r="C79" s="1385">
        <v>2</v>
      </c>
      <c r="D79" s="1385">
        <v>6</v>
      </c>
      <c r="E79" s="1386">
        <v>0.6</v>
      </c>
      <c r="F79" s="1386"/>
      <c r="G79" s="1386">
        <v>2.1</v>
      </c>
      <c r="H79" s="1414">
        <f t="shared" si="1"/>
        <v>15.120000000000001</v>
      </c>
    </row>
    <row r="80" spans="1:8" ht="19.5" customHeight="1">
      <c r="A80" s="1413"/>
      <c r="B80" s="1402" t="s">
        <v>4484</v>
      </c>
      <c r="C80" s="1385">
        <v>1</v>
      </c>
      <c r="D80" s="1385">
        <v>6</v>
      </c>
      <c r="E80" s="1386">
        <v>0.12</v>
      </c>
      <c r="F80" s="1386"/>
      <c r="G80" s="1386">
        <v>2.1</v>
      </c>
      <c r="H80" s="1414">
        <f t="shared" si="1"/>
        <v>1.512</v>
      </c>
    </row>
    <row r="81" spans="1:12" ht="19.5" customHeight="1">
      <c r="A81" s="1413"/>
      <c r="B81" s="1402"/>
      <c r="C81" s="1385"/>
      <c r="D81" s="1385"/>
      <c r="E81" s="1386"/>
      <c r="F81" s="1386"/>
      <c r="G81" s="1387" t="s">
        <v>257</v>
      </c>
      <c r="H81" s="1419">
        <f>SUM(H77:H80)</f>
        <v>60.984000000000009</v>
      </c>
    </row>
    <row r="82" spans="1:12" ht="61.5" customHeight="1">
      <c r="A82" s="1413">
        <v>10</v>
      </c>
      <c r="B82" s="1445" t="s">
        <v>11</v>
      </c>
      <c r="C82" s="1445"/>
      <c r="D82" s="1445"/>
      <c r="E82" s="1445"/>
      <c r="F82" s="1445"/>
      <c r="G82" s="1445"/>
      <c r="H82" s="1420"/>
    </row>
    <row r="83" spans="1:12" ht="19.5" customHeight="1">
      <c r="A83" s="1413"/>
      <c r="B83" s="1388" t="s">
        <v>4506</v>
      </c>
      <c r="C83" s="1390">
        <v>1</v>
      </c>
      <c r="D83" s="1390">
        <v>1</v>
      </c>
      <c r="E83" s="1389">
        <v>26.4</v>
      </c>
      <c r="F83" s="1389"/>
      <c r="G83" s="1389">
        <v>6</v>
      </c>
      <c r="H83" s="1420">
        <f>G83*E83*D83*C83</f>
        <v>158.39999999999998</v>
      </c>
      <c r="L83" s="1395">
        <f>11.82+9+9+11.82</f>
        <v>41.64</v>
      </c>
    </row>
    <row r="84" spans="1:12" ht="19.5" customHeight="1">
      <c r="A84" s="1413"/>
      <c r="B84" s="1388" t="s">
        <v>4507</v>
      </c>
      <c r="C84" s="1390">
        <v>1</v>
      </c>
      <c r="D84" s="1390">
        <v>1</v>
      </c>
      <c r="E84" s="1389">
        <v>13.8</v>
      </c>
      <c r="F84" s="1389"/>
      <c r="G84" s="1389">
        <v>3</v>
      </c>
      <c r="H84" s="1420">
        <f>G84*E84*D84*C84</f>
        <v>41.400000000000006</v>
      </c>
    </row>
    <row r="85" spans="1:12" ht="19.5" customHeight="1">
      <c r="A85" s="1413"/>
      <c r="B85" s="1388" t="s">
        <v>4508</v>
      </c>
      <c r="C85" s="1390">
        <v>1</v>
      </c>
      <c r="D85" s="1390">
        <v>1</v>
      </c>
      <c r="E85" s="1389">
        <v>15</v>
      </c>
      <c r="F85" s="1389"/>
      <c r="G85" s="1389">
        <v>4.5</v>
      </c>
      <c r="H85" s="1420">
        <f>G85*E85*D85*C85</f>
        <v>67.5</v>
      </c>
    </row>
    <row r="86" spans="1:12" ht="19.5" customHeight="1">
      <c r="A86" s="1413"/>
      <c r="B86" s="1388" t="s">
        <v>4509</v>
      </c>
      <c r="C86" s="1390">
        <v>1</v>
      </c>
      <c r="D86" s="1390">
        <v>1</v>
      </c>
      <c r="E86" s="1389">
        <v>15</v>
      </c>
      <c r="F86" s="1389"/>
      <c r="G86" s="1389">
        <v>7.5</v>
      </c>
      <c r="H86" s="1420">
        <f>G86*E86*D86*C86</f>
        <v>112.5</v>
      </c>
    </row>
    <row r="87" spans="1:12" ht="19.5" customHeight="1">
      <c r="A87" s="1413"/>
      <c r="B87" s="1388" t="s">
        <v>4510</v>
      </c>
      <c r="C87" s="1390">
        <v>1</v>
      </c>
      <c r="D87" s="1390">
        <v>2</v>
      </c>
      <c r="E87" s="1389">
        <v>9.8000000000000007</v>
      </c>
      <c r="F87" s="1389"/>
      <c r="G87" s="1389">
        <v>2</v>
      </c>
      <c r="H87" s="1420">
        <f>G87*E87*D87*C87</f>
        <v>39.200000000000003</v>
      </c>
    </row>
    <row r="88" spans="1:12" ht="19.5" customHeight="1">
      <c r="A88" s="1413"/>
      <c r="B88" s="1388" t="s">
        <v>25</v>
      </c>
      <c r="C88" s="1390">
        <v>-1</v>
      </c>
      <c r="D88" s="1390">
        <v>4</v>
      </c>
      <c r="E88" s="1389">
        <v>1.5</v>
      </c>
      <c r="F88" s="1389"/>
      <c r="G88" s="1389">
        <v>1.35</v>
      </c>
      <c r="H88" s="1420">
        <f t="shared" ref="H88:H93" si="2">G88*E88*D88*C88</f>
        <v>-8.1000000000000014</v>
      </c>
    </row>
    <row r="89" spans="1:12" ht="19.5" customHeight="1">
      <c r="A89" s="1413"/>
      <c r="B89" s="1388" t="s">
        <v>37</v>
      </c>
      <c r="C89" s="1390">
        <v>-1</v>
      </c>
      <c r="D89" s="1390">
        <v>4</v>
      </c>
      <c r="E89" s="1389">
        <v>0.9</v>
      </c>
      <c r="F89" s="1389"/>
      <c r="G89" s="1389">
        <v>0.6</v>
      </c>
      <c r="H89" s="1420">
        <f t="shared" si="2"/>
        <v>-2.16</v>
      </c>
    </row>
    <row r="90" spans="1:12" ht="19.5" customHeight="1">
      <c r="A90" s="1413"/>
      <c r="B90" s="1388" t="s">
        <v>70</v>
      </c>
      <c r="C90" s="1390">
        <v>1</v>
      </c>
      <c r="D90" s="1390">
        <v>3</v>
      </c>
      <c r="E90" s="1389">
        <v>5.4</v>
      </c>
      <c r="F90" s="1389">
        <v>0.1</v>
      </c>
      <c r="G90" s="1389"/>
      <c r="H90" s="1420">
        <f>F90*E90*D90*C90</f>
        <v>1.62</v>
      </c>
    </row>
    <row r="91" spans="1:12" ht="19.5" customHeight="1">
      <c r="A91" s="1413"/>
      <c r="B91" s="1388" t="s">
        <v>71</v>
      </c>
      <c r="C91" s="1390">
        <v>1</v>
      </c>
      <c r="D91" s="1390">
        <v>2</v>
      </c>
      <c r="E91" s="1389">
        <v>5.4</v>
      </c>
      <c r="F91" s="1389">
        <v>0.1</v>
      </c>
      <c r="G91" s="1389"/>
      <c r="H91" s="1420">
        <f>F91*E91*D91*C91</f>
        <v>1.08</v>
      </c>
    </row>
    <row r="92" spans="1:12" ht="19.5" customHeight="1">
      <c r="A92" s="1413"/>
      <c r="B92" s="1388" t="s">
        <v>58</v>
      </c>
      <c r="C92" s="1390">
        <v>1</v>
      </c>
      <c r="D92" s="1390">
        <v>4</v>
      </c>
      <c r="E92" s="1389">
        <v>2.7</v>
      </c>
      <c r="F92" s="1389">
        <v>0.1</v>
      </c>
      <c r="G92" s="1389"/>
      <c r="H92" s="1420">
        <f>F92*E92*D92*C92</f>
        <v>1.08</v>
      </c>
    </row>
    <row r="93" spans="1:12" ht="19.5" customHeight="1">
      <c r="A93" s="1413"/>
      <c r="B93" s="1388" t="s">
        <v>4511</v>
      </c>
      <c r="C93" s="1390">
        <v>1</v>
      </c>
      <c r="D93" s="1390">
        <v>4</v>
      </c>
      <c r="E93" s="1389">
        <v>1.62</v>
      </c>
      <c r="F93" s="1397"/>
      <c r="G93" s="1389">
        <v>5</v>
      </c>
      <c r="H93" s="1420">
        <f t="shared" si="2"/>
        <v>32.400000000000006</v>
      </c>
    </row>
    <row r="94" spans="1:12" ht="19.5" customHeight="1">
      <c r="A94" s="1413"/>
      <c r="B94" s="1388"/>
      <c r="C94" s="1390"/>
      <c r="D94" s="1390"/>
      <c r="E94" s="1389"/>
      <c r="F94" s="1389"/>
      <c r="G94" s="1391" t="str">
        <f>G69</f>
        <v>Total</v>
      </c>
      <c r="H94" s="1418">
        <f>SUM(H83:H93)</f>
        <v>444.91999999999985</v>
      </c>
    </row>
    <row r="95" spans="1:12" ht="56.25" customHeight="1">
      <c r="A95" s="1413">
        <v>11</v>
      </c>
      <c r="B95" s="1447" t="s">
        <v>4517</v>
      </c>
      <c r="C95" s="1447"/>
      <c r="D95" s="1447"/>
      <c r="E95" s="1447"/>
      <c r="F95" s="1447"/>
      <c r="G95" s="1447"/>
      <c r="H95" s="1418"/>
    </row>
    <row r="96" spans="1:12" ht="19.5" customHeight="1">
      <c r="A96" s="1413"/>
      <c r="B96" s="1402" t="s">
        <v>4481</v>
      </c>
      <c r="C96" s="1385">
        <v>2</v>
      </c>
      <c r="D96" s="1385">
        <v>16</v>
      </c>
      <c r="E96" s="1386">
        <v>0.6</v>
      </c>
      <c r="F96" s="1386"/>
      <c r="G96" s="1386">
        <v>2.1</v>
      </c>
      <c r="H96" s="1414">
        <f>G96*E96*D96*C96</f>
        <v>40.32</v>
      </c>
    </row>
    <row r="97" spans="1:8" ht="19.5" customHeight="1">
      <c r="A97" s="1413"/>
      <c r="B97" s="1402" t="s">
        <v>4484</v>
      </c>
      <c r="C97" s="1385">
        <v>1</v>
      </c>
      <c r="D97" s="1385">
        <v>16</v>
      </c>
      <c r="E97" s="1386">
        <v>0.12</v>
      </c>
      <c r="F97" s="1386"/>
      <c r="G97" s="1386">
        <v>2.1</v>
      </c>
      <c r="H97" s="1414">
        <f>G97*E97*D97*C97</f>
        <v>4.032</v>
      </c>
    </row>
    <row r="98" spans="1:8" ht="19.5" customHeight="1">
      <c r="A98" s="1413"/>
      <c r="B98" s="1402" t="s">
        <v>4485</v>
      </c>
      <c r="C98" s="1385">
        <v>2</v>
      </c>
      <c r="D98" s="1385">
        <v>6</v>
      </c>
      <c r="E98" s="1386">
        <v>0.6</v>
      </c>
      <c r="F98" s="1386"/>
      <c r="G98" s="1386">
        <v>2.1</v>
      </c>
      <c r="H98" s="1414">
        <f>G98*E98*D98*C98</f>
        <v>15.120000000000001</v>
      </c>
    </row>
    <row r="99" spans="1:8" ht="19.5" customHeight="1">
      <c r="A99" s="1413"/>
      <c r="B99" s="1402" t="s">
        <v>4486</v>
      </c>
      <c r="C99" s="1385">
        <v>1</v>
      </c>
      <c r="D99" s="1385">
        <v>6</v>
      </c>
      <c r="E99" s="1386">
        <v>0.12</v>
      </c>
      <c r="F99" s="1386"/>
      <c r="G99" s="1386">
        <v>2.1</v>
      </c>
      <c r="H99" s="1414">
        <f>G99*E99*D99*C99</f>
        <v>1.512</v>
      </c>
    </row>
    <row r="100" spans="1:8" ht="19.5" customHeight="1">
      <c r="A100" s="1413"/>
      <c r="B100" s="1402"/>
      <c r="C100" s="1385"/>
      <c r="D100" s="1400"/>
      <c r="E100" s="1386"/>
      <c r="F100" s="1386"/>
      <c r="G100" s="1387" t="s">
        <v>257</v>
      </c>
      <c r="H100" s="1419">
        <f>SUM(H96:H99)</f>
        <v>60.984000000000009</v>
      </c>
    </row>
    <row r="101" spans="1:8" ht="62.25" customHeight="1">
      <c r="A101" s="1413">
        <v>12</v>
      </c>
      <c r="B101" s="1448" t="s">
        <v>4457</v>
      </c>
      <c r="C101" s="1448"/>
      <c r="D101" s="1448"/>
      <c r="E101" s="1448"/>
      <c r="F101" s="1448"/>
      <c r="G101" s="1448"/>
      <c r="H101" s="1420"/>
    </row>
    <row r="102" spans="1:8" ht="19.5" customHeight="1">
      <c r="A102" s="1413"/>
      <c r="B102" s="1388" t="s">
        <v>77</v>
      </c>
      <c r="C102" s="1390">
        <v>1</v>
      </c>
      <c r="D102" s="1390">
        <v>4</v>
      </c>
      <c r="E102" s="1389"/>
      <c r="F102" s="1397"/>
      <c r="G102" s="1389"/>
      <c r="H102" s="1420">
        <f>D102*C102</f>
        <v>4</v>
      </c>
    </row>
    <row r="103" spans="1:8" ht="19.5" customHeight="1">
      <c r="A103" s="1413"/>
      <c r="B103" s="1388"/>
      <c r="C103" s="1390"/>
      <c r="D103" s="1390"/>
      <c r="E103" s="1389"/>
      <c r="F103" s="1397"/>
      <c r="G103" s="1391" t="s">
        <v>257</v>
      </c>
      <c r="H103" s="1418">
        <f>H102</f>
        <v>4</v>
      </c>
    </row>
    <row r="104" spans="1:8" ht="51" customHeight="1">
      <c r="A104" s="1413">
        <v>13</v>
      </c>
      <c r="B104" s="1445" t="s">
        <v>78</v>
      </c>
      <c r="C104" s="1445"/>
      <c r="D104" s="1445"/>
      <c r="E104" s="1445"/>
      <c r="F104" s="1445"/>
      <c r="G104" s="1445"/>
      <c r="H104" s="1420"/>
    </row>
    <row r="105" spans="1:8" ht="19.5" customHeight="1">
      <c r="A105" s="1413"/>
      <c r="B105" s="1388" t="s">
        <v>77</v>
      </c>
      <c r="C105" s="1390">
        <v>1</v>
      </c>
      <c r="D105" s="1390">
        <v>3</v>
      </c>
      <c r="E105" s="1389"/>
      <c r="F105" s="1397"/>
      <c r="G105" s="1389"/>
      <c r="H105" s="1420">
        <f>D105*C105</f>
        <v>3</v>
      </c>
    </row>
    <row r="106" spans="1:8" ht="19.5" customHeight="1">
      <c r="A106" s="1413"/>
      <c r="B106" s="1388"/>
      <c r="C106" s="1390"/>
      <c r="D106" s="1390"/>
      <c r="E106" s="1389"/>
      <c r="F106" s="1397"/>
      <c r="G106" s="1391" t="s">
        <v>257</v>
      </c>
      <c r="H106" s="1418">
        <f>H105</f>
        <v>3</v>
      </c>
    </row>
    <row r="107" spans="1:8" ht="60.75" customHeight="1">
      <c r="A107" s="1413">
        <v>14</v>
      </c>
      <c r="B107" s="1445" t="s">
        <v>79</v>
      </c>
      <c r="C107" s="1445"/>
      <c r="D107" s="1445"/>
      <c r="E107" s="1445"/>
      <c r="F107" s="1445"/>
      <c r="G107" s="1445"/>
      <c r="H107" s="1420"/>
    </row>
    <row r="108" spans="1:8" ht="19.5" customHeight="1">
      <c r="A108" s="1413"/>
      <c r="B108" s="1402"/>
      <c r="C108" s="1393"/>
      <c r="D108" s="1393"/>
      <c r="E108" s="1394"/>
      <c r="F108" s="1392" t="s">
        <v>4458</v>
      </c>
      <c r="G108" s="1402"/>
      <c r="H108" s="1420"/>
    </row>
    <row r="109" spans="1:8" ht="19.5" customHeight="1">
      <c r="A109" s="1413"/>
      <c r="B109" s="1402" t="s">
        <v>4474</v>
      </c>
      <c r="C109" s="1393">
        <v>1</v>
      </c>
      <c r="D109" s="1393">
        <v>2</v>
      </c>
      <c r="E109" s="1394">
        <v>1</v>
      </c>
      <c r="F109" s="1421">
        <v>2.6</v>
      </c>
      <c r="G109" s="1394">
        <v>2.1</v>
      </c>
      <c r="H109" s="1420">
        <f>G109*F109*E109*D109*C109</f>
        <v>10.920000000000002</v>
      </c>
    </row>
    <row r="110" spans="1:8" ht="19.5" customHeight="1">
      <c r="A110" s="1413"/>
      <c r="B110" s="1402" t="s">
        <v>4512</v>
      </c>
      <c r="C110" s="1393">
        <v>1</v>
      </c>
      <c r="D110" s="1393">
        <v>2</v>
      </c>
      <c r="E110" s="1394">
        <v>0.9</v>
      </c>
      <c r="F110" s="1421">
        <v>2.6</v>
      </c>
      <c r="G110" s="1394">
        <v>2.1</v>
      </c>
      <c r="H110" s="1420">
        <f>G110*F110*E110*D110*C110</f>
        <v>9.8280000000000012</v>
      </c>
    </row>
    <row r="111" spans="1:8" ht="24.75" customHeight="1">
      <c r="A111" s="1413"/>
      <c r="B111" s="1388"/>
      <c r="C111" s="1390"/>
      <c r="D111" s="1390"/>
      <c r="E111" s="1389"/>
      <c r="F111" s="1389"/>
      <c r="G111" s="1391"/>
      <c r="H111" s="1418">
        <f>SUM(H109:H110)</f>
        <v>20.748000000000005</v>
      </c>
    </row>
    <row r="112" spans="1:8" ht="69.75" customHeight="1">
      <c r="A112" s="1413">
        <v>15</v>
      </c>
      <c r="B112" s="1445" t="s">
        <v>80</v>
      </c>
      <c r="C112" s="1445"/>
      <c r="D112" s="1445"/>
      <c r="E112" s="1445"/>
      <c r="F112" s="1445"/>
      <c r="G112" s="1445"/>
      <c r="H112" s="1420"/>
    </row>
    <row r="113" spans="1:8" ht="22.5" customHeight="1">
      <c r="A113" s="1413"/>
      <c r="B113" s="1402"/>
      <c r="C113" s="1393"/>
      <c r="D113" s="1393"/>
      <c r="E113" s="1394"/>
      <c r="F113" s="1392" t="s">
        <v>4458</v>
      </c>
      <c r="G113" s="1402"/>
      <c r="H113" s="1420"/>
    </row>
    <row r="114" spans="1:8" ht="19.5" customHeight="1">
      <c r="A114" s="1413"/>
      <c r="B114" s="1388" t="s">
        <v>82</v>
      </c>
      <c r="C114" s="1390">
        <v>1</v>
      </c>
      <c r="D114" s="1390">
        <v>4</v>
      </c>
      <c r="E114" s="1389">
        <v>1.5</v>
      </c>
      <c r="F114" s="1389">
        <v>1</v>
      </c>
      <c r="G114" s="1389">
        <v>1.35</v>
      </c>
      <c r="H114" s="1420">
        <f>G114*F114*E114*D114*C114</f>
        <v>8.1000000000000014</v>
      </c>
    </row>
    <row r="115" spans="1:8" ht="19.5" customHeight="1">
      <c r="A115" s="1413"/>
      <c r="B115" s="1388" t="s">
        <v>4513</v>
      </c>
      <c r="C115" s="1390">
        <v>1</v>
      </c>
      <c r="D115" s="1390">
        <v>1</v>
      </c>
      <c r="E115" s="1389">
        <v>0.9</v>
      </c>
      <c r="F115" s="1389">
        <v>1</v>
      </c>
      <c r="G115" s="1389">
        <v>8</v>
      </c>
      <c r="H115" s="1420">
        <f>G115*F115*E115*D115*C115</f>
        <v>7.2</v>
      </c>
    </row>
    <row r="116" spans="1:8" ht="19.5" customHeight="1">
      <c r="A116" s="1413"/>
      <c r="B116" s="1388" t="s">
        <v>4590</v>
      </c>
      <c r="C116" s="1390">
        <v>1</v>
      </c>
      <c r="D116" s="1390">
        <v>2</v>
      </c>
      <c r="E116" s="1389">
        <v>0.9</v>
      </c>
      <c r="F116" s="1389">
        <v>1</v>
      </c>
      <c r="G116" s="1389">
        <v>0.6</v>
      </c>
      <c r="H116" s="1420">
        <f>G116*F116*E116*D116*C116</f>
        <v>1.08</v>
      </c>
    </row>
    <row r="117" spans="1:8" ht="19.5" customHeight="1">
      <c r="A117" s="1413"/>
      <c r="B117" s="1388"/>
      <c r="C117" s="1390"/>
      <c r="D117" s="1390"/>
      <c r="E117" s="1389"/>
      <c r="F117" s="1389"/>
      <c r="G117" s="1391" t="s">
        <v>257</v>
      </c>
      <c r="H117" s="1418">
        <f>SUM(H114:H116)</f>
        <v>16.380000000000003</v>
      </c>
    </row>
    <row r="118" spans="1:8" ht="31.5" customHeight="1">
      <c r="A118" s="1413">
        <v>16</v>
      </c>
      <c r="B118" s="1446" t="s">
        <v>4459</v>
      </c>
      <c r="C118" s="1446"/>
      <c r="D118" s="1446"/>
      <c r="E118" s="1446"/>
      <c r="F118" s="1446"/>
      <c r="G118" s="1446"/>
      <c r="H118" s="1420"/>
    </row>
    <row r="119" spans="1:8" ht="22.5" customHeight="1">
      <c r="A119" s="1413"/>
      <c r="B119" s="1388" t="s">
        <v>4514</v>
      </c>
      <c r="C119" s="1390">
        <v>1</v>
      </c>
      <c r="D119" s="1390">
        <v>2</v>
      </c>
      <c r="E119" s="1389"/>
      <c r="F119" s="1389"/>
      <c r="G119" s="1389"/>
      <c r="H119" s="1420">
        <f>D119*C119</f>
        <v>2</v>
      </c>
    </row>
    <row r="120" spans="1:8" ht="22.5" customHeight="1">
      <c r="A120" s="1413"/>
      <c r="B120" s="1388" t="s">
        <v>4515</v>
      </c>
      <c r="C120" s="1390">
        <v>1</v>
      </c>
      <c r="D120" s="1390">
        <v>2</v>
      </c>
      <c r="E120" s="1389"/>
      <c r="F120" s="1389"/>
      <c r="G120" s="1389"/>
      <c r="H120" s="1420">
        <f>D120*C120</f>
        <v>2</v>
      </c>
    </row>
    <row r="121" spans="1:8" ht="19.5" customHeight="1">
      <c r="A121" s="1413"/>
      <c r="B121" s="1388" t="s">
        <v>4516</v>
      </c>
      <c r="C121" s="1390">
        <v>1</v>
      </c>
      <c r="D121" s="1390">
        <v>2</v>
      </c>
      <c r="E121" s="1389"/>
      <c r="F121" s="1389"/>
      <c r="G121" s="1389"/>
      <c r="H121" s="1420">
        <f>D121*C121</f>
        <v>2</v>
      </c>
    </row>
    <row r="122" spans="1:8" ht="19.5" customHeight="1">
      <c r="A122" s="1413"/>
      <c r="B122" s="1388"/>
      <c r="C122" s="1390"/>
      <c r="D122" s="1390"/>
      <c r="E122" s="1389"/>
      <c r="F122" s="1389"/>
      <c r="G122" s="1391" t="s">
        <v>257</v>
      </c>
      <c r="H122" s="1418">
        <f>SUM(H119:H121)</f>
        <v>6</v>
      </c>
    </row>
    <row r="123" spans="1:8" ht="39" customHeight="1">
      <c r="A123" s="1413">
        <v>17</v>
      </c>
      <c r="B123" s="1446" t="s">
        <v>103</v>
      </c>
      <c r="C123" s="1446"/>
      <c r="D123" s="1446"/>
      <c r="E123" s="1446"/>
      <c r="F123" s="1446"/>
      <c r="G123" s="1446"/>
      <c r="H123" s="1420"/>
    </row>
    <row r="124" spans="1:8" ht="19.5" customHeight="1">
      <c r="A124" s="1413"/>
      <c r="B124" s="1388" t="s">
        <v>99</v>
      </c>
      <c r="C124" s="1390">
        <v>1</v>
      </c>
      <c r="D124" s="1390">
        <v>6</v>
      </c>
      <c r="E124" s="1389"/>
      <c r="F124" s="1389"/>
      <c r="G124" s="1389"/>
      <c r="H124" s="1420">
        <f>D124*C124</f>
        <v>6</v>
      </c>
    </row>
    <row r="125" spans="1:8" ht="19.5" customHeight="1">
      <c r="A125" s="1413"/>
      <c r="B125" s="1388"/>
      <c r="C125" s="1390"/>
      <c r="D125" s="1390"/>
      <c r="E125" s="1389"/>
      <c r="F125" s="1389"/>
      <c r="G125" s="1391" t="s">
        <v>257</v>
      </c>
      <c r="H125" s="1418">
        <f>SUM(H124)</f>
        <v>6</v>
      </c>
    </row>
    <row r="126" spans="1:8" ht="73.5" customHeight="1">
      <c r="A126" s="1422">
        <v>18</v>
      </c>
      <c r="B126" s="1445" t="s">
        <v>4518</v>
      </c>
      <c r="C126" s="1445"/>
      <c r="D126" s="1445"/>
      <c r="E126" s="1445"/>
      <c r="F126" s="1445"/>
      <c r="G126" s="1445"/>
      <c r="H126" s="1414"/>
    </row>
    <row r="127" spans="1:8" ht="15.75">
      <c r="A127" s="1422"/>
      <c r="B127" s="1402" t="s">
        <v>4519</v>
      </c>
      <c r="C127" s="1394">
        <v>1</v>
      </c>
      <c r="D127" s="1394">
        <v>4</v>
      </c>
      <c r="E127" s="1394">
        <v>5</v>
      </c>
      <c r="F127" s="1394"/>
      <c r="G127" s="1394"/>
      <c r="H127" s="1414">
        <f>E127*D127*C127</f>
        <v>20</v>
      </c>
    </row>
    <row r="128" spans="1:8" ht="15.75">
      <c r="A128" s="1422"/>
      <c r="B128" s="1402" t="s">
        <v>4477</v>
      </c>
      <c r="C128" s="1394">
        <v>1</v>
      </c>
      <c r="D128" s="1394">
        <v>2</v>
      </c>
      <c r="E128" s="1394">
        <v>4</v>
      </c>
      <c r="F128" s="1394"/>
      <c r="G128" s="1394"/>
      <c r="H128" s="1414">
        <f>E128*D128*C128</f>
        <v>8</v>
      </c>
    </row>
    <row r="129" spans="1:8" ht="15.75">
      <c r="A129" s="1422"/>
      <c r="B129" s="1402"/>
      <c r="C129" s="1394"/>
      <c r="D129" s="1394"/>
      <c r="E129" s="1394"/>
      <c r="F129" s="1394"/>
      <c r="G129" s="1399" t="s">
        <v>257</v>
      </c>
      <c r="H129" s="1415">
        <f>SUM(H127:H128)</f>
        <v>28</v>
      </c>
    </row>
    <row r="130" spans="1:8" ht="74.25" customHeight="1">
      <c r="A130" s="1422">
        <v>19</v>
      </c>
      <c r="B130" s="1445" t="s">
        <v>105</v>
      </c>
      <c r="C130" s="1445"/>
      <c r="D130" s="1445"/>
      <c r="E130" s="1445"/>
      <c r="F130" s="1445"/>
      <c r="G130" s="1445"/>
      <c r="H130" s="1414"/>
    </row>
    <row r="131" spans="1:8" ht="18" customHeight="1">
      <c r="A131" s="1422"/>
      <c r="B131" s="1388" t="s">
        <v>106</v>
      </c>
      <c r="C131" s="1385"/>
      <c r="D131" s="1385"/>
      <c r="E131" s="1386"/>
      <c r="F131" s="1386"/>
      <c r="G131" s="1386"/>
      <c r="H131" s="1414"/>
    </row>
    <row r="132" spans="1:8" ht="18" customHeight="1">
      <c r="A132" s="1422"/>
      <c r="B132" s="1388" t="s">
        <v>4482</v>
      </c>
      <c r="C132" s="1386">
        <v>1</v>
      </c>
      <c r="D132" s="1386">
        <v>2</v>
      </c>
      <c r="E132" s="1386"/>
      <c r="F132" s="1386"/>
      <c r="G132" s="1386">
        <v>2</v>
      </c>
      <c r="H132" s="1414">
        <v>2</v>
      </c>
    </row>
    <row r="133" spans="1:8" ht="18" customHeight="1">
      <c r="A133" s="1422"/>
      <c r="B133" s="1388" t="s">
        <v>4523</v>
      </c>
      <c r="C133" s="1386">
        <v>1</v>
      </c>
      <c r="D133" s="1386">
        <v>2</v>
      </c>
      <c r="E133" s="1386"/>
      <c r="F133" s="1386"/>
      <c r="G133" s="1386">
        <v>2</v>
      </c>
      <c r="H133" s="1414">
        <v>2</v>
      </c>
    </row>
    <row r="134" spans="1:8" ht="18" customHeight="1">
      <c r="A134" s="1422"/>
      <c r="B134" s="1388" t="s">
        <v>4521</v>
      </c>
      <c r="C134" s="1386">
        <v>1</v>
      </c>
      <c r="D134" s="1386">
        <v>1</v>
      </c>
      <c r="E134" s="1386"/>
      <c r="F134" s="1386"/>
      <c r="G134" s="1386">
        <v>1</v>
      </c>
      <c r="H134" s="1414">
        <v>1</v>
      </c>
    </row>
    <row r="135" spans="1:8" ht="18" customHeight="1">
      <c r="A135" s="1422"/>
      <c r="B135" s="1388"/>
      <c r="C135" s="1385"/>
      <c r="D135" s="1385"/>
      <c r="E135" s="1386"/>
      <c r="F135" s="1386"/>
      <c r="G135" s="1387" t="s">
        <v>257</v>
      </c>
      <c r="H135" s="1415">
        <f>SUM(H131:H134)</f>
        <v>5</v>
      </c>
    </row>
    <row r="136" spans="1:8" ht="56.25" customHeight="1">
      <c r="A136" s="1422">
        <v>20</v>
      </c>
      <c r="B136" s="1445" t="s">
        <v>4524</v>
      </c>
      <c r="C136" s="1445"/>
      <c r="D136" s="1445"/>
      <c r="E136" s="1445"/>
      <c r="F136" s="1445"/>
      <c r="G136" s="1445"/>
      <c r="H136" s="1414"/>
    </row>
    <row r="137" spans="1:8" ht="15.75">
      <c r="A137" s="1422"/>
      <c r="B137" s="1388" t="s">
        <v>4482</v>
      </c>
      <c r="C137" s="1386">
        <v>1</v>
      </c>
      <c r="D137" s="1386">
        <v>2</v>
      </c>
      <c r="E137" s="1386"/>
      <c r="F137" s="1386"/>
      <c r="G137" s="1386">
        <v>2</v>
      </c>
      <c r="H137" s="1414">
        <v>2</v>
      </c>
    </row>
    <row r="138" spans="1:8" ht="15.75">
      <c r="A138" s="1422"/>
      <c r="B138" s="1388" t="s">
        <v>4523</v>
      </c>
      <c r="C138" s="1386">
        <v>1</v>
      </c>
      <c r="D138" s="1386">
        <v>2</v>
      </c>
      <c r="E138" s="1386"/>
      <c r="F138" s="1386"/>
      <c r="G138" s="1386">
        <v>2</v>
      </c>
      <c r="H138" s="1414">
        <v>2</v>
      </c>
    </row>
    <row r="139" spans="1:8" ht="18" customHeight="1">
      <c r="A139" s="1422"/>
      <c r="B139" s="1388" t="s">
        <v>4521</v>
      </c>
      <c r="C139" s="1386">
        <v>1</v>
      </c>
      <c r="D139" s="1386">
        <v>1</v>
      </c>
      <c r="E139" s="1386"/>
      <c r="F139" s="1386"/>
      <c r="G139" s="1386">
        <v>1</v>
      </c>
      <c r="H139" s="1414">
        <v>1</v>
      </c>
    </row>
    <row r="140" spans="1:8" ht="16.5" thickBot="1">
      <c r="A140" s="1423"/>
      <c r="B140" s="1424"/>
      <c r="C140" s="1425"/>
      <c r="D140" s="1425"/>
      <c r="E140" s="1426"/>
      <c r="F140" s="1426"/>
      <c r="G140" s="1427" t="s">
        <v>257</v>
      </c>
      <c r="H140" s="1428">
        <f>SUM(H136:H139)</f>
        <v>5</v>
      </c>
    </row>
    <row r="141" spans="1:8" ht="15.75" thickTop="1"/>
  </sheetData>
  <mergeCells count="23">
    <mergeCell ref="B95:G95"/>
    <mergeCell ref="B123:G123"/>
    <mergeCell ref="B130:G130"/>
    <mergeCell ref="B136:G136"/>
    <mergeCell ref="B126:G126"/>
    <mergeCell ref="B107:G107"/>
    <mergeCell ref="B112:G112"/>
    <mergeCell ref="A1:H1"/>
    <mergeCell ref="A2:H2"/>
    <mergeCell ref="C3:D3"/>
    <mergeCell ref="B10:G10"/>
    <mergeCell ref="B118:G118"/>
    <mergeCell ref="B36:G36"/>
    <mergeCell ref="B82:G82"/>
    <mergeCell ref="B101:G101"/>
    <mergeCell ref="B104:G104"/>
    <mergeCell ref="B4:G4"/>
    <mergeCell ref="B13:G13"/>
    <mergeCell ref="B18:G18"/>
    <mergeCell ref="B24:G24"/>
    <mergeCell ref="B30:G30"/>
    <mergeCell ref="B70:G70"/>
    <mergeCell ref="B76:G76"/>
  </mergeCells>
  <pageMargins left="0.7" right="0" top="0.54" bottom="0.48" header="0" footer="0.26"/>
  <pageSetup scale="80" orientation="portrait" r:id="rId1"/>
  <rowBreaks count="2" manualBreakCount="2">
    <brk id="69" max="7" man="1"/>
    <brk id="103" max="7" man="1"/>
  </rowBreaks>
</worksheet>
</file>

<file path=xl/worksheets/sheet3.xml><?xml version="1.0" encoding="utf-8"?>
<worksheet xmlns="http://schemas.openxmlformats.org/spreadsheetml/2006/main" xmlns:r="http://schemas.openxmlformats.org/officeDocument/2006/relationships">
  <sheetPr syncVertical="1" syncRef="V1" transitionEvaluation="1">
    <tabColor rgb="FFFFFF00"/>
  </sheetPr>
  <dimension ref="A1:IS4079"/>
  <sheetViews>
    <sheetView view="pageBreakPreview" topLeftCell="V1" zoomScale="85" zoomScaleNormal="75" zoomScaleSheetLayoutView="85" workbookViewId="0">
      <selection activeCell="AD7" sqref="AD7"/>
    </sheetView>
  </sheetViews>
  <sheetFormatPr defaultColWidth="9.5703125" defaultRowHeight="24" customHeight="1"/>
  <cols>
    <col min="1" max="1" width="10" style="575" customWidth="1"/>
    <col min="2" max="2" width="82.28515625" style="575" customWidth="1"/>
    <col min="3" max="3" width="20.85546875" style="575" customWidth="1"/>
    <col min="4" max="4" width="17.7109375" style="575" customWidth="1"/>
    <col min="5" max="5" width="11" style="575" customWidth="1"/>
    <col min="6" max="6" width="22.85546875" style="575" customWidth="1"/>
    <col min="7" max="7" width="18.28515625" style="576" customWidth="1"/>
    <col min="8" max="8" width="55.7109375" style="575" customWidth="1"/>
    <col min="9" max="9" width="18.42578125" style="575" customWidth="1"/>
    <col min="10" max="10" width="14.7109375" style="578" customWidth="1"/>
    <col min="11" max="11" width="16.5703125" style="575" customWidth="1"/>
    <col min="12" max="12" width="12.5703125" style="575" customWidth="1"/>
    <col min="13" max="13" width="14.42578125" style="575" customWidth="1"/>
    <col min="14" max="14" width="11" style="575" bestFit="1" customWidth="1"/>
    <col min="15" max="15" width="65.5703125" style="575" customWidth="1"/>
    <col min="16" max="16" width="20" style="575" customWidth="1"/>
    <col min="17" max="17" width="13.7109375" style="575" customWidth="1"/>
    <col min="18" max="18" width="15.140625" style="575" customWidth="1"/>
    <col min="19" max="19" width="14" style="579" customWidth="1"/>
    <col min="20" max="20" width="11.85546875" style="575" customWidth="1"/>
    <col min="21" max="21" width="60" style="575" customWidth="1"/>
    <col min="22" max="22" width="16.85546875" style="575" customWidth="1"/>
    <col min="23" max="23" width="20.7109375" style="575" customWidth="1"/>
    <col min="24" max="25" width="13" style="575" customWidth="1"/>
    <col min="26" max="26" width="12.42578125" style="575" customWidth="1"/>
    <col min="27" max="27" width="6.140625" style="575" customWidth="1"/>
    <col min="28" max="28" width="18.7109375" style="575" customWidth="1"/>
    <col min="29" max="29" width="13.28515625" style="575" customWidth="1"/>
    <col min="30" max="30" width="35.5703125" style="575" customWidth="1"/>
    <col min="31" max="31" width="16" style="575" customWidth="1"/>
    <col min="32" max="32" width="15.140625" style="575" customWidth="1"/>
    <col min="33" max="33" width="14.28515625" style="575" customWidth="1"/>
    <col min="34" max="34" width="20.28515625" style="575" customWidth="1"/>
    <col min="35" max="35" width="11.5703125" style="575" bestFit="1" customWidth="1"/>
    <col min="36" max="36" width="10.42578125" style="575" bestFit="1" customWidth="1"/>
    <col min="37" max="37" width="14.85546875" style="575" customWidth="1"/>
    <col min="38" max="38" width="10.28515625" style="575" bestFit="1" customWidth="1"/>
    <col min="39" max="39" width="9.5703125" style="575"/>
    <col min="40" max="40" width="10.28515625" style="575" bestFit="1" customWidth="1"/>
    <col min="41" max="41" width="9.5703125" style="575"/>
    <col min="42" max="42" width="28.28515625" style="575" customWidth="1"/>
    <col min="43" max="43" width="14.5703125" style="575" customWidth="1"/>
    <col min="44" max="44" width="63" style="575" customWidth="1"/>
    <col min="45" max="45" width="14.140625" style="575" customWidth="1"/>
    <col min="46" max="46" width="9.7109375" style="575" bestFit="1" customWidth="1"/>
    <col min="47" max="47" width="13.140625" style="575" customWidth="1"/>
    <col min="48" max="48" width="12" style="575" customWidth="1"/>
    <col min="49" max="252" width="9.5703125" style="575"/>
    <col min="253" max="253" width="9.7109375" style="575" bestFit="1" customWidth="1"/>
    <col min="254" max="256" width="9.5703125" style="575"/>
    <col min="257" max="257" width="10" style="575" customWidth="1"/>
    <col min="258" max="258" width="82.28515625" style="575" customWidth="1"/>
    <col min="259" max="259" width="20.85546875" style="575" customWidth="1"/>
    <col min="260" max="260" width="17.7109375" style="575" customWidth="1"/>
    <col min="261" max="261" width="11" style="575" customWidth="1"/>
    <col min="262" max="262" width="22.85546875" style="575" customWidth="1"/>
    <col min="263" max="263" width="18.28515625" style="575" customWidth="1"/>
    <col min="264" max="264" width="55.7109375" style="575" customWidth="1"/>
    <col min="265" max="265" width="18.42578125" style="575" customWidth="1"/>
    <col min="266" max="266" width="14.7109375" style="575" customWidth="1"/>
    <col min="267" max="267" width="16.5703125" style="575" customWidth="1"/>
    <col min="268" max="268" width="12.5703125" style="575" customWidth="1"/>
    <col min="269" max="269" width="14.42578125" style="575" customWidth="1"/>
    <col min="270" max="270" width="11" style="575" bestFit="1" customWidth="1"/>
    <col min="271" max="271" width="65.5703125" style="575" customWidth="1"/>
    <col min="272" max="272" width="20" style="575" customWidth="1"/>
    <col min="273" max="273" width="13.7109375" style="575" customWidth="1"/>
    <col min="274" max="274" width="15.140625" style="575" customWidth="1"/>
    <col min="275" max="275" width="14" style="575" customWidth="1"/>
    <col min="276" max="276" width="11.85546875" style="575" customWidth="1"/>
    <col min="277" max="277" width="60" style="575" customWidth="1"/>
    <col min="278" max="278" width="16.85546875" style="575" customWidth="1"/>
    <col min="279" max="279" width="20.7109375" style="575" customWidth="1"/>
    <col min="280" max="281" width="13" style="575" customWidth="1"/>
    <col min="282" max="282" width="12.42578125" style="575" customWidth="1"/>
    <col min="283" max="283" width="6.140625" style="575" customWidth="1"/>
    <col min="284" max="284" width="18.7109375" style="575" customWidth="1"/>
    <col min="285" max="285" width="13.28515625" style="575" customWidth="1"/>
    <col min="286" max="286" width="35.5703125" style="575" customWidth="1"/>
    <col min="287" max="287" width="16" style="575" customWidth="1"/>
    <col min="288" max="288" width="15.140625" style="575" customWidth="1"/>
    <col min="289" max="289" width="14.28515625" style="575" customWidth="1"/>
    <col min="290" max="290" width="20.28515625" style="575" customWidth="1"/>
    <col min="291" max="291" width="11.5703125" style="575" bestFit="1" customWidth="1"/>
    <col min="292" max="292" width="10.42578125" style="575" bestFit="1" customWidth="1"/>
    <col min="293" max="293" width="14.85546875" style="575" customWidth="1"/>
    <col min="294" max="294" width="10.28515625" style="575" bestFit="1" customWidth="1"/>
    <col min="295" max="295" width="9.5703125" style="575"/>
    <col min="296" max="296" width="10.28515625" style="575" bestFit="1" customWidth="1"/>
    <col min="297" max="297" width="9.5703125" style="575"/>
    <col min="298" max="298" width="28.28515625" style="575" customWidth="1"/>
    <col min="299" max="299" width="14.5703125" style="575" customWidth="1"/>
    <col min="300" max="300" width="63" style="575" customWidth="1"/>
    <col min="301" max="301" width="14.140625" style="575" customWidth="1"/>
    <col min="302" max="302" width="9.7109375" style="575" bestFit="1" customWidth="1"/>
    <col min="303" max="303" width="13.140625" style="575" customWidth="1"/>
    <col min="304" max="304" width="12" style="575" customWidth="1"/>
    <col min="305" max="508" width="9.5703125" style="575"/>
    <col min="509" max="509" width="9.7109375" style="575" bestFit="1" customWidth="1"/>
    <col min="510" max="512" width="9.5703125" style="575"/>
    <col min="513" max="513" width="10" style="575" customWidth="1"/>
    <col min="514" max="514" width="82.28515625" style="575" customWidth="1"/>
    <col min="515" max="515" width="20.85546875" style="575" customWidth="1"/>
    <col min="516" max="516" width="17.7109375" style="575" customWidth="1"/>
    <col min="517" max="517" width="11" style="575" customWidth="1"/>
    <col min="518" max="518" width="22.85546875" style="575" customWidth="1"/>
    <col min="519" max="519" width="18.28515625" style="575" customWidth="1"/>
    <col min="520" max="520" width="55.7109375" style="575" customWidth="1"/>
    <col min="521" max="521" width="18.42578125" style="575" customWidth="1"/>
    <col min="522" max="522" width="14.7109375" style="575" customWidth="1"/>
    <col min="523" max="523" width="16.5703125" style="575" customWidth="1"/>
    <col min="524" max="524" width="12.5703125" style="575" customWidth="1"/>
    <col min="525" max="525" width="14.42578125" style="575" customWidth="1"/>
    <col min="526" max="526" width="11" style="575" bestFit="1" customWidth="1"/>
    <col min="527" max="527" width="65.5703125" style="575" customWidth="1"/>
    <col min="528" max="528" width="20" style="575" customWidth="1"/>
    <col min="529" max="529" width="13.7109375" style="575" customWidth="1"/>
    <col min="530" max="530" width="15.140625" style="575" customWidth="1"/>
    <col min="531" max="531" width="14" style="575" customWidth="1"/>
    <col min="532" max="532" width="11.85546875" style="575" customWidth="1"/>
    <col min="533" max="533" width="60" style="575" customWidth="1"/>
    <col min="534" max="534" width="16.85546875" style="575" customWidth="1"/>
    <col min="535" max="535" width="20.7109375" style="575" customWidth="1"/>
    <col min="536" max="537" width="13" style="575" customWidth="1"/>
    <col min="538" max="538" width="12.42578125" style="575" customWidth="1"/>
    <col min="539" max="539" width="6.140625" style="575" customWidth="1"/>
    <col min="540" max="540" width="18.7109375" style="575" customWidth="1"/>
    <col min="541" max="541" width="13.28515625" style="575" customWidth="1"/>
    <col min="542" max="542" width="35.5703125" style="575" customWidth="1"/>
    <col min="543" max="543" width="16" style="575" customWidth="1"/>
    <col min="544" max="544" width="15.140625" style="575" customWidth="1"/>
    <col min="545" max="545" width="14.28515625" style="575" customWidth="1"/>
    <col min="546" max="546" width="20.28515625" style="575" customWidth="1"/>
    <col min="547" max="547" width="11.5703125" style="575" bestFit="1" customWidth="1"/>
    <col min="548" max="548" width="10.42578125" style="575" bestFit="1" customWidth="1"/>
    <col min="549" max="549" width="14.85546875" style="575" customWidth="1"/>
    <col min="550" max="550" width="10.28515625" style="575" bestFit="1" customWidth="1"/>
    <col min="551" max="551" width="9.5703125" style="575"/>
    <col min="552" max="552" width="10.28515625" style="575" bestFit="1" customWidth="1"/>
    <col min="553" max="553" width="9.5703125" style="575"/>
    <col min="554" max="554" width="28.28515625" style="575" customWidth="1"/>
    <col min="555" max="555" width="14.5703125" style="575" customWidth="1"/>
    <col min="556" max="556" width="63" style="575" customWidth="1"/>
    <col min="557" max="557" width="14.140625" style="575" customWidth="1"/>
    <col min="558" max="558" width="9.7109375" style="575" bestFit="1" customWidth="1"/>
    <col min="559" max="559" width="13.140625" style="575" customWidth="1"/>
    <col min="560" max="560" width="12" style="575" customWidth="1"/>
    <col min="561" max="764" width="9.5703125" style="575"/>
    <col min="765" max="765" width="9.7109375" style="575" bestFit="1" customWidth="1"/>
    <col min="766" max="768" width="9.5703125" style="575"/>
    <col min="769" max="769" width="10" style="575" customWidth="1"/>
    <col min="770" max="770" width="82.28515625" style="575" customWidth="1"/>
    <col min="771" max="771" width="20.85546875" style="575" customWidth="1"/>
    <col min="772" max="772" width="17.7109375" style="575" customWidth="1"/>
    <col min="773" max="773" width="11" style="575" customWidth="1"/>
    <col min="774" max="774" width="22.85546875" style="575" customWidth="1"/>
    <col min="775" max="775" width="18.28515625" style="575" customWidth="1"/>
    <col min="776" max="776" width="55.7109375" style="575" customWidth="1"/>
    <col min="777" max="777" width="18.42578125" style="575" customWidth="1"/>
    <col min="778" max="778" width="14.7109375" style="575" customWidth="1"/>
    <col min="779" max="779" width="16.5703125" style="575" customWidth="1"/>
    <col min="780" max="780" width="12.5703125" style="575" customWidth="1"/>
    <col min="781" max="781" width="14.42578125" style="575" customWidth="1"/>
    <col min="782" max="782" width="11" style="575" bestFit="1" customWidth="1"/>
    <col min="783" max="783" width="65.5703125" style="575" customWidth="1"/>
    <col min="784" max="784" width="20" style="575" customWidth="1"/>
    <col min="785" max="785" width="13.7109375" style="575" customWidth="1"/>
    <col min="786" max="786" width="15.140625" style="575" customWidth="1"/>
    <col min="787" max="787" width="14" style="575" customWidth="1"/>
    <col min="788" max="788" width="11.85546875" style="575" customWidth="1"/>
    <col min="789" max="789" width="60" style="575" customWidth="1"/>
    <col min="790" max="790" width="16.85546875" style="575" customWidth="1"/>
    <col min="791" max="791" width="20.7109375" style="575" customWidth="1"/>
    <col min="792" max="793" width="13" style="575" customWidth="1"/>
    <col min="794" max="794" width="12.42578125" style="575" customWidth="1"/>
    <col min="795" max="795" width="6.140625" style="575" customWidth="1"/>
    <col min="796" max="796" width="18.7109375" style="575" customWidth="1"/>
    <col min="797" max="797" width="13.28515625" style="575" customWidth="1"/>
    <col min="798" max="798" width="35.5703125" style="575" customWidth="1"/>
    <col min="799" max="799" width="16" style="575" customWidth="1"/>
    <col min="800" max="800" width="15.140625" style="575" customWidth="1"/>
    <col min="801" max="801" width="14.28515625" style="575" customWidth="1"/>
    <col min="802" max="802" width="20.28515625" style="575" customWidth="1"/>
    <col min="803" max="803" width="11.5703125" style="575" bestFit="1" customWidth="1"/>
    <col min="804" max="804" width="10.42578125" style="575" bestFit="1" customWidth="1"/>
    <col min="805" max="805" width="14.85546875" style="575" customWidth="1"/>
    <col min="806" max="806" width="10.28515625" style="575" bestFit="1" customWidth="1"/>
    <col min="807" max="807" width="9.5703125" style="575"/>
    <col min="808" max="808" width="10.28515625" style="575" bestFit="1" customWidth="1"/>
    <col min="809" max="809" width="9.5703125" style="575"/>
    <col min="810" max="810" width="28.28515625" style="575" customWidth="1"/>
    <col min="811" max="811" width="14.5703125" style="575" customWidth="1"/>
    <col min="812" max="812" width="63" style="575" customWidth="1"/>
    <col min="813" max="813" width="14.140625" style="575" customWidth="1"/>
    <col min="814" max="814" width="9.7109375" style="575" bestFit="1" customWidth="1"/>
    <col min="815" max="815" width="13.140625" style="575" customWidth="1"/>
    <col min="816" max="816" width="12" style="575" customWidth="1"/>
    <col min="817" max="1020" width="9.5703125" style="575"/>
    <col min="1021" max="1021" width="9.7109375" style="575" bestFit="1" customWidth="1"/>
    <col min="1022" max="1024" width="9.5703125" style="575"/>
    <col min="1025" max="1025" width="10" style="575" customWidth="1"/>
    <col min="1026" max="1026" width="82.28515625" style="575" customWidth="1"/>
    <col min="1027" max="1027" width="20.85546875" style="575" customWidth="1"/>
    <col min="1028" max="1028" width="17.7109375" style="575" customWidth="1"/>
    <col min="1029" max="1029" width="11" style="575" customWidth="1"/>
    <col min="1030" max="1030" width="22.85546875" style="575" customWidth="1"/>
    <col min="1031" max="1031" width="18.28515625" style="575" customWidth="1"/>
    <col min="1032" max="1032" width="55.7109375" style="575" customWidth="1"/>
    <col min="1033" max="1033" width="18.42578125" style="575" customWidth="1"/>
    <col min="1034" max="1034" width="14.7109375" style="575" customWidth="1"/>
    <col min="1035" max="1035" width="16.5703125" style="575" customWidth="1"/>
    <col min="1036" max="1036" width="12.5703125" style="575" customWidth="1"/>
    <col min="1037" max="1037" width="14.42578125" style="575" customWidth="1"/>
    <col min="1038" max="1038" width="11" style="575" bestFit="1" customWidth="1"/>
    <col min="1039" max="1039" width="65.5703125" style="575" customWidth="1"/>
    <col min="1040" max="1040" width="20" style="575" customWidth="1"/>
    <col min="1041" max="1041" width="13.7109375" style="575" customWidth="1"/>
    <col min="1042" max="1042" width="15.140625" style="575" customWidth="1"/>
    <col min="1043" max="1043" width="14" style="575" customWidth="1"/>
    <col min="1044" max="1044" width="11.85546875" style="575" customWidth="1"/>
    <col min="1045" max="1045" width="60" style="575" customWidth="1"/>
    <col min="1046" max="1046" width="16.85546875" style="575" customWidth="1"/>
    <col min="1047" max="1047" width="20.7109375" style="575" customWidth="1"/>
    <col min="1048" max="1049" width="13" style="575" customWidth="1"/>
    <col min="1050" max="1050" width="12.42578125" style="575" customWidth="1"/>
    <col min="1051" max="1051" width="6.140625" style="575" customWidth="1"/>
    <col min="1052" max="1052" width="18.7109375" style="575" customWidth="1"/>
    <col min="1053" max="1053" width="13.28515625" style="575" customWidth="1"/>
    <col min="1054" max="1054" width="35.5703125" style="575" customWidth="1"/>
    <col min="1055" max="1055" width="16" style="575" customWidth="1"/>
    <col min="1056" max="1056" width="15.140625" style="575" customWidth="1"/>
    <col min="1057" max="1057" width="14.28515625" style="575" customWidth="1"/>
    <col min="1058" max="1058" width="20.28515625" style="575" customWidth="1"/>
    <col min="1059" max="1059" width="11.5703125" style="575" bestFit="1" customWidth="1"/>
    <col min="1060" max="1060" width="10.42578125" style="575" bestFit="1" customWidth="1"/>
    <col min="1061" max="1061" width="14.85546875" style="575" customWidth="1"/>
    <col min="1062" max="1062" width="10.28515625" style="575" bestFit="1" customWidth="1"/>
    <col min="1063" max="1063" width="9.5703125" style="575"/>
    <col min="1064" max="1064" width="10.28515625" style="575" bestFit="1" customWidth="1"/>
    <col min="1065" max="1065" width="9.5703125" style="575"/>
    <col min="1066" max="1066" width="28.28515625" style="575" customWidth="1"/>
    <col min="1067" max="1067" width="14.5703125" style="575" customWidth="1"/>
    <col min="1068" max="1068" width="63" style="575" customWidth="1"/>
    <col min="1069" max="1069" width="14.140625" style="575" customWidth="1"/>
    <col min="1070" max="1070" width="9.7109375" style="575" bestFit="1" customWidth="1"/>
    <col min="1071" max="1071" width="13.140625" style="575" customWidth="1"/>
    <col min="1072" max="1072" width="12" style="575" customWidth="1"/>
    <col min="1073" max="1276" width="9.5703125" style="575"/>
    <col min="1277" max="1277" width="9.7109375" style="575" bestFit="1" customWidth="1"/>
    <col min="1278" max="1280" width="9.5703125" style="575"/>
    <col min="1281" max="1281" width="10" style="575" customWidth="1"/>
    <col min="1282" max="1282" width="82.28515625" style="575" customWidth="1"/>
    <col min="1283" max="1283" width="20.85546875" style="575" customWidth="1"/>
    <col min="1284" max="1284" width="17.7109375" style="575" customWidth="1"/>
    <col min="1285" max="1285" width="11" style="575" customWidth="1"/>
    <col min="1286" max="1286" width="22.85546875" style="575" customWidth="1"/>
    <col min="1287" max="1287" width="18.28515625" style="575" customWidth="1"/>
    <col min="1288" max="1288" width="55.7109375" style="575" customWidth="1"/>
    <col min="1289" max="1289" width="18.42578125" style="575" customWidth="1"/>
    <col min="1290" max="1290" width="14.7109375" style="575" customWidth="1"/>
    <col min="1291" max="1291" width="16.5703125" style="575" customWidth="1"/>
    <col min="1292" max="1292" width="12.5703125" style="575" customWidth="1"/>
    <col min="1293" max="1293" width="14.42578125" style="575" customWidth="1"/>
    <col min="1294" max="1294" width="11" style="575" bestFit="1" customWidth="1"/>
    <col min="1295" max="1295" width="65.5703125" style="575" customWidth="1"/>
    <col min="1296" max="1296" width="20" style="575" customWidth="1"/>
    <col min="1297" max="1297" width="13.7109375" style="575" customWidth="1"/>
    <col min="1298" max="1298" width="15.140625" style="575" customWidth="1"/>
    <col min="1299" max="1299" width="14" style="575" customWidth="1"/>
    <col min="1300" max="1300" width="11.85546875" style="575" customWidth="1"/>
    <col min="1301" max="1301" width="60" style="575" customWidth="1"/>
    <col min="1302" max="1302" width="16.85546875" style="575" customWidth="1"/>
    <col min="1303" max="1303" width="20.7109375" style="575" customWidth="1"/>
    <col min="1304" max="1305" width="13" style="575" customWidth="1"/>
    <col min="1306" max="1306" width="12.42578125" style="575" customWidth="1"/>
    <col min="1307" max="1307" width="6.140625" style="575" customWidth="1"/>
    <col min="1308" max="1308" width="18.7109375" style="575" customWidth="1"/>
    <col min="1309" max="1309" width="13.28515625" style="575" customWidth="1"/>
    <col min="1310" max="1310" width="35.5703125" style="575" customWidth="1"/>
    <col min="1311" max="1311" width="16" style="575" customWidth="1"/>
    <col min="1312" max="1312" width="15.140625" style="575" customWidth="1"/>
    <col min="1313" max="1313" width="14.28515625" style="575" customWidth="1"/>
    <col min="1314" max="1314" width="20.28515625" style="575" customWidth="1"/>
    <col min="1315" max="1315" width="11.5703125" style="575" bestFit="1" customWidth="1"/>
    <col min="1316" max="1316" width="10.42578125" style="575" bestFit="1" customWidth="1"/>
    <col min="1317" max="1317" width="14.85546875" style="575" customWidth="1"/>
    <col min="1318" max="1318" width="10.28515625" style="575" bestFit="1" customWidth="1"/>
    <col min="1319" max="1319" width="9.5703125" style="575"/>
    <col min="1320" max="1320" width="10.28515625" style="575" bestFit="1" customWidth="1"/>
    <col min="1321" max="1321" width="9.5703125" style="575"/>
    <col min="1322" max="1322" width="28.28515625" style="575" customWidth="1"/>
    <col min="1323" max="1323" width="14.5703125" style="575" customWidth="1"/>
    <col min="1324" max="1324" width="63" style="575" customWidth="1"/>
    <col min="1325" max="1325" width="14.140625" style="575" customWidth="1"/>
    <col min="1326" max="1326" width="9.7109375" style="575" bestFit="1" customWidth="1"/>
    <col min="1327" max="1327" width="13.140625" style="575" customWidth="1"/>
    <col min="1328" max="1328" width="12" style="575" customWidth="1"/>
    <col min="1329" max="1532" width="9.5703125" style="575"/>
    <col min="1533" max="1533" width="9.7109375" style="575" bestFit="1" customWidth="1"/>
    <col min="1534" max="1536" width="9.5703125" style="575"/>
    <col min="1537" max="1537" width="10" style="575" customWidth="1"/>
    <col min="1538" max="1538" width="82.28515625" style="575" customWidth="1"/>
    <col min="1539" max="1539" width="20.85546875" style="575" customWidth="1"/>
    <col min="1540" max="1540" width="17.7109375" style="575" customWidth="1"/>
    <col min="1541" max="1541" width="11" style="575" customWidth="1"/>
    <col min="1542" max="1542" width="22.85546875" style="575" customWidth="1"/>
    <col min="1543" max="1543" width="18.28515625" style="575" customWidth="1"/>
    <col min="1544" max="1544" width="55.7109375" style="575" customWidth="1"/>
    <col min="1545" max="1545" width="18.42578125" style="575" customWidth="1"/>
    <col min="1546" max="1546" width="14.7109375" style="575" customWidth="1"/>
    <col min="1547" max="1547" width="16.5703125" style="575" customWidth="1"/>
    <col min="1548" max="1548" width="12.5703125" style="575" customWidth="1"/>
    <col min="1549" max="1549" width="14.42578125" style="575" customWidth="1"/>
    <col min="1550" max="1550" width="11" style="575" bestFit="1" customWidth="1"/>
    <col min="1551" max="1551" width="65.5703125" style="575" customWidth="1"/>
    <col min="1552" max="1552" width="20" style="575" customWidth="1"/>
    <col min="1553" max="1553" width="13.7109375" style="575" customWidth="1"/>
    <col min="1554" max="1554" width="15.140625" style="575" customWidth="1"/>
    <col min="1555" max="1555" width="14" style="575" customWidth="1"/>
    <col min="1556" max="1556" width="11.85546875" style="575" customWidth="1"/>
    <col min="1557" max="1557" width="60" style="575" customWidth="1"/>
    <col min="1558" max="1558" width="16.85546875" style="575" customWidth="1"/>
    <col min="1559" max="1559" width="20.7109375" style="575" customWidth="1"/>
    <col min="1560" max="1561" width="13" style="575" customWidth="1"/>
    <col min="1562" max="1562" width="12.42578125" style="575" customWidth="1"/>
    <col min="1563" max="1563" width="6.140625" style="575" customWidth="1"/>
    <col min="1564" max="1564" width="18.7109375" style="575" customWidth="1"/>
    <col min="1565" max="1565" width="13.28515625" style="575" customWidth="1"/>
    <col min="1566" max="1566" width="35.5703125" style="575" customWidth="1"/>
    <col min="1567" max="1567" width="16" style="575" customWidth="1"/>
    <col min="1568" max="1568" width="15.140625" style="575" customWidth="1"/>
    <col min="1569" max="1569" width="14.28515625" style="575" customWidth="1"/>
    <col min="1570" max="1570" width="20.28515625" style="575" customWidth="1"/>
    <col min="1571" max="1571" width="11.5703125" style="575" bestFit="1" customWidth="1"/>
    <col min="1572" max="1572" width="10.42578125" style="575" bestFit="1" customWidth="1"/>
    <col min="1573" max="1573" width="14.85546875" style="575" customWidth="1"/>
    <col min="1574" max="1574" width="10.28515625" style="575" bestFit="1" customWidth="1"/>
    <col min="1575" max="1575" width="9.5703125" style="575"/>
    <col min="1576" max="1576" width="10.28515625" style="575" bestFit="1" customWidth="1"/>
    <col min="1577" max="1577" width="9.5703125" style="575"/>
    <col min="1578" max="1578" width="28.28515625" style="575" customWidth="1"/>
    <col min="1579" max="1579" width="14.5703125" style="575" customWidth="1"/>
    <col min="1580" max="1580" width="63" style="575" customWidth="1"/>
    <col min="1581" max="1581" width="14.140625" style="575" customWidth="1"/>
    <col min="1582" max="1582" width="9.7109375" style="575" bestFit="1" customWidth="1"/>
    <col min="1583" max="1583" width="13.140625" style="575" customWidth="1"/>
    <col min="1584" max="1584" width="12" style="575" customWidth="1"/>
    <col min="1585" max="1788" width="9.5703125" style="575"/>
    <col min="1789" max="1789" width="9.7109375" style="575" bestFit="1" customWidth="1"/>
    <col min="1790" max="1792" width="9.5703125" style="575"/>
    <col min="1793" max="1793" width="10" style="575" customWidth="1"/>
    <col min="1794" max="1794" width="82.28515625" style="575" customWidth="1"/>
    <col min="1795" max="1795" width="20.85546875" style="575" customWidth="1"/>
    <col min="1796" max="1796" width="17.7109375" style="575" customWidth="1"/>
    <col min="1797" max="1797" width="11" style="575" customWidth="1"/>
    <col min="1798" max="1798" width="22.85546875" style="575" customWidth="1"/>
    <col min="1799" max="1799" width="18.28515625" style="575" customWidth="1"/>
    <col min="1800" max="1800" width="55.7109375" style="575" customWidth="1"/>
    <col min="1801" max="1801" width="18.42578125" style="575" customWidth="1"/>
    <col min="1802" max="1802" width="14.7109375" style="575" customWidth="1"/>
    <col min="1803" max="1803" width="16.5703125" style="575" customWidth="1"/>
    <col min="1804" max="1804" width="12.5703125" style="575" customWidth="1"/>
    <col min="1805" max="1805" width="14.42578125" style="575" customWidth="1"/>
    <col min="1806" max="1806" width="11" style="575" bestFit="1" customWidth="1"/>
    <col min="1807" max="1807" width="65.5703125" style="575" customWidth="1"/>
    <col min="1808" max="1808" width="20" style="575" customWidth="1"/>
    <col min="1809" max="1809" width="13.7109375" style="575" customWidth="1"/>
    <col min="1810" max="1810" width="15.140625" style="575" customWidth="1"/>
    <col min="1811" max="1811" width="14" style="575" customWidth="1"/>
    <col min="1812" max="1812" width="11.85546875" style="575" customWidth="1"/>
    <col min="1813" max="1813" width="60" style="575" customWidth="1"/>
    <col min="1814" max="1814" width="16.85546875" style="575" customWidth="1"/>
    <col min="1815" max="1815" width="20.7109375" style="575" customWidth="1"/>
    <col min="1816" max="1817" width="13" style="575" customWidth="1"/>
    <col min="1818" max="1818" width="12.42578125" style="575" customWidth="1"/>
    <col min="1819" max="1819" width="6.140625" style="575" customWidth="1"/>
    <col min="1820" max="1820" width="18.7109375" style="575" customWidth="1"/>
    <col min="1821" max="1821" width="13.28515625" style="575" customWidth="1"/>
    <col min="1822" max="1822" width="35.5703125" style="575" customWidth="1"/>
    <col min="1823" max="1823" width="16" style="575" customWidth="1"/>
    <col min="1824" max="1824" width="15.140625" style="575" customWidth="1"/>
    <col min="1825" max="1825" width="14.28515625" style="575" customWidth="1"/>
    <col min="1826" max="1826" width="20.28515625" style="575" customWidth="1"/>
    <col min="1827" max="1827" width="11.5703125" style="575" bestFit="1" customWidth="1"/>
    <col min="1828" max="1828" width="10.42578125" style="575" bestFit="1" customWidth="1"/>
    <col min="1829" max="1829" width="14.85546875" style="575" customWidth="1"/>
    <col min="1830" max="1830" width="10.28515625" style="575" bestFit="1" customWidth="1"/>
    <col min="1831" max="1831" width="9.5703125" style="575"/>
    <col min="1832" max="1832" width="10.28515625" style="575" bestFit="1" customWidth="1"/>
    <col min="1833" max="1833" width="9.5703125" style="575"/>
    <col min="1834" max="1834" width="28.28515625" style="575" customWidth="1"/>
    <col min="1835" max="1835" width="14.5703125" style="575" customWidth="1"/>
    <col min="1836" max="1836" width="63" style="575" customWidth="1"/>
    <col min="1837" max="1837" width="14.140625" style="575" customWidth="1"/>
    <col min="1838" max="1838" width="9.7109375" style="575" bestFit="1" customWidth="1"/>
    <col min="1839" max="1839" width="13.140625" style="575" customWidth="1"/>
    <col min="1840" max="1840" width="12" style="575" customWidth="1"/>
    <col min="1841" max="2044" width="9.5703125" style="575"/>
    <col min="2045" max="2045" width="9.7109375" style="575" bestFit="1" customWidth="1"/>
    <col min="2046" max="2048" width="9.5703125" style="575"/>
    <col min="2049" max="2049" width="10" style="575" customWidth="1"/>
    <col min="2050" max="2050" width="82.28515625" style="575" customWidth="1"/>
    <col min="2051" max="2051" width="20.85546875" style="575" customWidth="1"/>
    <col min="2052" max="2052" width="17.7109375" style="575" customWidth="1"/>
    <col min="2053" max="2053" width="11" style="575" customWidth="1"/>
    <col min="2054" max="2054" width="22.85546875" style="575" customWidth="1"/>
    <col min="2055" max="2055" width="18.28515625" style="575" customWidth="1"/>
    <col min="2056" max="2056" width="55.7109375" style="575" customWidth="1"/>
    <col min="2057" max="2057" width="18.42578125" style="575" customWidth="1"/>
    <col min="2058" max="2058" width="14.7109375" style="575" customWidth="1"/>
    <col min="2059" max="2059" width="16.5703125" style="575" customWidth="1"/>
    <col min="2060" max="2060" width="12.5703125" style="575" customWidth="1"/>
    <col min="2061" max="2061" width="14.42578125" style="575" customWidth="1"/>
    <col min="2062" max="2062" width="11" style="575" bestFit="1" customWidth="1"/>
    <col min="2063" max="2063" width="65.5703125" style="575" customWidth="1"/>
    <col min="2064" max="2064" width="20" style="575" customWidth="1"/>
    <col min="2065" max="2065" width="13.7109375" style="575" customWidth="1"/>
    <col min="2066" max="2066" width="15.140625" style="575" customWidth="1"/>
    <col min="2067" max="2067" width="14" style="575" customWidth="1"/>
    <col min="2068" max="2068" width="11.85546875" style="575" customWidth="1"/>
    <col min="2069" max="2069" width="60" style="575" customWidth="1"/>
    <col min="2070" max="2070" width="16.85546875" style="575" customWidth="1"/>
    <col min="2071" max="2071" width="20.7109375" style="575" customWidth="1"/>
    <col min="2072" max="2073" width="13" style="575" customWidth="1"/>
    <col min="2074" max="2074" width="12.42578125" style="575" customWidth="1"/>
    <col min="2075" max="2075" width="6.140625" style="575" customWidth="1"/>
    <col min="2076" max="2076" width="18.7109375" style="575" customWidth="1"/>
    <col min="2077" max="2077" width="13.28515625" style="575" customWidth="1"/>
    <col min="2078" max="2078" width="35.5703125" style="575" customWidth="1"/>
    <col min="2079" max="2079" width="16" style="575" customWidth="1"/>
    <col min="2080" max="2080" width="15.140625" style="575" customWidth="1"/>
    <col min="2081" max="2081" width="14.28515625" style="575" customWidth="1"/>
    <col min="2082" max="2082" width="20.28515625" style="575" customWidth="1"/>
    <col min="2083" max="2083" width="11.5703125" style="575" bestFit="1" customWidth="1"/>
    <col min="2084" max="2084" width="10.42578125" style="575" bestFit="1" customWidth="1"/>
    <col min="2085" max="2085" width="14.85546875" style="575" customWidth="1"/>
    <col min="2086" max="2086" width="10.28515625" style="575" bestFit="1" customWidth="1"/>
    <col min="2087" max="2087" width="9.5703125" style="575"/>
    <col min="2088" max="2088" width="10.28515625" style="575" bestFit="1" customWidth="1"/>
    <col min="2089" max="2089" width="9.5703125" style="575"/>
    <col min="2090" max="2090" width="28.28515625" style="575" customWidth="1"/>
    <col min="2091" max="2091" width="14.5703125" style="575" customWidth="1"/>
    <col min="2092" max="2092" width="63" style="575" customWidth="1"/>
    <col min="2093" max="2093" width="14.140625" style="575" customWidth="1"/>
    <col min="2094" max="2094" width="9.7109375" style="575" bestFit="1" customWidth="1"/>
    <col min="2095" max="2095" width="13.140625" style="575" customWidth="1"/>
    <col min="2096" max="2096" width="12" style="575" customWidth="1"/>
    <col min="2097" max="2300" width="9.5703125" style="575"/>
    <col min="2301" max="2301" width="9.7109375" style="575" bestFit="1" customWidth="1"/>
    <col min="2302" max="2304" width="9.5703125" style="575"/>
    <col min="2305" max="2305" width="10" style="575" customWidth="1"/>
    <col min="2306" max="2306" width="82.28515625" style="575" customWidth="1"/>
    <col min="2307" max="2307" width="20.85546875" style="575" customWidth="1"/>
    <col min="2308" max="2308" width="17.7109375" style="575" customWidth="1"/>
    <col min="2309" max="2309" width="11" style="575" customWidth="1"/>
    <col min="2310" max="2310" width="22.85546875" style="575" customWidth="1"/>
    <col min="2311" max="2311" width="18.28515625" style="575" customWidth="1"/>
    <col min="2312" max="2312" width="55.7109375" style="575" customWidth="1"/>
    <col min="2313" max="2313" width="18.42578125" style="575" customWidth="1"/>
    <col min="2314" max="2314" width="14.7109375" style="575" customWidth="1"/>
    <col min="2315" max="2315" width="16.5703125" style="575" customWidth="1"/>
    <col min="2316" max="2316" width="12.5703125" style="575" customWidth="1"/>
    <col min="2317" max="2317" width="14.42578125" style="575" customWidth="1"/>
    <col min="2318" max="2318" width="11" style="575" bestFit="1" customWidth="1"/>
    <col min="2319" max="2319" width="65.5703125" style="575" customWidth="1"/>
    <col min="2320" max="2320" width="20" style="575" customWidth="1"/>
    <col min="2321" max="2321" width="13.7109375" style="575" customWidth="1"/>
    <col min="2322" max="2322" width="15.140625" style="575" customWidth="1"/>
    <col min="2323" max="2323" width="14" style="575" customWidth="1"/>
    <col min="2324" max="2324" width="11.85546875" style="575" customWidth="1"/>
    <col min="2325" max="2325" width="60" style="575" customWidth="1"/>
    <col min="2326" max="2326" width="16.85546875" style="575" customWidth="1"/>
    <col min="2327" max="2327" width="20.7109375" style="575" customWidth="1"/>
    <col min="2328" max="2329" width="13" style="575" customWidth="1"/>
    <col min="2330" max="2330" width="12.42578125" style="575" customWidth="1"/>
    <col min="2331" max="2331" width="6.140625" style="575" customWidth="1"/>
    <col min="2332" max="2332" width="18.7109375" style="575" customWidth="1"/>
    <col min="2333" max="2333" width="13.28515625" style="575" customWidth="1"/>
    <col min="2334" max="2334" width="35.5703125" style="575" customWidth="1"/>
    <col min="2335" max="2335" width="16" style="575" customWidth="1"/>
    <col min="2336" max="2336" width="15.140625" style="575" customWidth="1"/>
    <col min="2337" max="2337" width="14.28515625" style="575" customWidth="1"/>
    <col min="2338" max="2338" width="20.28515625" style="575" customWidth="1"/>
    <col min="2339" max="2339" width="11.5703125" style="575" bestFit="1" customWidth="1"/>
    <col min="2340" max="2340" width="10.42578125" style="575" bestFit="1" customWidth="1"/>
    <col min="2341" max="2341" width="14.85546875" style="575" customWidth="1"/>
    <col min="2342" max="2342" width="10.28515625" style="575" bestFit="1" customWidth="1"/>
    <col min="2343" max="2343" width="9.5703125" style="575"/>
    <col min="2344" max="2344" width="10.28515625" style="575" bestFit="1" customWidth="1"/>
    <col min="2345" max="2345" width="9.5703125" style="575"/>
    <col min="2346" max="2346" width="28.28515625" style="575" customWidth="1"/>
    <col min="2347" max="2347" width="14.5703125" style="575" customWidth="1"/>
    <col min="2348" max="2348" width="63" style="575" customWidth="1"/>
    <col min="2349" max="2349" width="14.140625" style="575" customWidth="1"/>
    <col min="2350" max="2350" width="9.7109375" style="575" bestFit="1" customWidth="1"/>
    <col min="2351" max="2351" width="13.140625" style="575" customWidth="1"/>
    <col min="2352" max="2352" width="12" style="575" customWidth="1"/>
    <col min="2353" max="2556" width="9.5703125" style="575"/>
    <col min="2557" max="2557" width="9.7109375" style="575" bestFit="1" customWidth="1"/>
    <col min="2558" max="2560" width="9.5703125" style="575"/>
    <col min="2561" max="2561" width="10" style="575" customWidth="1"/>
    <col min="2562" max="2562" width="82.28515625" style="575" customWidth="1"/>
    <col min="2563" max="2563" width="20.85546875" style="575" customWidth="1"/>
    <col min="2564" max="2564" width="17.7109375" style="575" customWidth="1"/>
    <col min="2565" max="2565" width="11" style="575" customWidth="1"/>
    <col min="2566" max="2566" width="22.85546875" style="575" customWidth="1"/>
    <col min="2567" max="2567" width="18.28515625" style="575" customWidth="1"/>
    <col min="2568" max="2568" width="55.7109375" style="575" customWidth="1"/>
    <col min="2569" max="2569" width="18.42578125" style="575" customWidth="1"/>
    <col min="2570" max="2570" width="14.7109375" style="575" customWidth="1"/>
    <col min="2571" max="2571" width="16.5703125" style="575" customWidth="1"/>
    <col min="2572" max="2572" width="12.5703125" style="575" customWidth="1"/>
    <col min="2573" max="2573" width="14.42578125" style="575" customWidth="1"/>
    <col min="2574" max="2574" width="11" style="575" bestFit="1" customWidth="1"/>
    <col min="2575" max="2575" width="65.5703125" style="575" customWidth="1"/>
    <col min="2576" max="2576" width="20" style="575" customWidth="1"/>
    <col min="2577" max="2577" width="13.7109375" style="575" customWidth="1"/>
    <col min="2578" max="2578" width="15.140625" style="575" customWidth="1"/>
    <col min="2579" max="2579" width="14" style="575" customWidth="1"/>
    <col min="2580" max="2580" width="11.85546875" style="575" customWidth="1"/>
    <col min="2581" max="2581" width="60" style="575" customWidth="1"/>
    <col min="2582" max="2582" width="16.85546875" style="575" customWidth="1"/>
    <col min="2583" max="2583" width="20.7109375" style="575" customWidth="1"/>
    <col min="2584" max="2585" width="13" style="575" customWidth="1"/>
    <col min="2586" max="2586" width="12.42578125" style="575" customWidth="1"/>
    <col min="2587" max="2587" width="6.140625" style="575" customWidth="1"/>
    <col min="2588" max="2588" width="18.7109375" style="575" customWidth="1"/>
    <col min="2589" max="2589" width="13.28515625" style="575" customWidth="1"/>
    <col min="2590" max="2590" width="35.5703125" style="575" customWidth="1"/>
    <col min="2591" max="2591" width="16" style="575" customWidth="1"/>
    <col min="2592" max="2592" width="15.140625" style="575" customWidth="1"/>
    <col min="2593" max="2593" width="14.28515625" style="575" customWidth="1"/>
    <col min="2594" max="2594" width="20.28515625" style="575" customWidth="1"/>
    <col min="2595" max="2595" width="11.5703125" style="575" bestFit="1" customWidth="1"/>
    <col min="2596" max="2596" width="10.42578125" style="575" bestFit="1" customWidth="1"/>
    <col min="2597" max="2597" width="14.85546875" style="575" customWidth="1"/>
    <col min="2598" max="2598" width="10.28515625" style="575" bestFit="1" customWidth="1"/>
    <col min="2599" max="2599" width="9.5703125" style="575"/>
    <col min="2600" max="2600" width="10.28515625" style="575" bestFit="1" customWidth="1"/>
    <col min="2601" max="2601" width="9.5703125" style="575"/>
    <col min="2602" max="2602" width="28.28515625" style="575" customWidth="1"/>
    <col min="2603" max="2603" width="14.5703125" style="575" customWidth="1"/>
    <col min="2604" max="2604" width="63" style="575" customWidth="1"/>
    <col min="2605" max="2605" width="14.140625" style="575" customWidth="1"/>
    <col min="2606" max="2606" width="9.7109375" style="575" bestFit="1" customWidth="1"/>
    <col min="2607" max="2607" width="13.140625" style="575" customWidth="1"/>
    <col min="2608" max="2608" width="12" style="575" customWidth="1"/>
    <col min="2609" max="2812" width="9.5703125" style="575"/>
    <col min="2813" max="2813" width="9.7109375" style="575" bestFit="1" customWidth="1"/>
    <col min="2814" max="2816" width="9.5703125" style="575"/>
    <col min="2817" max="2817" width="10" style="575" customWidth="1"/>
    <col min="2818" max="2818" width="82.28515625" style="575" customWidth="1"/>
    <col min="2819" max="2819" width="20.85546875" style="575" customWidth="1"/>
    <col min="2820" max="2820" width="17.7109375" style="575" customWidth="1"/>
    <col min="2821" max="2821" width="11" style="575" customWidth="1"/>
    <col min="2822" max="2822" width="22.85546875" style="575" customWidth="1"/>
    <col min="2823" max="2823" width="18.28515625" style="575" customWidth="1"/>
    <col min="2824" max="2824" width="55.7109375" style="575" customWidth="1"/>
    <col min="2825" max="2825" width="18.42578125" style="575" customWidth="1"/>
    <col min="2826" max="2826" width="14.7109375" style="575" customWidth="1"/>
    <col min="2827" max="2827" width="16.5703125" style="575" customWidth="1"/>
    <col min="2828" max="2828" width="12.5703125" style="575" customWidth="1"/>
    <col min="2829" max="2829" width="14.42578125" style="575" customWidth="1"/>
    <col min="2830" max="2830" width="11" style="575" bestFit="1" customWidth="1"/>
    <col min="2831" max="2831" width="65.5703125" style="575" customWidth="1"/>
    <col min="2832" max="2832" width="20" style="575" customWidth="1"/>
    <col min="2833" max="2833" width="13.7109375" style="575" customWidth="1"/>
    <col min="2834" max="2834" width="15.140625" style="575" customWidth="1"/>
    <col min="2835" max="2835" width="14" style="575" customWidth="1"/>
    <col min="2836" max="2836" width="11.85546875" style="575" customWidth="1"/>
    <col min="2837" max="2837" width="60" style="575" customWidth="1"/>
    <col min="2838" max="2838" width="16.85546875" style="575" customWidth="1"/>
    <col min="2839" max="2839" width="20.7109375" style="575" customWidth="1"/>
    <col min="2840" max="2841" width="13" style="575" customWidth="1"/>
    <col min="2842" max="2842" width="12.42578125" style="575" customWidth="1"/>
    <col min="2843" max="2843" width="6.140625" style="575" customWidth="1"/>
    <col min="2844" max="2844" width="18.7109375" style="575" customWidth="1"/>
    <col min="2845" max="2845" width="13.28515625" style="575" customWidth="1"/>
    <col min="2846" max="2846" width="35.5703125" style="575" customWidth="1"/>
    <col min="2847" max="2847" width="16" style="575" customWidth="1"/>
    <col min="2848" max="2848" width="15.140625" style="575" customWidth="1"/>
    <col min="2849" max="2849" width="14.28515625" style="575" customWidth="1"/>
    <col min="2850" max="2850" width="20.28515625" style="575" customWidth="1"/>
    <col min="2851" max="2851" width="11.5703125" style="575" bestFit="1" customWidth="1"/>
    <col min="2852" max="2852" width="10.42578125" style="575" bestFit="1" customWidth="1"/>
    <col min="2853" max="2853" width="14.85546875" style="575" customWidth="1"/>
    <col min="2854" max="2854" width="10.28515625" style="575" bestFit="1" customWidth="1"/>
    <col min="2855" max="2855" width="9.5703125" style="575"/>
    <col min="2856" max="2856" width="10.28515625" style="575" bestFit="1" customWidth="1"/>
    <col min="2857" max="2857" width="9.5703125" style="575"/>
    <col min="2858" max="2858" width="28.28515625" style="575" customWidth="1"/>
    <col min="2859" max="2859" width="14.5703125" style="575" customWidth="1"/>
    <col min="2860" max="2860" width="63" style="575" customWidth="1"/>
    <col min="2861" max="2861" width="14.140625" style="575" customWidth="1"/>
    <col min="2862" max="2862" width="9.7109375" style="575" bestFit="1" customWidth="1"/>
    <col min="2863" max="2863" width="13.140625" style="575" customWidth="1"/>
    <col min="2864" max="2864" width="12" style="575" customWidth="1"/>
    <col min="2865" max="3068" width="9.5703125" style="575"/>
    <col min="3069" max="3069" width="9.7109375" style="575" bestFit="1" customWidth="1"/>
    <col min="3070" max="3072" width="9.5703125" style="575"/>
    <col min="3073" max="3073" width="10" style="575" customWidth="1"/>
    <col min="3074" max="3074" width="82.28515625" style="575" customWidth="1"/>
    <col min="3075" max="3075" width="20.85546875" style="575" customWidth="1"/>
    <col min="3076" max="3076" width="17.7109375" style="575" customWidth="1"/>
    <col min="3077" max="3077" width="11" style="575" customWidth="1"/>
    <col min="3078" max="3078" width="22.85546875" style="575" customWidth="1"/>
    <col min="3079" max="3079" width="18.28515625" style="575" customWidth="1"/>
    <col min="3080" max="3080" width="55.7109375" style="575" customWidth="1"/>
    <col min="3081" max="3081" width="18.42578125" style="575" customWidth="1"/>
    <col min="3082" max="3082" width="14.7109375" style="575" customWidth="1"/>
    <col min="3083" max="3083" width="16.5703125" style="575" customWidth="1"/>
    <col min="3084" max="3084" width="12.5703125" style="575" customWidth="1"/>
    <col min="3085" max="3085" width="14.42578125" style="575" customWidth="1"/>
    <col min="3086" max="3086" width="11" style="575" bestFit="1" customWidth="1"/>
    <col min="3087" max="3087" width="65.5703125" style="575" customWidth="1"/>
    <col min="3088" max="3088" width="20" style="575" customWidth="1"/>
    <col min="3089" max="3089" width="13.7109375" style="575" customWidth="1"/>
    <col min="3090" max="3090" width="15.140625" style="575" customWidth="1"/>
    <col min="3091" max="3091" width="14" style="575" customWidth="1"/>
    <col min="3092" max="3092" width="11.85546875" style="575" customWidth="1"/>
    <col min="3093" max="3093" width="60" style="575" customWidth="1"/>
    <col min="3094" max="3094" width="16.85546875" style="575" customWidth="1"/>
    <col min="3095" max="3095" width="20.7109375" style="575" customWidth="1"/>
    <col min="3096" max="3097" width="13" style="575" customWidth="1"/>
    <col min="3098" max="3098" width="12.42578125" style="575" customWidth="1"/>
    <col min="3099" max="3099" width="6.140625" style="575" customWidth="1"/>
    <col min="3100" max="3100" width="18.7109375" style="575" customWidth="1"/>
    <col min="3101" max="3101" width="13.28515625" style="575" customWidth="1"/>
    <col min="3102" max="3102" width="35.5703125" style="575" customWidth="1"/>
    <col min="3103" max="3103" width="16" style="575" customWidth="1"/>
    <col min="3104" max="3104" width="15.140625" style="575" customWidth="1"/>
    <col min="3105" max="3105" width="14.28515625" style="575" customWidth="1"/>
    <col min="3106" max="3106" width="20.28515625" style="575" customWidth="1"/>
    <col min="3107" max="3107" width="11.5703125" style="575" bestFit="1" customWidth="1"/>
    <col min="3108" max="3108" width="10.42578125" style="575" bestFit="1" customWidth="1"/>
    <col min="3109" max="3109" width="14.85546875" style="575" customWidth="1"/>
    <col min="3110" max="3110" width="10.28515625" style="575" bestFit="1" customWidth="1"/>
    <col min="3111" max="3111" width="9.5703125" style="575"/>
    <col min="3112" max="3112" width="10.28515625" style="575" bestFit="1" customWidth="1"/>
    <col min="3113" max="3113" width="9.5703125" style="575"/>
    <col min="3114" max="3114" width="28.28515625" style="575" customWidth="1"/>
    <col min="3115" max="3115" width="14.5703125" style="575" customWidth="1"/>
    <col min="3116" max="3116" width="63" style="575" customWidth="1"/>
    <col min="3117" max="3117" width="14.140625" style="575" customWidth="1"/>
    <col min="3118" max="3118" width="9.7109375" style="575" bestFit="1" customWidth="1"/>
    <col min="3119" max="3119" width="13.140625" style="575" customWidth="1"/>
    <col min="3120" max="3120" width="12" style="575" customWidth="1"/>
    <col min="3121" max="3324" width="9.5703125" style="575"/>
    <col min="3325" max="3325" width="9.7109375" style="575" bestFit="1" customWidth="1"/>
    <col min="3326" max="3328" width="9.5703125" style="575"/>
    <col min="3329" max="3329" width="10" style="575" customWidth="1"/>
    <col min="3330" max="3330" width="82.28515625" style="575" customWidth="1"/>
    <col min="3331" max="3331" width="20.85546875" style="575" customWidth="1"/>
    <col min="3332" max="3332" width="17.7109375" style="575" customWidth="1"/>
    <col min="3333" max="3333" width="11" style="575" customWidth="1"/>
    <col min="3334" max="3334" width="22.85546875" style="575" customWidth="1"/>
    <col min="3335" max="3335" width="18.28515625" style="575" customWidth="1"/>
    <col min="3336" max="3336" width="55.7109375" style="575" customWidth="1"/>
    <col min="3337" max="3337" width="18.42578125" style="575" customWidth="1"/>
    <col min="3338" max="3338" width="14.7109375" style="575" customWidth="1"/>
    <col min="3339" max="3339" width="16.5703125" style="575" customWidth="1"/>
    <col min="3340" max="3340" width="12.5703125" style="575" customWidth="1"/>
    <col min="3341" max="3341" width="14.42578125" style="575" customWidth="1"/>
    <col min="3342" max="3342" width="11" style="575" bestFit="1" customWidth="1"/>
    <col min="3343" max="3343" width="65.5703125" style="575" customWidth="1"/>
    <col min="3344" max="3344" width="20" style="575" customWidth="1"/>
    <col min="3345" max="3345" width="13.7109375" style="575" customWidth="1"/>
    <col min="3346" max="3346" width="15.140625" style="575" customWidth="1"/>
    <col min="3347" max="3347" width="14" style="575" customWidth="1"/>
    <col min="3348" max="3348" width="11.85546875" style="575" customWidth="1"/>
    <col min="3349" max="3349" width="60" style="575" customWidth="1"/>
    <col min="3350" max="3350" width="16.85546875" style="575" customWidth="1"/>
    <col min="3351" max="3351" width="20.7109375" style="575" customWidth="1"/>
    <col min="3352" max="3353" width="13" style="575" customWidth="1"/>
    <col min="3354" max="3354" width="12.42578125" style="575" customWidth="1"/>
    <col min="3355" max="3355" width="6.140625" style="575" customWidth="1"/>
    <col min="3356" max="3356" width="18.7109375" style="575" customWidth="1"/>
    <col min="3357" max="3357" width="13.28515625" style="575" customWidth="1"/>
    <col min="3358" max="3358" width="35.5703125" style="575" customWidth="1"/>
    <col min="3359" max="3359" width="16" style="575" customWidth="1"/>
    <col min="3360" max="3360" width="15.140625" style="575" customWidth="1"/>
    <col min="3361" max="3361" width="14.28515625" style="575" customWidth="1"/>
    <col min="3362" max="3362" width="20.28515625" style="575" customWidth="1"/>
    <col min="3363" max="3363" width="11.5703125" style="575" bestFit="1" customWidth="1"/>
    <col min="3364" max="3364" width="10.42578125" style="575" bestFit="1" customWidth="1"/>
    <col min="3365" max="3365" width="14.85546875" style="575" customWidth="1"/>
    <col min="3366" max="3366" width="10.28515625" style="575" bestFit="1" customWidth="1"/>
    <col min="3367" max="3367" width="9.5703125" style="575"/>
    <col min="3368" max="3368" width="10.28515625" style="575" bestFit="1" customWidth="1"/>
    <col min="3369" max="3369" width="9.5703125" style="575"/>
    <col min="3370" max="3370" width="28.28515625" style="575" customWidth="1"/>
    <col min="3371" max="3371" width="14.5703125" style="575" customWidth="1"/>
    <col min="3372" max="3372" width="63" style="575" customWidth="1"/>
    <col min="3373" max="3373" width="14.140625" style="575" customWidth="1"/>
    <col min="3374" max="3374" width="9.7109375" style="575" bestFit="1" customWidth="1"/>
    <col min="3375" max="3375" width="13.140625" style="575" customWidth="1"/>
    <col min="3376" max="3376" width="12" style="575" customWidth="1"/>
    <col min="3377" max="3580" width="9.5703125" style="575"/>
    <col min="3581" max="3581" width="9.7109375" style="575" bestFit="1" customWidth="1"/>
    <col min="3582" max="3584" width="9.5703125" style="575"/>
    <col min="3585" max="3585" width="10" style="575" customWidth="1"/>
    <col min="3586" max="3586" width="82.28515625" style="575" customWidth="1"/>
    <col min="3587" max="3587" width="20.85546875" style="575" customWidth="1"/>
    <col min="3588" max="3588" width="17.7109375" style="575" customWidth="1"/>
    <col min="3589" max="3589" width="11" style="575" customWidth="1"/>
    <col min="3590" max="3590" width="22.85546875" style="575" customWidth="1"/>
    <col min="3591" max="3591" width="18.28515625" style="575" customWidth="1"/>
    <col min="3592" max="3592" width="55.7109375" style="575" customWidth="1"/>
    <col min="3593" max="3593" width="18.42578125" style="575" customWidth="1"/>
    <col min="3594" max="3594" width="14.7109375" style="575" customWidth="1"/>
    <col min="3595" max="3595" width="16.5703125" style="575" customWidth="1"/>
    <col min="3596" max="3596" width="12.5703125" style="575" customWidth="1"/>
    <col min="3597" max="3597" width="14.42578125" style="575" customWidth="1"/>
    <col min="3598" max="3598" width="11" style="575" bestFit="1" customWidth="1"/>
    <col min="3599" max="3599" width="65.5703125" style="575" customWidth="1"/>
    <col min="3600" max="3600" width="20" style="575" customWidth="1"/>
    <col min="3601" max="3601" width="13.7109375" style="575" customWidth="1"/>
    <col min="3602" max="3602" width="15.140625" style="575" customWidth="1"/>
    <col min="3603" max="3603" width="14" style="575" customWidth="1"/>
    <col min="3604" max="3604" width="11.85546875" style="575" customWidth="1"/>
    <col min="3605" max="3605" width="60" style="575" customWidth="1"/>
    <col min="3606" max="3606" width="16.85546875" style="575" customWidth="1"/>
    <col min="3607" max="3607" width="20.7109375" style="575" customWidth="1"/>
    <col min="3608" max="3609" width="13" style="575" customWidth="1"/>
    <col min="3610" max="3610" width="12.42578125" style="575" customWidth="1"/>
    <col min="3611" max="3611" width="6.140625" style="575" customWidth="1"/>
    <col min="3612" max="3612" width="18.7109375" style="575" customWidth="1"/>
    <col min="3613" max="3613" width="13.28515625" style="575" customWidth="1"/>
    <col min="3614" max="3614" width="35.5703125" style="575" customWidth="1"/>
    <col min="3615" max="3615" width="16" style="575" customWidth="1"/>
    <col min="3616" max="3616" width="15.140625" style="575" customWidth="1"/>
    <col min="3617" max="3617" width="14.28515625" style="575" customWidth="1"/>
    <col min="3618" max="3618" width="20.28515625" style="575" customWidth="1"/>
    <col min="3619" max="3619" width="11.5703125" style="575" bestFit="1" customWidth="1"/>
    <col min="3620" max="3620" width="10.42578125" style="575" bestFit="1" customWidth="1"/>
    <col min="3621" max="3621" width="14.85546875" style="575" customWidth="1"/>
    <col min="3622" max="3622" width="10.28515625" style="575" bestFit="1" customWidth="1"/>
    <col min="3623" max="3623" width="9.5703125" style="575"/>
    <col min="3624" max="3624" width="10.28515625" style="575" bestFit="1" customWidth="1"/>
    <col min="3625" max="3625" width="9.5703125" style="575"/>
    <col min="3626" max="3626" width="28.28515625" style="575" customWidth="1"/>
    <col min="3627" max="3627" width="14.5703125" style="575" customWidth="1"/>
    <col min="3628" max="3628" width="63" style="575" customWidth="1"/>
    <col min="3629" max="3629" width="14.140625" style="575" customWidth="1"/>
    <col min="3630" max="3630" width="9.7109375" style="575" bestFit="1" customWidth="1"/>
    <col min="3631" max="3631" width="13.140625" style="575" customWidth="1"/>
    <col min="3632" max="3632" width="12" style="575" customWidth="1"/>
    <col min="3633" max="3836" width="9.5703125" style="575"/>
    <col min="3837" max="3837" width="9.7109375" style="575" bestFit="1" customWidth="1"/>
    <col min="3838" max="3840" width="9.5703125" style="575"/>
    <col min="3841" max="3841" width="10" style="575" customWidth="1"/>
    <col min="3842" max="3842" width="82.28515625" style="575" customWidth="1"/>
    <col min="3843" max="3843" width="20.85546875" style="575" customWidth="1"/>
    <col min="3844" max="3844" width="17.7109375" style="575" customWidth="1"/>
    <col min="3845" max="3845" width="11" style="575" customWidth="1"/>
    <col min="3846" max="3846" width="22.85546875" style="575" customWidth="1"/>
    <col min="3847" max="3847" width="18.28515625" style="575" customWidth="1"/>
    <col min="3848" max="3848" width="55.7109375" style="575" customWidth="1"/>
    <col min="3849" max="3849" width="18.42578125" style="575" customWidth="1"/>
    <col min="3850" max="3850" width="14.7109375" style="575" customWidth="1"/>
    <col min="3851" max="3851" width="16.5703125" style="575" customWidth="1"/>
    <col min="3852" max="3852" width="12.5703125" style="575" customWidth="1"/>
    <col min="3853" max="3853" width="14.42578125" style="575" customWidth="1"/>
    <col min="3854" max="3854" width="11" style="575" bestFit="1" customWidth="1"/>
    <col min="3855" max="3855" width="65.5703125" style="575" customWidth="1"/>
    <col min="3856" max="3856" width="20" style="575" customWidth="1"/>
    <col min="3857" max="3857" width="13.7109375" style="575" customWidth="1"/>
    <col min="3858" max="3858" width="15.140625" style="575" customWidth="1"/>
    <col min="3859" max="3859" width="14" style="575" customWidth="1"/>
    <col min="3860" max="3860" width="11.85546875" style="575" customWidth="1"/>
    <col min="3861" max="3861" width="60" style="575" customWidth="1"/>
    <col min="3862" max="3862" width="16.85546875" style="575" customWidth="1"/>
    <col min="3863" max="3863" width="20.7109375" style="575" customWidth="1"/>
    <col min="3864" max="3865" width="13" style="575" customWidth="1"/>
    <col min="3866" max="3866" width="12.42578125" style="575" customWidth="1"/>
    <col min="3867" max="3867" width="6.140625" style="575" customWidth="1"/>
    <col min="3868" max="3868" width="18.7109375" style="575" customWidth="1"/>
    <col min="3869" max="3869" width="13.28515625" style="575" customWidth="1"/>
    <col min="3870" max="3870" width="35.5703125" style="575" customWidth="1"/>
    <col min="3871" max="3871" width="16" style="575" customWidth="1"/>
    <col min="3872" max="3872" width="15.140625" style="575" customWidth="1"/>
    <col min="3873" max="3873" width="14.28515625" style="575" customWidth="1"/>
    <col min="3874" max="3874" width="20.28515625" style="575" customWidth="1"/>
    <col min="3875" max="3875" width="11.5703125" style="575" bestFit="1" customWidth="1"/>
    <col min="3876" max="3876" width="10.42578125" style="575" bestFit="1" customWidth="1"/>
    <col min="3877" max="3877" width="14.85546875" style="575" customWidth="1"/>
    <col min="3878" max="3878" width="10.28515625" style="575" bestFit="1" customWidth="1"/>
    <col min="3879" max="3879" width="9.5703125" style="575"/>
    <col min="3880" max="3880" width="10.28515625" style="575" bestFit="1" customWidth="1"/>
    <col min="3881" max="3881" width="9.5703125" style="575"/>
    <col min="3882" max="3882" width="28.28515625" style="575" customWidth="1"/>
    <col min="3883" max="3883" width="14.5703125" style="575" customWidth="1"/>
    <col min="3884" max="3884" width="63" style="575" customWidth="1"/>
    <col min="3885" max="3885" width="14.140625" style="575" customWidth="1"/>
    <col min="3886" max="3886" width="9.7109375" style="575" bestFit="1" customWidth="1"/>
    <col min="3887" max="3887" width="13.140625" style="575" customWidth="1"/>
    <col min="3888" max="3888" width="12" style="575" customWidth="1"/>
    <col min="3889" max="4092" width="9.5703125" style="575"/>
    <col min="4093" max="4093" width="9.7109375" style="575" bestFit="1" customWidth="1"/>
    <col min="4094" max="4096" width="9.5703125" style="575"/>
    <col min="4097" max="4097" width="10" style="575" customWidth="1"/>
    <col min="4098" max="4098" width="82.28515625" style="575" customWidth="1"/>
    <col min="4099" max="4099" width="20.85546875" style="575" customWidth="1"/>
    <col min="4100" max="4100" width="17.7109375" style="575" customWidth="1"/>
    <col min="4101" max="4101" width="11" style="575" customWidth="1"/>
    <col min="4102" max="4102" width="22.85546875" style="575" customWidth="1"/>
    <col min="4103" max="4103" width="18.28515625" style="575" customWidth="1"/>
    <col min="4104" max="4104" width="55.7109375" style="575" customWidth="1"/>
    <col min="4105" max="4105" width="18.42578125" style="575" customWidth="1"/>
    <col min="4106" max="4106" width="14.7109375" style="575" customWidth="1"/>
    <col min="4107" max="4107" width="16.5703125" style="575" customWidth="1"/>
    <col min="4108" max="4108" width="12.5703125" style="575" customWidth="1"/>
    <col min="4109" max="4109" width="14.42578125" style="575" customWidth="1"/>
    <col min="4110" max="4110" width="11" style="575" bestFit="1" customWidth="1"/>
    <col min="4111" max="4111" width="65.5703125" style="575" customWidth="1"/>
    <col min="4112" max="4112" width="20" style="575" customWidth="1"/>
    <col min="4113" max="4113" width="13.7109375" style="575" customWidth="1"/>
    <col min="4114" max="4114" width="15.140625" style="575" customWidth="1"/>
    <col min="4115" max="4115" width="14" style="575" customWidth="1"/>
    <col min="4116" max="4116" width="11.85546875" style="575" customWidth="1"/>
    <col min="4117" max="4117" width="60" style="575" customWidth="1"/>
    <col min="4118" max="4118" width="16.85546875" style="575" customWidth="1"/>
    <col min="4119" max="4119" width="20.7109375" style="575" customWidth="1"/>
    <col min="4120" max="4121" width="13" style="575" customWidth="1"/>
    <col min="4122" max="4122" width="12.42578125" style="575" customWidth="1"/>
    <col min="4123" max="4123" width="6.140625" style="575" customWidth="1"/>
    <col min="4124" max="4124" width="18.7109375" style="575" customWidth="1"/>
    <col min="4125" max="4125" width="13.28515625" style="575" customWidth="1"/>
    <col min="4126" max="4126" width="35.5703125" style="575" customWidth="1"/>
    <col min="4127" max="4127" width="16" style="575" customWidth="1"/>
    <col min="4128" max="4128" width="15.140625" style="575" customWidth="1"/>
    <col min="4129" max="4129" width="14.28515625" style="575" customWidth="1"/>
    <col min="4130" max="4130" width="20.28515625" style="575" customWidth="1"/>
    <col min="4131" max="4131" width="11.5703125" style="575" bestFit="1" customWidth="1"/>
    <col min="4132" max="4132" width="10.42578125" style="575" bestFit="1" customWidth="1"/>
    <col min="4133" max="4133" width="14.85546875" style="575" customWidth="1"/>
    <col min="4134" max="4134" width="10.28515625" style="575" bestFit="1" customWidth="1"/>
    <col min="4135" max="4135" width="9.5703125" style="575"/>
    <col min="4136" max="4136" width="10.28515625" style="575" bestFit="1" customWidth="1"/>
    <col min="4137" max="4137" width="9.5703125" style="575"/>
    <col min="4138" max="4138" width="28.28515625" style="575" customWidth="1"/>
    <col min="4139" max="4139" width="14.5703125" style="575" customWidth="1"/>
    <col min="4140" max="4140" width="63" style="575" customWidth="1"/>
    <col min="4141" max="4141" width="14.140625" style="575" customWidth="1"/>
    <col min="4142" max="4142" width="9.7109375" style="575" bestFit="1" customWidth="1"/>
    <col min="4143" max="4143" width="13.140625" style="575" customWidth="1"/>
    <col min="4144" max="4144" width="12" style="575" customWidth="1"/>
    <col min="4145" max="4348" width="9.5703125" style="575"/>
    <col min="4349" max="4349" width="9.7109375" style="575" bestFit="1" customWidth="1"/>
    <col min="4350" max="4352" width="9.5703125" style="575"/>
    <col min="4353" max="4353" width="10" style="575" customWidth="1"/>
    <col min="4354" max="4354" width="82.28515625" style="575" customWidth="1"/>
    <col min="4355" max="4355" width="20.85546875" style="575" customWidth="1"/>
    <col min="4356" max="4356" width="17.7109375" style="575" customWidth="1"/>
    <col min="4357" max="4357" width="11" style="575" customWidth="1"/>
    <col min="4358" max="4358" width="22.85546875" style="575" customWidth="1"/>
    <col min="4359" max="4359" width="18.28515625" style="575" customWidth="1"/>
    <col min="4360" max="4360" width="55.7109375" style="575" customWidth="1"/>
    <col min="4361" max="4361" width="18.42578125" style="575" customWidth="1"/>
    <col min="4362" max="4362" width="14.7109375" style="575" customWidth="1"/>
    <col min="4363" max="4363" width="16.5703125" style="575" customWidth="1"/>
    <col min="4364" max="4364" width="12.5703125" style="575" customWidth="1"/>
    <col min="4365" max="4365" width="14.42578125" style="575" customWidth="1"/>
    <col min="4366" max="4366" width="11" style="575" bestFit="1" customWidth="1"/>
    <col min="4367" max="4367" width="65.5703125" style="575" customWidth="1"/>
    <col min="4368" max="4368" width="20" style="575" customWidth="1"/>
    <col min="4369" max="4369" width="13.7109375" style="575" customWidth="1"/>
    <col min="4370" max="4370" width="15.140625" style="575" customWidth="1"/>
    <col min="4371" max="4371" width="14" style="575" customWidth="1"/>
    <col min="4372" max="4372" width="11.85546875" style="575" customWidth="1"/>
    <col min="4373" max="4373" width="60" style="575" customWidth="1"/>
    <col min="4374" max="4374" width="16.85546875" style="575" customWidth="1"/>
    <col min="4375" max="4375" width="20.7109375" style="575" customWidth="1"/>
    <col min="4376" max="4377" width="13" style="575" customWidth="1"/>
    <col min="4378" max="4378" width="12.42578125" style="575" customWidth="1"/>
    <col min="4379" max="4379" width="6.140625" style="575" customWidth="1"/>
    <col min="4380" max="4380" width="18.7109375" style="575" customWidth="1"/>
    <col min="4381" max="4381" width="13.28515625" style="575" customWidth="1"/>
    <col min="4382" max="4382" width="35.5703125" style="575" customWidth="1"/>
    <col min="4383" max="4383" width="16" style="575" customWidth="1"/>
    <col min="4384" max="4384" width="15.140625" style="575" customWidth="1"/>
    <col min="4385" max="4385" width="14.28515625" style="575" customWidth="1"/>
    <col min="4386" max="4386" width="20.28515625" style="575" customWidth="1"/>
    <col min="4387" max="4387" width="11.5703125" style="575" bestFit="1" customWidth="1"/>
    <col min="4388" max="4388" width="10.42578125" style="575" bestFit="1" customWidth="1"/>
    <col min="4389" max="4389" width="14.85546875" style="575" customWidth="1"/>
    <col min="4390" max="4390" width="10.28515625" style="575" bestFit="1" customWidth="1"/>
    <col min="4391" max="4391" width="9.5703125" style="575"/>
    <col min="4392" max="4392" width="10.28515625" style="575" bestFit="1" customWidth="1"/>
    <col min="4393" max="4393" width="9.5703125" style="575"/>
    <col min="4394" max="4394" width="28.28515625" style="575" customWidth="1"/>
    <col min="4395" max="4395" width="14.5703125" style="575" customWidth="1"/>
    <col min="4396" max="4396" width="63" style="575" customWidth="1"/>
    <col min="4397" max="4397" width="14.140625" style="575" customWidth="1"/>
    <col min="4398" max="4398" width="9.7109375" style="575" bestFit="1" customWidth="1"/>
    <col min="4399" max="4399" width="13.140625" style="575" customWidth="1"/>
    <col min="4400" max="4400" width="12" style="575" customWidth="1"/>
    <col min="4401" max="4604" width="9.5703125" style="575"/>
    <col min="4605" max="4605" width="9.7109375" style="575" bestFit="1" customWidth="1"/>
    <col min="4606" max="4608" width="9.5703125" style="575"/>
    <col min="4609" max="4609" width="10" style="575" customWidth="1"/>
    <col min="4610" max="4610" width="82.28515625" style="575" customWidth="1"/>
    <col min="4611" max="4611" width="20.85546875" style="575" customWidth="1"/>
    <col min="4612" max="4612" width="17.7109375" style="575" customWidth="1"/>
    <col min="4613" max="4613" width="11" style="575" customWidth="1"/>
    <col min="4614" max="4614" width="22.85546875" style="575" customWidth="1"/>
    <col min="4615" max="4615" width="18.28515625" style="575" customWidth="1"/>
    <col min="4616" max="4616" width="55.7109375" style="575" customWidth="1"/>
    <col min="4617" max="4617" width="18.42578125" style="575" customWidth="1"/>
    <col min="4618" max="4618" width="14.7109375" style="575" customWidth="1"/>
    <col min="4619" max="4619" width="16.5703125" style="575" customWidth="1"/>
    <col min="4620" max="4620" width="12.5703125" style="575" customWidth="1"/>
    <col min="4621" max="4621" width="14.42578125" style="575" customWidth="1"/>
    <col min="4622" max="4622" width="11" style="575" bestFit="1" customWidth="1"/>
    <col min="4623" max="4623" width="65.5703125" style="575" customWidth="1"/>
    <col min="4624" max="4624" width="20" style="575" customWidth="1"/>
    <col min="4625" max="4625" width="13.7109375" style="575" customWidth="1"/>
    <col min="4626" max="4626" width="15.140625" style="575" customWidth="1"/>
    <col min="4627" max="4627" width="14" style="575" customWidth="1"/>
    <col min="4628" max="4628" width="11.85546875" style="575" customWidth="1"/>
    <col min="4629" max="4629" width="60" style="575" customWidth="1"/>
    <col min="4630" max="4630" width="16.85546875" style="575" customWidth="1"/>
    <col min="4631" max="4631" width="20.7109375" style="575" customWidth="1"/>
    <col min="4632" max="4633" width="13" style="575" customWidth="1"/>
    <col min="4634" max="4634" width="12.42578125" style="575" customWidth="1"/>
    <col min="4635" max="4635" width="6.140625" style="575" customWidth="1"/>
    <col min="4636" max="4636" width="18.7109375" style="575" customWidth="1"/>
    <col min="4637" max="4637" width="13.28515625" style="575" customWidth="1"/>
    <col min="4638" max="4638" width="35.5703125" style="575" customWidth="1"/>
    <col min="4639" max="4639" width="16" style="575" customWidth="1"/>
    <col min="4640" max="4640" width="15.140625" style="575" customWidth="1"/>
    <col min="4641" max="4641" width="14.28515625" style="575" customWidth="1"/>
    <col min="4642" max="4642" width="20.28515625" style="575" customWidth="1"/>
    <col min="4643" max="4643" width="11.5703125" style="575" bestFit="1" customWidth="1"/>
    <col min="4644" max="4644" width="10.42578125" style="575" bestFit="1" customWidth="1"/>
    <col min="4645" max="4645" width="14.85546875" style="575" customWidth="1"/>
    <col min="4646" max="4646" width="10.28515625" style="575" bestFit="1" customWidth="1"/>
    <col min="4647" max="4647" width="9.5703125" style="575"/>
    <col min="4648" max="4648" width="10.28515625" style="575" bestFit="1" customWidth="1"/>
    <col min="4649" max="4649" width="9.5703125" style="575"/>
    <col min="4650" max="4650" width="28.28515625" style="575" customWidth="1"/>
    <col min="4651" max="4651" width="14.5703125" style="575" customWidth="1"/>
    <col min="4652" max="4652" width="63" style="575" customWidth="1"/>
    <col min="4653" max="4653" width="14.140625" style="575" customWidth="1"/>
    <col min="4654" max="4654" width="9.7109375" style="575" bestFit="1" customWidth="1"/>
    <col min="4655" max="4655" width="13.140625" style="575" customWidth="1"/>
    <col min="4656" max="4656" width="12" style="575" customWidth="1"/>
    <col min="4657" max="4860" width="9.5703125" style="575"/>
    <col min="4861" max="4861" width="9.7109375" style="575" bestFit="1" customWidth="1"/>
    <col min="4862" max="4864" width="9.5703125" style="575"/>
    <col min="4865" max="4865" width="10" style="575" customWidth="1"/>
    <col min="4866" max="4866" width="82.28515625" style="575" customWidth="1"/>
    <col min="4867" max="4867" width="20.85546875" style="575" customWidth="1"/>
    <col min="4868" max="4868" width="17.7109375" style="575" customWidth="1"/>
    <col min="4869" max="4869" width="11" style="575" customWidth="1"/>
    <col min="4870" max="4870" width="22.85546875" style="575" customWidth="1"/>
    <col min="4871" max="4871" width="18.28515625" style="575" customWidth="1"/>
    <col min="4872" max="4872" width="55.7109375" style="575" customWidth="1"/>
    <col min="4873" max="4873" width="18.42578125" style="575" customWidth="1"/>
    <col min="4874" max="4874" width="14.7109375" style="575" customWidth="1"/>
    <col min="4875" max="4875" width="16.5703125" style="575" customWidth="1"/>
    <col min="4876" max="4876" width="12.5703125" style="575" customWidth="1"/>
    <col min="4877" max="4877" width="14.42578125" style="575" customWidth="1"/>
    <col min="4878" max="4878" width="11" style="575" bestFit="1" customWidth="1"/>
    <col min="4879" max="4879" width="65.5703125" style="575" customWidth="1"/>
    <col min="4880" max="4880" width="20" style="575" customWidth="1"/>
    <col min="4881" max="4881" width="13.7109375" style="575" customWidth="1"/>
    <col min="4882" max="4882" width="15.140625" style="575" customWidth="1"/>
    <col min="4883" max="4883" width="14" style="575" customWidth="1"/>
    <col min="4884" max="4884" width="11.85546875" style="575" customWidth="1"/>
    <col min="4885" max="4885" width="60" style="575" customWidth="1"/>
    <col min="4886" max="4886" width="16.85546875" style="575" customWidth="1"/>
    <col min="4887" max="4887" width="20.7109375" style="575" customWidth="1"/>
    <col min="4888" max="4889" width="13" style="575" customWidth="1"/>
    <col min="4890" max="4890" width="12.42578125" style="575" customWidth="1"/>
    <col min="4891" max="4891" width="6.140625" style="575" customWidth="1"/>
    <col min="4892" max="4892" width="18.7109375" style="575" customWidth="1"/>
    <col min="4893" max="4893" width="13.28515625" style="575" customWidth="1"/>
    <col min="4894" max="4894" width="35.5703125" style="575" customWidth="1"/>
    <col min="4895" max="4895" width="16" style="575" customWidth="1"/>
    <col min="4896" max="4896" width="15.140625" style="575" customWidth="1"/>
    <col min="4897" max="4897" width="14.28515625" style="575" customWidth="1"/>
    <col min="4898" max="4898" width="20.28515625" style="575" customWidth="1"/>
    <col min="4899" max="4899" width="11.5703125" style="575" bestFit="1" customWidth="1"/>
    <col min="4900" max="4900" width="10.42578125" style="575" bestFit="1" customWidth="1"/>
    <col min="4901" max="4901" width="14.85546875" style="575" customWidth="1"/>
    <col min="4902" max="4902" width="10.28515625" style="575" bestFit="1" customWidth="1"/>
    <col min="4903" max="4903" width="9.5703125" style="575"/>
    <col min="4904" max="4904" width="10.28515625" style="575" bestFit="1" customWidth="1"/>
    <col min="4905" max="4905" width="9.5703125" style="575"/>
    <col min="4906" max="4906" width="28.28515625" style="575" customWidth="1"/>
    <col min="4907" max="4907" width="14.5703125" style="575" customWidth="1"/>
    <col min="4908" max="4908" width="63" style="575" customWidth="1"/>
    <col min="4909" max="4909" width="14.140625" style="575" customWidth="1"/>
    <col min="4910" max="4910" width="9.7109375" style="575" bestFit="1" customWidth="1"/>
    <col min="4911" max="4911" width="13.140625" style="575" customWidth="1"/>
    <col min="4912" max="4912" width="12" style="575" customWidth="1"/>
    <col min="4913" max="5116" width="9.5703125" style="575"/>
    <col min="5117" max="5117" width="9.7109375" style="575" bestFit="1" customWidth="1"/>
    <col min="5118" max="5120" width="9.5703125" style="575"/>
    <col min="5121" max="5121" width="10" style="575" customWidth="1"/>
    <col min="5122" max="5122" width="82.28515625" style="575" customWidth="1"/>
    <col min="5123" max="5123" width="20.85546875" style="575" customWidth="1"/>
    <col min="5124" max="5124" width="17.7109375" style="575" customWidth="1"/>
    <col min="5125" max="5125" width="11" style="575" customWidth="1"/>
    <col min="5126" max="5126" width="22.85546875" style="575" customWidth="1"/>
    <col min="5127" max="5127" width="18.28515625" style="575" customWidth="1"/>
    <col min="5128" max="5128" width="55.7109375" style="575" customWidth="1"/>
    <col min="5129" max="5129" width="18.42578125" style="575" customWidth="1"/>
    <col min="5130" max="5130" width="14.7109375" style="575" customWidth="1"/>
    <col min="5131" max="5131" width="16.5703125" style="575" customWidth="1"/>
    <col min="5132" max="5132" width="12.5703125" style="575" customWidth="1"/>
    <col min="5133" max="5133" width="14.42578125" style="575" customWidth="1"/>
    <col min="5134" max="5134" width="11" style="575" bestFit="1" customWidth="1"/>
    <col min="5135" max="5135" width="65.5703125" style="575" customWidth="1"/>
    <col min="5136" max="5136" width="20" style="575" customWidth="1"/>
    <col min="5137" max="5137" width="13.7109375" style="575" customWidth="1"/>
    <col min="5138" max="5138" width="15.140625" style="575" customWidth="1"/>
    <col min="5139" max="5139" width="14" style="575" customWidth="1"/>
    <col min="5140" max="5140" width="11.85546875" style="575" customWidth="1"/>
    <col min="5141" max="5141" width="60" style="575" customWidth="1"/>
    <col min="5142" max="5142" width="16.85546875" style="575" customWidth="1"/>
    <col min="5143" max="5143" width="20.7109375" style="575" customWidth="1"/>
    <col min="5144" max="5145" width="13" style="575" customWidth="1"/>
    <col min="5146" max="5146" width="12.42578125" style="575" customWidth="1"/>
    <col min="5147" max="5147" width="6.140625" style="575" customWidth="1"/>
    <col min="5148" max="5148" width="18.7109375" style="575" customWidth="1"/>
    <col min="5149" max="5149" width="13.28515625" style="575" customWidth="1"/>
    <col min="5150" max="5150" width="35.5703125" style="575" customWidth="1"/>
    <col min="5151" max="5151" width="16" style="575" customWidth="1"/>
    <col min="5152" max="5152" width="15.140625" style="575" customWidth="1"/>
    <col min="5153" max="5153" width="14.28515625" style="575" customWidth="1"/>
    <col min="5154" max="5154" width="20.28515625" style="575" customWidth="1"/>
    <col min="5155" max="5155" width="11.5703125" style="575" bestFit="1" customWidth="1"/>
    <col min="5156" max="5156" width="10.42578125" style="575" bestFit="1" customWidth="1"/>
    <col min="5157" max="5157" width="14.85546875" style="575" customWidth="1"/>
    <col min="5158" max="5158" width="10.28515625" style="575" bestFit="1" customWidth="1"/>
    <col min="5159" max="5159" width="9.5703125" style="575"/>
    <col min="5160" max="5160" width="10.28515625" style="575" bestFit="1" customWidth="1"/>
    <col min="5161" max="5161" width="9.5703125" style="575"/>
    <col min="5162" max="5162" width="28.28515625" style="575" customWidth="1"/>
    <col min="5163" max="5163" width="14.5703125" style="575" customWidth="1"/>
    <col min="5164" max="5164" width="63" style="575" customWidth="1"/>
    <col min="5165" max="5165" width="14.140625" style="575" customWidth="1"/>
    <col min="5166" max="5166" width="9.7109375" style="575" bestFit="1" customWidth="1"/>
    <col min="5167" max="5167" width="13.140625" style="575" customWidth="1"/>
    <col min="5168" max="5168" width="12" style="575" customWidth="1"/>
    <col min="5169" max="5372" width="9.5703125" style="575"/>
    <col min="5373" max="5373" width="9.7109375" style="575" bestFit="1" customWidth="1"/>
    <col min="5374" max="5376" width="9.5703125" style="575"/>
    <col min="5377" max="5377" width="10" style="575" customWidth="1"/>
    <col min="5378" max="5378" width="82.28515625" style="575" customWidth="1"/>
    <col min="5379" max="5379" width="20.85546875" style="575" customWidth="1"/>
    <col min="5380" max="5380" width="17.7109375" style="575" customWidth="1"/>
    <col min="5381" max="5381" width="11" style="575" customWidth="1"/>
    <col min="5382" max="5382" width="22.85546875" style="575" customWidth="1"/>
    <col min="5383" max="5383" width="18.28515625" style="575" customWidth="1"/>
    <col min="5384" max="5384" width="55.7109375" style="575" customWidth="1"/>
    <col min="5385" max="5385" width="18.42578125" style="575" customWidth="1"/>
    <col min="5386" max="5386" width="14.7109375" style="575" customWidth="1"/>
    <col min="5387" max="5387" width="16.5703125" style="575" customWidth="1"/>
    <col min="5388" max="5388" width="12.5703125" style="575" customWidth="1"/>
    <col min="5389" max="5389" width="14.42578125" style="575" customWidth="1"/>
    <col min="5390" max="5390" width="11" style="575" bestFit="1" customWidth="1"/>
    <col min="5391" max="5391" width="65.5703125" style="575" customWidth="1"/>
    <col min="5392" max="5392" width="20" style="575" customWidth="1"/>
    <col min="5393" max="5393" width="13.7109375" style="575" customWidth="1"/>
    <col min="5394" max="5394" width="15.140625" style="575" customWidth="1"/>
    <col min="5395" max="5395" width="14" style="575" customWidth="1"/>
    <col min="5396" max="5396" width="11.85546875" style="575" customWidth="1"/>
    <col min="5397" max="5397" width="60" style="575" customWidth="1"/>
    <col min="5398" max="5398" width="16.85546875" style="575" customWidth="1"/>
    <col min="5399" max="5399" width="20.7109375" style="575" customWidth="1"/>
    <col min="5400" max="5401" width="13" style="575" customWidth="1"/>
    <col min="5402" max="5402" width="12.42578125" style="575" customWidth="1"/>
    <col min="5403" max="5403" width="6.140625" style="575" customWidth="1"/>
    <col min="5404" max="5404" width="18.7109375" style="575" customWidth="1"/>
    <col min="5405" max="5405" width="13.28515625" style="575" customWidth="1"/>
    <col min="5406" max="5406" width="35.5703125" style="575" customWidth="1"/>
    <col min="5407" max="5407" width="16" style="575" customWidth="1"/>
    <col min="5408" max="5408" width="15.140625" style="575" customWidth="1"/>
    <col min="5409" max="5409" width="14.28515625" style="575" customWidth="1"/>
    <col min="5410" max="5410" width="20.28515625" style="575" customWidth="1"/>
    <col min="5411" max="5411" width="11.5703125" style="575" bestFit="1" customWidth="1"/>
    <col min="5412" max="5412" width="10.42578125" style="575" bestFit="1" customWidth="1"/>
    <col min="5413" max="5413" width="14.85546875" style="575" customWidth="1"/>
    <col min="5414" max="5414" width="10.28515625" style="575" bestFit="1" customWidth="1"/>
    <col min="5415" max="5415" width="9.5703125" style="575"/>
    <col min="5416" max="5416" width="10.28515625" style="575" bestFit="1" customWidth="1"/>
    <col min="5417" max="5417" width="9.5703125" style="575"/>
    <col min="5418" max="5418" width="28.28515625" style="575" customWidth="1"/>
    <col min="5419" max="5419" width="14.5703125" style="575" customWidth="1"/>
    <col min="5420" max="5420" width="63" style="575" customWidth="1"/>
    <col min="5421" max="5421" width="14.140625" style="575" customWidth="1"/>
    <col min="5422" max="5422" width="9.7109375" style="575" bestFit="1" customWidth="1"/>
    <col min="5423" max="5423" width="13.140625" style="575" customWidth="1"/>
    <col min="5424" max="5424" width="12" style="575" customWidth="1"/>
    <col min="5425" max="5628" width="9.5703125" style="575"/>
    <col min="5629" max="5629" width="9.7109375" style="575" bestFit="1" customWidth="1"/>
    <col min="5630" max="5632" width="9.5703125" style="575"/>
    <col min="5633" max="5633" width="10" style="575" customWidth="1"/>
    <col min="5634" max="5634" width="82.28515625" style="575" customWidth="1"/>
    <col min="5635" max="5635" width="20.85546875" style="575" customWidth="1"/>
    <col min="5636" max="5636" width="17.7109375" style="575" customWidth="1"/>
    <col min="5637" max="5637" width="11" style="575" customWidth="1"/>
    <col min="5638" max="5638" width="22.85546875" style="575" customWidth="1"/>
    <col min="5639" max="5639" width="18.28515625" style="575" customWidth="1"/>
    <col min="5640" max="5640" width="55.7109375" style="575" customWidth="1"/>
    <col min="5641" max="5641" width="18.42578125" style="575" customWidth="1"/>
    <col min="5642" max="5642" width="14.7109375" style="575" customWidth="1"/>
    <col min="5643" max="5643" width="16.5703125" style="575" customWidth="1"/>
    <col min="5644" max="5644" width="12.5703125" style="575" customWidth="1"/>
    <col min="5645" max="5645" width="14.42578125" style="575" customWidth="1"/>
    <col min="5646" max="5646" width="11" style="575" bestFit="1" customWidth="1"/>
    <col min="5647" max="5647" width="65.5703125" style="575" customWidth="1"/>
    <col min="5648" max="5648" width="20" style="575" customWidth="1"/>
    <col min="5649" max="5649" width="13.7109375" style="575" customWidth="1"/>
    <col min="5650" max="5650" width="15.140625" style="575" customWidth="1"/>
    <col min="5651" max="5651" width="14" style="575" customWidth="1"/>
    <col min="5652" max="5652" width="11.85546875" style="575" customWidth="1"/>
    <col min="5653" max="5653" width="60" style="575" customWidth="1"/>
    <col min="5654" max="5654" width="16.85546875" style="575" customWidth="1"/>
    <col min="5655" max="5655" width="20.7109375" style="575" customWidth="1"/>
    <col min="5656" max="5657" width="13" style="575" customWidth="1"/>
    <col min="5658" max="5658" width="12.42578125" style="575" customWidth="1"/>
    <col min="5659" max="5659" width="6.140625" style="575" customWidth="1"/>
    <col min="5660" max="5660" width="18.7109375" style="575" customWidth="1"/>
    <col min="5661" max="5661" width="13.28515625" style="575" customWidth="1"/>
    <col min="5662" max="5662" width="35.5703125" style="575" customWidth="1"/>
    <col min="5663" max="5663" width="16" style="575" customWidth="1"/>
    <col min="5664" max="5664" width="15.140625" style="575" customWidth="1"/>
    <col min="5665" max="5665" width="14.28515625" style="575" customWidth="1"/>
    <col min="5666" max="5666" width="20.28515625" style="575" customWidth="1"/>
    <col min="5667" max="5667" width="11.5703125" style="575" bestFit="1" customWidth="1"/>
    <col min="5668" max="5668" width="10.42578125" style="575" bestFit="1" customWidth="1"/>
    <col min="5669" max="5669" width="14.85546875" style="575" customWidth="1"/>
    <col min="5670" max="5670" width="10.28515625" style="575" bestFit="1" customWidth="1"/>
    <col min="5671" max="5671" width="9.5703125" style="575"/>
    <col min="5672" max="5672" width="10.28515625" style="575" bestFit="1" customWidth="1"/>
    <col min="5673" max="5673" width="9.5703125" style="575"/>
    <col min="5674" max="5674" width="28.28515625" style="575" customWidth="1"/>
    <col min="5675" max="5675" width="14.5703125" style="575" customWidth="1"/>
    <col min="5676" max="5676" width="63" style="575" customWidth="1"/>
    <col min="5677" max="5677" width="14.140625" style="575" customWidth="1"/>
    <col min="5678" max="5678" width="9.7109375" style="575" bestFit="1" customWidth="1"/>
    <col min="5679" max="5679" width="13.140625" style="575" customWidth="1"/>
    <col min="5680" max="5680" width="12" style="575" customWidth="1"/>
    <col min="5681" max="5884" width="9.5703125" style="575"/>
    <col min="5885" max="5885" width="9.7109375" style="575" bestFit="1" customWidth="1"/>
    <col min="5886" max="5888" width="9.5703125" style="575"/>
    <col min="5889" max="5889" width="10" style="575" customWidth="1"/>
    <col min="5890" max="5890" width="82.28515625" style="575" customWidth="1"/>
    <col min="5891" max="5891" width="20.85546875" style="575" customWidth="1"/>
    <col min="5892" max="5892" width="17.7109375" style="575" customWidth="1"/>
    <col min="5893" max="5893" width="11" style="575" customWidth="1"/>
    <col min="5894" max="5894" width="22.85546875" style="575" customWidth="1"/>
    <col min="5895" max="5895" width="18.28515625" style="575" customWidth="1"/>
    <col min="5896" max="5896" width="55.7109375" style="575" customWidth="1"/>
    <col min="5897" max="5897" width="18.42578125" style="575" customWidth="1"/>
    <col min="5898" max="5898" width="14.7109375" style="575" customWidth="1"/>
    <col min="5899" max="5899" width="16.5703125" style="575" customWidth="1"/>
    <col min="5900" max="5900" width="12.5703125" style="575" customWidth="1"/>
    <col min="5901" max="5901" width="14.42578125" style="575" customWidth="1"/>
    <col min="5902" max="5902" width="11" style="575" bestFit="1" customWidth="1"/>
    <col min="5903" max="5903" width="65.5703125" style="575" customWidth="1"/>
    <col min="5904" max="5904" width="20" style="575" customWidth="1"/>
    <col min="5905" max="5905" width="13.7109375" style="575" customWidth="1"/>
    <col min="5906" max="5906" width="15.140625" style="575" customWidth="1"/>
    <col min="5907" max="5907" width="14" style="575" customWidth="1"/>
    <col min="5908" max="5908" width="11.85546875" style="575" customWidth="1"/>
    <col min="5909" max="5909" width="60" style="575" customWidth="1"/>
    <col min="5910" max="5910" width="16.85546875" style="575" customWidth="1"/>
    <col min="5911" max="5911" width="20.7109375" style="575" customWidth="1"/>
    <col min="5912" max="5913" width="13" style="575" customWidth="1"/>
    <col min="5914" max="5914" width="12.42578125" style="575" customWidth="1"/>
    <col min="5915" max="5915" width="6.140625" style="575" customWidth="1"/>
    <col min="5916" max="5916" width="18.7109375" style="575" customWidth="1"/>
    <col min="5917" max="5917" width="13.28515625" style="575" customWidth="1"/>
    <col min="5918" max="5918" width="35.5703125" style="575" customWidth="1"/>
    <col min="5919" max="5919" width="16" style="575" customWidth="1"/>
    <col min="5920" max="5920" width="15.140625" style="575" customWidth="1"/>
    <col min="5921" max="5921" width="14.28515625" style="575" customWidth="1"/>
    <col min="5922" max="5922" width="20.28515625" style="575" customWidth="1"/>
    <col min="5923" max="5923" width="11.5703125" style="575" bestFit="1" customWidth="1"/>
    <col min="5924" max="5924" width="10.42578125" style="575" bestFit="1" customWidth="1"/>
    <col min="5925" max="5925" width="14.85546875" style="575" customWidth="1"/>
    <col min="5926" max="5926" width="10.28515625" style="575" bestFit="1" customWidth="1"/>
    <col min="5927" max="5927" width="9.5703125" style="575"/>
    <col min="5928" max="5928" width="10.28515625" style="575" bestFit="1" customWidth="1"/>
    <col min="5929" max="5929" width="9.5703125" style="575"/>
    <col min="5930" max="5930" width="28.28515625" style="575" customWidth="1"/>
    <col min="5931" max="5931" width="14.5703125" style="575" customWidth="1"/>
    <col min="5932" max="5932" width="63" style="575" customWidth="1"/>
    <col min="5933" max="5933" width="14.140625" style="575" customWidth="1"/>
    <col min="5934" max="5934" width="9.7109375" style="575" bestFit="1" customWidth="1"/>
    <col min="5935" max="5935" width="13.140625" style="575" customWidth="1"/>
    <col min="5936" max="5936" width="12" style="575" customWidth="1"/>
    <col min="5937" max="6140" width="9.5703125" style="575"/>
    <col min="6141" max="6141" width="9.7109375" style="575" bestFit="1" customWidth="1"/>
    <col min="6142" max="6144" width="9.5703125" style="575"/>
    <col min="6145" max="6145" width="10" style="575" customWidth="1"/>
    <col min="6146" max="6146" width="82.28515625" style="575" customWidth="1"/>
    <col min="6147" max="6147" width="20.85546875" style="575" customWidth="1"/>
    <col min="6148" max="6148" width="17.7109375" style="575" customWidth="1"/>
    <col min="6149" max="6149" width="11" style="575" customWidth="1"/>
    <col min="6150" max="6150" width="22.85546875" style="575" customWidth="1"/>
    <col min="6151" max="6151" width="18.28515625" style="575" customWidth="1"/>
    <col min="6152" max="6152" width="55.7109375" style="575" customWidth="1"/>
    <col min="6153" max="6153" width="18.42578125" style="575" customWidth="1"/>
    <col min="6154" max="6154" width="14.7109375" style="575" customWidth="1"/>
    <col min="6155" max="6155" width="16.5703125" style="575" customWidth="1"/>
    <col min="6156" max="6156" width="12.5703125" style="575" customWidth="1"/>
    <col min="6157" max="6157" width="14.42578125" style="575" customWidth="1"/>
    <col min="6158" max="6158" width="11" style="575" bestFit="1" customWidth="1"/>
    <col min="6159" max="6159" width="65.5703125" style="575" customWidth="1"/>
    <col min="6160" max="6160" width="20" style="575" customWidth="1"/>
    <col min="6161" max="6161" width="13.7109375" style="575" customWidth="1"/>
    <col min="6162" max="6162" width="15.140625" style="575" customWidth="1"/>
    <col min="6163" max="6163" width="14" style="575" customWidth="1"/>
    <col min="6164" max="6164" width="11.85546875" style="575" customWidth="1"/>
    <col min="6165" max="6165" width="60" style="575" customWidth="1"/>
    <col min="6166" max="6166" width="16.85546875" style="575" customWidth="1"/>
    <col min="6167" max="6167" width="20.7109375" style="575" customWidth="1"/>
    <col min="6168" max="6169" width="13" style="575" customWidth="1"/>
    <col min="6170" max="6170" width="12.42578125" style="575" customWidth="1"/>
    <col min="6171" max="6171" width="6.140625" style="575" customWidth="1"/>
    <col min="6172" max="6172" width="18.7109375" style="575" customWidth="1"/>
    <col min="6173" max="6173" width="13.28515625" style="575" customWidth="1"/>
    <col min="6174" max="6174" width="35.5703125" style="575" customWidth="1"/>
    <col min="6175" max="6175" width="16" style="575" customWidth="1"/>
    <col min="6176" max="6176" width="15.140625" style="575" customWidth="1"/>
    <col min="6177" max="6177" width="14.28515625" style="575" customWidth="1"/>
    <col min="6178" max="6178" width="20.28515625" style="575" customWidth="1"/>
    <col min="6179" max="6179" width="11.5703125" style="575" bestFit="1" customWidth="1"/>
    <col min="6180" max="6180" width="10.42578125" style="575" bestFit="1" customWidth="1"/>
    <col min="6181" max="6181" width="14.85546875" style="575" customWidth="1"/>
    <col min="6182" max="6182" width="10.28515625" style="575" bestFit="1" customWidth="1"/>
    <col min="6183" max="6183" width="9.5703125" style="575"/>
    <col min="6184" max="6184" width="10.28515625" style="575" bestFit="1" customWidth="1"/>
    <col min="6185" max="6185" width="9.5703125" style="575"/>
    <col min="6186" max="6186" width="28.28515625" style="575" customWidth="1"/>
    <col min="6187" max="6187" width="14.5703125" style="575" customWidth="1"/>
    <col min="6188" max="6188" width="63" style="575" customWidth="1"/>
    <col min="6189" max="6189" width="14.140625" style="575" customWidth="1"/>
    <col min="6190" max="6190" width="9.7109375" style="575" bestFit="1" customWidth="1"/>
    <col min="6191" max="6191" width="13.140625" style="575" customWidth="1"/>
    <col min="6192" max="6192" width="12" style="575" customWidth="1"/>
    <col min="6193" max="6396" width="9.5703125" style="575"/>
    <col min="6397" max="6397" width="9.7109375" style="575" bestFit="1" customWidth="1"/>
    <col min="6398" max="6400" width="9.5703125" style="575"/>
    <col min="6401" max="6401" width="10" style="575" customWidth="1"/>
    <col min="6402" max="6402" width="82.28515625" style="575" customWidth="1"/>
    <col min="6403" max="6403" width="20.85546875" style="575" customWidth="1"/>
    <col min="6404" max="6404" width="17.7109375" style="575" customWidth="1"/>
    <col min="6405" max="6405" width="11" style="575" customWidth="1"/>
    <col min="6406" max="6406" width="22.85546875" style="575" customWidth="1"/>
    <col min="6407" max="6407" width="18.28515625" style="575" customWidth="1"/>
    <col min="6408" max="6408" width="55.7109375" style="575" customWidth="1"/>
    <col min="6409" max="6409" width="18.42578125" style="575" customWidth="1"/>
    <col min="6410" max="6410" width="14.7109375" style="575" customWidth="1"/>
    <col min="6411" max="6411" width="16.5703125" style="575" customWidth="1"/>
    <col min="6412" max="6412" width="12.5703125" style="575" customWidth="1"/>
    <col min="6413" max="6413" width="14.42578125" style="575" customWidth="1"/>
    <col min="6414" max="6414" width="11" style="575" bestFit="1" customWidth="1"/>
    <col min="6415" max="6415" width="65.5703125" style="575" customWidth="1"/>
    <col min="6416" max="6416" width="20" style="575" customWidth="1"/>
    <col min="6417" max="6417" width="13.7109375" style="575" customWidth="1"/>
    <col min="6418" max="6418" width="15.140625" style="575" customWidth="1"/>
    <col min="6419" max="6419" width="14" style="575" customWidth="1"/>
    <col min="6420" max="6420" width="11.85546875" style="575" customWidth="1"/>
    <col min="6421" max="6421" width="60" style="575" customWidth="1"/>
    <col min="6422" max="6422" width="16.85546875" style="575" customWidth="1"/>
    <col min="6423" max="6423" width="20.7109375" style="575" customWidth="1"/>
    <col min="6424" max="6425" width="13" style="575" customWidth="1"/>
    <col min="6426" max="6426" width="12.42578125" style="575" customWidth="1"/>
    <col min="6427" max="6427" width="6.140625" style="575" customWidth="1"/>
    <col min="6428" max="6428" width="18.7109375" style="575" customWidth="1"/>
    <col min="6429" max="6429" width="13.28515625" style="575" customWidth="1"/>
    <col min="6430" max="6430" width="35.5703125" style="575" customWidth="1"/>
    <col min="6431" max="6431" width="16" style="575" customWidth="1"/>
    <col min="6432" max="6432" width="15.140625" style="575" customWidth="1"/>
    <col min="6433" max="6433" width="14.28515625" style="575" customWidth="1"/>
    <col min="6434" max="6434" width="20.28515625" style="575" customWidth="1"/>
    <col min="6435" max="6435" width="11.5703125" style="575" bestFit="1" customWidth="1"/>
    <col min="6436" max="6436" width="10.42578125" style="575" bestFit="1" customWidth="1"/>
    <col min="6437" max="6437" width="14.85546875" style="575" customWidth="1"/>
    <col min="6438" max="6438" width="10.28515625" style="575" bestFit="1" customWidth="1"/>
    <col min="6439" max="6439" width="9.5703125" style="575"/>
    <col min="6440" max="6440" width="10.28515625" style="575" bestFit="1" customWidth="1"/>
    <col min="6441" max="6441" width="9.5703125" style="575"/>
    <col min="6442" max="6442" width="28.28515625" style="575" customWidth="1"/>
    <col min="6443" max="6443" width="14.5703125" style="575" customWidth="1"/>
    <col min="6444" max="6444" width="63" style="575" customWidth="1"/>
    <col min="6445" max="6445" width="14.140625" style="575" customWidth="1"/>
    <col min="6446" max="6446" width="9.7109375" style="575" bestFit="1" customWidth="1"/>
    <col min="6447" max="6447" width="13.140625" style="575" customWidth="1"/>
    <col min="6448" max="6448" width="12" style="575" customWidth="1"/>
    <col min="6449" max="6652" width="9.5703125" style="575"/>
    <col min="6653" max="6653" width="9.7109375" style="575" bestFit="1" customWidth="1"/>
    <col min="6654" max="6656" width="9.5703125" style="575"/>
    <col min="6657" max="6657" width="10" style="575" customWidth="1"/>
    <col min="6658" max="6658" width="82.28515625" style="575" customWidth="1"/>
    <col min="6659" max="6659" width="20.85546875" style="575" customWidth="1"/>
    <col min="6660" max="6660" width="17.7109375" style="575" customWidth="1"/>
    <col min="6661" max="6661" width="11" style="575" customWidth="1"/>
    <col min="6662" max="6662" width="22.85546875" style="575" customWidth="1"/>
    <col min="6663" max="6663" width="18.28515625" style="575" customWidth="1"/>
    <col min="6664" max="6664" width="55.7109375" style="575" customWidth="1"/>
    <col min="6665" max="6665" width="18.42578125" style="575" customWidth="1"/>
    <col min="6666" max="6666" width="14.7109375" style="575" customWidth="1"/>
    <col min="6667" max="6667" width="16.5703125" style="575" customWidth="1"/>
    <col min="6668" max="6668" width="12.5703125" style="575" customWidth="1"/>
    <col min="6669" max="6669" width="14.42578125" style="575" customWidth="1"/>
    <col min="6670" max="6670" width="11" style="575" bestFit="1" customWidth="1"/>
    <col min="6671" max="6671" width="65.5703125" style="575" customWidth="1"/>
    <col min="6672" max="6672" width="20" style="575" customWidth="1"/>
    <col min="6673" max="6673" width="13.7109375" style="575" customWidth="1"/>
    <col min="6674" max="6674" width="15.140625" style="575" customWidth="1"/>
    <col min="6675" max="6675" width="14" style="575" customWidth="1"/>
    <col min="6676" max="6676" width="11.85546875" style="575" customWidth="1"/>
    <col min="6677" max="6677" width="60" style="575" customWidth="1"/>
    <col min="6678" max="6678" width="16.85546875" style="575" customWidth="1"/>
    <col min="6679" max="6679" width="20.7109375" style="575" customWidth="1"/>
    <col min="6680" max="6681" width="13" style="575" customWidth="1"/>
    <col min="6682" max="6682" width="12.42578125" style="575" customWidth="1"/>
    <col min="6683" max="6683" width="6.140625" style="575" customWidth="1"/>
    <col min="6684" max="6684" width="18.7109375" style="575" customWidth="1"/>
    <col min="6685" max="6685" width="13.28515625" style="575" customWidth="1"/>
    <col min="6686" max="6686" width="35.5703125" style="575" customWidth="1"/>
    <col min="6687" max="6687" width="16" style="575" customWidth="1"/>
    <col min="6688" max="6688" width="15.140625" style="575" customWidth="1"/>
    <col min="6689" max="6689" width="14.28515625" style="575" customWidth="1"/>
    <col min="6690" max="6690" width="20.28515625" style="575" customWidth="1"/>
    <col min="6691" max="6691" width="11.5703125" style="575" bestFit="1" customWidth="1"/>
    <col min="6692" max="6692" width="10.42578125" style="575" bestFit="1" customWidth="1"/>
    <col min="6693" max="6693" width="14.85546875" style="575" customWidth="1"/>
    <col min="6694" max="6694" width="10.28515625" style="575" bestFit="1" customWidth="1"/>
    <col min="6695" max="6695" width="9.5703125" style="575"/>
    <col min="6696" max="6696" width="10.28515625" style="575" bestFit="1" customWidth="1"/>
    <col min="6697" max="6697" width="9.5703125" style="575"/>
    <col min="6698" max="6698" width="28.28515625" style="575" customWidth="1"/>
    <col min="6699" max="6699" width="14.5703125" style="575" customWidth="1"/>
    <col min="6700" max="6700" width="63" style="575" customWidth="1"/>
    <col min="6701" max="6701" width="14.140625" style="575" customWidth="1"/>
    <col min="6702" max="6702" width="9.7109375" style="575" bestFit="1" customWidth="1"/>
    <col min="6703" max="6703" width="13.140625" style="575" customWidth="1"/>
    <col min="6704" max="6704" width="12" style="575" customWidth="1"/>
    <col min="6705" max="6908" width="9.5703125" style="575"/>
    <col min="6909" max="6909" width="9.7109375" style="575" bestFit="1" customWidth="1"/>
    <col min="6910" max="6912" width="9.5703125" style="575"/>
    <col min="6913" max="6913" width="10" style="575" customWidth="1"/>
    <col min="6914" max="6914" width="82.28515625" style="575" customWidth="1"/>
    <col min="6915" max="6915" width="20.85546875" style="575" customWidth="1"/>
    <col min="6916" max="6916" width="17.7109375" style="575" customWidth="1"/>
    <col min="6917" max="6917" width="11" style="575" customWidth="1"/>
    <col min="6918" max="6918" width="22.85546875" style="575" customWidth="1"/>
    <col min="6919" max="6919" width="18.28515625" style="575" customWidth="1"/>
    <col min="6920" max="6920" width="55.7109375" style="575" customWidth="1"/>
    <col min="6921" max="6921" width="18.42578125" style="575" customWidth="1"/>
    <col min="6922" max="6922" width="14.7109375" style="575" customWidth="1"/>
    <col min="6923" max="6923" width="16.5703125" style="575" customWidth="1"/>
    <col min="6924" max="6924" width="12.5703125" style="575" customWidth="1"/>
    <col min="6925" max="6925" width="14.42578125" style="575" customWidth="1"/>
    <col min="6926" max="6926" width="11" style="575" bestFit="1" customWidth="1"/>
    <col min="6927" max="6927" width="65.5703125" style="575" customWidth="1"/>
    <col min="6928" max="6928" width="20" style="575" customWidth="1"/>
    <col min="6929" max="6929" width="13.7109375" style="575" customWidth="1"/>
    <col min="6930" max="6930" width="15.140625" style="575" customWidth="1"/>
    <col min="6931" max="6931" width="14" style="575" customWidth="1"/>
    <col min="6932" max="6932" width="11.85546875" style="575" customWidth="1"/>
    <col min="6933" max="6933" width="60" style="575" customWidth="1"/>
    <col min="6934" max="6934" width="16.85546875" style="575" customWidth="1"/>
    <col min="6935" max="6935" width="20.7109375" style="575" customWidth="1"/>
    <col min="6936" max="6937" width="13" style="575" customWidth="1"/>
    <col min="6938" max="6938" width="12.42578125" style="575" customWidth="1"/>
    <col min="6939" max="6939" width="6.140625" style="575" customWidth="1"/>
    <col min="6940" max="6940" width="18.7109375" style="575" customWidth="1"/>
    <col min="6941" max="6941" width="13.28515625" style="575" customWidth="1"/>
    <col min="6942" max="6942" width="35.5703125" style="575" customWidth="1"/>
    <col min="6943" max="6943" width="16" style="575" customWidth="1"/>
    <col min="6944" max="6944" width="15.140625" style="575" customWidth="1"/>
    <col min="6945" max="6945" width="14.28515625" style="575" customWidth="1"/>
    <col min="6946" max="6946" width="20.28515625" style="575" customWidth="1"/>
    <col min="6947" max="6947" width="11.5703125" style="575" bestFit="1" customWidth="1"/>
    <col min="6948" max="6948" width="10.42578125" style="575" bestFit="1" customWidth="1"/>
    <col min="6949" max="6949" width="14.85546875" style="575" customWidth="1"/>
    <col min="6950" max="6950" width="10.28515625" style="575" bestFit="1" customWidth="1"/>
    <col min="6951" max="6951" width="9.5703125" style="575"/>
    <col min="6952" max="6952" width="10.28515625" style="575" bestFit="1" customWidth="1"/>
    <col min="6953" max="6953" width="9.5703125" style="575"/>
    <col min="6954" max="6954" width="28.28515625" style="575" customWidth="1"/>
    <col min="6955" max="6955" width="14.5703125" style="575" customWidth="1"/>
    <col min="6956" max="6956" width="63" style="575" customWidth="1"/>
    <col min="6957" max="6957" width="14.140625" style="575" customWidth="1"/>
    <col min="6958" max="6958" width="9.7109375" style="575" bestFit="1" customWidth="1"/>
    <col min="6959" max="6959" width="13.140625" style="575" customWidth="1"/>
    <col min="6960" max="6960" width="12" style="575" customWidth="1"/>
    <col min="6961" max="7164" width="9.5703125" style="575"/>
    <col min="7165" max="7165" width="9.7109375" style="575" bestFit="1" customWidth="1"/>
    <col min="7166" max="7168" width="9.5703125" style="575"/>
    <col min="7169" max="7169" width="10" style="575" customWidth="1"/>
    <col min="7170" max="7170" width="82.28515625" style="575" customWidth="1"/>
    <col min="7171" max="7171" width="20.85546875" style="575" customWidth="1"/>
    <col min="7172" max="7172" width="17.7109375" style="575" customWidth="1"/>
    <col min="7173" max="7173" width="11" style="575" customWidth="1"/>
    <col min="7174" max="7174" width="22.85546875" style="575" customWidth="1"/>
    <col min="7175" max="7175" width="18.28515625" style="575" customWidth="1"/>
    <col min="7176" max="7176" width="55.7109375" style="575" customWidth="1"/>
    <col min="7177" max="7177" width="18.42578125" style="575" customWidth="1"/>
    <col min="7178" max="7178" width="14.7109375" style="575" customWidth="1"/>
    <col min="7179" max="7179" width="16.5703125" style="575" customWidth="1"/>
    <col min="7180" max="7180" width="12.5703125" style="575" customWidth="1"/>
    <col min="7181" max="7181" width="14.42578125" style="575" customWidth="1"/>
    <col min="7182" max="7182" width="11" style="575" bestFit="1" customWidth="1"/>
    <col min="7183" max="7183" width="65.5703125" style="575" customWidth="1"/>
    <col min="7184" max="7184" width="20" style="575" customWidth="1"/>
    <col min="7185" max="7185" width="13.7109375" style="575" customWidth="1"/>
    <col min="7186" max="7186" width="15.140625" style="575" customWidth="1"/>
    <col min="7187" max="7187" width="14" style="575" customWidth="1"/>
    <col min="7188" max="7188" width="11.85546875" style="575" customWidth="1"/>
    <col min="7189" max="7189" width="60" style="575" customWidth="1"/>
    <col min="7190" max="7190" width="16.85546875" style="575" customWidth="1"/>
    <col min="7191" max="7191" width="20.7109375" style="575" customWidth="1"/>
    <col min="7192" max="7193" width="13" style="575" customWidth="1"/>
    <col min="7194" max="7194" width="12.42578125" style="575" customWidth="1"/>
    <col min="7195" max="7195" width="6.140625" style="575" customWidth="1"/>
    <col min="7196" max="7196" width="18.7109375" style="575" customWidth="1"/>
    <col min="7197" max="7197" width="13.28515625" style="575" customWidth="1"/>
    <col min="7198" max="7198" width="35.5703125" style="575" customWidth="1"/>
    <col min="7199" max="7199" width="16" style="575" customWidth="1"/>
    <col min="7200" max="7200" width="15.140625" style="575" customWidth="1"/>
    <col min="7201" max="7201" width="14.28515625" style="575" customWidth="1"/>
    <col min="7202" max="7202" width="20.28515625" style="575" customWidth="1"/>
    <col min="7203" max="7203" width="11.5703125" style="575" bestFit="1" customWidth="1"/>
    <col min="7204" max="7204" width="10.42578125" style="575" bestFit="1" customWidth="1"/>
    <col min="7205" max="7205" width="14.85546875" style="575" customWidth="1"/>
    <col min="7206" max="7206" width="10.28515625" style="575" bestFit="1" customWidth="1"/>
    <col min="7207" max="7207" width="9.5703125" style="575"/>
    <col min="7208" max="7208" width="10.28515625" style="575" bestFit="1" customWidth="1"/>
    <col min="7209" max="7209" width="9.5703125" style="575"/>
    <col min="7210" max="7210" width="28.28515625" style="575" customWidth="1"/>
    <col min="7211" max="7211" width="14.5703125" style="575" customWidth="1"/>
    <col min="7212" max="7212" width="63" style="575" customWidth="1"/>
    <col min="7213" max="7213" width="14.140625" style="575" customWidth="1"/>
    <col min="7214" max="7214" width="9.7109375" style="575" bestFit="1" customWidth="1"/>
    <col min="7215" max="7215" width="13.140625" style="575" customWidth="1"/>
    <col min="7216" max="7216" width="12" style="575" customWidth="1"/>
    <col min="7217" max="7420" width="9.5703125" style="575"/>
    <col min="7421" max="7421" width="9.7109375" style="575" bestFit="1" customWidth="1"/>
    <col min="7422" max="7424" width="9.5703125" style="575"/>
    <col min="7425" max="7425" width="10" style="575" customWidth="1"/>
    <col min="7426" max="7426" width="82.28515625" style="575" customWidth="1"/>
    <col min="7427" max="7427" width="20.85546875" style="575" customWidth="1"/>
    <col min="7428" max="7428" width="17.7109375" style="575" customWidth="1"/>
    <col min="7429" max="7429" width="11" style="575" customWidth="1"/>
    <col min="7430" max="7430" width="22.85546875" style="575" customWidth="1"/>
    <col min="7431" max="7431" width="18.28515625" style="575" customWidth="1"/>
    <col min="7432" max="7432" width="55.7109375" style="575" customWidth="1"/>
    <col min="7433" max="7433" width="18.42578125" style="575" customWidth="1"/>
    <col min="7434" max="7434" width="14.7109375" style="575" customWidth="1"/>
    <col min="7435" max="7435" width="16.5703125" style="575" customWidth="1"/>
    <col min="7436" max="7436" width="12.5703125" style="575" customWidth="1"/>
    <col min="7437" max="7437" width="14.42578125" style="575" customWidth="1"/>
    <col min="7438" max="7438" width="11" style="575" bestFit="1" customWidth="1"/>
    <col min="7439" max="7439" width="65.5703125" style="575" customWidth="1"/>
    <col min="7440" max="7440" width="20" style="575" customWidth="1"/>
    <col min="7441" max="7441" width="13.7109375" style="575" customWidth="1"/>
    <col min="7442" max="7442" width="15.140625" style="575" customWidth="1"/>
    <col min="7443" max="7443" width="14" style="575" customWidth="1"/>
    <col min="7444" max="7444" width="11.85546875" style="575" customWidth="1"/>
    <col min="7445" max="7445" width="60" style="575" customWidth="1"/>
    <col min="7446" max="7446" width="16.85546875" style="575" customWidth="1"/>
    <col min="7447" max="7447" width="20.7109375" style="575" customWidth="1"/>
    <col min="7448" max="7449" width="13" style="575" customWidth="1"/>
    <col min="7450" max="7450" width="12.42578125" style="575" customWidth="1"/>
    <col min="7451" max="7451" width="6.140625" style="575" customWidth="1"/>
    <col min="7452" max="7452" width="18.7109375" style="575" customWidth="1"/>
    <col min="7453" max="7453" width="13.28515625" style="575" customWidth="1"/>
    <col min="7454" max="7454" width="35.5703125" style="575" customWidth="1"/>
    <col min="7455" max="7455" width="16" style="575" customWidth="1"/>
    <col min="7456" max="7456" width="15.140625" style="575" customWidth="1"/>
    <col min="7457" max="7457" width="14.28515625" style="575" customWidth="1"/>
    <col min="7458" max="7458" width="20.28515625" style="575" customWidth="1"/>
    <col min="7459" max="7459" width="11.5703125" style="575" bestFit="1" customWidth="1"/>
    <col min="7460" max="7460" width="10.42578125" style="575" bestFit="1" customWidth="1"/>
    <col min="7461" max="7461" width="14.85546875" style="575" customWidth="1"/>
    <col min="7462" max="7462" width="10.28515625" style="575" bestFit="1" customWidth="1"/>
    <col min="7463" max="7463" width="9.5703125" style="575"/>
    <col min="7464" max="7464" width="10.28515625" style="575" bestFit="1" customWidth="1"/>
    <col min="7465" max="7465" width="9.5703125" style="575"/>
    <col min="7466" max="7466" width="28.28515625" style="575" customWidth="1"/>
    <col min="7467" max="7467" width="14.5703125" style="575" customWidth="1"/>
    <col min="7468" max="7468" width="63" style="575" customWidth="1"/>
    <col min="7469" max="7469" width="14.140625" style="575" customWidth="1"/>
    <col min="7470" max="7470" width="9.7109375" style="575" bestFit="1" customWidth="1"/>
    <col min="7471" max="7471" width="13.140625" style="575" customWidth="1"/>
    <col min="7472" max="7472" width="12" style="575" customWidth="1"/>
    <col min="7473" max="7676" width="9.5703125" style="575"/>
    <col min="7677" max="7677" width="9.7109375" style="575" bestFit="1" customWidth="1"/>
    <col min="7678" max="7680" width="9.5703125" style="575"/>
    <col min="7681" max="7681" width="10" style="575" customWidth="1"/>
    <col min="7682" max="7682" width="82.28515625" style="575" customWidth="1"/>
    <col min="7683" max="7683" width="20.85546875" style="575" customWidth="1"/>
    <col min="7684" max="7684" width="17.7109375" style="575" customWidth="1"/>
    <col min="7685" max="7685" width="11" style="575" customWidth="1"/>
    <col min="7686" max="7686" width="22.85546875" style="575" customWidth="1"/>
    <col min="7687" max="7687" width="18.28515625" style="575" customWidth="1"/>
    <col min="7688" max="7688" width="55.7109375" style="575" customWidth="1"/>
    <col min="7689" max="7689" width="18.42578125" style="575" customWidth="1"/>
    <col min="7690" max="7690" width="14.7109375" style="575" customWidth="1"/>
    <col min="7691" max="7691" width="16.5703125" style="575" customWidth="1"/>
    <col min="7692" max="7692" width="12.5703125" style="575" customWidth="1"/>
    <col min="7693" max="7693" width="14.42578125" style="575" customWidth="1"/>
    <col min="7694" max="7694" width="11" style="575" bestFit="1" customWidth="1"/>
    <col min="7695" max="7695" width="65.5703125" style="575" customWidth="1"/>
    <col min="7696" max="7696" width="20" style="575" customWidth="1"/>
    <col min="7697" max="7697" width="13.7109375" style="575" customWidth="1"/>
    <col min="7698" max="7698" width="15.140625" style="575" customWidth="1"/>
    <col min="7699" max="7699" width="14" style="575" customWidth="1"/>
    <col min="7700" max="7700" width="11.85546875" style="575" customWidth="1"/>
    <col min="7701" max="7701" width="60" style="575" customWidth="1"/>
    <col min="7702" max="7702" width="16.85546875" style="575" customWidth="1"/>
    <col min="7703" max="7703" width="20.7109375" style="575" customWidth="1"/>
    <col min="7704" max="7705" width="13" style="575" customWidth="1"/>
    <col min="7706" max="7706" width="12.42578125" style="575" customWidth="1"/>
    <col min="7707" max="7707" width="6.140625" style="575" customWidth="1"/>
    <col min="7708" max="7708" width="18.7109375" style="575" customWidth="1"/>
    <col min="7709" max="7709" width="13.28515625" style="575" customWidth="1"/>
    <col min="7710" max="7710" width="35.5703125" style="575" customWidth="1"/>
    <col min="7711" max="7711" width="16" style="575" customWidth="1"/>
    <col min="7712" max="7712" width="15.140625" style="575" customWidth="1"/>
    <col min="7713" max="7713" width="14.28515625" style="575" customWidth="1"/>
    <col min="7714" max="7714" width="20.28515625" style="575" customWidth="1"/>
    <col min="7715" max="7715" width="11.5703125" style="575" bestFit="1" customWidth="1"/>
    <col min="7716" max="7716" width="10.42578125" style="575" bestFit="1" customWidth="1"/>
    <col min="7717" max="7717" width="14.85546875" style="575" customWidth="1"/>
    <col min="7718" max="7718" width="10.28515625" style="575" bestFit="1" customWidth="1"/>
    <col min="7719" max="7719" width="9.5703125" style="575"/>
    <col min="7720" max="7720" width="10.28515625" style="575" bestFit="1" customWidth="1"/>
    <col min="7721" max="7721" width="9.5703125" style="575"/>
    <col min="7722" max="7722" width="28.28515625" style="575" customWidth="1"/>
    <col min="7723" max="7723" width="14.5703125" style="575" customWidth="1"/>
    <col min="7724" max="7724" width="63" style="575" customWidth="1"/>
    <col min="7725" max="7725" width="14.140625" style="575" customWidth="1"/>
    <col min="7726" max="7726" width="9.7109375" style="575" bestFit="1" customWidth="1"/>
    <col min="7727" max="7727" width="13.140625" style="575" customWidth="1"/>
    <col min="7728" max="7728" width="12" style="575" customWidth="1"/>
    <col min="7729" max="7932" width="9.5703125" style="575"/>
    <col min="7933" max="7933" width="9.7109375" style="575" bestFit="1" customWidth="1"/>
    <col min="7934" max="7936" width="9.5703125" style="575"/>
    <col min="7937" max="7937" width="10" style="575" customWidth="1"/>
    <col min="7938" max="7938" width="82.28515625" style="575" customWidth="1"/>
    <col min="7939" max="7939" width="20.85546875" style="575" customWidth="1"/>
    <col min="7940" max="7940" width="17.7109375" style="575" customWidth="1"/>
    <col min="7941" max="7941" width="11" style="575" customWidth="1"/>
    <col min="7942" max="7942" width="22.85546875" style="575" customWidth="1"/>
    <col min="7943" max="7943" width="18.28515625" style="575" customWidth="1"/>
    <col min="7944" max="7944" width="55.7109375" style="575" customWidth="1"/>
    <col min="7945" max="7945" width="18.42578125" style="575" customWidth="1"/>
    <col min="7946" max="7946" width="14.7109375" style="575" customWidth="1"/>
    <col min="7947" max="7947" width="16.5703125" style="575" customWidth="1"/>
    <col min="7948" max="7948" width="12.5703125" style="575" customWidth="1"/>
    <col min="7949" max="7949" width="14.42578125" style="575" customWidth="1"/>
    <col min="7950" max="7950" width="11" style="575" bestFit="1" customWidth="1"/>
    <col min="7951" max="7951" width="65.5703125" style="575" customWidth="1"/>
    <col min="7952" max="7952" width="20" style="575" customWidth="1"/>
    <col min="7953" max="7953" width="13.7109375" style="575" customWidth="1"/>
    <col min="7954" max="7954" width="15.140625" style="575" customWidth="1"/>
    <col min="7955" max="7955" width="14" style="575" customWidth="1"/>
    <col min="7956" max="7956" width="11.85546875" style="575" customWidth="1"/>
    <col min="7957" max="7957" width="60" style="575" customWidth="1"/>
    <col min="7958" max="7958" width="16.85546875" style="575" customWidth="1"/>
    <col min="7959" max="7959" width="20.7109375" style="575" customWidth="1"/>
    <col min="7960" max="7961" width="13" style="575" customWidth="1"/>
    <col min="7962" max="7962" width="12.42578125" style="575" customWidth="1"/>
    <col min="7963" max="7963" width="6.140625" style="575" customWidth="1"/>
    <col min="7964" max="7964" width="18.7109375" style="575" customWidth="1"/>
    <col min="7965" max="7965" width="13.28515625" style="575" customWidth="1"/>
    <col min="7966" max="7966" width="35.5703125" style="575" customWidth="1"/>
    <col min="7967" max="7967" width="16" style="575" customWidth="1"/>
    <col min="7968" max="7968" width="15.140625" style="575" customWidth="1"/>
    <col min="7969" max="7969" width="14.28515625" style="575" customWidth="1"/>
    <col min="7970" max="7970" width="20.28515625" style="575" customWidth="1"/>
    <col min="7971" max="7971" width="11.5703125" style="575" bestFit="1" customWidth="1"/>
    <col min="7972" max="7972" width="10.42578125" style="575" bestFit="1" customWidth="1"/>
    <col min="7973" max="7973" width="14.85546875" style="575" customWidth="1"/>
    <col min="7974" max="7974" width="10.28515625" style="575" bestFit="1" customWidth="1"/>
    <col min="7975" max="7975" width="9.5703125" style="575"/>
    <col min="7976" max="7976" width="10.28515625" style="575" bestFit="1" customWidth="1"/>
    <col min="7977" max="7977" width="9.5703125" style="575"/>
    <col min="7978" max="7978" width="28.28515625" style="575" customWidth="1"/>
    <col min="7979" max="7979" width="14.5703125" style="575" customWidth="1"/>
    <col min="7980" max="7980" width="63" style="575" customWidth="1"/>
    <col min="7981" max="7981" width="14.140625" style="575" customWidth="1"/>
    <col min="7982" max="7982" width="9.7109375" style="575" bestFit="1" customWidth="1"/>
    <col min="7983" max="7983" width="13.140625" style="575" customWidth="1"/>
    <col min="7984" max="7984" width="12" style="575" customWidth="1"/>
    <col min="7985" max="8188" width="9.5703125" style="575"/>
    <col min="8189" max="8189" width="9.7109375" style="575" bestFit="1" customWidth="1"/>
    <col min="8190" max="8192" width="9.5703125" style="575"/>
    <col min="8193" max="8193" width="10" style="575" customWidth="1"/>
    <col min="8194" max="8194" width="82.28515625" style="575" customWidth="1"/>
    <col min="8195" max="8195" width="20.85546875" style="575" customWidth="1"/>
    <col min="8196" max="8196" width="17.7109375" style="575" customWidth="1"/>
    <col min="8197" max="8197" width="11" style="575" customWidth="1"/>
    <col min="8198" max="8198" width="22.85546875" style="575" customWidth="1"/>
    <col min="8199" max="8199" width="18.28515625" style="575" customWidth="1"/>
    <col min="8200" max="8200" width="55.7109375" style="575" customWidth="1"/>
    <col min="8201" max="8201" width="18.42578125" style="575" customWidth="1"/>
    <col min="8202" max="8202" width="14.7109375" style="575" customWidth="1"/>
    <col min="8203" max="8203" width="16.5703125" style="575" customWidth="1"/>
    <col min="8204" max="8204" width="12.5703125" style="575" customWidth="1"/>
    <col min="8205" max="8205" width="14.42578125" style="575" customWidth="1"/>
    <col min="8206" max="8206" width="11" style="575" bestFit="1" customWidth="1"/>
    <col min="8207" max="8207" width="65.5703125" style="575" customWidth="1"/>
    <col min="8208" max="8208" width="20" style="575" customWidth="1"/>
    <col min="8209" max="8209" width="13.7109375" style="575" customWidth="1"/>
    <col min="8210" max="8210" width="15.140625" style="575" customWidth="1"/>
    <col min="8211" max="8211" width="14" style="575" customWidth="1"/>
    <col min="8212" max="8212" width="11.85546875" style="575" customWidth="1"/>
    <col min="8213" max="8213" width="60" style="575" customWidth="1"/>
    <col min="8214" max="8214" width="16.85546875" style="575" customWidth="1"/>
    <col min="8215" max="8215" width="20.7109375" style="575" customWidth="1"/>
    <col min="8216" max="8217" width="13" style="575" customWidth="1"/>
    <col min="8218" max="8218" width="12.42578125" style="575" customWidth="1"/>
    <col min="8219" max="8219" width="6.140625" style="575" customWidth="1"/>
    <col min="8220" max="8220" width="18.7109375" style="575" customWidth="1"/>
    <col min="8221" max="8221" width="13.28515625" style="575" customWidth="1"/>
    <col min="8222" max="8222" width="35.5703125" style="575" customWidth="1"/>
    <col min="8223" max="8223" width="16" style="575" customWidth="1"/>
    <col min="8224" max="8224" width="15.140625" style="575" customWidth="1"/>
    <col min="8225" max="8225" width="14.28515625" style="575" customWidth="1"/>
    <col min="8226" max="8226" width="20.28515625" style="575" customWidth="1"/>
    <col min="8227" max="8227" width="11.5703125" style="575" bestFit="1" customWidth="1"/>
    <col min="8228" max="8228" width="10.42578125" style="575" bestFit="1" customWidth="1"/>
    <col min="8229" max="8229" width="14.85546875" style="575" customWidth="1"/>
    <col min="8230" max="8230" width="10.28515625" style="575" bestFit="1" customWidth="1"/>
    <col min="8231" max="8231" width="9.5703125" style="575"/>
    <col min="8232" max="8232" width="10.28515625" style="575" bestFit="1" customWidth="1"/>
    <col min="8233" max="8233" width="9.5703125" style="575"/>
    <col min="8234" max="8234" width="28.28515625" style="575" customWidth="1"/>
    <col min="8235" max="8235" width="14.5703125" style="575" customWidth="1"/>
    <col min="8236" max="8236" width="63" style="575" customWidth="1"/>
    <col min="8237" max="8237" width="14.140625" style="575" customWidth="1"/>
    <col min="8238" max="8238" width="9.7109375" style="575" bestFit="1" customWidth="1"/>
    <col min="8239" max="8239" width="13.140625" style="575" customWidth="1"/>
    <col min="8240" max="8240" width="12" style="575" customWidth="1"/>
    <col min="8241" max="8444" width="9.5703125" style="575"/>
    <col min="8445" max="8445" width="9.7109375" style="575" bestFit="1" customWidth="1"/>
    <col min="8446" max="8448" width="9.5703125" style="575"/>
    <col min="8449" max="8449" width="10" style="575" customWidth="1"/>
    <col min="8450" max="8450" width="82.28515625" style="575" customWidth="1"/>
    <col min="8451" max="8451" width="20.85546875" style="575" customWidth="1"/>
    <col min="8452" max="8452" width="17.7109375" style="575" customWidth="1"/>
    <col min="8453" max="8453" width="11" style="575" customWidth="1"/>
    <col min="8454" max="8454" width="22.85546875" style="575" customWidth="1"/>
    <col min="8455" max="8455" width="18.28515625" style="575" customWidth="1"/>
    <col min="8456" max="8456" width="55.7109375" style="575" customWidth="1"/>
    <col min="8457" max="8457" width="18.42578125" style="575" customWidth="1"/>
    <col min="8458" max="8458" width="14.7109375" style="575" customWidth="1"/>
    <col min="8459" max="8459" width="16.5703125" style="575" customWidth="1"/>
    <col min="8460" max="8460" width="12.5703125" style="575" customWidth="1"/>
    <col min="8461" max="8461" width="14.42578125" style="575" customWidth="1"/>
    <col min="8462" max="8462" width="11" style="575" bestFit="1" customWidth="1"/>
    <col min="8463" max="8463" width="65.5703125" style="575" customWidth="1"/>
    <col min="8464" max="8464" width="20" style="575" customWidth="1"/>
    <col min="8465" max="8465" width="13.7109375" style="575" customWidth="1"/>
    <col min="8466" max="8466" width="15.140625" style="575" customWidth="1"/>
    <col min="8467" max="8467" width="14" style="575" customWidth="1"/>
    <col min="8468" max="8468" width="11.85546875" style="575" customWidth="1"/>
    <col min="8469" max="8469" width="60" style="575" customWidth="1"/>
    <col min="8470" max="8470" width="16.85546875" style="575" customWidth="1"/>
    <col min="8471" max="8471" width="20.7109375" style="575" customWidth="1"/>
    <col min="8472" max="8473" width="13" style="575" customWidth="1"/>
    <col min="8474" max="8474" width="12.42578125" style="575" customWidth="1"/>
    <col min="8475" max="8475" width="6.140625" style="575" customWidth="1"/>
    <col min="8476" max="8476" width="18.7109375" style="575" customWidth="1"/>
    <col min="8477" max="8477" width="13.28515625" style="575" customWidth="1"/>
    <col min="8478" max="8478" width="35.5703125" style="575" customWidth="1"/>
    <col min="8479" max="8479" width="16" style="575" customWidth="1"/>
    <col min="8480" max="8480" width="15.140625" style="575" customWidth="1"/>
    <col min="8481" max="8481" width="14.28515625" style="575" customWidth="1"/>
    <col min="8482" max="8482" width="20.28515625" style="575" customWidth="1"/>
    <col min="8483" max="8483" width="11.5703125" style="575" bestFit="1" customWidth="1"/>
    <col min="8484" max="8484" width="10.42578125" style="575" bestFit="1" customWidth="1"/>
    <col min="8485" max="8485" width="14.85546875" style="575" customWidth="1"/>
    <col min="8486" max="8486" width="10.28515625" style="575" bestFit="1" customWidth="1"/>
    <col min="8487" max="8487" width="9.5703125" style="575"/>
    <col min="8488" max="8488" width="10.28515625" style="575" bestFit="1" customWidth="1"/>
    <col min="8489" max="8489" width="9.5703125" style="575"/>
    <col min="8490" max="8490" width="28.28515625" style="575" customWidth="1"/>
    <col min="8491" max="8491" width="14.5703125" style="575" customWidth="1"/>
    <col min="8492" max="8492" width="63" style="575" customWidth="1"/>
    <col min="8493" max="8493" width="14.140625" style="575" customWidth="1"/>
    <col min="8494" max="8494" width="9.7109375" style="575" bestFit="1" customWidth="1"/>
    <col min="8495" max="8495" width="13.140625" style="575" customWidth="1"/>
    <col min="8496" max="8496" width="12" style="575" customWidth="1"/>
    <col min="8497" max="8700" width="9.5703125" style="575"/>
    <col min="8701" max="8701" width="9.7109375" style="575" bestFit="1" customWidth="1"/>
    <col min="8702" max="8704" width="9.5703125" style="575"/>
    <col min="8705" max="8705" width="10" style="575" customWidth="1"/>
    <col min="8706" max="8706" width="82.28515625" style="575" customWidth="1"/>
    <col min="8707" max="8707" width="20.85546875" style="575" customWidth="1"/>
    <col min="8708" max="8708" width="17.7109375" style="575" customWidth="1"/>
    <col min="8709" max="8709" width="11" style="575" customWidth="1"/>
    <col min="8710" max="8710" width="22.85546875" style="575" customWidth="1"/>
    <col min="8711" max="8711" width="18.28515625" style="575" customWidth="1"/>
    <col min="8712" max="8712" width="55.7109375" style="575" customWidth="1"/>
    <col min="8713" max="8713" width="18.42578125" style="575" customWidth="1"/>
    <col min="8714" max="8714" width="14.7109375" style="575" customWidth="1"/>
    <col min="8715" max="8715" width="16.5703125" style="575" customWidth="1"/>
    <col min="8716" max="8716" width="12.5703125" style="575" customWidth="1"/>
    <col min="8717" max="8717" width="14.42578125" style="575" customWidth="1"/>
    <col min="8718" max="8718" width="11" style="575" bestFit="1" customWidth="1"/>
    <col min="8719" max="8719" width="65.5703125" style="575" customWidth="1"/>
    <col min="8720" max="8720" width="20" style="575" customWidth="1"/>
    <col min="8721" max="8721" width="13.7109375" style="575" customWidth="1"/>
    <col min="8722" max="8722" width="15.140625" style="575" customWidth="1"/>
    <col min="8723" max="8723" width="14" style="575" customWidth="1"/>
    <col min="8724" max="8724" width="11.85546875" style="575" customWidth="1"/>
    <col min="8725" max="8725" width="60" style="575" customWidth="1"/>
    <col min="8726" max="8726" width="16.85546875" style="575" customWidth="1"/>
    <col min="8727" max="8727" width="20.7109375" style="575" customWidth="1"/>
    <col min="8728" max="8729" width="13" style="575" customWidth="1"/>
    <col min="8730" max="8730" width="12.42578125" style="575" customWidth="1"/>
    <col min="8731" max="8731" width="6.140625" style="575" customWidth="1"/>
    <col min="8732" max="8732" width="18.7109375" style="575" customWidth="1"/>
    <col min="8733" max="8733" width="13.28515625" style="575" customWidth="1"/>
    <col min="8734" max="8734" width="35.5703125" style="575" customWidth="1"/>
    <col min="8735" max="8735" width="16" style="575" customWidth="1"/>
    <col min="8736" max="8736" width="15.140625" style="575" customWidth="1"/>
    <col min="8737" max="8737" width="14.28515625" style="575" customWidth="1"/>
    <col min="8738" max="8738" width="20.28515625" style="575" customWidth="1"/>
    <col min="8739" max="8739" width="11.5703125" style="575" bestFit="1" customWidth="1"/>
    <col min="8740" max="8740" width="10.42578125" style="575" bestFit="1" customWidth="1"/>
    <col min="8741" max="8741" width="14.85546875" style="575" customWidth="1"/>
    <col min="8742" max="8742" width="10.28515625" style="575" bestFit="1" customWidth="1"/>
    <col min="8743" max="8743" width="9.5703125" style="575"/>
    <col min="8744" max="8744" width="10.28515625" style="575" bestFit="1" customWidth="1"/>
    <col min="8745" max="8745" width="9.5703125" style="575"/>
    <col min="8746" max="8746" width="28.28515625" style="575" customWidth="1"/>
    <col min="8747" max="8747" width="14.5703125" style="575" customWidth="1"/>
    <col min="8748" max="8748" width="63" style="575" customWidth="1"/>
    <col min="8749" max="8749" width="14.140625" style="575" customWidth="1"/>
    <col min="8750" max="8750" width="9.7109375" style="575" bestFit="1" customWidth="1"/>
    <col min="8751" max="8751" width="13.140625" style="575" customWidth="1"/>
    <col min="8752" max="8752" width="12" style="575" customWidth="1"/>
    <col min="8753" max="8956" width="9.5703125" style="575"/>
    <col min="8957" max="8957" width="9.7109375" style="575" bestFit="1" customWidth="1"/>
    <col min="8958" max="8960" width="9.5703125" style="575"/>
    <col min="8961" max="8961" width="10" style="575" customWidth="1"/>
    <col min="8962" max="8962" width="82.28515625" style="575" customWidth="1"/>
    <col min="8963" max="8963" width="20.85546875" style="575" customWidth="1"/>
    <col min="8964" max="8964" width="17.7109375" style="575" customWidth="1"/>
    <col min="8965" max="8965" width="11" style="575" customWidth="1"/>
    <col min="8966" max="8966" width="22.85546875" style="575" customWidth="1"/>
    <col min="8967" max="8967" width="18.28515625" style="575" customWidth="1"/>
    <col min="8968" max="8968" width="55.7109375" style="575" customWidth="1"/>
    <col min="8969" max="8969" width="18.42578125" style="575" customWidth="1"/>
    <col min="8970" max="8970" width="14.7109375" style="575" customWidth="1"/>
    <col min="8971" max="8971" width="16.5703125" style="575" customWidth="1"/>
    <col min="8972" max="8972" width="12.5703125" style="575" customWidth="1"/>
    <col min="8973" max="8973" width="14.42578125" style="575" customWidth="1"/>
    <col min="8974" max="8974" width="11" style="575" bestFit="1" customWidth="1"/>
    <col min="8975" max="8975" width="65.5703125" style="575" customWidth="1"/>
    <col min="8976" max="8976" width="20" style="575" customWidth="1"/>
    <col min="8977" max="8977" width="13.7109375" style="575" customWidth="1"/>
    <col min="8978" max="8978" width="15.140625" style="575" customWidth="1"/>
    <col min="8979" max="8979" width="14" style="575" customWidth="1"/>
    <col min="8980" max="8980" width="11.85546875" style="575" customWidth="1"/>
    <col min="8981" max="8981" width="60" style="575" customWidth="1"/>
    <col min="8982" max="8982" width="16.85546875" style="575" customWidth="1"/>
    <col min="8983" max="8983" width="20.7109375" style="575" customWidth="1"/>
    <col min="8984" max="8985" width="13" style="575" customWidth="1"/>
    <col min="8986" max="8986" width="12.42578125" style="575" customWidth="1"/>
    <col min="8987" max="8987" width="6.140625" style="575" customWidth="1"/>
    <col min="8988" max="8988" width="18.7109375" style="575" customWidth="1"/>
    <col min="8989" max="8989" width="13.28515625" style="575" customWidth="1"/>
    <col min="8990" max="8990" width="35.5703125" style="575" customWidth="1"/>
    <col min="8991" max="8991" width="16" style="575" customWidth="1"/>
    <col min="8992" max="8992" width="15.140625" style="575" customWidth="1"/>
    <col min="8993" max="8993" width="14.28515625" style="575" customWidth="1"/>
    <col min="8994" max="8994" width="20.28515625" style="575" customWidth="1"/>
    <col min="8995" max="8995" width="11.5703125" style="575" bestFit="1" customWidth="1"/>
    <col min="8996" max="8996" width="10.42578125" style="575" bestFit="1" customWidth="1"/>
    <col min="8997" max="8997" width="14.85546875" style="575" customWidth="1"/>
    <col min="8998" max="8998" width="10.28515625" style="575" bestFit="1" customWidth="1"/>
    <col min="8999" max="8999" width="9.5703125" style="575"/>
    <col min="9000" max="9000" width="10.28515625" style="575" bestFit="1" customWidth="1"/>
    <col min="9001" max="9001" width="9.5703125" style="575"/>
    <col min="9002" max="9002" width="28.28515625" style="575" customWidth="1"/>
    <col min="9003" max="9003" width="14.5703125" style="575" customWidth="1"/>
    <col min="9004" max="9004" width="63" style="575" customWidth="1"/>
    <col min="9005" max="9005" width="14.140625" style="575" customWidth="1"/>
    <col min="9006" max="9006" width="9.7109375" style="575" bestFit="1" customWidth="1"/>
    <col min="9007" max="9007" width="13.140625" style="575" customWidth="1"/>
    <col min="9008" max="9008" width="12" style="575" customWidth="1"/>
    <col min="9009" max="9212" width="9.5703125" style="575"/>
    <col min="9213" max="9213" width="9.7109375" style="575" bestFit="1" customWidth="1"/>
    <col min="9214" max="9216" width="9.5703125" style="575"/>
    <col min="9217" max="9217" width="10" style="575" customWidth="1"/>
    <col min="9218" max="9218" width="82.28515625" style="575" customWidth="1"/>
    <col min="9219" max="9219" width="20.85546875" style="575" customWidth="1"/>
    <col min="9220" max="9220" width="17.7109375" style="575" customWidth="1"/>
    <col min="9221" max="9221" width="11" style="575" customWidth="1"/>
    <col min="9222" max="9222" width="22.85546875" style="575" customWidth="1"/>
    <col min="9223" max="9223" width="18.28515625" style="575" customWidth="1"/>
    <col min="9224" max="9224" width="55.7109375" style="575" customWidth="1"/>
    <col min="9225" max="9225" width="18.42578125" style="575" customWidth="1"/>
    <col min="9226" max="9226" width="14.7109375" style="575" customWidth="1"/>
    <col min="9227" max="9227" width="16.5703125" style="575" customWidth="1"/>
    <col min="9228" max="9228" width="12.5703125" style="575" customWidth="1"/>
    <col min="9229" max="9229" width="14.42578125" style="575" customWidth="1"/>
    <col min="9230" max="9230" width="11" style="575" bestFit="1" customWidth="1"/>
    <col min="9231" max="9231" width="65.5703125" style="575" customWidth="1"/>
    <col min="9232" max="9232" width="20" style="575" customWidth="1"/>
    <col min="9233" max="9233" width="13.7109375" style="575" customWidth="1"/>
    <col min="9234" max="9234" width="15.140625" style="575" customWidth="1"/>
    <col min="9235" max="9235" width="14" style="575" customWidth="1"/>
    <col min="9236" max="9236" width="11.85546875" style="575" customWidth="1"/>
    <col min="9237" max="9237" width="60" style="575" customWidth="1"/>
    <col min="9238" max="9238" width="16.85546875" style="575" customWidth="1"/>
    <col min="9239" max="9239" width="20.7109375" style="575" customWidth="1"/>
    <col min="9240" max="9241" width="13" style="575" customWidth="1"/>
    <col min="9242" max="9242" width="12.42578125" style="575" customWidth="1"/>
    <col min="9243" max="9243" width="6.140625" style="575" customWidth="1"/>
    <col min="9244" max="9244" width="18.7109375" style="575" customWidth="1"/>
    <col min="9245" max="9245" width="13.28515625" style="575" customWidth="1"/>
    <col min="9246" max="9246" width="35.5703125" style="575" customWidth="1"/>
    <col min="9247" max="9247" width="16" style="575" customWidth="1"/>
    <col min="9248" max="9248" width="15.140625" style="575" customWidth="1"/>
    <col min="9249" max="9249" width="14.28515625" style="575" customWidth="1"/>
    <col min="9250" max="9250" width="20.28515625" style="575" customWidth="1"/>
    <col min="9251" max="9251" width="11.5703125" style="575" bestFit="1" customWidth="1"/>
    <col min="9252" max="9252" width="10.42578125" style="575" bestFit="1" customWidth="1"/>
    <col min="9253" max="9253" width="14.85546875" style="575" customWidth="1"/>
    <col min="9254" max="9254" width="10.28515625" style="575" bestFit="1" customWidth="1"/>
    <col min="9255" max="9255" width="9.5703125" style="575"/>
    <col min="9256" max="9256" width="10.28515625" style="575" bestFit="1" customWidth="1"/>
    <col min="9257" max="9257" width="9.5703125" style="575"/>
    <col min="9258" max="9258" width="28.28515625" style="575" customWidth="1"/>
    <col min="9259" max="9259" width="14.5703125" style="575" customWidth="1"/>
    <col min="9260" max="9260" width="63" style="575" customWidth="1"/>
    <col min="9261" max="9261" width="14.140625" style="575" customWidth="1"/>
    <col min="9262" max="9262" width="9.7109375" style="575" bestFit="1" customWidth="1"/>
    <col min="9263" max="9263" width="13.140625" style="575" customWidth="1"/>
    <col min="9264" max="9264" width="12" style="575" customWidth="1"/>
    <col min="9265" max="9468" width="9.5703125" style="575"/>
    <col min="9469" max="9469" width="9.7109375" style="575" bestFit="1" customWidth="1"/>
    <col min="9470" max="9472" width="9.5703125" style="575"/>
    <col min="9473" max="9473" width="10" style="575" customWidth="1"/>
    <col min="9474" max="9474" width="82.28515625" style="575" customWidth="1"/>
    <col min="9475" max="9475" width="20.85546875" style="575" customWidth="1"/>
    <col min="9476" max="9476" width="17.7109375" style="575" customWidth="1"/>
    <col min="9477" max="9477" width="11" style="575" customWidth="1"/>
    <col min="9478" max="9478" width="22.85546875" style="575" customWidth="1"/>
    <col min="9479" max="9479" width="18.28515625" style="575" customWidth="1"/>
    <col min="9480" max="9480" width="55.7109375" style="575" customWidth="1"/>
    <col min="9481" max="9481" width="18.42578125" style="575" customWidth="1"/>
    <col min="9482" max="9482" width="14.7109375" style="575" customWidth="1"/>
    <col min="9483" max="9483" width="16.5703125" style="575" customWidth="1"/>
    <col min="9484" max="9484" width="12.5703125" style="575" customWidth="1"/>
    <col min="9485" max="9485" width="14.42578125" style="575" customWidth="1"/>
    <col min="9486" max="9486" width="11" style="575" bestFit="1" customWidth="1"/>
    <col min="9487" max="9487" width="65.5703125" style="575" customWidth="1"/>
    <col min="9488" max="9488" width="20" style="575" customWidth="1"/>
    <col min="9489" max="9489" width="13.7109375" style="575" customWidth="1"/>
    <col min="9490" max="9490" width="15.140625" style="575" customWidth="1"/>
    <col min="9491" max="9491" width="14" style="575" customWidth="1"/>
    <col min="9492" max="9492" width="11.85546875" style="575" customWidth="1"/>
    <col min="9493" max="9493" width="60" style="575" customWidth="1"/>
    <col min="9494" max="9494" width="16.85546875" style="575" customWidth="1"/>
    <col min="9495" max="9495" width="20.7109375" style="575" customWidth="1"/>
    <col min="9496" max="9497" width="13" style="575" customWidth="1"/>
    <col min="9498" max="9498" width="12.42578125" style="575" customWidth="1"/>
    <col min="9499" max="9499" width="6.140625" style="575" customWidth="1"/>
    <col min="9500" max="9500" width="18.7109375" style="575" customWidth="1"/>
    <col min="9501" max="9501" width="13.28515625" style="575" customWidth="1"/>
    <col min="9502" max="9502" width="35.5703125" style="575" customWidth="1"/>
    <col min="9503" max="9503" width="16" style="575" customWidth="1"/>
    <col min="9504" max="9504" width="15.140625" style="575" customWidth="1"/>
    <col min="9505" max="9505" width="14.28515625" style="575" customWidth="1"/>
    <col min="9506" max="9506" width="20.28515625" style="575" customWidth="1"/>
    <col min="9507" max="9507" width="11.5703125" style="575" bestFit="1" customWidth="1"/>
    <col min="9508" max="9508" width="10.42578125" style="575" bestFit="1" customWidth="1"/>
    <col min="9509" max="9509" width="14.85546875" style="575" customWidth="1"/>
    <col min="9510" max="9510" width="10.28515625" style="575" bestFit="1" customWidth="1"/>
    <col min="9511" max="9511" width="9.5703125" style="575"/>
    <col min="9512" max="9512" width="10.28515625" style="575" bestFit="1" customWidth="1"/>
    <col min="9513" max="9513" width="9.5703125" style="575"/>
    <col min="9514" max="9514" width="28.28515625" style="575" customWidth="1"/>
    <col min="9515" max="9515" width="14.5703125" style="575" customWidth="1"/>
    <col min="9516" max="9516" width="63" style="575" customWidth="1"/>
    <col min="9517" max="9517" width="14.140625" style="575" customWidth="1"/>
    <col min="9518" max="9518" width="9.7109375" style="575" bestFit="1" customWidth="1"/>
    <col min="9519" max="9519" width="13.140625" style="575" customWidth="1"/>
    <col min="9520" max="9520" width="12" style="575" customWidth="1"/>
    <col min="9521" max="9724" width="9.5703125" style="575"/>
    <col min="9725" max="9725" width="9.7109375" style="575" bestFit="1" customWidth="1"/>
    <col min="9726" max="9728" width="9.5703125" style="575"/>
    <col min="9729" max="9729" width="10" style="575" customWidth="1"/>
    <col min="9730" max="9730" width="82.28515625" style="575" customWidth="1"/>
    <col min="9731" max="9731" width="20.85546875" style="575" customWidth="1"/>
    <col min="9732" max="9732" width="17.7109375" style="575" customWidth="1"/>
    <col min="9733" max="9733" width="11" style="575" customWidth="1"/>
    <col min="9734" max="9734" width="22.85546875" style="575" customWidth="1"/>
    <col min="9735" max="9735" width="18.28515625" style="575" customWidth="1"/>
    <col min="9736" max="9736" width="55.7109375" style="575" customWidth="1"/>
    <col min="9737" max="9737" width="18.42578125" style="575" customWidth="1"/>
    <col min="9738" max="9738" width="14.7109375" style="575" customWidth="1"/>
    <col min="9739" max="9739" width="16.5703125" style="575" customWidth="1"/>
    <col min="9740" max="9740" width="12.5703125" style="575" customWidth="1"/>
    <col min="9741" max="9741" width="14.42578125" style="575" customWidth="1"/>
    <col min="9742" max="9742" width="11" style="575" bestFit="1" customWidth="1"/>
    <col min="9743" max="9743" width="65.5703125" style="575" customWidth="1"/>
    <col min="9744" max="9744" width="20" style="575" customWidth="1"/>
    <col min="9745" max="9745" width="13.7109375" style="575" customWidth="1"/>
    <col min="9746" max="9746" width="15.140625" style="575" customWidth="1"/>
    <col min="9747" max="9747" width="14" style="575" customWidth="1"/>
    <col min="9748" max="9748" width="11.85546875" style="575" customWidth="1"/>
    <col min="9749" max="9749" width="60" style="575" customWidth="1"/>
    <col min="9750" max="9750" width="16.85546875" style="575" customWidth="1"/>
    <col min="9751" max="9751" width="20.7109375" style="575" customWidth="1"/>
    <col min="9752" max="9753" width="13" style="575" customWidth="1"/>
    <col min="9754" max="9754" width="12.42578125" style="575" customWidth="1"/>
    <col min="9755" max="9755" width="6.140625" style="575" customWidth="1"/>
    <col min="9756" max="9756" width="18.7109375" style="575" customWidth="1"/>
    <col min="9757" max="9757" width="13.28515625" style="575" customWidth="1"/>
    <col min="9758" max="9758" width="35.5703125" style="575" customWidth="1"/>
    <col min="9759" max="9759" width="16" style="575" customWidth="1"/>
    <col min="9760" max="9760" width="15.140625" style="575" customWidth="1"/>
    <col min="9761" max="9761" width="14.28515625" style="575" customWidth="1"/>
    <col min="9762" max="9762" width="20.28515625" style="575" customWidth="1"/>
    <col min="9763" max="9763" width="11.5703125" style="575" bestFit="1" customWidth="1"/>
    <col min="9764" max="9764" width="10.42578125" style="575" bestFit="1" customWidth="1"/>
    <col min="9765" max="9765" width="14.85546875" style="575" customWidth="1"/>
    <col min="9766" max="9766" width="10.28515625" style="575" bestFit="1" customWidth="1"/>
    <col min="9767" max="9767" width="9.5703125" style="575"/>
    <col min="9768" max="9768" width="10.28515625" style="575" bestFit="1" customWidth="1"/>
    <col min="9769" max="9769" width="9.5703125" style="575"/>
    <col min="9770" max="9770" width="28.28515625" style="575" customWidth="1"/>
    <col min="9771" max="9771" width="14.5703125" style="575" customWidth="1"/>
    <col min="9772" max="9772" width="63" style="575" customWidth="1"/>
    <col min="9773" max="9773" width="14.140625" style="575" customWidth="1"/>
    <col min="9774" max="9774" width="9.7109375" style="575" bestFit="1" customWidth="1"/>
    <col min="9775" max="9775" width="13.140625" style="575" customWidth="1"/>
    <col min="9776" max="9776" width="12" style="575" customWidth="1"/>
    <col min="9777" max="9980" width="9.5703125" style="575"/>
    <col min="9981" max="9981" width="9.7109375" style="575" bestFit="1" customWidth="1"/>
    <col min="9982" max="9984" width="9.5703125" style="575"/>
    <col min="9985" max="9985" width="10" style="575" customWidth="1"/>
    <col min="9986" max="9986" width="82.28515625" style="575" customWidth="1"/>
    <col min="9987" max="9987" width="20.85546875" style="575" customWidth="1"/>
    <col min="9988" max="9988" width="17.7109375" style="575" customWidth="1"/>
    <col min="9989" max="9989" width="11" style="575" customWidth="1"/>
    <col min="9990" max="9990" width="22.85546875" style="575" customWidth="1"/>
    <col min="9991" max="9991" width="18.28515625" style="575" customWidth="1"/>
    <col min="9992" max="9992" width="55.7109375" style="575" customWidth="1"/>
    <col min="9993" max="9993" width="18.42578125" style="575" customWidth="1"/>
    <col min="9994" max="9994" width="14.7109375" style="575" customWidth="1"/>
    <col min="9995" max="9995" width="16.5703125" style="575" customWidth="1"/>
    <col min="9996" max="9996" width="12.5703125" style="575" customWidth="1"/>
    <col min="9997" max="9997" width="14.42578125" style="575" customWidth="1"/>
    <col min="9998" max="9998" width="11" style="575" bestFit="1" customWidth="1"/>
    <col min="9999" max="9999" width="65.5703125" style="575" customWidth="1"/>
    <col min="10000" max="10000" width="20" style="575" customWidth="1"/>
    <col min="10001" max="10001" width="13.7109375" style="575" customWidth="1"/>
    <col min="10002" max="10002" width="15.140625" style="575" customWidth="1"/>
    <col min="10003" max="10003" width="14" style="575" customWidth="1"/>
    <col min="10004" max="10004" width="11.85546875" style="575" customWidth="1"/>
    <col min="10005" max="10005" width="60" style="575" customWidth="1"/>
    <col min="10006" max="10006" width="16.85546875" style="575" customWidth="1"/>
    <col min="10007" max="10007" width="20.7109375" style="575" customWidth="1"/>
    <col min="10008" max="10009" width="13" style="575" customWidth="1"/>
    <col min="10010" max="10010" width="12.42578125" style="575" customWidth="1"/>
    <col min="10011" max="10011" width="6.140625" style="575" customWidth="1"/>
    <col min="10012" max="10012" width="18.7109375" style="575" customWidth="1"/>
    <col min="10013" max="10013" width="13.28515625" style="575" customWidth="1"/>
    <col min="10014" max="10014" width="35.5703125" style="575" customWidth="1"/>
    <col min="10015" max="10015" width="16" style="575" customWidth="1"/>
    <col min="10016" max="10016" width="15.140625" style="575" customWidth="1"/>
    <col min="10017" max="10017" width="14.28515625" style="575" customWidth="1"/>
    <col min="10018" max="10018" width="20.28515625" style="575" customWidth="1"/>
    <col min="10019" max="10019" width="11.5703125" style="575" bestFit="1" customWidth="1"/>
    <col min="10020" max="10020" width="10.42578125" style="575" bestFit="1" customWidth="1"/>
    <col min="10021" max="10021" width="14.85546875" style="575" customWidth="1"/>
    <col min="10022" max="10022" width="10.28515625" style="575" bestFit="1" customWidth="1"/>
    <col min="10023" max="10023" width="9.5703125" style="575"/>
    <col min="10024" max="10024" width="10.28515625" style="575" bestFit="1" customWidth="1"/>
    <col min="10025" max="10025" width="9.5703125" style="575"/>
    <col min="10026" max="10026" width="28.28515625" style="575" customWidth="1"/>
    <col min="10027" max="10027" width="14.5703125" style="575" customWidth="1"/>
    <col min="10028" max="10028" width="63" style="575" customWidth="1"/>
    <col min="10029" max="10029" width="14.140625" style="575" customWidth="1"/>
    <col min="10030" max="10030" width="9.7109375" style="575" bestFit="1" customWidth="1"/>
    <col min="10031" max="10031" width="13.140625" style="575" customWidth="1"/>
    <col min="10032" max="10032" width="12" style="575" customWidth="1"/>
    <col min="10033" max="10236" width="9.5703125" style="575"/>
    <col min="10237" max="10237" width="9.7109375" style="575" bestFit="1" customWidth="1"/>
    <col min="10238" max="10240" width="9.5703125" style="575"/>
    <col min="10241" max="10241" width="10" style="575" customWidth="1"/>
    <col min="10242" max="10242" width="82.28515625" style="575" customWidth="1"/>
    <col min="10243" max="10243" width="20.85546875" style="575" customWidth="1"/>
    <col min="10244" max="10244" width="17.7109375" style="575" customWidth="1"/>
    <col min="10245" max="10245" width="11" style="575" customWidth="1"/>
    <col min="10246" max="10246" width="22.85546875" style="575" customWidth="1"/>
    <col min="10247" max="10247" width="18.28515625" style="575" customWidth="1"/>
    <col min="10248" max="10248" width="55.7109375" style="575" customWidth="1"/>
    <col min="10249" max="10249" width="18.42578125" style="575" customWidth="1"/>
    <col min="10250" max="10250" width="14.7109375" style="575" customWidth="1"/>
    <col min="10251" max="10251" width="16.5703125" style="575" customWidth="1"/>
    <col min="10252" max="10252" width="12.5703125" style="575" customWidth="1"/>
    <col min="10253" max="10253" width="14.42578125" style="575" customWidth="1"/>
    <col min="10254" max="10254" width="11" style="575" bestFit="1" customWidth="1"/>
    <col min="10255" max="10255" width="65.5703125" style="575" customWidth="1"/>
    <col min="10256" max="10256" width="20" style="575" customWidth="1"/>
    <col min="10257" max="10257" width="13.7109375" style="575" customWidth="1"/>
    <col min="10258" max="10258" width="15.140625" style="575" customWidth="1"/>
    <col min="10259" max="10259" width="14" style="575" customWidth="1"/>
    <col min="10260" max="10260" width="11.85546875" style="575" customWidth="1"/>
    <col min="10261" max="10261" width="60" style="575" customWidth="1"/>
    <col min="10262" max="10262" width="16.85546875" style="575" customWidth="1"/>
    <col min="10263" max="10263" width="20.7109375" style="575" customWidth="1"/>
    <col min="10264" max="10265" width="13" style="575" customWidth="1"/>
    <col min="10266" max="10266" width="12.42578125" style="575" customWidth="1"/>
    <col min="10267" max="10267" width="6.140625" style="575" customWidth="1"/>
    <col min="10268" max="10268" width="18.7109375" style="575" customWidth="1"/>
    <col min="10269" max="10269" width="13.28515625" style="575" customWidth="1"/>
    <col min="10270" max="10270" width="35.5703125" style="575" customWidth="1"/>
    <col min="10271" max="10271" width="16" style="575" customWidth="1"/>
    <col min="10272" max="10272" width="15.140625" style="575" customWidth="1"/>
    <col min="10273" max="10273" width="14.28515625" style="575" customWidth="1"/>
    <col min="10274" max="10274" width="20.28515625" style="575" customWidth="1"/>
    <col min="10275" max="10275" width="11.5703125" style="575" bestFit="1" customWidth="1"/>
    <col min="10276" max="10276" width="10.42578125" style="575" bestFit="1" customWidth="1"/>
    <col min="10277" max="10277" width="14.85546875" style="575" customWidth="1"/>
    <col min="10278" max="10278" width="10.28515625" style="575" bestFit="1" customWidth="1"/>
    <col min="10279" max="10279" width="9.5703125" style="575"/>
    <col min="10280" max="10280" width="10.28515625" style="575" bestFit="1" customWidth="1"/>
    <col min="10281" max="10281" width="9.5703125" style="575"/>
    <col min="10282" max="10282" width="28.28515625" style="575" customWidth="1"/>
    <col min="10283" max="10283" width="14.5703125" style="575" customWidth="1"/>
    <col min="10284" max="10284" width="63" style="575" customWidth="1"/>
    <col min="10285" max="10285" width="14.140625" style="575" customWidth="1"/>
    <col min="10286" max="10286" width="9.7109375" style="575" bestFit="1" customWidth="1"/>
    <col min="10287" max="10287" width="13.140625" style="575" customWidth="1"/>
    <col min="10288" max="10288" width="12" style="575" customWidth="1"/>
    <col min="10289" max="10492" width="9.5703125" style="575"/>
    <col min="10493" max="10493" width="9.7109375" style="575" bestFit="1" customWidth="1"/>
    <col min="10494" max="10496" width="9.5703125" style="575"/>
    <col min="10497" max="10497" width="10" style="575" customWidth="1"/>
    <col min="10498" max="10498" width="82.28515625" style="575" customWidth="1"/>
    <col min="10499" max="10499" width="20.85546875" style="575" customWidth="1"/>
    <col min="10500" max="10500" width="17.7109375" style="575" customWidth="1"/>
    <col min="10501" max="10501" width="11" style="575" customWidth="1"/>
    <col min="10502" max="10502" width="22.85546875" style="575" customWidth="1"/>
    <col min="10503" max="10503" width="18.28515625" style="575" customWidth="1"/>
    <col min="10504" max="10504" width="55.7109375" style="575" customWidth="1"/>
    <col min="10505" max="10505" width="18.42578125" style="575" customWidth="1"/>
    <col min="10506" max="10506" width="14.7109375" style="575" customWidth="1"/>
    <col min="10507" max="10507" width="16.5703125" style="575" customWidth="1"/>
    <col min="10508" max="10508" width="12.5703125" style="575" customWidth="1"/>
    <col min="10509" max="10509" width="14.42578125" style="575" customWidth="1"/>
    <col min="10510" max="10510" width="11" style="575" bestFit="1" customWidth="1"/>
    <col min="10511" max="10511" width="65.5703125" style="575" customWidth="1"/>
    <col min="10512" max="10512" width="20" style="575" customWidth="1"/>
    <col min="10513" max="10513" width="13.7109375" style="575" customWidth="1"/>
    <col min="10514" max="10514" width="15.140625" style="575" customWidth="1"/>
    <col min="10515" max="10515" width="14" style="575" customWidth="1"/>
    <col min="10516" max="10516" width="11.85546875" style="575" customWidth="1"/>
    <col min="10517" max="10517" width="60" style="575" customWidth="1"/>
    <col min="10518" max="10518" width="16.85546875" style="575" customWidth="1"/>
    <col min="10519" max="10519" width="20.7109375" style="575" customWidth="1"/>
    <col min="10520" max="10521" width="13" style="575" customWidth="1"/>
    <col min="10522" max="10522" width="12.42578125" style="575" customWidth="1"/>
    <col min="10523" max="10523" width="6.140625" style="575" customWidth="1"/>
    <col min="10524" max="10524" width="18.7109375" style="575" customWidth="1"/>
    <col min="10525" max="10525" width="13.28515625" style="575" customWidth="1"/>
    <col min="10526" max="10526" width="35.5703125" style="575" customWidth="1"/>
    <col min="10527" max="10527" width="16" style="575" customWidth="1"/>
    <col min="10528" max="10528" width="15.140625" style="575" customWidth="1"/>
    <col min="10529" max="10529" width="14.28515625" style="575" customWidth="1"/>
    <col min="10530" max="10530" width="20.28515625" style="575" customWidth="1"/>
    <col min="10531" max="10531" width="11.5703125" style="575" bestFit="1" customWidth="1"/>
    <col min="10532" max="10532" width="10.42578125" style="575" bestFit="1" customWidth="1"/>
    <col min="10533" max="10533" width="14.85546875" style="575" customWidth="1"/>
    <col min="10534" max="10534" width="10.28515625" style="575" bestFit="1" customWidth="1"/>
    <col min="10535" max="10535" width="9.5703125" style="575"/>
    <col min="10536" max="10536" width="10.28515625" style="575" bestFit="1" customWidth="1"/>
    <col min="10537" max="10537" width="9.5703125" style="575"/>
    <col min="10538" max="10538" width="28.28515625" style="575" customWidth="1"/>
    <col min="10539" max="10539" width="14.5703125" style="575" customWidth="1"/>
    <col min="10540" max="10540" width="63" style="575" customWidth="1"/>
    <col min="10541" max="10541" width="14.140625" style="575" customWidth="1"/>
    <col min="10542" max="10542" width="9.7109375" style="575" bestFit="1" customWidth="1"/>
    <col min="10543" max="10543" width="13.140625" style="575" customWidth="1"/>
    <col min="10544" max="10544" width="12" style="575" customWidth="1"/>
    <col min="10545" max="10748" width="9.5703125" style="575"/>
    <col min="10749" max="10749" width="9.7109375" style="575" bestFit="1" customWidth="1"/>
    <col min="10750" max="10752" width="9.5703125" style="575"/>
    <col min="10753" max="10753" width="10" style="575" customWidth="1"/>
    <col min="10754" max="10754" width="82.28515625" style="575" customWidth="1"/>
    <col min="10755" max="10755" width="20.85546875" style="575" customWidth="1"/>
    <col min="10756" max="10756" width="17.7109375" style="575" customWidth="1"/>
    <col min="10757" max="10757" width="11" style="575" customWidth="1"/>
    <col min="10758" max="10758" width="22.85546875" style="575" customWidth="1"/>
    <col min="10759" max="10759" width="18.28515625" style="575" customWidth="1"/>
    <col min="10760" max="10760" width="55.7109375" style="575" customWidth="1"/>
    <col min="10761" max="10761" width="18.42578125" style="575" customWidth="1"/>
    <col min="10762" max="10762" width="14.7109375" style="575" customWidth="1"/>
    <col min="10763" max="10763" width="16.5703125" style="575" customWidth="1"/>
    <col min="10764" max="10764" width="12.5703125" style="575" customWidth="1"/>
    <col min="10765" max="10765" width="14.42578125" style="575" customWidth="1"/>
    <col min="10766" max="10766" width="11" style="575" bestFit="1" customWidth="1"/>
    <col min="10767" max="10767" width="65.5703125" style="575" customWidth="1"/>
    <col min="10768" max="10768" width="20" style="575" customWidth="1"/>
    <col min="10769" max="10769" width="13.7109375" style="575" customWidth="1"/>
    <col min="10770" max="10770" width="15.140625" style="575" customWidth="1"/>
    <col min="10771" max="10771" width="14" style="575" customWidth="1"/>
    <col min="10772" max="10772" width="11.85546875" style="575" customWidth="1"/>
    <col min="10773" max="10773" width="60" style="575" customWidth="1"/>
    <col min="10774" max="10774" width="16.85546875" style="575" customWidth="1"/>
    <col min="10775" max="10775" width="20.7109375" style="575" customWidth="1"/>
    <col min="10776" max="10777" width="13" style="575" customWidth="1"/>
    <col min="10778" max="10778" width="12.42578125" style="575" customWidth="1"/>
    <col min="10779" max="10779" width="6.140625" style="575" customWidth="1"/>
    <col min="10780" max="10780" width="18.7109375" style="575" customWidth="1"/>
    <col min="10781" max="10781" width="13.28515625" style="575" customWidth="1"/>
    <col min="10782" max="10782" width="35.5703125" style="575" customWidth="1"/>
    <col min="10783" max="10783" width="16" style="575" customWidth="1"/>
    <col min="10784" max="10784" width="15.140625" style="575" customWidth="1"/>
    <col min="10785" max="10785" width="14.28515625" style="575" customWidth="1"/>
    <col min="10786" max="10786" width="20.28515625" style="575" customWidth="1"/>
    <col min="10787" max="10787" width="11.5703125" style="575" bestFit="1" customWidth="1"/>
    <col min="10788" max="10788" width="10.42578125" style="575" bestFit="1" customWidth="1"/>
    <col min="10789" max="10789" width="14.85546875" style="575" customWidth="1"/>
    <col min="10790" max="10790" width="10.28515625" style="575" bestFit="1" customWidth="1"/>
    <col min="10791" max="10791" width="9.5703125" style="575"/>
    <col min="10792" max="10792" width="10.28515625" style="575" bestFit="1" customWidth="1"/>
    <col min="10793" max="10793" width="9.5703125" style="575"/>
    <col min="10794" max="10794" width="28.28515625" style="575" customWidth="1"/>
    <col min="10795" max="10795" width="14.5703125" style="575" customWidth="1"/>
    <col min="10796" max="10796" width="63" style="575" customWidth="1"/>
    <col min="10797" max="10797" width="14.140625" style="575" customWidth="1"/>
    <col min="10798" max="10798" width="9.7109375" style="575" bestFit="1" customWidth="1"/>
    <col min="10799" max="10799" width="13.140625" style="575" customWidth="1"/>
    <col min="10800" max="10800" width="12" style="575" customWidth="1"/>
    <col min="10801" max="11004" width="9.5703125" style="575"/>
    <col min="11005" max="11005" width="9.7109375" style="575" bestFit="1" customWidth="1"/>
    <col min="11006" max="11008" width="9.5703125" style="575"/>
    <col min="11009" max="11009" width="10" style="575" customWidth="1"/>
    <col min="11010" max="11010" width="82.28515625" style="575" customWidth="1"/>
    <col min="11011" max="11011" width="20.85546875" style="575" customWidth="1"/>
    <col min="11012" max="11012" width="17.7109375" style="575" customWidth="1"/>
    <col min="11013" max="11013" width="11" style="575" customWidth="1"/>
    <col min="11014" max="11014" width="22.85546875" style="575" customWidth="1"/>
    <col min="11015" max="11015" width="18.28515625" style="575" customWidth="1"/>
    <col min="11016" max="11016" width="55.7109375" style="575" customWidth="1"/>
    <col min="11017" max="11017" width="18.42578125" style="575" customWidth="1"/>
    <col min="11018" max="11018" width="14.7109375" style="575" customWidth="1"/>
    <col min="11019" max="11019" width="16.5703125" style="575" customWidth="1"/>
    <col min="11020" max="11020" width="12.5703125" style="575" customWidth="1"/>
    <col min="11021" max="11021" width="14.42578125" style="575" customWidth="1"/>
    <col min="11022" max="11022" width="11" style="575" bestFit="1" customWidth="1"/>
    <col min="11023" max="11023" width="65.5703125" style="575" customWidth="1"/>
    <col min="11024" max="11024" width="20" style="575" customWidth="1"/>
    <col min="11025" max="11025" width="13.7109375" style="575" customWidth="1"/>
    <col min="11026" max="11026" width="15.140625" style="575" customWidth="1"/>
    <col min="11027" max="11027" width="14" style="575" customWidth="1"/>
    <col min="11028" max="11028" width="11.85546875" style="575" customWidth="1"/>
    <col min="11029" max="11029" width="60" style="575" customWidth="1"/>
    <col min="11030" max="11030" width="16.85546875" style="575" customWidth="1"/>
    <col min="11031" max="11031" width="20.7109375" style="575" customWidth="1"/>
    <col min="11032" max="11033" width="13" style="575" customWidth="1"/>
    <col min="11034" max="11034" width="12.42578125" style="575" customWidth="1"/>
    <col min="11035" max="11035" width="6.140625" style="575" customWidth="1"/>
    <col min="11036" max="11036" width="18.7109375" style="575" customWidth="1"/>
    <col min="11037" max="11037" width="13.28515625" style="575" customWidth="1"/>
    <col min="11038" max="11038" width="35.5703125" style="575" customWidth="1"/>
    <col min="11039" max="11039" width="16" style="575" customWidth="1"/>
    <col min="11040" max="11040" width="15.140625" style="575" customWidth="1"/>
    <col min="11041" max="11041" width="14.28515625" style="575" customWidth="1"/>
    <col min="11042" max="11042" width="20.28515625" style="575" customWidth="1"/>
    <col min="11043" max="11043" width="11.5703125" style="575" bestFit="1" customWidth="1"/>
    <col min="11044" max="11044" width="10.42578125" style="575" bestFit="1" customWidth="1"/>
    <col min="11045" max="11045" width="14.85546875" style="575" customWidth="1"/>
    <col min="11046" max="11046" width="10.28515625" style="575" bestFit="1" customWidth="1"/>
    <col min="11047" max="11047" width="9.5703125" style="575"/>
    <col min="11048" max="11048" width="10.28515625" style="575" bestFit="1" customWidth="1"/>
    <col min="11049" max="11049" width="9.5703125" style="575"/>
    <col min="11050" max="11050" width="28.28515625" style="575" customWidth="1"/>
    <col min="11051" max="11051" width="14.5703125" style="575" customWidth="1"/>
    <col min="11052" max="11052" width="63" style="575" customWidth="1"/>
    <col min="11053" max="11053" width="14.140625" style="575" customWidth="1"/>
    <col min="11054" max="11054" width="9.7109375" style="575" bestFit="1" customWidth="1"/>
    <col min="11055" max="11055" width="13.140625" style="575" customWidth="1"/>
    <col min="11056" max="11056" width="12" style="575" customWidth="1"/>
    <col min="11057" max="11260" width="9.5703125" style="575"/>
    <col min="11261" max="11261" width="9.7109375" style="575" bestFit="1" customWidth="1"/>
    <col min="11262" max="11264" width="9.5703125" style="575"/>
    <col min="11265" max="11265" width="10" style="575" customWidth="1"/>
    <col min="11266" max="11266" width="82.28515625" style="575" customWidth="1"/>
    <col min="11267" max="11267" width="20.85546875" style="575" customWidth="1"/>
    <col min="11268" max="11268" width="17.7109375" style="575" customWidth="1"/>
    <col min="11269" max="11269" width="11" style="575" customWidth="1"/>
    <col min="11270" max="11270" width="22.85546875" style="575" customWidth="1"/>
    <col min="11271" max="11271" width="18.28515625" style="575" customWidth="1"/>
    <col min="11272" max="11272" width="55.7109375" style="575" customWidth="1"/>
    <col min="11273" max="11273" width="18.42578125" style="575" customWidth="1"/>
    <col min="11274" max="11274" width="14.7109375" style="575" customWidth="1"/>
    <col min="11275" max="11275" width="16.5703125" style="575" customWidth="1"/>
    <col min="11276" max="11276" width="12.5703125" style="575" customWidth="1"/>
    <col min="11277" max="11277" width="14.42578125" style="575" customWidth="1"/>
    <col min="11278" max="11278" width="11" style="575" bestFit="1" customWidth="1"/>
    <col min="11279" max="11279" width="65.5703125" style="575" customWidth="1"/>
    <col min="11280" max="11280" width="20" style="575" customWidth="1"/>
    <col min="11281" max="11281" width="13.7109375" style="575" customWidth="1"/>
    <col min="11282" max="11282" width="15.140625" style="575" customWidth="1"/>
    <col min="11283" max="11283" width="14" style="575" customWidth="1"/>
    <col min="11284" max="11284" width="11.85546875" style="575" customWidth="1"/>
    <col min="11285" max="11285" width="60" style="575" customWidth="1"/>
    <col min="11286" max="11286" width="16.85546875" style="575" customWidth="1"/>
    <col min="11287" max="11287" width="20.7109375" style="575" customWidth="1"/>
    <col min="11288" max="11289" width="13" style="575" customWidth="1"/>
    <col min="11290" max="11290" width="12.42578125" style="575" customWidth="1"/>
    <col min="11291" max="11291" width="6.140625" style="575" customWidth="1"/>
    <col min="11292" max="11292" width="18.7109375" style="575" customWidth="1"/>
    <col min="11293" max="11293" width="13.28515625" style="575" customWidth="1"/>
    <col min="11294" max="11294" width="35.5703125" style="575" customWidth="1"/>
    <col min="11295" max="11295" width="16" style="575" customWidth="1"/>
    <col min="11296" max="11296" width="15.140625" style="575" customWidth="1"/>
    <col min="11297" max="11297" width="14.28515625" style="575" customWidth="1"/>
    <col min="11298" max="11298" width="20.28515625" style="575" customWidth="1"/>
    <col min="11299" max="11299" width="11.5703125" style="575" bestFit="1" customWidth="1"/>
    <col min="11300" max="11300" width="10.42578125" style="575" bestFit="1" customWidth="1"/>
    <col min="11301" max="11301" width="14.85546875" style="575" customWidth="1"/>
    <col min="11302" max="11302" width="10.28515625" style="575" bestFit="1" customWidth="1"/>
    <col min="11303" max="11303" width="9.5703125" style="575"/>
    <col min="11304" max="11304" width="10.28515625" style="575" bestFit="1" customWidth="1"/>
    <col min="11305" max="11305" width="9.5703125" style="575"/>
    <col min="11306" max="11306" width="28.28515625" style="575" customWidth="1"/>
    <col min="11307" max="11307" width="14.5703125" style="575" customWidth="1"/>
    <col min="11308" max="11308" width="63" style="575" customWidth="1"/>
    <col min="11309" max="11309" width="14.140625" style="575" customWidth="1"/>
    <col min="11310" max="11310" width="9.7109375" style="575" bestFit="1" customWidth="1"/>
    <col min="11311" max="11311" width="13.140625" style="575" customWidth="1"/>
    <col min="11312" max="11312" width="12" style="575" customWidth="1"/>
    <col min="11313" max="11516" width="9.5703125" style="575"/>
    <col min="11517" max="11517" width="9.7109375" style="575" bestFit="1" customWidth="1"/>
    <col min="11518" max="11520" width="9.5703125" style="575"/>
    <col min="11521" max="11521" width="10" style="575" customWidth="1"/>
    <col min="11522" max="11522" width="82.28515625" style="575" customWidth="1"/>
    <col min="11523" max="11523" width="20.85546875" style="575" customWidth="1"/>
    <col min="11524" max="11524" width="17.7109375" style="575" customWidth="1"/>
    <col min="11525" max="11525" width="11" style="575" customWidth="1"/>
    <col min="11526" max="11526" width="22.85546875" style="575" customWidth="1"/>
    <col min="11527" max="11527" width="18.28515625" style="575" customWidth="1"/>
    <col min="11528" max="11528" width="55.7109375" style="575" customWidth="1"/>
    <col min="11529" max="11529" width="18.42578125" style="575" customWidth="1"/>
    <col min="11530" max="11530" width="14.7109375" style="575" customWidth="1"/>
    <col min="11531" max="11531" width="16.5703125" style="575" customWidth="1"/>
    <col min="11532" max="11532" width="12.5703125" style="575" customWidth="1"/>
    <col min="11533" max="11533" width="14.42578125" style="575" customWidth="1"/>
    <col min="11534" max="11534" width="11" style="575" bestFit="1" customWidth="1"/>
    <col min="11535" max="11535" width="65.5703125" style="575" customWidth="1"/>
    <col min="11536" max="11536" width="20" style="575" customWidth="1"/>
    <col min="11537" max="11537" width="13.7109375" style="575" customWidth="1"/>
    <col min="11538" max="11538" width="15.140625" style="575" customWidth="1"/>
    <col min="11539" max="11539" width="14" style="575" customWidth="1"/>
    <col min="11540" max="11540" width="11.85546875" style="575" customWidth="1"/>
    <col min="11541" max="11541" width="60" style="575" customWidth="1"/>
    <col min="11542" max="11542" width="16.85546875" style="575" customWidth="1"/>
    <col min="11543" max="11543" width="20.7109375" style="575" customWidth="1"/>
    <col min="11544" max="11545" width="13" style="575" customWidth="1"/>
    <col min="11546" max="11546" width="12.42578125" style="575" customWidth="1"/>
    <col min="11547" max="11547" width="6.140625" style="575" customWidth="1"/>
    <col min="11548" max="11548" width="18.7109375" style="575" customWidth="1"/>
    <col min="11549" max="11549" width="13.28515625" style="575" customWidth="1"/>
    <col min="11550" max="11550" width="35.5703125" style="575" customWidth="1"/>
    <col min="11551" max="11551" width="16" style="575" customWidth="1"/>
    <col min="11552" max="11552" width="15.140625" style="575" customWidth="1"/>
    <col min="11553" max="11553" width="14.28515625" style="575" customWidth="1"/>
    <col min="11554" max="11554" width="20.28515625" style="575" customWidth="1"/>
    <col min="11555" max="11555" width="11.5703125" style="575" bestFit="1" customWidth="1"/>
    <col min="11556" max="11556" width="10.42578125" style="575" bestFit="1" customWidth="1"/>
    <col min="11557" max="11557" width="14.85546875" style="575" customWidth="1"/>
    <col min="11558" max="11558" width="10.28515625" style="575" bestFit="1" customWidth="1"/>
    <col min="11559" max="11559" width="9.5703125" style="575"/>
    <col min="11560" max="11560" width="10.28515625" style="575" bestFit="1" customWidth="1"/>
    <col min="11561" max="11561" width="9.5703125" style="575"/>
    <col min="11562" max="11562" width="28.28515625" style="575" customWidth="1"/>
    <col min="11563" max="11563" width="14.5703125" style="575" customWidth="1"/>
    <col min="11564" max="11564" width="63" style="575" customWidth="1"/>
    <col min="11565" max="11565" width="14.140625" style="575" customWidth="1"/>
    <col min="11566" max="11566" width="9.7109375" style="575" bestFit="1" customWidth="1"/>
    <col min="11567" max="11567" width="13.140625" style="575" customWidth="1"/>
    <col min="11568" max="11568" width="12" style="575" customWidth="1"/>
    <col min="11569" max="11772" width="9.5703125" style="575"/>
    <col min="11773" max="11773" width="9.7109375" style="575" bestFit="1" customWidth="1"/>
    <col min="11774" max="11776" width="9.5703125" style="575"/>
    <col min="11777" max="11777" width="10" style="575" customWidth="1"/>
    <col min="11778" max="11778" width="82.28515625" style="575" customWidth="1"/>
    <col min="11779" max="11779" width="20.85546875" style="575" customWidth="1"/>
    <col min="11780" max="11780" width="17.7109375" style="575" customWidth="1"/>
    <col min="11781" max="11781" width="11" style="575" customWidth="1"/>
    <col min="11782" max="11782" width="22.85546875" style="575" customWidth="1"/>
    <col min="11783" max="11783" width="18.28515625" style="575" customWidth="1"/>
    <col min="11784" max="11784" width="55.7109375" style="575" customWidth="1"/>
    <col min="11785" max="11785" width="18.42578125" style="575" customWidth="1"/>
    <col min="11786" max="11786" width="14.7109375" style="575" customWidth="1"/>
    <col min="11787" max="11787" width="16.5703125" style="575" customWidth="1"/>
    <col min="11788" max="11788" width="12.5703125" style="575" customWidth="1"/>
    <col min="11789" max="11789" width="14.42578125" style="575" customWidth="1"/>
    <col min="11790" max="11790" width="11" style="575" bestFit="1" customWidth="1"/>
    <col min="11791" max="11791" width="65.5703125" style="575" customWidth="1"/>
    <col min="11792" max="11792" width="20" style="575" customWidth="1"/>
    <col min="11793" max="11793" width="13.7109375" style="575" customWidth="1"/>
    <col min="11794" max="11794" width="15.140625" style="575" customWidth="1"/>
    <col min="11795" max="11795" width="14" style="575" customWidth="1"/>
    <col min="11796" max="11796" width="11.85546875" style="575" customWidth="1"/>
    <col min="11797" max="11797" width="60" style="575" customWidth="1"/>
    <col min="11798" max="11798" width="16.85546875" style="575" customWidth="1"/>
    <col min="11799" max="11799" width="20.7109375" style="575" customWidth="1"/>
    <col min="11800" max="11801" width="13" style="575" customWidth="1"/>
    <col min="11802" max="11802" width="12.42578125" style="575" customWidth="1"/>
    <col min="11803" max="11803" width="6.140625" style="575" customWidth="1"/>
    <col min="11804" max="11804" width="18.7109375" style="575" customWidth="1"/>
    <col min="11805" max="11805" width="13.28515625" style="575" customWidth="1"/>
    <col min="11806" max="11806" width="35.5703125" style="575" customWidth="1"/>
    <col min="11807" max="11807" width="16" style="575" customWidth="1"/>
    <col min="11808" max="11808" width="15.140625" style="575" customWidth="1"/>
    <col min="11809" max="11809" width="14.28515625" style="575" customWidth="1"/>
    <col min="11810" max="11810" width="20.28515625" style="575" customWidth="1"/>
    <col min="11811" max="11811" width="11.5703125" style="575" bestFit="1" customWidth="1"/>
    <col min="11812" max="11812" width="10.42578125" style="575" bestFit="1" customWidth="1"/>
    <col min="11813" max="11813" width="14.85546875" style="575" customWidth="1"/>
    <col min="11814" max="11814" width="10.28515625" style="575" bestFit="1" customWidth="1"/>
    <col min="11815" max="11815" width="9.5703125" style="575"/>
    <col min="11816" max="11816" width="10.28515625" style="575" bestFit="1" customWidth="1"/>
    <col min="11817" max="11817" width="9.5703125" style="575"/>
    <col min="11818" max="11818" width="28.28515625" style="575" customWidth="1"/>
    <col min="11819" max="11819" width="14.5703125" style="575" customWidth="1"/>
    <col min="11820" max="11820" width="63" style="575" customWidth="1"/>
    <col min="11821" max="11821" width="14.140625" style="575" customWidth="1"/>
    <col min="11822" max="11822" width="9.7109375" style="575" bestFit="1" customWidth="1"/>
    <col min="11823" max="11823" width="13.140625" style="575" customWidth="1"/>
    <col min="11824" max="11824" width="12" style="575" customWidth="1"/>
    <col min="11825" max="12028" width="9.5703125" style="575"/>
    <col min="12029" max="12029" width="9.7109375" style="575" bestFit="1" customWidth="1"/>
    <col min="12030" max="12032" width="9.5703125" style="575"/>
    <col min="12033" max="12033" width="10" style="575" customWidth="1"/>
    <col min="12034" max="12034" width="82.28515625" style="575" customWidth="1"/>
    <col min="12035" max="12035" width="20.85546875" style="575" customWidth="1"/>
    <col min="12036" max="12036" width="17.7109375" style="575" customWidth="1"/>
    <col min="12037" max="12037" width="11" style="575" customWidth="1"/>
    <col min="12038" max="12038" width="22.85546875" style="575" customWidth="1"/>
    <col min="12039" max="12039" width="18.28515625" style="575" customWidth="1"/>
    <col min="12040" max="12040" width="55.7109375" style="575" customWidth="1"/>
    <col min="12041" max="12041" width="18.42578125" style="575" customWidth="1"/>
    <col min="12042" max="12042" width="14.7109375" style="575" customWidth="1"/>
    <col min="12043" max="12043" width="16.5703125" style="575" customWidth="1"/>
    <col min="12044" max="12044" width="12.5703125" style="575" customWidth="1"/>
    <col min="12045" max="12045" width="14.42578125" style="575" customWidth="1"/>
    <col min="12046" max="12046" width="11" style="575" bestFit="1" customWidth="1"/>
    <col min="12047" max="12047" width="65.5703125" style="575" customWidth="1"/>
    <col min="12048" max="12048" width="20" style="575" customWidth="1"/>
    <col min="12049" max="12049" width="13.7109375" style="575" customWidth="1"/>
    <col min="12050" max="12050" width="15.140625" style="575" customWidth="1"/>
    <col min="12051" max="12051" width="14" style="575" customWidth="1"/>
    <col min="12052" max="12052" width="11.85546875" style="575" customWidth="1"/>
    <col min="12053" max="12053" width="60" style="575" customWidth="1"/>
    <col min="12054" max="12054" width="16.85546875" style="575" customWidth="1"/>
    <col min="12055" max="12055" width="20.7109375" style="575" customWidth="1"/>
    <col min="12056" max="12057" width="13" style="575" customWidth="1"/>
    <col min="12058" max="12058" width="12.42578125" style="575" customWidth="1"/>
    <col min="12059" max="12059" width="6.140625" style="575" customWidth="1"/>
    <col min="12060" max="12060" width="18.7109375" style="575" customWidth="1"/>
    <col min="12061" max="12061" width="13.28515625" style="575" customWidth="1"/>
    <col min="12062" max="12062" width="35.5703125" style="575" customWidth="1"/>
    <col min="12063" max="12063" width="16" style="575" customWidth="1"/>
    <col min="12064" max="12064" width="15.140625" style="575" customWidth="1"/>
    <col min="12065" max="12065" width="14.28515625" style="575" customWidth="1"/>
    <col min="12066" max="12066" width="20.28515625" style="575" customWidth="1"/>
    <col min="12067" max="12067" width="11.5703125" style="575" bestFit="1" customWidth="1"/>
    <col min="12068" max="12068" width="10.42578125" style="575" bestFit="1" customWidth="1"/>
    <col min="12069" max="12069" width="14.85546875" style="575" customWidth="1"/>
    <col min="12070" max="12070" width="10.28515625" style="575" bestFit="1" customWidth="1"/>
    <col min="12071" max="12071" width="9.5703125" style="575"/>
    <col min="12072" max="12072" width="10.28515625" style="575" bestFit="1" customWidth="1"/>
    <col min="12073" max="12073" width="9.5703125" style="575"/>
    <col min="12074" max="12074" width="28.28515625" style="575" customWidth="1"/>
    <col min="12075" max="12075" width="14.5703125" style="575" customWidth="1"/>
    <col min="12076" max="12076" width="63" style="575" customWidth="1"/>
    <col min="12077" max="12077" width="14.140625" style="575" customWidth="1"/>
    <col min="12078" max="12078" width="9.7109375" style="575" bestFit="1" customWidth="1"/>
    <col min="12079" max="12079" width="13.140625" style="575" customWidth="1"/>
    <col min="12080" max="12080" width="12" style="575" customWidth="1"/>
    <col min="12081" max="12284" width="9.5703125" style="575"/>
    <col min="12285" max="12285" width="9.7109375" style="575" bestFit="1" customWidth="1"/>
    <col min="12286" max="12288" width="9.5703125" style="575"/>
    <col min="12289" max="12289" width="10" style="575" customWidth="1"/>
    <col min="12290" max="12290" width="82.28515625" style="575" customWidth="1"/>
    <col min="12291" max="12291" width="20.85546875" style="575" customWidth="1"/>
    <col min="12292" max="12292" width="17.7109375" style="575" customWidth="1"/>
    <col min="12293" max="12293" width="11" style="575" customWidth="1"/>
    <col min="12294" max="12294" width="22.85546875" style="575" customWidth="1"/>
    <col min="12295" max="12295" width="18.28515625" style="575" customWidth="1"/>
    <col min="12296" max="12296" width="55.7109375" style="575" customWidth="1"/>
    <col min="12297" max="12297" width="18.42578125" style="575" customWidth="1"/>
    <col min="12298" max="12298" width="14.7109375" style="575" customWidth="1"/>
    <col min="12299" max="12299" width="16.5703125" style="575" customWidth="1"/>
    <col min="12300" max="12300" width="12.5703125" style="575" customWidth="1"/>
    <col min="12301" max="12301" width="14.42578125" style="575" customWidth="1"/>
    <col min="12302" max="12302" width="11" style="575" bestFit="1" customWidth="1"/>
    <col min="12303" max="12303" width="65.5703125" style="575" customWidth="1"/>
    <col min="12304" max="12304" width="20" style="575" customWidth="1"/>
    <col min="12305" max="12305" width="13.7109375" style="575" customWidth="1"/>
    <col min="12306" max="12306" width="15.140625" style="575" customWidth="1"/>
    <col min="12307" max="12307" width="14" style="575" customWidth="1"/>
    <col min="12308" max="12308" width="11.85546875" style="575" customWidth="1"/>
    <col min="12309" max="12309" width="60" style="575" customWidth="1"/>
    <col min="12310" max="12310" width="16.85546875" style="575" customWidth="1"/>
    <col min="12311" max="12311" width="20.7109375" style="575" customWidth="1"/>
    <col min="12312" max="12313" width="13" style="575" customWidth="1"/>
    <col min="12314" max="12314" width="12.42578125" style="575" customWidth="1"/>
    <col min="12315" max="12315" width="6.140625" style="575" customWidth="1"/>
    <col min="12316" max="12316" width="18.7109375" style="575" customWidth="1"/>
    <col min="12317" max="12317" width="13.28515625" style="575" customWidth="1"/>
    <col min="12318" max="12318" width="35.5703125" style="575" customWidth="1"/>
    <col min="12319" max="12319" width="16" style="575" customWidth="1"/>
    <col min="12320" max="12320" width="15.140625" style="575" customWidth="1"/>
    <col min="12321" max="12321" width="14.28515625" style="575" customWidth="1"/>
    <col min="12322" max="12322" width="20.28515625" style="575" customWidth="1"/>
    <col min="12323" max="12323" width="11.5703125" style="575" bestFit="1" customWidth="1"/>
    <col min="12324" max="12324" width="10.42578125" style="575" bestFit="1" customWidth="1"/>
    <col min="12325" max="12325" width="14.85546875" style="575" customWidth="1"/>
    <col min="12326" max="12326" width="10.28515625" style="575" bestFit="1" customWidth="1"/>
    <col min="12327" max="12327" width="9.5703125" style="575"/>
    <col min="12328" max="12328" width="10.28515625" style="575" bestFit="1" customWidth="1"/>
    <col min="12329" max="12329" width="9.5703125" style="575"/>
    <col min="12330" max="12330" width="28.28515625" style="575" customWidth="1"/>
    <col min="12331" max="12331" width="14.5703125" style="575" customWidth="1"/>
    <col min="12332" max="12332" width="63" style="575" customWidth="1"/>
    <col min="12333" max="12333" width="14.140625" style="575" customWidth="1"/>
    <col min="12334" max="12334" width="9.7109375" style="575" bestFit="1" customWidth="1"/>
    <col min="12335" max="12335" width="13.140625" style="575" customWidth="1"/>
    <col min="12336" max="12336" width="12" style="575" customWidth="1"/>
    <col min="12337" max="12540" width="9.5703125" style="575"/>
    <col min="12541" max="12541" width="9.7109375" style="575" bestFit="1" customWidth="1"/>
    <col min="12542" max="12544" width="9.5703125" style="575"/>
    <col min="12545" max="12545" width="10" style="575" customWidth="1"/>
    <col min="12546" max="12546" width="82.28515625" style="575" customWidth="1"/>
    <col min="12547" max="12547" width="20.85546875" style="575" customWidth="1"/>
    <col min="12548" max="12548" width="17.7109375" style="575" customWidth="1"/>
    <col min="12549" max="12549" width="11" style="575" customWidth="1"/>
    <col min="12550" max="12550" width="22.85546875" style="575" customWidth="1"/>
    <col min="12551" max="12551" width="18.28515625" style="575" customWidth="1"/>
    <col min="12552" max="12552" width="55.7109375" style="575" customWidth="1"/>
    <col min="12553" max="12553" width="18.42578125" style="575" customWidth="1"/>
    <col min="12554" max="12554" width="14.7109375" style="575" customWidth="1"/>
    <col min="12555" max="12555" width="16.5703125" style="575" customWidth="1"/>
    <col min="12556" max="12556" width="12.5703125" style="575" customWidth="1"/>
    <col min="12557" max="12557" width="14.42578125" style="575" customWidth="1"/>
    <col min="12558" max="12558" width="11" style="575" bestFit="1" customWidth="1"/>
    <col min="12559" max="12559" width="65.5703125" style="575" customWidth="1"/>
    <col min="12560" max="12560" width="20" style="575" customWidth="1"/>
    <col min="12561" max="12561" width="13.7109375" style="575" customWidth="1"/>
    <col min="12562" max="12562" width="15.140625" style="575" customWidth="1"/>
    <col min="12563" max="12563" width="14" style="575" customWidth="1"/>
    <col min="12564" max="12564" width="11.85546875" style="575" customWidth="1"/>
    <col min="12565" max="12565" width="60" style="575" customWidth="1"/>
    <col min="12566" max="12566" width="16.85546875" style="575" customWidth="1"/>
    <col min="12567" max="12567" width="20.7109375" style="575" customWidth="1"/>
    <col min="12568" max="12569" width="13" style="575" customWidth="1"/>
    <col min="12570" max="12570" width="12.42578125" style="575" customWidth="1"/>
    <col min="12571" max="12571" width="6.140625" style="575" customWidth="1"/>
    <col min="12572" max="12572" width="18.7109375" style="575" customWidth="1"/>
    <col min="12573" max="12573" width="13.28515625" style="575" customWidth="1"/>
    <col min="12574" max="12574" width="35.5703125" style="575" customWidth="1"/>
    <col min="12575" max="12575" width="16" style="575" customWidth="1"/>
    <col min="12576" max="12576" width="15.140625" style="575" customWidth="1"/>
    <col min="12577" max="12577" width="14.28515625" style="575" customWidth="1"/>
    <col min="12578" max="12578" width="20.28515625" style="575" customWidth="1"/>
    <col min="12579" max="12579" width="11.5703125" style="575" bestFit="1" customWidth="1"/>
    <col min="12580" max="12580" width="10.42578125" style="575" bestFit="1" customWidth="1"/>
    <col min="12581" max="12581" width="14.85546875" style="575" customWidth="1"/>
    <col min="12582" max="12582" width="10.28515625" style="575" bestFit="1" customWidth="1"/>
    <col min="12583" max="12583" width="9.5703125" style="575"/>
    <col min="12584" max="12584" width="10.28515625" style="575" bestFit="1" customWidth="1"/>
    <col min="12585" max="12585" width="9.5703125" style="575"/>
    <col min="12586" max="12586" width="28.28515625" style="575" customWidth="1"/>
    <col min="12587" max="12587" width="14.5703125" style="575" customWidth="1"/>
    <col min="12588" max="12588" width="63" style="575" customWidth="1"/>
    <col min="12589" max="12589" width="14.140625" style="575" customWidth="1"/>
    <col min="12590" max="12590" width="9.7109375" style="575" bestFit="1" customWidth="1"/>
    <col min="12591" max="12591" width="13.140625" style="575" customWidth="1"/>
    <col min="12592" max="12592" width="12" style="575" customWidth="1"/>
    <col min="12593" max="12796" width="9.5703125" style="575"/>
    <col min="12797" max="12797" width="9.7109375" style="575" bestFit="1" customWidth="1"/>
    <col min="12798" max="12800" width="9.5703125" style="575"/>
    <col min="12801" max="12801" width="10" style="575" customWidth="1"/>
    <col min="12802" max="12802" width="82.28515625" style="575" customWidth="1"/>
    <col min="12803" max="12803" width="20.85546875" style="575" customWidth="1"/>
    <col min="12804" max="12804" width="17.7109375" style="575" customWidth="1"/>
    <col min="12805" max="12805" width="11" style="575" customWidth="1"/>
    <col min="12806" max="12806" width="22.85546875" style="575" customWidth="1"/>
    <col min="12807" max="12807" width="18.28515625" style="575" customWidth="1"/>
    <col min="12808" max="12808" width="55.7109375" style="575" customWidth="1"/>
    <col min="12809" max="12809" width="18.42578125" style="575" customWidth="1"/>
    <col min="12810" max="12810" width="14.7109375" style="575" customWidth="1"/>
    <col min="12811" max="12811" width="16.5703125" style="575" customWidth="1"/>
    <col min="12812" max="12812" width="12.5703125" style="575" customWidth="1"/>
    <col min="12813" max="12813" width="14.42578125" style="575" customWidth="1"/>
    <col min="12814" max="12814" width="11" style="575" bestFit="1" customWidth="1"/>
    <col min="12815" max="12815" width="65.5703125" style="575" customWidth="1"/>
    <col min="12816" max="12816" width="20" style="575" customWidth="1"/>
    <col min="12817" max="12817" width="13.7109375" style="575" customWidth="1"/>
    <col min="12818" max="12818" width="15.140625" style="575" customWidth="1"/>
    <col min="12819" max="12819" width="14" style="575" customWidth="1"/>
    <col min="12820" max="12820" width="11.85546875" style="575" customWidth="1"/>
    <col min="12821" max="12821" width="60" style="575" customWidth="1"/>
    <col min="12822" max="12822" width="16.85546875" style="575" customWidth="1"/>
    <col min="12823" max="12823" width="20.7109375" style="575" customWidth="1"/>
    <col min="12824" max="12825" width="13" style="575" customWidth="1"/>
    <col min="12826" max="12826" width="12.42578125" style="575" customWidth="1"/>
    <col min="12827" max="12827" width="6.140625" style="575" customWidth="1"/>
    <col min="12828" max="12828" width="18.7109375" style="575" customWidth="1"/>
    <col min="12829" max="12829" width="13.28515625" style="575" customWidth="1"/>
    <col min="12830" max="12830" width="35.5703125" style="575" customWidth="1"/>
    <col min="12831" max="12831" width="16" style="575" customWidth="1"/>
    <col min="12832" max="12832" width="15.140625" style="575" customWidth="1"/>
    <col min="12833" max="12833" width="14.28515625" style="575" customWidth="1"/>
    <col min="12834" max="12834" width="20.28515625" style="575" customWidth="1"/>
    <col min="12835" max="12835" width="11.5703125" style="575" bestFit="1" customWidth="1"/>
    <col min="12836" max="12836" width="10.42578125" style="575" bestFit="1" customWidth="1"/>
    <col min="12837" max="12837" width="14.85546875" style="575" customWidth="1"/>
    <col min="12838" max="12838" width="10.28515625" style="575" bestFit="1" customWidth="1"/>
    <col min="12839" max="12839" width="9.5703125" style="575"/>
    <col min="12840" max="12840" width="10.28515625" style="575" bestFit="1" customWidth="1"/>
    <col min="12841" max="12841" width="9.5703125" style="575"/>
    <col min="12842" max="12842" width="28.28515625" style="575" customWidth="1"/>
    <col min="12843" max="12843" width="14.5703125" style="575" customWidth="1"/>
    <col min="12844" max="12844" width="63" style="575" customWidth="1"/>
    <col min="12845" max="12845" width="14.140625" style="575" customWidth="1"/>
    <col min="12846" max="12846" width="9.7109375" style="575" bestFit="1" customWidth="1"/>
    <col min="12847" max="12847" width="13.140625" style="575" customWidth="1"/>
    <col min="12848" max="12848" width="12" style="575" customWidth="1"/>
    <col min="12849" max="13052" width="9.5703125" style="575"/>
    <col min="13053" max="13053" width="9.7109375" style="575" bestFit="1" customWidth="1"/>
    <col min="13054" max="13056" width="9.5703125" style="575"/>
    <col min="13057" max="13057" width="10" style="575" customWidth="1"/>
    <col min="13058" max="13058" width="82.28515625" style="575" customWidth="1"/>
    <col min="13059" max="13059" width="20.85546875" style="575" customWidth="1"/>
    <col min="13060" max="13060" width="17.7109375" style="575" customWidth="1"/>
    <col min="13061" max="13061" width="11" style="575" customWidth="1"/>
    <col min="13062" max="13062" width="22.85546875" style="575" customWidth="1"/>
    <col min="13063" max="13063" width="18.28515625" style="575" customWidth="1"/>
    <col min="13064" max="13064" width="55.7109375" style="575" customWidth="1"/>
    <col min="13065" max="13065" width="18.42578125" style="575" customWidth="1"/>
    <col min="13066" max="13066" width="14.7109375" style="575" customWidth="1"/>
    <col min="13067" max="13067" width="16.5703125" style="575" customWidth="1"/>
    <col min="13068" max="13068" width="12.5703125" style="575" customWidth="1"/>
    <col min="13069" max="13069" width="14.42578125" style="575" customWidth="1"/>
    <col min="13070" max="13070" width="11" style="575" bestFit="1" customWidth="1"/>
    <col min="13071" max="13071" width="65.5703125" style="575" customWidth="1"/>
    <col min="13072" max="13072" width="20" style="575" customWidth="1"/>
    <col min="13073" max="13073" width="13.7109375" style="575" customWidth="1"/>
    <col min="13074" max="13074" width="15.140625" style="575" customWidth="1"/>
    <col min="13075" max="13075" width="14" style="575" customWidth="1"/>
    <col min="13076" max="13076" width="11.85546875" style="575" customWidth="1"/>
    <col min="13077" max="13077" width="60" style="575" customWidth="1"/>
    <col min="13078" max="13078" width="16.85546875" style="575" customWidth="1"/>
    <col min="13079" max="13079" width="20.7109375" style="575" customWidth="1"/>
    <col min="13080" max="13081" width="13" style="575" customWidth="1"/>
    <col min="13082" max="13082" width="12.42578125" style="575" customWidth="1"/>
    <col min="13083" max="13083" width="6.140625" style="575" customWidth="1"/>
    <col min="13084" max="13084" width="18.7109375" style="575" customWidth="1"/>
    <col min="13085" max="13085" width="13.28515625" style="575" customWidth="1"/>
    <col min="13086" max="13086" width="35.5703125" style="575" customWidth="1"/>
    <col min="13087" max="13087" width="16" style="575" customWidth="1"/>
    <col min="13088" max="13088" width="15.140625" style="575" customWidth="1"/>
    <col min="13089" max="13089" width="14.28515625" style="575" customWidth="1"/>
    <col min="13090" max="13090" width="20.28515625" style="575" customWidth="1"/>
    <col min="13091" max="13091" width="11.5703125" style="575" bestFit="1" customWidth="1"/>
    <col min="13092" max="13092" width="10.42578125" style="575" bestFit="1" customWidth="1"/>
    <col min="13093" max="13093" width="14.85546875" style="575" customWidth="1"/>
    <col min="13094" max="13094" width="10.28515625" style="575" bestFit="1" customWidth="1"/>
    <col min="13095" max="13095" width="9.5703125" style="575"/>
    <col min="13096" max="13096" width="10.28515625" style="575" bestFit="1" customWidth="1"/>
    <col min="13097" max="13097" width="9.5703125" style="575"/>
    <col min="13098" max="13098" width="28.28515625" style="575" customWidth="1"/>
    <col min="13099" max="13099" width="14.5703125" style="575" customWidth="1"/>
    <col min="13100" max="13100" width="63" style="575" customWidth="1"/>
    <col min="13101" max="13101" width="14.140625" style="575" customWidth="1"/>
    <col min="13102" max="13102" width="9.7109375" style="575" bestFit="1" customWidth="1"/>
    <col min="13103" max="13103" width="13.140625" style="575" customWidth="1"/>
    <col min="13104" max="13104" width="12" style="575" customWidth="1"/>
    <col min="13105" max="13308" width="9.5703125" style="575"/>
    <col min="13309" max="13309" width="9.7109375" style="575" bestFit="1" customWidth="1"/>
    <col min="13310" max="13312" width="9.5703125" style="575"/>
    <col min="13313" max="13313" width="10" style="575" customWidth="1"/>
    <col min="13314" max="13314" width="82.28515625" style="575" customWidth="1"/>
    <col min="13315" max="13315" width="20.85546875" style="575" customWidth="1"/>
    <col min="13316" max="13316" width="17.7109375" style="575" customWidth="1"/>
    <col min="13317" max="13317" width="11" style="575" customWidth="1"/>
    <col min="13318" max="13318" width="22.85546875" style="575" customWidth="1"/>
    <col min="13319" max="13319" width="18.28515625" style="575" customWidth="1"/>
    <col min="13320" max="13320" width="55.7109375" style="575" customWidth="1"/>
    <col min="13321" max="13321" width="18.42578125" style="575" customWidth="1"/>
    <col min="13322" max="13322" width="14.7109375" style="575" customWidth="1"/>
    <col min="13323" max="13323" width="16.5703125" style="575" customWidth="1"/>
    <col min="13324" max="13324" width="12.5703125" style="575" customWidth="1"/>
    <col min="13325" max="13325" width="14.42578125" style="575" customWidth="1"/>
    <col min="13326" max="13326" width="11" style="575" bestFit="1" customWidth="1"/>
    <col min="13327" max="13327" width="65.5703125" style="575" customWidth="1"/>
    <col min="13328" max="13328" width="20" style="575" customWidth="1"/>
    <col min="13329" max="13329" width="13.7109375" style="575" customWidth="1"/>
    <col min="13330" max="13330" width="15.140625" style="575" customWidth="1"/>
    <col min="13331" max="13331" width="14" style="575" customWidth="1"/>
    <col min="13332" max="13332" width="11.85546875" style="575" customWidth="1"/>
    <col min="13333" max="13333" width="60" style="575" customWidth="1"/>
    <col min="13334" max="13334" width="16.85546875" style="575" customWidth="1"/>
    <col min="13335" max="13335" width="20.7109375" style="575" customWidth="1"/>
    <col min="13336" max="13337" width="13" style="575" customWidth="1"/>
    <col min="13338" max="13338" width="12.42578125" style="575" customWidth="1"/>
    <col min="13339" max="13339" width="6.140625" style="575" customWidth="1"/>
    <col min="13340" max="13340" width="18.7109375" style="575" customWidth="1"/>
    <col min="13341" max="13341" width="13.28515625" style="575" customWidth="1"/>
    <col min="13342" max="13342" width="35.5703125" style="575" customWidth="1"/>
    <col min="13343" max="13343" width="16" style="575" customWidth="1"/>
    <col min="13344" max="13344" width="15.140625" style="575" customWidth="1"/>
    <col min="13345" max="13345" width="14.28515625" style="575" customWidth="1"/>
    <col min="13346" max="13346" width="20.28515625" style="575" customWidth="1"/>
    <col min="13347" max="13347" width="11.5703125" style="575" bestFit="1" customWidth="1"/>
    <col min="13348" max="13348" width="10.42578125" style="575" bestFit="1" customWidth="1"/>
    <col min="13349" max="13349" width="14.85546875" style="575" customWidth="1"/>
    <col min="13350" max="13350" width="10.28515625" style="575" bestFit="1" customWidth="1"/>
    <col min="13351" max="13351" width="9.5703125" style="575"/>
    <col min="13352" max="13352" width="10.28515625" style="575" bestFit="1" customWidth="1"/>
    <col min="13353" max="13353" width="9.5703125" style="575"/>
    <col min="13354" max="13354" width="28.28515625" style="575" customWidth="1"/>
    <col min="13355" max="13355" width="14.5703125" style="575" customWidth="1"/>
    <col min="13356" max="13356" width="63" style="575" customWidth="1"/>
    <col min="13357" max="13357" width="14.140625" style="575" customWidth="1"/>
    <col min="13358" max="13358" width="9.7109375" style="575" bestFit="1" customWidth="1"/>
    <col min="13359" max="13359" width="13.140625" style="575" customWidth="1"/>
    <col min="13360" max="13360" width="12" style="575" customWidth="1"/>
    <col min="13361" max="13564" width="9.5703125" style="575"/>
    <col min="13565" max="13565" width="9.7109375" style="575" bestFit="1" customWidth="1"/>
    <col min="13566" max="13568" width="9.5703125" style="575"/>
    <col min="13569" max="13569" width="10" style="575" customWidth="1"/>
    <col min="13570" max="13570" width="82.28515625" style="575" customWidth="1"/>
    <col min="13571" max="13571" width="20.85546875" style="575" customWidth="1"/>
    <col min="13572" max="13572" width="17.7109375" style="575" customWidth="1"/>
    <col min="13573" max="13573" width="11" style="575" customWidth="1"/>
    <col min="13574" max="13574" width="22.85546875" style="575" customWidth="1"/>
    <col min="13575" max="13575" width="18.28515625" style="575" customWidth="1"/>
    <col min="13576" max="13576" width="55.7109375" style="575" customWidth="1"/>
    <col min="13577" max="13577" width="18.42578125" style="575" customWidth="1"/>
    <col min="13578" max="13578" width="14.7109375" style="575" customWidth="1"/>
    <col min="13579" max="13579" width="16.5703125" style="575" customWidth="1"/>
    <col min="13580" max="13580" width="12.5703125" style="575" customWidth="1"/>
    <col min="13581" max="13581" width="14.42578125" style="575" customWidth="1"/>
    <col min="13582" max="13582" width="11" style="575" bestFit="1" customWidth="1"/>
    <col min="13583" max="13583" width="65.5703125" style="575" customWidth="1"/>
    <col min="13584" max="13584" width="20" style="575" customWidth="1"/>
    <col min="13585" max="13585" width="13.7109375" style="575" customWidth="1"/>
    <col min="13586" max="13586" width="15.140625" style="575" customWidth="1"/>
    <col min="13587" max="13587" width="14" style="575" customWidth="1"/>
    <col min="13588" max="13588" width="11.85546875" style="575" customWidth="1"/>
    <col min="13589" max="13589" width="60" style="575" customWidth="1"/>
    <col min="13590" max="13590" width="16.85546875" style="575" customWidth="1"/>
    <col min="13591" max="13591" width="20.7109375" style="575" customWidth="1"/>
    <col min="13592" max="13593" width="13" style="575" customWidth="1"/>
    <col min="13594" max="13594" width="12.42578125" style="575" customWidth="1"/>
    <col min="13595" max="13595" width="6.140625" style="575" customWidth="1"/>
    <col min="13596" max="13596" width="18.7109375" style="575" customWidth="1"/>
    <col min="13597" max="13597" width="13.28515625" style="575" customWidth="1"/>
    <col min="13598" max="13598" width="35.5703125" style="575" customWidth="1"/>
    <col min="13599" max="13599" width="16" style="575" customWidth="1"/>
    <col min="13600" max="13600" width="15.140625" style="575" customWidth="1"/>
    <col min="13601" max="13601" width="14.28515625" style="575" customWidth="1"/>
    <col min="13602" max="13602" width="20.28515625" style="575" customWidth="1"/>
    <col min="13603" max="13603" width="11.5703125" style="575" bestFit="1" customWidth="1"/>
    <col min="13604" max="13604" width="10.42578125" style="575" bestFit="1" customWidth="1"/>
    <col min="13605" max="13605" width="14.85546875" style="575" customWidth="1"/>
    <col min="13606" max="13606" width="10.28515625" style="575" bestFit="1" customWidth="1"/>
    <col min="13607" max="13607" width="9.5703125" style="575"/>
    <col min="13608" max="13608" width="10.28515625" style="575" bestFit="1" customWidth="1"/>
    <col min="13609" max="13609" width="9.5703125" style="575"/>
    <col min="13610" max="13610" width="28.28515625" style="575" customWidth="1"/>
    <col min="13611" max="13611" width="14.5703125" style="575" customWidth="1"/>
    <col min="13612" max="13612" width="63" style="575" customWidth="1"/>
    <col min="13613" max="13613" width="14.140625" style="575" customWidth="1"/>
    <col min="13614" max="13614" width="9.7109375" style="575" bestFit="1" customWidth="1"/>
    <col min="13615" max="13615" width="13.140625" style="575" customWidth="1"/>
    <col min="13616" max="13616" width="12" style="575" customWidth="1"/>
    <col min="13617" max="13820" width="9.5703125" style="575"/>
    <col min="13821" max="13821" width="9.7109375" style="575" bestFit="1" customWidth="1"/>
    <col min="13822" max="13824" width="9.5703125" style="575"/>
    <col min="13825" max="13825" width="10" style="575" customWidth="1"/>
    <col min="13826" max="13826" width="82.28515625" style="575" customWidth="1"/>
    <col min="13827" max="13827" width="20.85546875" style="575" customWidth="1"/>
    <col min="13828" max="13828" width="17.7109375" style="575" customWidth="1"/>
    <col min="13829" max="13829" width="11" style="575" customWidth="1"/>
    <col min="13830" max="13830" width="22.85546875" style="575" customWidth="1"/>
    <col min="13831" max="13831" width="18.28515625" style="575" customWidth="1"/>
    <col min="13832" max="13832" width="55.7109375" style="575" customWidth="1"/>
    <col min="13833" max="13833" width="18.42578125" style="575" customWidth="1"/>
    <col min="13834" max="13834" width="14.7109375" style="575" customWidth="1"/>
    <col min="13835" max="13835" width="16.5703125" style="575" customWidth="1"/>
    <col min="13836" max="13836" width="12.5703125" style="575" customWidth="1"/>
    <col min="13837" max="13837" width="14.42578125" style="575" customWidth="1"/>
    <col min="13838" max="13838" width="11" style="575" bestFit="1" customWidth="1"/>
    <col min="13839" max="13839" width="65.5703125" style="575" customWidth="1"/>
    <col min="13840" max="13840" width="20" style="575" customWidth="1"/>
    <col min="13841" max="13841" width="13.7109375" style="575" customWidth="1"/>
    <col min="13842" max="13842" width="15.140625" style="575" customWidth="1"/>
    <col min="13843" max="13843" width="14" style="575" customWidth="1"/>
    <col min="13844" max="13844" width="11.85546875" style="575" customWidth="1"/>
    <col min="13845" max="13845" width="60" style="575" customWidth="1"/>
    <col min="13846" max="13846" width="16.85546875" style="575" customWidth="1"/>
    <col min="13847" max="13847" width="20.7109375" style="575" customWidth="1"/>
    <col min="13848" max="13849" width="13" style="575" customWidth="1"/>
    <col min="13850" max="13850" width="12.42578125" style="575" customWidth="1"/>
    <col min="13851" max="13851" width="6.140625" style="575" customWidth="1"/>
    <col min="13852" max="13852" width="18.7109375" style="575" customWidth="1"/>
    <col min="13853" max="13853" width="13.28515625" style="575" customWidth="1"/>
    <col min="13854" max="13854" width="35.5703125" style="575" customWidth="1"/>
    <col min="13855" max="13855" width="16" style="575" customWidth="1"/>
    <col min="13856" max="13856" width="15.140625" style="575" customWidth="1"/>
    <col min="13857" max="13857" width="14.28515625" style="575" customWidth="1"/>
    <col min="13858" max="13858" width="20.28515625" style="575" customWidth="1"/>
    <col min="13859" max="13859" width="11.5703125" style="575" bestFit="1" customWidth="1"/>
    <col min="13860" max="13860" width="10.42578125" style="575" bestFit="1" customWidth="1"/>
    <col min="13861" max="13861" width="14.85546875" style="575" customWidth="1"/>
    <col min="13862" max="13862" width="10.28515625" style="575" bestFit="1" customWidth="1"/>
    <col min="13863" max="13863" width="9.5703125" style="575"/>
    <col min="13864" max="13864" width="10.28515625" style="575" bestFit="1" customWidth="1"/>
    <col min="13865" max="13865" width="9.5703125" style="575"/>
    <col min="13866" max="13866" width="28.28515625" style="575" customWidth="1"/>
    <col min="13867" max="13867" width="14.5703125" style="575" customWidth="1"/>
    <col min="13868" max="13868" width="63" style="575" customWidth="1"/>
    <col min="13869" max="13869" width="14.140625" style="575" customWidth="1"/>
    <col min="13870" max="13870" width="9.7109375" style="575" bestFit="1" customWidth="1"/>
    <col min="13871" max="13871" width="13.140625" style="575" customWidth="1"/>
    <col min="13872" max="13872" width="12" style="575" customWidth="1"/>
    <col min="13873" max="14076" width="9.5703125" style="575"/>
    <col min="14077" max="14077" width="9.7109375" style="575" bestFit="1" customWidth="1"/>
    <col min="14078" max="14080" width="9.5703125" style="575"/>
    <col min="14081" max="14081" width="10" style="575" customWidth="1"/>
    <col min="14082" max="14082" width="82.28515625" style="575" customWidth="1"/>
    <col min="14083" max="14083" width="20.85546875" style="575" customWidth="1"/>
    <col min="14084" max="14084" width="17.7109375" style="575" customWidth="1"/>
    <col min="14085" max="14085" width="11" style="575" customWidth="1"/>
    <col min="14086" max="14086" width="22.85546875" style="575" customWidth="1"/>
    <col min="14087" max="14087" width="18.28515625" style="575" customWidth="1"/>
    <col min="14088" max="14088" width="55.7109375" style="575" customWidth="1"/>
    <col min="14089" max="14089" width="18.42578125" style="575" customWidth="1"/>
    <col min="14090" max="14090" width="14.7109375" style="575" customWidth="1"/>
    <col min="14091" max="14091" width="16.5703125" style="575" customWidth="1"/>
    <col min="14092" max="14092" width="12.5703125" style="575" customWidth="1"/>
    <col min="14093" max="14093" width="14.42578125" style="575" customWidth="1"/>
    <col min="14094" max="14094" width="11" style="575" bestFit="1" customWidth="1"/>
    <col min="14095" max="14095" width="65.5703125" style="575" customWidth="1"/>
    <col min="14096" max="14096" width="20" style="575" customWidth="1"/>
    <col min="14097" max="14097" width="13.7109375" style="575" customWidth="1"/>
    <col min="14098" max="14098" width="15.140625" style="575" customWidth="1"/>
    <col min="14099" max="14099" width="14" style="575" customWidth="1"/>
    <col min="14100" max="14100" width="11.85546875" style="575" customWidth="1"/>
    <col min="14101" max="14101" width="60" style="575" customWidth="1"/>
    <col min="14102" max="14102" width="16.85546875" style="575" customWidth="1"/>
    <col min="14103" max="14103" width="20.7109375" style="575" customWidth="1"/>
    <col min="14104" max="14105" width="13" style="575" customWidth="1"/>
    <col min="14106" max="14106" width="12.42578125" style="575" customWidth="1"/>
    <col min="14107" max="14107" width="6.140625" style="575" customWidth="1"/>
    <col min="14108" max="14108" width="18.7109375" style="575" customWidth="1"/>
    <col min="14109" max="14109" width="13.28515625" style="575" customWidth="1"/>
    <col min="14110" max="14110" width="35.5703125" style="575" customWidth="1"/>
    <col min="14111" max="14111" width="16" style="575" customWidth="1"/>
    <col min="14112" max="14112" width="15.140625" style="575" customWidth="1"/>
    <col min="14113" max="14113" width="14.28515625" style="575" customWidth="1"/>
    <col min="14114" max="14114" width="20.28515625" style="575" customWidth="1"/>
    <col min="14115" max="14115" width="11.5703125" style="575" bestFit="1" customWidth="1"/>
    <col min="14116" max="14116" width="10.42578125" style="575" bestFit="1" customWidth="1"/>
    <col min="14117" max="14117" width="14.85546875" style="575" customWidth="1"/>
    <col min="14118" max="14118" width="10.28515625" style="575" bestFit="1" customWidth="1"/>
    <col min="14119" max="14119" width="9.5703125" style="575"/>
    <col min="14120" max="14120" width="10.28515625" style="575" bestFit="1" customWidth="1"/>
    <col min="14121" max="14121" width="9.5703125" style="575"/>
    <col min="14122" max="14122" width="28.28515625" style="575" customWidth="1"/>
    <col min="14123" max="14123" width="14.5703125" style="575" customWidth="1"/>
    <col min="14124" max="14124" width="63" style="575" customWidth="1"/>
    <col min="14125" max="14125" width="14.140625" style="575" customWidth="1"/>
    <col min="14126" max="14126" width="9.7109375" style="575" bestFit="1" customWidth="1"/>
    <col min="14127" max="14127" width="13.140625" style="575" customWidth="1"/>
    <col min="14128" max="14128" width="12" style="575" customWidth="1"/>
    <col min="14129" max="14332" width="9.5703125" style="575"/>
    <col min="14333" max="14333" width="9.7109375" style="575" bestFit="1" customWidth="1"/>
    <col min="14334" max="14336" width="9.5703125" style="575"/>
    <col min="14337" max="14337" width="10" style="575" customWidth="1"/>
    <col min="14338" max="14338" width="82.28515625" style="575" customWidth="1"/>
    <col min="14339" max="14339" width="20.85546875" style="575" customWidth="1"/>
    <col min="14340" max="14340" width="17.7109375" style="575" customWidth="1"/>
    <col min="14341" max="14341" width="11" style="575" customWidth="1"/>
    <col min="14342" max="14342" width="22.85546875" style="575" customWidth="1"/>
    <col min="14343" max="14343" width="18.28515625" style="575" customWidth="1"/>
    <col min="14344" max="14344" width="55.7109375" style="575" customWidth="1"/>
    <col min="14345" max="14345" width="18.42578125" style="575" customWidth="1"/>
    <col min="14346" max="14346" width="14.7109375" style="575" customWidth="1"/>
    <col min="14347" max="14347" width="16.5703125" style="575" customWidth="1"/>
    <col min="14348" max="14348" width="12.5703125" style="575" customWidth="1"/>
    <col min="14349" max="14349" width="14.42578125" style="575" customWidth="1"/>
    <col min="14350" max="14350" width="11" style="575" bestFit="1" customWidth="1"/>
    <col min="14351" max="14351" width="65.5703125" style="575" customWidth="1"/>
    <col min="14352" max="14352" width="20" style="575" customWidth="1"/>
    <col min="14353" max="14353" width="13.7109375" style="575" customWidth="1"/>
    <col min="14354" max="14354" width="15.140625" style="575" customWidth="1"/>
    <col min="14355" max="14355" width="14" style="575" customWidth="1"/>
    <col min="14356" max="14356" width="11.85546875" style="575" customWidth="1"/>
    <col min="14357" max="14357" width="60" style="575" customWidth="1"/>
    <col min="14358" max="14358" width="16.85546875" style="575" customWidth="1"/>
    <col min="14359" max="14359" width="20.7109375" style="575" customWidth="1"/>
    <col min="14360" max="14361" width="13" style="575" customWidth="1"/>
    <col min="14362" max="14362" width="12.42578125" style="575" customWidth="1"/>
    <col min="14363" max="14363" width="6.140625" style="575" customWidth="1"/>
    <col min="14364" max="14364" width="18.7109375" style="575" customWidth="1"/>
    <col min="14365" max="14365" width="13.28515625" style="575" customWidth="1"/>
    <col min="14366" max="14366" width="35.5703125" style="575" customWidth="1"/>
    <col min="14367" max="14367" width="16" style="575" customWidth="1"/>
    <col min="14368" max="14368" width="15.140625" style="575" customWidth="1"/>
    <col min="14369" max="14369" width="14.28515625" style="575" customWidth="1"/>
    <col min="14370" max="14370" width="20.28515625" style="575" customWidth="1"/>
    <col min="14371" max="14371" width="11.5703125" style="575" bestFit="1" customWidth="1"/>
    <col min="14372" max="14372" width="10.42578125" style="575" bestFit="1" customWidth="1"/>
    <col min="14373" max="14373" width="14.85546875" style="575" customWidth="1"/>
    <col min="14374" max="14374" width="10.28515625" style="575" bestFit="1" customWidth="1"/>
    <col min="14375" max="14375" width="9.5703125" style="575"/>
    <col min="14376" max="14376" width="10.28515625" style="575" bestFit="1" customWidth="1"/>
    <col min="14377" max="14377" width="9.5703125" style="575"/>
    <col min="14378" max="14378" width="28.28515625" style="575" customWidth="1"/>
    <col min="14379" max="14379" width="14.5703125" style="575" customWidth="1"/>
    <col min="14380" max="14380" width="63" style="575" customWidth="1"/>
    <col min="14381" max="14381" width="14.140625" style="575" customWidth="1"/>
    <col min="14382" max="14382" width="9.7109375" style="575" bestFit="1" customWidth="1"/>
    <col min="14383" max="14383" width="13.140625" style="575" customWidth="1"/>
    <col min="14384" max="14384" width="12" style="575" customWidth="1"/>
    <col min="14385" max="14588" width="9.5703125" style="575"/>
    <col min="14589" max="14589" width="9.7109375" style="575" bestFit="1" customWidth="1"/>
    <col min="14590" max="14592" width="9.5703125" style="575"/>
    <col min="14593" max="14593" width="10" style="575" customWidth="1"/>
    <col min="14594" max="14594" width="82.28515625" style="575" customWidth="1"/>
    <col min="14595" max="14595" width="20.85546875" style="575" customWidth="1"/>
    <col min="14596" max="14596" width="17.7109375" style="575" customWidth="1"/>
    <col min="14597" max="14597" width="11" style="575" customWidth="1"/>
    <col min="14598" max="14598" width="22.85546875" style="575" customWidth="1"/>
    <col min="14599" max="14599" width="18.28515625" style="575" customWidth="1"/>
    <col min="14600" max="14600" width="55.7109375" style="575" customWidth="1"/>
    <col min="14601" max="14601" width="18.42578125" style="575" customWidth="1"/>
    <col min="14602" max="14602" width="14.7109375" style="575" customWidth="1"/>
    <col min="14603" max="14603" width="16.5703125" style="575" customWidth="1"/>
    <col min="14604" max="14604" width="12.5703125" style="575" customWidth="1"/>
    <col min="14605" max="14605" width="14.42578125" style="575" customWidth="1"/>
    <col min="14606" max="14606" width="11" style="575" bestFit="1" customWidth="1"/>
    <col min="14607" max="14607" width="65.5703125" style="575" customWidth="1"/>
    <col min="14608" max="14608" width="20" style="575" customWidth="1"/>
    <col min="14609" max="14609" width="13.7109375" style="575" customWidth="1"/>
    <col min="14610" max="14610" width="15.140625" style="575" customWidth="1"/>
    <col min="14611" max="14611" width="14" style="575" customWidth="1"/>
    <col min="14612" max="14612" width="11.85546875" style="575" customWidth="1"/>
    <col min="14613" max="14613" width="60" style="575" customWidth="1"/>
    <col min="14614" max="14614" width="16.85546875" style="575" customWidth="1"/>
    <col min="14615" max="14615" width="20.7109375" style="575" customWidth="1"/>
    <col min="14616" max="14617" width="13" style="575" customWidth="1"/>
    <col min="14618" max="14618" width="12.42578125" style="575" customWidth="1"/>
    <col min="14619" max="14619" width="6.140625" style="575" customWidth="1"/>
    <col min="14620" max="14620" width="18.7109375" style="575" customWidth="1"/>
    <col min="14621" max="14621" width="13.28515625" style="575" customWidth="1"/>
    <col min="14622" max="14622" width="35.5703125" style="575" customWidth="1"/>
    <col min="14623" max="14623" width="16" style="575" customWidth="1"/>
    <col min="14624" max="14624" width="15.140625" style="575" customWidth="1"/>
    <col min="14625" max="14625" width="14.28515625" style="575" customWidth="1"/>
    <col min="14626" max="14626" width="20.28515625" style="575" customWidth="1"/>
    <col min="14627" max="14627" width="11.5703125" style="575" bestFit="1" customWidth="1"/>
    <col min="14628" max="14628" width="10.42578125" style="575" bestFit="1" customWidth="1"/>
    <col min="14629" max="14629" width="14.85546875" style="575" customWidth="1"/>
    <col min="14630" max="14630" width="10.28515625" style="575" bestFit="1" customWidth="1"/>
    <col min="14631" max="14631" width="9.5703125" style="575"/>
    <col min="14632" max="14632" width="10.28515625" style="575" bestFit="1" customWidth="1"/>
    <col min="14633" max="14633" width="9.5703125" style="575"/>
    <col min="14634" max="14634" width="28.28515625" style="575" customWidth="1"/>
    <col min="14635" max="14635" width="14.5703125" style="575" customWidth="1"/>
    <col min="14636" max="14636" width="63" style="575" customWidth="1"/>
    <col min="14637" max="14637" width="14.140625" style="575" customWidth="1"/>
    <col min="14638" max="14638" width="9.7109375" style="575" bestFit="1" customWidth="1"/>
    <col min="14639" max="14639" width="13.140625" style="575" customWidth="1"/>
    <col min="14640" max="14640" width="12" style="575" customWidth="1"/>
    <col min="14641" max="14844" width="9.5703125" style="575"/>
    <col min="14845" max="14845" width="9.7109375" style="575" bestFit="1" customWidth="1"/>
    <col min="14846" max="14848" width="9.5703125" style="575"/>
    <col min="14849" max="14849" width="10" style="575" customWidth="1"/>
    <col min="14850" max="14850" width="82.28515625" style="575" customWidth="1"/>
    <col min="14851" max="14851" width="20.85546875" style="575" customWidth="1"/>
    <col min="14852" max="14852" width="17.7109375" style="575" customWidth="1"/>
    <col min="14853" max="14853" width="11" style="575" customWidth="1"/>
    <col min="14854" max="14854" width="22.85546875" style="575" customWidth="1"/>
    <col min="14855" max="14855" width="18.28515625" style="575" customWidth="1"/>
    <col min="14856" max="14856" width="55.7109375" style="575" customWidth="1"/>
    <col min="14857" max="14857" width="18.42578125" style="575" customWidth="1"/>
    <col min="14858" max="14858" width="14.7109375" style="575" customWidth="1"/>
    <col min="14859" max="14859" width="16.5703125" style="575" customWidth="1"/>
    <col min="14860" max="14860" width="12.5703125" style="575" customWidth="1"/>
    <col min="14861" max="14861" width="14.42578125" style="575" customWidth="1"/>
    <col min="14862" max="14862" width="11" style="575" bestFit="1" customWidth="1"/>
    <col min="14863" max="14863" width="65.5703125" style="575" customWidth="1"/>
    <col min="14864" max="14864" width="20" style="575" customWidth="1"/>
    <col min="14865" max="14865" width="13.7109375" style="575" customWidth="1"/>
    <col min="14866" max="14866" width="15.140625" style="575" customWidth="1"/>
    <col min="14867" max="14867" width="14" style="575" customWidth="1"/>
    <col min="14868" max="14868" width="11.85546875" style="575" customWidth="1"/>
    <col min="14869" max="14869" width="60" style="575" customWidth="1"/>
    <col min="14870" max="14870" width="16.85546875" style="575" customWidth="1"/>
    <col min="14871" max="14871" width="20.7109375" style="575" customWidth="1"/>
    <col min="14872" max="14873" width="13" style="575" customWidth="1"/>
    <col min="14874" max="14874" width="12.42578125" style="575" customWidth="1"/>
    <col min="14875" max="14875" width="6.140625" style="575" customWidth="1"/>
    <col min="14876" max="14876" width="18.7109375" style="575" customWidth="1"/>
    <col min="14877" max="14877" width="13.28515625" style="575" customWidth="1"/>
    <col min="14878" max="14878" width="35.5703125" style="575" customWidth="1"/>
    <col min="14879" max="14879" width="16" style="575" customWidth="1"/>
    <col min="14880" max="14880" width="15.140625" style="575" customWidth="1"/>
    <col min="14881" max="14881" width="14.28515625" style="575" customWidth="1"/>
    <col min="14882" max="14882" width="20.28515625" style="575" customWidth="1"/>
    <col min="14883" max="14883" width="11.5703125" style="575" bestFit="1" customWidth="1"/>
    <col min="14884" max="14884" width="10.42578125" style="575" bestFit="1" customWidth="1"/>
    <col min="14885" max="14885" width="14.85546875" style="575" customWidth="1"/>
    <col min="14886" max="14886" width="10.28515625" style="575" bestFit="1" customWidth="1"/>
    <col min="14887" max="14887" width="9.5703125" style="575"/>
    <col min="14888" max="14888" width="10.28515625" style="575" bestFit="1" customWidth="1"/>
    <col min="14889" max="14889" width="9.5703125" style="575"/>
    <col min="14890" max="14890" width="28.28515625" style="575" customWidth="1"/>
    <col min="14891" max="14891" width="14.5703125" style="575" customWidth="1"/>
    <col min="14892" max="14892" width="63" style="575" customWidth="1"/>
    <col min="14893" max="14893" width="14.140625" style="575" customWidth="1"/>
    <col min="14894" max="14894" width="9.7109375" style="575" bestFit="1" customWidth="1"/>
    <col min="14895" max="14895" width="13.140625" style="575" customWidth="1"/>
    <col min="14896" max="14896" width="12" style="575" customWidth="1"/>
    <col min="14897" max="15100" width="9.5703125" style="575"/>
    <col min="15101" max="15101" width="9.7109375" style="575" bestFit="1" customWidth="1"/>
    <col min="15102" max="15104" width="9.5703125" style="575"/>
    <col min="15105" max="15105" width="10" style="575" customWidth="1"/>
    <col min="15106" max="15106" width="82.28515625" style="575" customWidth="1"/>
    <col min="15107" max="15107" width="20.85546875" style="575" customWidth="1"/>
    <col min="15108" max="15108" width="17.7109375" style="575" customWidth="1"/>
    <col min="15109" max="15109" width="11" style="575" customWidth="1"/>
    <col min="15110" max="15110" width="22.85546875" style="575" customWidth="1"/>
    <col min="15111" max="15111" width="18.28515625" style="575" customWidth="1"/>
    <col min="15112" max="15112" width="55.7109375" style="575" customWidth="1"/>
    <col min="15113" max="15113" width="18.42578125" style="575" customWidth="1"/>
    <col min="15114" max="15114" width="14.7109375" style="575" customWidth="1"/>
    <col min="15115" max="15115" width="16.5703125" style="575" customWidth="1"/>
    <col min="15116" max="15116" width="12.5703125" style="575" customWidth="1"/>
    <col min="15117" max="15117" width="14.42578125" style="575" customWidth="1"/>
    <col min="15118" max="15118" width="11" style="575" bestFit="1" customWidth="1"/>
    <col min="15119" max="15119" width="65.5703125" style="575" customWidth="1"/>
    <col min="15120" max="15120" width="20" style="575" customWidth="1"/>
    <col min="15121" max="15121" width="13.7109375" style="575" customWidth="1"/>
    <col min="15122" max="15122" width="15.140625" style="575" customWidth="1"/>
    <col min="15123" max="15123" width="14" style="575" customWidth="1"/>
    <col min="15124" max="15124" width="11.85546875" style="575" customWidth="1"/>
    <col min="15125" max="15125" width="60" style="575" customWidth="1"/>
    <col min="15126" max="15126" width="16.85546875" style="575" customWidth="1"/>
    <col min="15127" max="15127" width="20.7109375" style="575" customWidth="1"/>
    <col min="15128" max="15129" width="13" style="575" customWidth="1"/>
    <col min="15130" max="15130" width="12.42578125" style="575" customWidth="1"/>
    <col min="15131" max="15131" width="6.140625" style="575" customWidth="1"/>
    <col min="15132" max="15132" width="18.7109375" style="575" customWidth="1"/>
    <col min="15133" max="15133" width="13.28515625" style="575" customWidth="1"/>
    <col min="15134" max="15134" width="35.5703125" style="575" customWidth="1"/>
    <col min="15135" max="15135" width="16" style="575" customWidth="1"/>
    <col min="15136" max="15136" width="15.140625" style="575" customWidth="1"/>
    <col min="15137" max="15137" width="14.28515625" style="575" customWidth="1"/>
    <col min="15138" max="15138" width="20.28515625" style="575" customWidth="1"/>
    <col min="15139" max="15139" width="11.5703125" style="575" bestFit="1" customWidth="1"/>
    <col min="15140" max="15140" width="10.42578125" style="575" bestFit="1" customWidth="1"/>
    <col min="15141" max="15141" width="14.85546875" style="575" customWidth="1"/>
    <col min="15142" max="15142" width="10.28515625" style="575" bestFit="1" customWidth="1"/>
    <col min="15143" max="15143" width="9.5703125" style="575"/>
    <col min="15144" max="15144" width="10.28515625" style="575" bestFit="1" customWidth="1"/>
    <col min="15145" max="15145" width="9.5703125" style="575"/>
    <col min="15146" max="15146" width="28.28515625" style="575" customWidth="1"/>
    <col min="15147" max="15147" width="14.5703125" style="575" customWidth="1"/>
    <col min="15148" max="15148" width="63" style="575" customWidth="1"/>
    <col min="15149" max="15149" width="14.140625" style="575" customWidth="1"/>
    <col min="15150" max="15150" width="9.7109375" style="575" bestFit="1" customWidth="1"/>
    <col min="15151" max="15151" width="13.140625" style="575" customWidth="1"/>
    <col min="15152" max="15152" width="12" style="575" customWidth="1"/>
    <col min="15153" max="15356" width="9.5703125" style="575"/>
    <col min="15357" max="15357" width="9.7109375" style="575" bestFit="1" customWidth="1"/>
    <col min="15358" max="15360" width="9.5703125" style="575"/>
    <col min="15361" max="15361" width="10" style="575" customWidth="1"/>
    <col min="15362" max="15362" width="82.28515625" style="575" customWidth="1"/>
    <col min="15363" max="15363" width="20.85546875" style="575" customWidth="1"/>
    <col min="15364" max="15364" width="17.7109375" style="575" customWidth="1"/>
    <col min="15365" max="15365" width="11" style="575" customWidth="1"/>
    <col min="15366" max="15366" width="22.85546875" style="575" customWidth="1"/>
    <col min="15367" max="15367" width="18.28515625" style="575" customWidth="1"/>
    <col min="15368" max="15368" width="55.7109375" style="575" customWidth="1"/>
    <col min="15369" max="15369" width="18.42578125" style="575" customWidth="1"/>
    <col min="15370" max="15370" width="14.7109375" style="575" customWidth="1"/>
    <col min="15371" max="15371" width="16.5703125" style="575" customWidth="1"/>
    <col min="15372" max="15372" width="12.5703125" style="575" customWidth="1"/>
    <col min="15373" max="15373" width="14.42578125" style="575" customWidth="1"/>
    <col min="15374" max="15374" width="11" style="575" bestFit="1" customWidth="1"/>
    <col min="15375" max="15375" width="65.5703125" style="575" customWidth="1"/>
    <col min="15376" max="15376" width="20" style="575" customWidth="1"/>
    <col min="15377" max="15377" width="13.7109375" style="575" customWidth="1"/>
    <col min="15378" max="15378" width="15.140625" style="575" customWidth="1"/>
    <col min="15379" max="15379" width="14" style="575" customWidth="1"/>
    <col min="15380" max="15380" width="11.85546875" style="575" customWidth="1"/>
    <col min="15381" max="15381" width="60" style="575" customWidth="1"/>
    <col min="15382" max="15382" width="16.85546875" style="575" customWidth="1"/>
    <col min="15383" max="15383" width="20.7109375" style="575" customWidth="1"/>
    <col min="15384" max="15385" width="13" style="575" customWidth="1"/>
    <col min="15386" max="15386" width="12.42578125" style="575" customWidth="1"/>
    <col min="15387" max="15387" width="6.140625" style="575" customWidth="1"/>
    <col min="15388" max="15388" width="18.7109375" style="575" customWidth="1"/>
    <col min="15389" max="15389" width="13.28515625" style="575" customWidth="1"/>
    <col min="15390" max="15390" width="35.5703125" style="575" customWidth="1"/>
    <col min="15391" max="15391" width="16" style="575" customWidth="1"/>
    <col min="15392" max="15392" width="15.140625" style="575" customWidth="1"/>
    <col min="15393" max="15393" width="14.28515625" style="575" customWidth="1"/>
    <col min="15394" max="15394" width="20.28515625" style="575" customWidth="1"/>
    <col min="15395" max="15395" width="11.5703125" style="575" bestFit="1" customWidth="1"/>
    <col min="15396" max="15396" width="10.42578125" style="575" bestFit="1" customWidth="1"/>
    <col min="15397" max="15397" width="14.85546875" style="575" customWidth="1"/>
    <col min="15398" max="15398" width="10.28515625" style="575" bestFit="1" customWidth="1"/>
    <col min="15399" max="15399" width="9.5703125" style="575"/>
    <col min="15400" max="15400" width="10.28515625" style="575" bestFit="1" customWidth="1"/>
    <col min="15401" max="15401" width="9.5703125" style="575"/>
    <col min="15402" max="15402" width="28.28515625" style="575" customWidth="1"/>
    <col min="15403" max="15403" width="14.5703125" style="575" customWidth="1"/>
    <col min="15404" max="15404" width="63" style="575" customWidth="1"/>
    <col min="15405" max="15405" width="14.140625" style="575" customWidth="1"/>
    <col min="15406" max="15406" width="9.7109375" style="575" bestFit="1" customWidth="1"/>
    <col min="15407" max="15407" width="13.140625" style="575" customWidth="1"/>
    <col min="15408" max="15408" width="12" style="575" customWidth="1"/>
    <col min="15409" max="15612" width="9.5703125" style="575"/>
    <col min="15613" max="15613" width="9.7109375" style="575" bestFit="1" customWidth="1"/>
    <col min="15614" max="15616" width="9.5703125" style="575"/>
    <col min="15617" max="15617" width="10" style="575" customWidth="1"/>
    <col min="15618" max="15618" width="82.28515625" style="575" customWidth="1"/>
    <col min="15619" max="15619" width="20.85546875" style="575" customWidth="1"/>
    <col min="15620" max="15620" width="17.7109375" style="575" customWidth="1"/>
    <col min="15621" max="15621" width="11" style="575" customWidth="1"/>
    <col min="15622" max="15622" width="22.85546875" style="575" customWidth="1"/>
    <col min="15623" max="15623" width="18.28515625" style="575" customWidth="1"/>
    <col min="15624" max="15624" width="55.7109375" style="575" customWidth="1"/>
    <col min="15625" max="15625" width="18.42578125" style="575" customWidth="1"/>
    <col min="15626" max="15626" width="14.7109375" style="575" customWidth="1"/>
    <col min="15627" max="15627" width="16.5703125" style="575" customWidth="1"/>
    <col min="15628" max="15628" width="12.5703125" style="575" customWidth="1"/>
    <col min="15629" max="15629" width="14.42578125" style="575" customWidth="1"/>
    <col min="15630" max="15630" width="11" style="575" bestFit="1" customWidth="1"/>
    <col min="15631" max="15631" width="65.5703125" style="575" customWidth="1"/>
    <col min="15632" max="15632" width="20" style="575" customWidth="1"/>
    <col min="15633" max="15633" width="13.7109375" style="575" customWidth="1"/>
    <col min="15634" max="15634" width="15.140625" style="575" customWidth="1"/>
    <col min="15635" max="15635" width="14" style="575" customWidth="1"/>
    <col min="15636" max="15636" width="11.85546875" style="575" customWidth="1"/>
    <col min="15637" max="15637" width="60" style="575" customWidth="1"/>
    <col min="15638" max="15638" width="16.85546875" style="575" customWidth="1"/>
    <col min="15639" max="15639" width="20.7109375" style="575" customWidth="1"/>
    <col min="15640" max="15641" width="13" style="575" customWidth="1"/>
    <col min="15642" max="15642" width="12.42578125" style="575" customWidth="1"/>
    <col min="15643" max="15643" width="6.140625" style="575" customWidth="1"/>
    <col min="15644" max="15644" width="18.7109375" style="575" customWidth="1"/>
    <col min="15645" max="15645" width="13.28515625" style="575" customWidth="1"/>
    <col min="15646" max="15646" width="35.5703125" style="575" customWidth="1"/>
    <col min="15647" max="15647" width="16" style="575" customWidth="1"/>
    <col min="15648" max="15648" width="15.140625" style="575" customWidth="1"/>
    <col min="15649" max="15649" width="14.28515625" style="575" customWidth="1"/>
    <col min="15650" max="15650" width="20.28515625" style="575" customWidth="1"/>
    <col min="15651" max="15651" width="11.5703125" style="575" bestFit="1" customWidth="1"/>
    <col min="15652" max="15652" width="10.42578125" style="575" bestFit="1" customWidth="1"/>
    <col min="15653" max="15653" width="14.85546875" style="575" customWidth="1"/>
    <col min="15654" max="15654" width="10.28515625" style="575" bestFit="1" customWidth="1"/>
    <col min="15655" max="15655" width="9.5703125" style="575"/>
    <col min="15656" max="15656" width="10.28515625" style="575" bestFit="1" customWidth="1"/>
    <col min="15657" max="15657" width="9.5703125" style="575"/>
    <col min="15658" max="15658" width="28.28515625" style="575" customWidth="1"/>
    <col min="15659" max="15659" width="14.5703125" style="575" customWidth="1"/>
    <col min="15660" max="15660" width="63" style="575" customWidth="1"/>
    <col min="15661" max="15661" width="14.140625" style="575" customWidth="1"/>
    <col min="15662" max="15662" width="9.7109375" style="575" bestFit="1" customWidth="1"/>
    <col min="15663" max="15663" width="13.140625" style="575" customWidth="1"/>
    <col min="15664" max="15664" width="12" style="575" customWidth="1"/>
    <col min="15665" max="15868" width="9.5703125" style="575"/>
    <col min="15869" max="15869" width="9.7109375" style="575" bestFit="1" customWidth="1"/>
    <col min="15870" max="15872" width="9.5703125" style="575"/>
    <col min="15873" max="15873" width="10" style="575" customWidth="1"/>
    <col min="15874" max="15874" width="82.28515625" style="575" customWidth="1"/>
    <col min="15875" max="15875" width="20.85546875" style="575" customWidth="1"/>
    <col min="15876" max="15876" width="17.7109375" style="575" customWidth="1"/>
    <col min="15877" max="15877" width="11" style="575" customWidth="1"/>
    <col min="15878" max="15878" width="22.85546875" style="575" customWidth="1"/>
    <col min="15879" max="15879" width="18.28515625" style="575" customWidth="1"/>
    <col min="15880" max="15880" width="55.7109375" style="575" customWidth="1"/>
    <col min="15881" max="15881" width="18.42578125" style="575" customWidth="1"/>
    <col min="15882" max="15882" width="14.7109375" style="575" customWidth="1"/>
    <col min="15883" max="15883" width="16.5703125" style="575" customWidth="1"/>
    <col min="15884" max="15884" width="12.5703125" style="575" customWidth="1"/>
    <col min="15885" max="15885" width="14.42578125" style="575" customWidth="1"/>
    <col min="15886" max="15886" width="11" style="575" bestFit="1" customWidth="1"/>
    <col min="15887" max="15887" width="65.5703125" style="575" customWidth="1"/>
    <col min="15888" max="15888" width="20" style="575" customWidth="1"/>
    <col min="15889" max="15889" width="13.7109375" style="575" customWidth="1"/>
    <col min="15890" max="15890" width="15.140625" style="575" customWidth="1"/>
    <col min="15891" max="15891" width="14" style="575" customWidth="1"/>
    <col min="15892" max="15892" width="11.85546875" style="575" customWidth="1"/>
    <col min="15893" max="15893" width="60" style="575" customWidth="1"/>
    <col min="15894" max="15894" width="16.85546875" style="575" customWidth="1"/>
    <col min="15895" max="15895" width="20.7109375" style="575" customWidth="1"/>
    <col min="15896" max="15897" width="13" style="575" customWidth="1"/>
    <col min="15898" max="15898" width="12.42578125" style="575" customWidth="1"/>
    <col min="15899" max="15899" width="6.140625" style="575" customWidth="1"/>
    <col min="15900" max="15900" width="18.7109375" style="575" customWidth="1"/>
    <col min="15901" max="15901" width="13.28515625" style="575" customWidth="1"/>
    <col min="15902" max="15902" width="35.5703125" style="575" customWidth="1"/>
    <col min="15903" max="15903" width="16" style="575" customWidth="1"/>
    <col min="15904" max="15904" width="15.140625" style="575" customWidth="1"/>
    <col min="15905" max="15905" width="14.28515625" style="575" customWidth="1"/>
    <col min="15906" max="15906" width="20.28515625" style="575" customWidth="1"/>
    <col min="15907" max="15907" width="11.5703125" style="575" bestFit="1" customWidth="1"/>
    <col min="15908" max="15908" width="10.42578125" style="575" bestFit="1" customWidth="1"/>
    <col min="15909" max="15909" width="14.85546875" style="575" customWidth="1"/>
    <col min="15910" max="15910" width="10.28515625" style="575" bestFit="1" customWidth="1"/>
    <col min="15911" max="15911" width="9.5703125" style="575"/>
    <col min="15912" max="15912" width="10.28515625" style="575" bestFit="1" customWidth="1"/>
    <col min="15913" max="15913" width="9.5703125" style="575"/>
    <col min="15914" max="15914" width="28.28515625" style="575" customWidth="1"/>
    <col min="15915" max="15915" width="14.5703125" style="575" customWidth="1"/>
    <col min="15916" max="15916" width="63" style="575" customWidth="1"/>
    <col min="15917" max="15917" width="14.140625" style="575" customWidth="1"/>
    <col min="15918" max="15918" width="9.7109375" style="575" bestFit="1" customWidth="1"/>
    <col min="15919" max="15919" width="13.140625" style="575" customWidth="1"/>
    <col min="15920" max="15920" width="12" style="575" customWidth="1"/>
    <col min="15921" max="16124" width="9.5703125" style="575"/>
    <col min="16125" max="16125" width="9.7109375" style="575" bestFit="1" customWidth="1"/>
    <col min="16126" max="16128" width="9.5703125" style="575"/>
    <col min="16129" max="16129" width="10" style="575" customWidth="1"/>
    <col min="16130" max="16130" width="82.28515625" style="575" customWidth="1"/>
    <col min="16131" max="16131" width="20.85546875" style="575" customWidth="1"/>
    <col min="16132" max="16132" width="17.7109375" style="575" customWidth="1"/>
    <col min="16133" max="16133" width="11" style="575" customWidth="1"/>
    <col min="16134" max="16134" width="22.85546875" style="575" customWidth="1"/>
    <col min="16135" max="16135" width="18.28515625" style="575" customWidth="1"/>
    <col min="16136" max="16136" width="55.7109375" style="575" customWidth="1"/>
    <col min="16137" max="16137" width="18.42578125" style="575" customWidth="1"/>
    <col min="16138" max="16138" width="14.7109375" style="575" customWidth="1"/>
    <col min="16139" max="16139" width="16.5703125" style="575" customWidth="1"/>
    <col min="16140" max="16140" width="12.5703125" style="575" customWidth="1"/>
    <col min="16141" max="16141" width="14.42578125" style="575" customWidth="1"/>
    <col min="16142" max="16142" width="11" style="575" bestFit="1" customWidth="1"/>
    <col min="16143" max="16143" width="65.5703125" style="575" customWidth="1"/>
    <col min="16144" max="16144" width="20" style="575" customWidth="1"/>
    <col min="16145" max="16145" width="13.7109375" style="575" customWidth="1"/>
    <col min="16146" max="16146" width="15.140625" style="575" customWidth="1"/>
    <col min="16147" max="16147" width="14" style="575" customWidth="1"/>
    <col min="16148" max="16148" width="11.85546875" style="575" customWidth="1"/>
    <col min="16149" max="16149" width="60" style="575" customWidth="1"/>
    <col min="16150" max="16150" width="16.85546875" style="575" customWidth="1"/>
    <col min="16151" max="16151" width="20.7109375" style="575" customWidth="1"/>
    <col min="16152" max="16153" width="13" style="575" customWidth="1"/>
    <col min="16154" max="16154" width="12.42578125" style="575" customWidth="1"/>
    <col min="16155" max="16155" width="6.140625" style="575" customWidth="1"/>
    <col min="16156" max="16156" width="18.7109375" style="575" customWidth="1"/>
    <col min="16157" max="16157" width="13.28515625" style="575" customWidth="1"/>
    <col min="16158" max="16158" width="35.5703125" style="575" customWidth="1"/>
    <col min="16159" max="16159" width="16" style="575" customWidth="1"/>
    <col min="16160" max="16160" width="15.140625" style="575" customWidth="1"/>
    <col min="16161" max="16161" width="14.28515625" style="575" customWidth="1"/>
    <col min="16162" max="16162" width="20.28515625" style="575" customWidth="1"/>
    <col min="16163" max="16163" width="11.5703125" style="575" bestFit="1" customWidth="1"/>
    <col min="16164" max="16164" width="10.42578125" style="575" bestFit="1" customWidth="1"/>
    <col min="16165" max="16165" width="14.85546875" style="575" customWidth="1"/>
    <col min="16166" max="16166" width="10.28515625" style="575" bestFit="1" customWidth="1"/>
    <col min="16167" max="16167" width="9.5703125" style="575"/>
    <col min="16168" max="16168" width="10.28515625" style="575" bestFit="1" customWidth="1"/>
    <col min="16169" max="16169" width="9.5703125" style="575"/>
    <col min="16170" max="16170" width="28.28515625" style="575" customWidth="1"/>
    <col min="16171" max="16171" width="14.5703125" style="575" customWidth="1"/>
    <col min="16172" max="16172" width="63" style="575" customWidth="1"/>
    <col min="16173" max="16173" width="14.140625" style="575" customWidth="1"/>
    <col min="16174" max="16174" width="9.7109375" style="575" bestFit="1" customWidth="1"/>
    <col min="16175" max="16175" width="13.140625" style="575" customWidth="1"/>
    <col min="16176" max="16176" width="12" style="575" customWidth="1"/>
    <col min="16177" max="16380" width="9.5703125" style="575"/>
    <col min="16381" max="16381" width="9.7109375" style="575" bestFit="1" customWidth="1"/>
    <col min="16382" max="16384" width="9.5703125" style="575"/>
  </cols>
  <sheetData>
    <row r="1" spans="1:40" ht="24" customHeight="1">
      <c r="A1" s="573"/>
      <c r="B1" s="574" t="s">
        <v>247</v>
      </c>
      <c r="E1" s="573" t="s">
        <v>115</v>
      </c>
      <c r="H1" s="577" t="s">
        <v>112</v>
      </c>
      <c r="O1" s="573" t="s">
        <v>112</v>
      </c>
      <c r="T1" s="580"/>
      <c r="U1" s="581" t="s">
        <v>248</v>
      </c>
      <c r="V1" s="581"/>
      <c r="W1" s="574" t="s">
        <v>115</v>
      </c>
      <c r="X1" s="580"/>
      <c r="Y1" s="580"/>
      <c r="Z1" s="580"/>
      <c r="AA1" s="580"/>
      <c r="AB1" s="580"/>
      <c r="AC1" s="580"/>
      <c r="AD1" s="580" t="s">
        <v>3009</v>
      </c>
      <c r="AE1" s="580"/>
      <c r="AG1" s="575" t="s">
        <v>115</v>
      </c>
    </row>
    <row r="2" spans="1:40" ht="24" customHeight="1">
      <c r="B2" s="582" t="s">
        <v>155</v>
      </c>
      <c r="E2" s="573" t="s">
        <v>115</v>
      </c>
      <c r="H2" s="574" t="s">
        <v>113</v>
      </c>
      <c r="O2" s="574" t="s">
        <v>113</v>
      </c>
      <c r="S2" s="579">
        <f>(581+645+954)/3</f>
        <v>726.66666666666663</v>
      </c>
      <c r="U2" s="1460" t="s">
        <v>249</v>
      </c>
      <c r="V2" s="1461"/>
      <c r="W2" s="1461"/>
      <c r="X2" s="1461"/>
    </row>
    <row r="3" spans="1:40" ht="24" customHeight="1">
      <c r="A3" s="573" t="s">
        <v>114</v>
      </c>
      <c r="B3" s="583" t="s">
        <v>3010</v>
      </c>
      <c r="C3" s="573" t="s">
        <v>116</v>
      </c>
      <c r="E3" s="573" t="s">
        <v>115</v>
      </c>
      <c r="F3" s="584" t="s">
        <v>114</v>
      </c>
      <c r="G3" s="585" t="s">
        <v>115</v>
      </c>
      <c r="H3" s="586" t="str">
        <f>B3</f>
        <v>SULUR POLICE STATION</v>
      </c>
      <c r="J3" s="577" t="str">
        <f>C3</f>
        <v>2020-2021</v>
      </c>
      <c r="M3" s="573" t="s">
        <v>114</v>
      </c>
      <c r="N3" s="573" t="s">
        <v>115</v>
      </c>
      <c r="O3" s="587" t="str">
        <f>B3</f>
        <v>SULUR POLICE STATION</v>
      </c>
      <c r="Q3" s="587" t="str">
        <f>C3</f>
        <v>2020-2021</v>
      </c>
      <c r="T3" s="573" t="s">
        <v>114</v>
      </c>
      <c r="U3" s="587" t="str">
        <f>O3</f>
        <v>SULUR POLICE STATION</v>
      </c>
      <c r="V3" s="575" t="str">
        <f>Q3</f>
        <v>2020-2021</v>
      </c>
      <c r="W3" s="588" t="str">
        <f>C3</f>
        <v>2020-2021</v>
      </c>
      <c r="AA3" s="573"/>
    </row>
    <row r="4" spans="1:40" ht="24" hidden="1" customHeight="1">
      <c r="F4" s="582" t="s">
        <v>117</v>
      </c>
      <c r="G4" s="582" t="s">
        <v>117</v>
      </c>
      <c r="H4" s="582" t="s">
        <v>117</v>
      </c>
      <c r="I4" s="582" t="s">
        <v>117</v>
      </c>
      <c r="J4" s="582" t="s">
        <v>117</v>
      </c>
      <c r="K4" s="582" t="s">
        <v>117</v>
      </c>
      <c r="M4" s="582" t="s">
        <v>117</v>
      </c>
      <c r="N4" s="582" t="s">
        <v>117</v>
      </c>
      <c r="O4" s="582" t="s">
        <v>117</v>
      </c>
      <c r="P4" s="582" t="s">
        <v>117</v>
      </c>
      <c r="Q4" s="582" t="s">
        <v>117</v>
      </c>
      <c r="R4" s="582" t="s">
        <v>117</v>
      </c>
      <c r="U4" s="573" t="s">
        <v>115</v>
      </c>
      <c r="W4" s="573" t="s">
        <v>115</v>
      </c>
      <c r="X4" s="573" t="s">
        <v>251</v>
      </c>
      <c r="Y4" s="573"/>
      <c r="AC4" s="573" t="s">
        <v>115</v>
      </c>
      <c r="AG4" s="573" t="s">
        <v>252</v>
      </c>
    </row>
    <row r="5" spans="1:40" ht="24" hidden="1" customHeight="1">
      <c r="A5" s="582" t="s">
        <v>117</v>
      </c>
      <c r="B5" s="582" t="s">
        <v>117</v>
      </c>
      <c r="C5" s="582" t="s">
        <v>117</v>
      </c>
      <c r="D5" s="582" t="s">
        <v>117</v>
      </c>
      <c r="E5" s="573" t="s">
        <v>115</v>
      </c>
      <c r="F5" s="584" t="s">
        <v>0</v>
      </c>
      <c r="G5" s="585" t="s">
        <v>115</v>
      </c>
      <c r="H5" s="589" t="s">
        <v>118</v>
      </c>
      <c r="I5" s="589" t="s">
        <v>119</v>
      </c>
      <c r="J5" s="589" t="s">
        <v>120</v>
      </c>
      <c r="K5" s="589" t="s">
        <v>121</v>
      </c>
      <c r="M5" s="574" t="s">
        <v>0</v>
      </c>
      <c r="N5" s="573" t="s">
        <v>115</v>
      </c>
      <c r="O5" s="574" t="s">
        <v>118</v>
      </c>
      <c r="P5" s="574" t="s">
        <v>119</v>
      </c>
      <c r="Q5" s="574" t="s">
        <v>120</v>
      </c>
      <c r="R5" s="574" t="s">
        <v>121</v>
      </c>
      <c r="T5" s="582"/>
      <c r="U5" s="582" t="s">
        <v>117</v>
      </c>
      <c r="V5" s="582" t="s">
        <v>117</v>
      </c>
      <c r="W5" s="582" t="s">
        <v>117</v>
      </c>
      <c r="X5" s="582" t="s">
        <v>117</v>
      </c>
      <c r="Y5" s="582" t="s">
        <v>117</v>
      </c>
      <c r="Z5" s="582" t="s">
        <v>117</v>
      </c>
      <c r="AA5" s="582" t="s">
        <v>117</v>
      </c>
      <c r="AB5" s="582" t="s">
        <v>117</v>
      </c>
      <c r="AC5" s="582" t="s">
        <v>117</v>
      </c>
      <c r="AD5" s="582" t="s">
        <v>117</v>
      </c>
      <c r="AE5" s="582" t="s">
        <v>117</v>
      </c>
    </row>
    <row r="6" spans="1:40" ht="24" customHeight="1">
      <c r="A6" s="573" t="s">
        <v>253</v>
      </c>
      <c r="B6" s="573" t="s">
        <v>118</v>
      </c>
      <c r="C6" s="573" t="s">
        <v>119</v>
      </c>
      <c r="D6" s="573" t="s">
        <v>120</v>
      </c>
      <c r="F6" s="582" t="s">
        <v>117</v>
      </c>
      <c r="G6" s="582" t="s">
        <v>117</v>
      </c>
      <c r="H6" s="582" t="s">
        <v>117</v>
      </c>
      <c r="I6" s="582" t="s">
        <v>117</v>
      </c>
      <c r="J6" s="582" t="s">
        <v>117</v>
      </c>
      <c r="K6" s="582" t="s">
        <v>117</v>
      </c>
      <c r="M6" s="582" t="s">
        <v>117</v>
      </c>
      <c r="N6" s="582" t="s">
        <v>117</v>
      </c>
      <c r="O6" s="582" t="s">
        <v>117</v>
      </c>
      <c r="P6" s="582" t="s">
        <v>117</v>
      </c>
      <c r="Q6" s="582" t="s">
        <v>117</v>
      </c>
      <c r="R6" s="582" t="s">
        <v>117</v>
      </c>
      <c r="T6" s="574" t="s">
        <v>253</v>
      </c>
      <c r="U6" s="574" t="s">
        <v>254</v>
      </c>
      <c r="V6" s="574" t="s">
        <v>255</v>
      </c>
      <c r="W6" s="574" t="s">
        <v>256</v>
      </c>
      <c r="X6" s="574" t="s">
        <v>257</v>
      </c>
      <c r="Y6" s="574" t="s">
        <v>258</v>
      </c>
      <c r="Z6" s="574" t="s">
        <v>259</v>
      </c>
      <c r="AA6" s="573" t="s">
        <v>260</v>
      </c>
      <c r="AB6" s="573" t="s">
        <v>261</v>
      </c>
      <c r="AC6" s="573" t="s">
        <v>262</v>
      </c>
      <c r="AD6" s="574" t="s">
        <v>263</v>
      </c>
    </row>
    <row r="7" spans="1:40" ht="24" customHeight="1">
      <c r="A7" s="582" t="s">
        <v>117</v>
      </c>
      <c r="B7" s="582" t="s">
        <v>117</v>
      </c>
      <c r="C7" s="582" t="s">
        <v>117</v>
      </c>
      <c r="D7" s="582" t="s">
        <v>117</v>
      </c>
      <c r="G7" s="585" t="s">
        <v>122</v>
      </c>
      <c r="H7" s="573" t="s">
        <v>123</v>
      </c>
      <c r="O7" s="573" t="s">
        <v>264</v>
      </c>
      <c r="X7" s="574" t="s">
        <v>265</v>
      </c>
      <c r="Y7" s="574" t="s">
        <v>262</v>
      </c>
      <c r="Z7" s="574" t="s">
        <v>266</v>
      </c>
      <c r="AA7" s="573" t="s">
        <v>267</v>
      </c>
      <c r="AB7" s="573" t="s">
        <v>268</v>
      </c>
      <c r="AC7" s="573" t="s">
        <v>269</v>
      </c>
    </row>
    <row r="8" spans="1:40" ht="24" customHeight="1">
      <c r="B8" s="573" t="s">
        <v>270</v>
      </c>
      <c r="H8" s="582" t="s">
        <v>117</v>
      </c>
      <c r="O8" s="582" t="s">
        <v>117</v>
      </c>
      <c r="T8" s="582" t="s">
        <v>117</v>
      </c>
      <c r="U8" s="582" t="s">
        <v>117</v>
      </c>
      <c r="V8" s="582" t="s">
        <v>117</v>
      </c>
      <c r="W8" s="582" t="s">
        <v>117</v>
      </c>
      <c r="X8" s="582" t="s">
        <v>117</v>
      </c>
      <c r="Y8" s="582" t="s">
        <v>117</v>
      </c>
      <c r="Z8" s="582" t="s">
        <v>117</v>
      </c>
      <c r="AA8" s="582" t="s">
        <v>271</v>
      </c>
      <c r="AB8" s="582" t="s">
        <v>117</v>
      </c>
      <c r="AC8" s="582" t="s">
        <v>117</v>
      </c>
      <c r="AD8" s="582" t="s">
        <v>117</v>
      </c>
      <c r="AE8" s="582" t="s">
        <v>117</v>
      </c>
      <c r="AG8" s="590" t="s">
        <v>272</v>
      </c>
      <c r="AH8" s="590" t="s">
        <v>273</v>
      </c>
      <c r="AI8" s="591" t="s">
        <v>274</v>
      </c>
      <c r="AJ8" s="591" t="s">
        <v>275</v>
      </c>
      <c r="AK8" s="591" t="s">
        <v>276</v>
      </c>
    </row>
    <row r="9" spans="1:40" ht="24" customHeight="1">
      <c r="B9" s="573" t="s">
        <v>277</v>
      </c>
      <c r="F9" s="587">
        <v>0.96</v>
      </c>
      <c r="G9" s="585" t="s">
        <v>124</v>
      </c>
      <c r="H9" s="573" t="s">
        <v>125</v>
      </c>
      <c r="I9" s="587">
        <f>(C67)</f>
        <v>5800</v>
      </c>
      <c r="J9" s="573" t="s">
        <v>124</v>
      </c>
      <c r="K9" s="587">
        <f>(F9*I9)</f>
        <v>5568</v>
      </c>
      <c r="M9" s="587">
        <v>0.5</v>
      </c>
      <c r="N9" s="573" t="s">
        <v>124</v>
      </c>
      <c r="O9" s="573" t="s">
        <v>278</v>
      </c>
      <c r="P9" s="587">
        <f>(C85)</f>
        <v>1004.98</v>
      </c>
      <c r="Q9" s="573" t="s">
        <v>124</v>
      </c>
      <c r="R9" s="587">
        <f>(M9*P9)</f>
        <v>502.49</v>
      </c>
      <c r="T9" s="574" t="s">
        <v>279</v>
      </c>
      <c r="U9" s="573" t="s">
        <v>280</v>
      </c>
      <c r="V9" s="573" t="s">
        <v>281</v>
      </c>
      <c r="W9" s="573" t="s">
        <v>282</v>
      </c>
      <c r="X9" s="587">
        <f>'[2]lead  charge'!D12</f>
        <v>27</v>
      </c>
      <c r="Y9" s="592">
        <v>437</v>
      </c>
      <c r="Z9" s="587">
        <f>'[2]lead  charge'!E12</f>
        <v>246.69</v>
      </c>
      <c r="AA9" s="574"/>
      <c r="AB9" s="573">
        <v>0</v>
      </c>
      <c r="AC9" s="573">
        <f>SUM(Y9+Z9+AA9+AB9)</f>
        <v>683.69</v>
      </c>
      <c r="AD9" s="573" t="s">
        <v>3011</v>
      </c>
      <c r="AE9" s="587">
        <f>AF9</f>
        <v>769</v>
      </c>
      <c r="AF9" s="593">
        <v>769</v>
      </c>
      <c r="AG9" s="587">
        <f>AF9*1.1</f>
        <v>845.90000000000009</v>
      </c>
      <c r="AH9" s="575">
        <f>AF9*1.2</f>
        <v>922.8</v>
      </c>
      <c r="AI9" s="575">
        <f>AF9*1.5</f>
        <v>1153.5</v>
      </c>
      <c r="AJ9" s="575">
        <f>AF9*1.05</f>
        <v>807.45</v>
      </c>
      <c r="AK9" s="575">
        <f>AF9*1.25</f>
        <v>961.25</v>
      </c>
      <c r="AL9" s="575">
        <f>AF9*1.4</f>
        <v>1076.5999999999999</v>
      </c>
    </row>
    <row r="10" spans="1:40" ht="24" customHeight="1">
      <c r="A10" s="594">
        <v>1</v>
      </c>
      <c r="B10" s="595" t="s">
        <v>284</v>
      </c>
      <c r="C10" s="596">
        <f>AE9</f>
        <v>769</v>
      </c>
      <c r="D10" s="595" t="s">
        <v>209</v>
      </c>
      <c r="F10" s="587">
        <v>1</v>
      </c>
      <c r="G10" s="585" t="s">
        <v>126</v>
      </c>
      <c r="H10" s="573" t="s">
        <v>127</v>
      </c>
      <c r="I10" s="587">
        <f>(C78)</f>
        <v>1322.8</v>
      </c>
      <c r="J10" s="573" t="s">
        <v>126</v>
      </c>
      <c r="K10" s="587">
        <f>(F10*I10)</f>
        <v>1322.8</v>
      </c>
      <c r="M10" s="587">
        <v>1</v>
      </c>
      <c r="N10" s="573" t="s">
        <v>126</v>
      </c>
      <c r="O10" s="573" t="s">
        <v>127</v>
      </c>
      <c r="P10" s="587">
        <f>(C78)</f>
        <v>1322.8</v>
      </c>
      <c r="Q10" s="573" t="s">
        <v>126</v>
      </c>
      <c r="R10" s="587">
        <f>(M10*P10)</f>
        <v>1322.8</v>
      </c>
      <c r="T10" s="574" t="s">
        <v>285</v>
      </c>
      <c r="U10" s="573" t="s">
        <v>286</v>
      </c>
      <c r="V10" s="573" t="s">
        <v>281</v>
      </c>
      <c r="W10" s="573" t="str">
        <f t="shared" ref="W10:W15" si="0">W9</f>
        <v>Madukkarai</v>
      </c>
      <c r="X10" s="587">
        <f>'[2]lead  charge'!D12</f>
        <v>27</v>
      </c>
      <c r="Y10" s="592">
        <v>630</v>
      </c>
      <c r="Z10" s="587">
        <f>Z9</f>
        <v>246.69</v>
      </c>
      <c r="AA10" s="574"/>
      <c r="AB10" s="578">
        <v>0</v>
      </c>
      <c r="AC10" s="573">
        <f t="shared" ref="AC10:AC36" si="1">SUM(Y10+Z10+AA10+AB10)</f>
        <v>876.69</v>
      </c>
      <c r="AD10" s="573" t="s">
        <v>3012</v>
      </c>
      <c r="AE10" s="587">
        <f t="shared" ref="AE10:AE53" si="2">AF10</f>
        <v>718</v>
      </c>
      <c r="AF10" s="593">
        <v>718</v>
      </c>
      <c r="AG10" s="587">
        <f t="shared" ref="AG10:AG39" si="3">AF10*1.1</f>
        <v>789.80000000000007</v>
      </c>
      <c r="AH10" s="575">
        <f t="shared" ref="AH10:AH47" si="4">AF10*1.2</f>
        <v>861.6</v>
      </c>
      <c r="AI10" s="575">
        <f t="shared" ref="AI10:AI47" si="5">AF10*1.5</f>
        <v>1077</v>
      </c>
      <c r="AJ10" s="575">
        <f t="shared" ref="AJ10:AJ44" si="6">AF10*1.05</f>
        <v>753.9</v>
      </c>
      <c r="AK10" s="575">
        <f t="shared" ref="AK10:AK47" si="7">AF10*1.25</f>
        <v>897.5</v>
      </c>
    </row>
    <row r="11" spans="1:40" ht="24" customHeight="1">
      <c r="A11" s="594">
        <f t="shared" ref="A11:A35" si="8">(A10+1)</f>
        <v>2</v>
      </c>
      <c r="B11" s="595" t="s">
        <v>288</v>
      </c>
      <c r="C11" s="596">
        <f>AE10</f>
        <v>718</v>
      </c>
      <c r="D11" s="595">
        <f>AE9</f>
        <v>769</v>
      </c>
      <c r="F11" s="587">
        <v>1</v>
      </c>
      <c r="G11" s="585" t="s">
        <v>126</v>
      </c>
      <c r="H11" s="573" t="s">
        <v>128</v>
      </c>
      <c r="I11" s="587">
        <f>(C18)</f>
        <v>87</v>
      </c>
      <c r="J11" s="573" t="s">
        <v>126</v>
      </c>
      <c r="K11" s="587">
        <f>(F11*I11)</f>
        <v>87</v>
      </c>
      <c r="M11" s="587">
        <v>1</v>
      </c>
      <c r="N11" s="573" t="s">
        <v>126</v>
      </c>
      <c r="O11" s="573" t="s">
        <v>289</v>
      </c>
      <c r="P11" s="587">
        <f>(C64)</f>
        <v>211</v>
      </c>
      <c r="Q11" s="573" t="s">
        <v>126</v>
      </c>
      <c r="R11" s="587">
        <f>(M11*P11)</f>
        <v>211</v>
      </c>
      <c r="T11" s="574" t="s">
        <v>290</v>
      </c>
      <c r="U11" s="573" t="s">
        <v>291</v>
      </c>
      <c r="V11" s="573" t="s">
        <v>281</v>
      </c>
      <c r="W11" s="573" t="str">
        <f t="shared" si="0"/>
        <v>Madukkarai</v>
      </c>
      <c r="X11" s="587">
        <f>'[2]lead  charge'!D10:D10</f>
        <v>27</v>
      </c>
      <c r="Y11" s="592">
        <v>726.67</v>
      </c>
      <c r="Z11" s="587">
        <f>'[2]lead  charge'!E10</f>
        <v>246.69</v>
      </c>
      <c r="AA11" s="574"/>
      <c r="AB11" s="578">
        <v>0</v>
      </c>
      <c r="AC11" s="573">
        <f t="shared" si="1"/>
        <v>973.3599999999999</v>
      </c>
      <c r="AD11" s="573" t="s">
        <v>3013</v>
      </c>
      <c r="AE11" s="587">
        <f t="shared" si="2"/>
        <v>502</v>
      </c>
      <c r="AF11" s="593">
        <v>502</v>
      </c>
      <c r="AG11" s="587">
        <f t="shared" si="3"/>
        <v>552.20000000000005</v>
      </c>
      <c r="AH11" s="575">
        <f t="shared" si="4"/>
        <v>602.4</v>
      </c>
      <c r="AI11" s="575">
        <f t="shared" si="5"/>
        <v>753</v>
      </c>
      <c r="AJ11" s="575">
        <f t="shared" si="6"/>
        <v>527.1</v>
      </c>
      <c r="AK11" s="575">
        <f t="shared" si="7"/>
        <v>627.5</v>
      </c>
      <c r="AN11" s="575">
        <f>954+645+581</f>
        <v>2180</v>
      </c>
    </row>
    <row r="12" spans="1:40" ht="24" customHeight="1">
      <c r="A12" s="594">
        <f t="shared" si="8"/>
        <v>3</v>
      </c>
      <c r="B12" s="595" t="s">
        <v>293</v>
      </c>
      <c r="C12" s="596">
        <f>AE11</f>
        <v>502</v>
      </c>
      <c r="D12" s="595" t="s">
        <v>209</v>
      </c>
      <c r="G12" s="585" t="s">
        <v>129</v>
      </c>
      <c r="H12" s="573" t="s">
        <v>130</v>
      </c>
      <c r="I12" s="573" t="s">
        <v>115</v>
      </c>
      <c r="J12" s="573" t="s">
        <v>129</v>
      </c>
      <c r="K12" s="587">
        <v>0</v>
      </c>
      <c r="N12" s="573" t="s">
        <v>129</v>
      </c>
      <c r="O12" s="573" t="s">
        <v>130</v>
      </c>
      <c r="P12" s="573" t="s">
        <v>115</v>
      </c>
      <c r="Q12" s="573" t="s">
        <v>129</v>
      </c>
      <c r="R12" s="587">
        <v>0</v>
      </c>
      <c r="T12" s="574" t="s">
        <v>294</v>
      </c>
      <c r="U12" s="573" t="s">
        <v>295</v>
      </c>
      <c r="V12" s="573" t="s">
        <v>281</v>
      </c>
      <c r="W12" s="573" t="str">
        <f t="shared" si="0"/>
        <v>Madukkarai</v>
      </c>
      <c r="X12" s="587">
        <f>X11</f>
        <v>27</v>
      </c>
      <c r="Y12" s="592">
        <v>954</v>
      </c>
      <c r="Z12" s="587">
        <f>Z11</f>
        <v>246.69</v>
      </c>
      <c r="AA12" s="574"/>
      <c r="AB12" s="578">
        <v>0</v>
      </c>
      <c r="AC12" s="573">
        <f t="shared" si="1"/>
        <v>1200.69</v>
      </c>
      <c r="AD12" s="573" t="s">
        <v>3014</v>
      </c>
      <c r="AE12" s="587">
        <f t="shared" si="2"/>
        <v>412</v>
      </c>
      <c r="AF12" s="593">
        <v>412</v>
      </c>
      <c r="AG12" s="587">
        <f t="shared" si="3"/>
        <v>453.20000000000005</v>
      </c>
      <c r="AH12" s="575">
        <f t="shared" si="4"/>
        <v>494.4</v>
      </c>
      <c r="AI12" s="575">
        <f t="shared" si="5"/>
        <v>618</v>
      </c>
      <c r="AJ12" s="575">
        <f t="shared" si="6"/>
        <v>432.6</v>
      </c>
      <c r="AK12" s="575">
        <f t="shared" si="7"/>
        <v>515</v>
      </c>
      <c r="AN12" s="575">
        <f>AN11/3</f>
        <v>726.66666666666663</v>
      </c>
    </row>
    <row r="13" spans="1:40" ht="24" customHeight="1">
      <c r="A13" s="594">
        <f t="shared" si="8"/>
        <v>4</v>
      </c>
      <c r="B13" s="595" t="s">
        <v>297</v>
      </c>
      <c r="C13" s="596">
        <f>AE12</f>
        <v>412</v>
      </c>
      <c r="D13" s="595" t="s">
        <v>209</v>
      </c>
      <c r="K13" s="582" t="s">
        <v>117</v>
      </c>
      <c r="R13" s="582" t="s">
        <v>117</v>
      </c>
      <c r="T13" s="574" t="s">
        <v>298</v>
      </c>
      <c r="U13" s="573" t="s">
        <v>299</v>
      </c>
      <c r="V13" s="573" t="s">
        <v>281</v>
      </c>
      <c r="W13" s="573" t="str">
        <f t="shared" si="0"/>
        <v>Madukkarai</v>
      </c>
      <c r="X13" s="587">
        <f>X11</f>
        <v>27</v>
      </c>
      <c r="Y13" s="592">
        <v>1297</v>
      </c>
      <c r="Z13" s="587">
        <f>Z12</f>
        <v>246.69</v>
      </c>
      <c r="AA13" s="574"/>
      <c r="AB13" s="578">
        <v>0</v>
      </c>
      <c r="AC13" s="573">
        <f t="shared" si="1"/>
        <v>1543.69</v>
      </c>
      <c r="AD13" s="573" t="s">
        <v>3015</v>
      </c>
      <c r="AE13" s="587">
        <f t="shared" si="2"/>
        <v>615</v>
      </c>
      <c r="AF13" s="593">
        <v>615</v>
      </c>
      <c r="AG13" s="587">
        <f t="shared" si="3"/>
        <v>676.5</v>
      </c>
      <c r="AH13" s="575">
        <f t="shared" si="4"/>
        <v>738</v>
      </c>
      <c r="AI13" s="575">
        <f t="shared" si="5"/>
        <v>922.5</v>
      </c>
      <c r="AJ13" s="575">
        <f t="shared" si="6"/>
        <v>645.75</v>
      </c>
      <c r="AK13" s="575">
        <f t="shared" si="7"/>
        <v>768.75</v>
      </c>
    </row>
    <row r="14" spans="1:40" ht="24" customHeight="1">
      <c r="A14" s="594">
        <f t="shared" si="8"/>
        <v>5</v>
      </c>
      <c r="B14" s="595" t="s">
        <v>301</v>
      </c>
      <c r="C14" s="596">
        <f>AE13</f>
        <v>615</v>
      </c>
      <c r="D14" s="596">
        <f>AE14</f>
        <v>595</v>
      </c>
      <c r="H14" s="573" t="s">
        <v>131</v>
      </c>
      <c r="K14" s="586">
        <f>SUM(K9:K12)</f>
        <v>6977.8</v>
      </c>
      <c r="N14" s="587">
        <f>SUM(K9:K12)</f>
        <v>6977.8</v>
      </c>
      <c r="O14" s="573" t="s">
        <v>131</v>
      </c>
      <c r="R14" s="587">
        <f>SUM(R9:R12)</f>
        <v>2036.29</v>
      </c>
      <c r="T14" s="574" t="s">
        <v>302</v>
      </c>
      <c r="U14" s="573" t="s">
        <v>303</v>
      </c>
      <c r="V14" s="573" t="s">
        <v>281</v>
      </c>
      <c r="W14" s="573" t="str">
        <f t="shared" si="0"/>
        <v>Madukkarai</v>
      </c>
      <c r="X14" s="587">
        <f>X11</f>
        <v>27</v>
      </c>
      <c r="Y14" s="592">
        <v>1398</v>
      </c>
      <c r="Z14" s="587">
        <f>Z13</f>
        <v>246.69</v>
      </c>
      <c r="AA14" s="574"/>
      <c r="AB14" s="578">
        <v>0</v>
      </c>
      <c r="AC14" s="573">
        <f t="shared" si="1"/>
        <v>1644.69</v>
      </c>
      <c r="AD14" s="573" t="s">
        <v>3016</v>
      </c>
      <c r="AE14" s="587">
        <f t="shared" si="2"/>
        <v>595</v>
      </c>
      <c r="AF14" s="593">
        <v>595</v>
      </c>
      <c r="AG14" s="587">
        <f t="shared" si="3"/>
        <v>654.5</v>
      </c>
      <c r="AH14" s="575">
        <f t="shared" si="4"/>
        <v>714</v>
      </c>
      <c r="AI14" s="575">
        <f t="shared" si="5"/>
        <v>892.5</v>
      </c>
      <c r="AJ14" s="575">
        <f t="shared" si="6"/>
        <v>624.75</v>
      </c>
      <c r="AK14" s="575">
        <f t="shared" si="7"/>
        <v>743.75</v>
      </c>
    </row>
    <row r="15" spans="1:40" ht="24" customHeight="1">
      <c r="A15" s="594">
        <f t="shared" si="8"/>
        <v>6</v>
      </c>
      <c r="B15" s="595" t="s">
        <v>305</v>
      </c>
      <c r="C15" s="596">
        <f>AE15</f>
        <v>667</v>
      </c>
      <c r="D15" s="595" t="s">
        <v>209</v>
      </c>
      <c r="K15" s="582" t="s">
        <v>117</v>
      </c>
      <c r="R15" s="582" t="s">
        <v>117</v>
      </c>
      <c r="T15" s="574" t="s">
        <v>306</v>
      </c>
      <c r="U15" s="573" t="s">
        <v>307</v>
      </c>
      <c r="V15" s="573" t="s">
        <v>281</v>
      </c>
      <c r="W15" s="573" t="str">
        <f t="shared" si="0"/>
        <v>Madukkarai</v>
      </c>
      <c r="X15" s="587">
        <f>X11</f>
        <v>27</v>
      </c>
      <c r="Y15" s="592">
        <v>1004</v>
      </c>
      <c r="Z15" s="587">
        <f>Z14</f>
        <v>246.69</v>
      </c>
      <c r="AA15" s="574"/>
      <c r="AB15" s="578">
        <v>0</v>
      </c>
      <c r="AC15" s="573">
        <f t="shared" si="1"/>
        <v>1250.69</v>
      </c>
      <c r="AD15" s="573" t="s">
        <v>3017</v>
      </c>
      <c r="AE15" s="587">
        <f t="shared" si="2"/>
        <v>667</v>
      </c>
      <c r="AF15" s="593">
        <v>667</v>
      </c>
      <c r="AG15" s="587">
        <f t="shared" si="3"/>
        <v>733.7</v>
      </c>
      <c r="AH15" s="575">
        <f t="shared" si="4"/>
        <v>800.4</v>
      </c>
      <c r="AI15" s="575">
        <f t="shared" si="5"/>
        <v>1000.5</v>
      </c>
      <c r="AJ15" s="575">
        <f t="shared" si="6"/>
        <v>700.35</v>
      </c>
      <c r="AK15" s="575">
        <f t="shared" si="7"/>
        <v>833.75</v>
      </c>
    </row>
    <row r="16" spans="1:40" ht="24" customHeight="1">
      <c r="A16" s="594">
        <f t="shared" si="8"/>
        <v>7</v>
      </c>
      <c r="B16" s="595" t="s">
        <v>309</v>
      </c>
      <c r="C16" s="596">
        <f>AE19</f>
        <v>752</v>
      </c>
      <c r="D16" s="596">
        <f>AE20</f>
        <v>718</v>
      </c>
      <c r="G16" s="585" t="s">
        <v>122</v>
      </c>
      <c r="H16" s="573" t="s">
        <v>132</v>
      </c>
      <c r="N16" s="573" t="s">
        <v>122</v>
      </c>
      <c r="O16" s="573" t="s">
        <v>310</v>
      </c>
      <c r="T16" s="574" t="s">
        <v>311</v>
      </c>
      <c r="U16" s="573" t="s">
        <v>3018</v>
      </c>
      <c r="V16" s="573" t="s">
        <v>281</v>
      </c>
      <c r="W16" s="573" t="s">
        <v>313</v>
      </c>
      <c r="X16" s="587">
        <f>'[2]lead  charge'!D11</f>
        <v>7</v>
      </c>
      <c r="Y16" s="597">
        <v>1250</v>
      </c>
      <c r="Z16" s="587">
        <f>'[2]lead  charge'!E11</f>
        <v>72.8</v>
      </c>
      <c r="AA16" s="574"/>
      <c r="AB16" s="578">
        <v>0</v>
      </c>
      <c r="AC16" s="573">
        <f t="shared" si="1"/>
        <v>1322.8</v>
      </c>
      <c r="AD16" s="573" t="s">
        <v>3019</v>
      </c>
      <c r="AE16" s="587">
        <f t="shared" si="2"/>
        <v>647</v>
      </c>
      <c r="AF16" s="593">
        <v>647</v>
      </c>
      <c r="AG16" s="587">
        <f t="shared" si="3"/>
        <v>711.7</v>
      </c>
      <c r="AH16" s="575">
        <f t="shared" si="4"/>
        <v>776.4</v>
      </c>
      <c r="AI16" s="575">
        <f t="shared" si="5"/>
        <v>970.5</v>
      </c>
      <c r="AJ16" s="575">
        <f t="shared" si="6"/>
        <v>679.35</v>
      </c>
      <c r="AK16" s="575">
        <f t="shared" si="7"/>
        <v>808.75</v>
      </c>
    </row>
    <row r="17" spans="1:37" ht="24" customHeight="1">
      <c r="A17" s="594">
        <f t="shared" si="8"/>
        <v>8</v>
      </c>
      <c r="B17" s="595" t="s">
        <v>315</v>
      </c>
      <c r="C17" s="596">
        <f>AE17</f>
        <v>679</v>
      </c>
      <c r="D17" s="596">
        <f>AE18</f>
        <v>660</v>
      </c>
      <c r="H17" s="582" t="s">
        <v>117</v>
      </c>
      <c r="O17" s="573" t="s">
        <v>316</v>
      </c>
      <c r="T17" s="574" t="s">
        <v>317</v>
      </c>
      <c r="U17" s="573" t="s">
        <v>492</v>
      </c>
      <c r="V17" s="573" t="s">
        <v>281</v>
      </c>
      <c r="W17" s="573" t="str">
        <f>W16</f>
        <v>Karanampettai</v>
      </c>
      <c r="X17" s="587">
        <f>X16</f>
        <v>7</v>
      </c>
      <c r="Y17" s="597">
        <f>Y16</f>
        <v>1250</v>
      </c>
      <c r="Z17" s="587">
        <f>Z16</f>
        <v>72.8</v>
      </c>
      <c r="AA17" s="574"/>
      <c r="AB17" s="578">
        <v>0</v>
      </c>
      <c r="AC17" s="573">
        <f t="shared" si="1"/>
        <v>1322.8</v>
      </c>
      <c r="AD17" s="573" t="s">
        <v>3020</v>
      </c>
      <c r="AE17" s="587">
        <f t="shared" si="2"/>
        <v>679</v>
      </c>
      <c r="AF17" s="593">
        <v>679</v>
      </c>
      <c r="AG17" s="587">
        <f t="shared" si="3"/>
        <v>746.90000000000009</v>
      </c>
      <c r="AH17" s="575">
        <f t="shared" si="4"/>
        <v>814.8</v>
      </c>
      <c r="AI17" s="575">
        <f t="shared" si="5"/>
        <v>1018.5</v>
      </c>
      <c r="AJ17" s="575">
        <f t="shared" si="6"/>
        <v>712.95</v>
      </c>
      <c r="AK17" s="575">
        <f t="shared" si="7"/>
        <v>848.75</v>
      </c>
    </row>
    <row r="18" spans="1:37" ht="24" customHeight="1">
      <c r="A18" s="594">
        <f t="shared" si="8"/>
        <v>9</v>
      </c>
      <c r="B18" s="595" t="s">
        <v>320</v>
      </c>
      <c r="C18" s="596">
        <f>AE24</f>
        <v>87</v>
      </c>
      <c r="D18" s="595" t="s">
        <v>321</v>
      </c>
      <c r="F18" s="587">
        <v>0.72</v>
      </c>
      <c r="G18" s="585" t="s">
        <v>124</v>
      </c>
      <c r="H18" s="573" t="s">
        <v>125</v>
      </c>
      <c r="I18" s="587">
        <f>(C67)</f>
        <v>5800</v>
      </c>
      <c r="J18" s="573" t="s">
        <v>124</v>
      </c>
      <c r="K18" s="587">
        <f>(F18*I18)</f>
        <v>4176</v>
      </c>
      <c r="O18" s="573" t="s">
        <v>322</v>
      </c>
      <c r="T18" s="574" t="s">
        <v>323</v>
      </c>
      <c r="U18" s="573" t="s">
        <v>324</v>
      </c>
      <c r="V18" s="573" t="s">
        <v>325</v>
      </c>
      <c r="W18" s="573" t="s">
        <v>326</v>
      </c>
      <c r="X18" s="587">
        <f>'[2]lead  charge'!G10</f>
        <v>36</v>
      </c>
      <c r="Y18" s="592">
        <v>5438</v>
      </c>
      <c r="Z18" s="587">
        <f>'[2]lead  charge'!H10</f>
        <v>266.10000000000002</v>
      </c>
      <c r="AA18" s="574"/>
      <c r="AB18" s="578">
        <v>0</v>
      </c>
      <c r="AC18" s="573">
        <f t="shared" si="1"/>
        <v>5704.1</v>
      </c>
      <c r="AD18" s="573" t="s">
        <v>3021</v>
      </c>
      <c r="AE18" s="587">
        <f t="shared" si="2"/>
        <v>660</v>
      </c>
      <c r="AF18" s="593">
        <v>660</v>
      </c>
      <c r="AG18" s="587">
        <f t="shared" si="3"/>
        <v>726.00000000000011</v>
      </c>
      <c r="AH18" s="575">
        <f t="shared" si="4"/>
        <v>792</v>
      </c>
      <c r="AI18" s="575">
        <f t="shared" si="5"/>
        <v>990</v>
      </c>
      <c r="AJ18" s="575">
        <f t="shared" si="6"/>
        <v>693</v>
      </c>
      <c r="AK18" s="575">
        <f t="shared" si="7"/>
        <v>825</v>
      </c>
    </row>
    <row r="19" spans="1:37" ht="24" customHeight="1">
      <c r="A19" s="594">
        <f t="shared" si="8"/>
        <v>10</v>
      </c>
      <c r="B19" s="595" t="s">
        <v>328</v>
      </c>
      <c r="C19" s="592">
        <f t="shared" ref="C19:C24" si="9">AE41</f>
        <v>59.2</v>
      </c>
      <c r="D19" s="595" t="s">
        <v>126</v>
      </c>
      <c r="F19" s="587">
        <v>1</v>
      </c>
      <c r="G19" s="585" t="s">
        <v>126</v>
      </c>
      <c r="H19" s="573" t="s">
        <v>127</v>
      </c>
      <c r="I19" s="587">
        <f>I36</f>
        <v>1322.8</v>
      </c>
      <c r="J19" s="573" t="s">
        <v>126</v>
      </c>
      <c r="K19" s="587">
        <f>(F19*I19)</f>
        <v>1322.8</v>
      </c>
      <c r="O19" s="573" t="s">
        <v>329</v>
      </c>
      <c r="T19" s="574" t="s">
        <v>330</v>
      </c>
      <c r="U19" s="573" t="s">
        <v>331</v>
      </c>
      <c r="V19" s="573" t="s">
        <v>126</v>
      </c>
      <c r="W19" s="587" t="str">
        <f>W18</f>
        <v>Chinna Thadagam</v>
      </c>
      <c r="X19" s="587">
        <f>'[2]lead  charge'!P10</f>
        <v>36</v>
      </c>
      <c r="Y19" s="592">
        <v>672</v>
      </c>
      <c r="Z19" s="598">
        <f>'[2]lead  charge'!Q10</f>
        <v>216.92</v>
      </c>
      <c r="AA19" s="574"/>
      <c r="AB19" s="578">
        <v>0</v>
      </c>
      <c r="AC19" s="573">
        <f t="shared" si="1"/>
        <v>888.92</v>
      </c>
      <c r="AD19" s="573" t="s">
        <v>3022</v>
      </c>
      <c r="AE19" s="587">
        <f t="shared" si="2"/>
        <v>752</v>
      </c>
      <c r="AF19" s="593">
        <v>752</v>
      </c>
      <c r="AG19" s="587">
        <f t="shared" si="3"/>
        <v>827.2</v>
      </c>
      <c r="AH19" s="575">
        <f t="shared" si="4"/>
        <v>902.4</v>
      </c>
      <c r="AI19" s="575">
        <f t="shared" si="5"/>
        <v>1128</v>
      </c>
      <c r="AJ19" s="575">
        <f t="shared" si="6"/>
        <v>789.6</v>
      </c>
      <c r="AK19" s="575">
        <f t="shared" si="7"/>
        <v>940</v>
      </c>
    </row>
    <row r="20" spans="1:37" ht="24" customHeight="1">
      <c r="A20" s="594">
        <f t="shared" si="8"/>
        <v>11</v>
      </c>
      <c r="B20" s="595" t="s">
        <v>333</v>
      </c>
      <c r="C20" s="592">
        <f t="shared" si="9"/>
        <v>119.3</v>
      </c>
      <c r="D20" s="595" t="s">
        <v>126</v>
      </c>
      <c r="F20" s="587">
        <v>1</v>
      </c>
      <c r="G20" s="585" t="s">
        <v>126</v>
      </c>
      <c r="H20" s="573" t="s">
        <v>128</v>
      </c>
      <c r="I20" s="587">
        <f>(C18)</f>
        <v>87</v>
      </c>
      <c r="J20" s="573" t="s">
        <v>126</v>
      </c>
      <c r="K20" s="587">
        <f>(F20*I20)</f>
        <v>87</v>
      </c>
      <c r="O20" s="573" t="s">
        <v>334</v>
      </c>
      <c r="T20" s="574" t="s">
        <v>335</v>
      </c>
      <c r="U20" s="573" t="s">
        <v>336</v>
      </c>
      <c r="V20" s="573" t="s">
        <v>126</v>
      </c>
      <c r="W20" s="587" t="str">
        <f>W18</f>
        <v>Chinna Thadagam</v>
      </c>
      <c r="X20" s="587">
        <f>X19</f>
        <v>36</v>
      </c>
      <c r="Y20" s="592">
        <v>749</v>
      </c>
      <c r="Z20" s="587">
        <f>Z19</f>
        <v>216.92</v>
      </c>
      <c r="AA20" s="574"/>
      <c r="AB20" s="578">
        <v>0</v>
      </c>
      <c r="AC20" s="573">
        <f t="shared" si="1"/>
        <v>965.92</v>
      </c>
      <c r="AD20" s="573" t="s">
        <v>3023</v>
      </c>
      <c r="AE20" s="587">
        <f t="shared" si="2"/>
        <v>718</v>
      </c>
      <c r="AF20" s="593">
        <v>718</v>
      </c>
      <c r="AG20" s="587">
        <f t="shared" si="3"/>
        <v>789.80000000000007</v>
      </c>
      <c r="AH20" s="575">
        <f t="shared" si="4"/>
        <v>861.6</v>
      </c>
      <c r="AI20" s="575">
        <f t="shared" si="5"/>
        <v>1077</v>
      </c>
      <c r="AJ20" s="575">
        <f t="shared" si="6"/>
        <v>753.9</v>
      </c>
      <c r="AK20" s="575">
        <f t="shared" si="7"/>
        <v>897.5</v>
      </c>
    </row>
    <row r="21" spans="1:37" ht="24" customHeight="1">
      <c r="A21" s="594">
        <f t="shared" si="8"/>
        <v>12</v>
      </c>
      <c r="B21" s="595" t="s">
        <v>338</v>
      </c>
      <c r="C21" s="592">
        <f t="shared" si="9"/>
        <v>119.3</v>
      </c>
      <c r="D21" s="595" t="s">
        <v>126</v>
      </c>
      <c r="G21" s="585" t="s">
        <v>129</v>
      </c>
      <c r="H21" s="573" t="s">
        <v>130</v>
      </c>
      <c r="I21" s="573" t="s">
        <v>115</v>
      </c>
      <c r="J21" s="573" t="s">
        <v>129</v>
      </c>
      <c r="K21" s="587">
        <v>0</v>
      </c>
      <c r="O21" s="582" t="s">
        <v>117</v>
      </c>
      <c r="T21" s="574" t="s">
        <v>339</v>
      </c>
      <c r="U21" s="573" t="s">
        <v>340</v>
      </c>
      <c r="V21" s="573" t="s">
        <v>325</v>
      </c>
      <c r="W21" s="573" t="s">
        <v>341</v>
      </c>
      <c r="X21" s="587">
        <f>'[2]lead  charge'!J12</f>
        <v>0</v>
      </c>
      <c r="Y21" s="592">
        <v>16106</v>
      </c>
      <c r="Z21" s="587">
        <f>'[2]lead  charge'!K11</f>
        <v>17.55</v>
      </c>
      <c r="AA21" s="574"/>
      <c r="AB21" s="578">
        <v>0</v>
      </c>
      <c r="AC21" s="573">
        <f t="shared" si="1"/>
        <v>16123.55</v>
      </c>
      <c r="AD21" s="573" t="s">
        <v>3024</v>
      </c>
      <c r="AE21" s="587">
        <f t="shared" si="2"/>
        <v>591</v>
      </c>
      <c r="AF21" s="593">
        <v>591</v>
      </c>
      <c r="AG21" s="587">
        <f t="shared" si="3"/>
        <v>650.1</v>
      </c>
      <c r="AH21" s="575">
        <f t="shared" si="4"/>
        <v>709.19999999999993</v>
      </c>
      <c r="AI21" s="575">
        <f t="shared" si="5"/>
        <v>886.5</v>
      </c>
      <c r="AJ21" s="575">
        <f t="shared" si="6"/>
        <v>620.55000000000007</v>
      </c>
      <c r="AK21" s="575">
        <f t="shared" si="7"/>
        <v>738.75</v>
      </c>
    </row>
    <row r="22" spans="1:37" ht="24" customHeight="1">
      <c r="A22" s="594">
        <f t="shared" si="8"/>
        <v>13</v>
      </c>
      <c r="B22" s="595" t="s">
        <v>343</v>
      </c>
      <c r="C22" s="592">
        <f>AE44</f>
        <v>89.9</v>
      </c>
      <c r="D22" s="595" t="s">
        <v>126</v>
      </c>
      <c r="K22" s="582" t="s">
        <v>117</v>
      </c>
      <c r="M22" s="587">
        <v>1</v>
      </c>
      <c r="N22" s="573" t="s">
        <v>126</v>
      </c>
      <c r="O22" s="573" t="s">
        <v>344</v>
      </c>
      <c r="P22" s="587">
        <f>C79</f>
        <v>1322.8</v>
      </c>
      <c r="Q22" s="573" t="s">
        <v>126</v>
      </c>
      <c r="R22" s="587">
        <f>(M22*P22)</f>
        <v>1322.8</v>
      </c>
      <c r="T22" s="574" t="s">
        <v>345</v>
      </c>
      <c r="U22" s="573" t="s">
        <v>346</v>
      </c>
      <c r="V22" s="573" t="s">
        <v>281</v>
      </c>
      <c r="W22" s="599" t="s">
        <v>341</v>
      </c>
      <c r="X22" s="587">
        <f>'[2]lead  charge'!P11</f>
        <v>7</v>
      </c>
      <c r="Y22" s="592">
        <v>1297</v>
      </c>
      <c r="Z22" s="587">
        <f>'[2]lead  charge'!Q11</f>
        <v>49.98</v>
      </c>
      <c r="AA22" s="574"/>
      <c r="AB22" s="578">
        <v>0</v>
      </c>
      <c r="AC22" s="573">
        <f t="shared" si="1"/>
        <v>1346.98</v>
      </c>
      <c r="AD22" s="573" t="s">
        <v>3025</v>
      </c>
      <c r="AE22" s="587">
        <f t="shared" si="2"/>
        <v>569</v>
      </c>
      <c r="AF22" s="593">
        <v>569</v>
      </c>
      <c r="AG22" s="587">
        <f t="shared" si="3"/>
        <v>625.90000000000009</v>
      </c>
      <c r="AH22" s="575">
        <f t="shared" si="4"/>
        <v>682.8</v>
      </c>
      <c r="AI22" s="575">
        <f t="shared" si="5"/>
        <v>853.5</v>
      </c>
      <c r="AJ22" s="575">
        <f t="shared" si="6"/>
        <v>597.45000000000005</v>
      </c>
      <c r="AK22" s="575">
        <f t="shared" si="7"/>
        <v>711.25</v>
      </c>
    </row>
    <row r="23" spans="1:37" ht="24" customHeight="1">
      <c r="A23" s="594">
        <f t="shared" si="8"/>
        <v>14</v>
      </c>
      <c r="B23" s="595" t="s">
        <v>348</v>
      </c>
      <c r="C23" s="592">
        <v>177</v>
      </c>
      <c r="D23" s="595" t="s">
        <v>126</v>
      </c>
      <c r="H23" s="573" t="s">
        <v>131</v>
      </c>
      <c r="K23" s="586">
        <f>SUM(K18:K21)</f>
        <v>5585.8</v>
      </c>
      <c r="M23" s="587">
        <v>1</v>
      </c>
      <c r="N23" s="573" t="s">
        <v>126</v>
      </c>
      <c r="O23" s="573" t="s">
        <v>349</v>
      </c>
      <c r="P23" s="587">
        <f>C85</f>
        <v>1004.98</v>
      </c>
      <c r="Q23" s="573" t="s">
        <v>126</v>
      </c>
      <c r="R23" s="587">
        <f>(M23*P23)</f>
        <v>1004.98</v>
      </c>
      <c r="T23" s="574" t="s">
        <v>350</v>
      </c>
      <c r="U23" s="573" t="s">
        <v>351</v>
      </c>
      <c r="V23" s="573" t="s">
        <v>281</v>
      </c>
      <c r="W23" s="599" t="s">
        <v>3026</v>
      </c>
      <c r="X23" s="587">
        <f>'[2]lead  charge'!P11</f>
        <v>7</v>
      </c>
      <c r="Y23" s="592">
        <v>955</v>
      </c>
      <c r="Z23" s="587">
        <f>'[2]lead  charge'!Q11</f>
        <v>49.98</v>
      </c>
      <c r="AA23" s="574"/>
      <c r="AB23" s="578">
        <v>0</v>
      </c>
      <c r="AC23" s="573">
        <f t="shared" si="1"/>
        <v>1004.98</v>
      </c>
      <c r="AD23" s="573" t="s">
        <v>3027</v>
      </c>
      <c r="AE23" s="587">
        <f t="shared" si="2"/>
        <v>592</v>
      </c>
      <c r="AF23" s="593">
        <v>592</v>
      </c>
      <c r="AG23" s="587">
        <f t="shared" si="3"/>
        <v>651.20000000000005</v>
      </c>
      <c r="AH23" s="575">
        <f t="shared" si="4"/>
        <v>710.4</v>
      </c>
      <c r="AI23" s="575">
        <f t="shared" si="5"/>
        <v>888</v>
      </c>
      <c r="AJ23" s="575">
        <f t="shared" si="6"/>
        <v>621.6</v>
      </c>
      <c r="AK23" s="575">
        <f t="shared" si="7"/>
        <v>740</v>
      </c>
    </row>
    <row r="24" spans="1:37" ht="24" customHeight="1">
      <c r="A24" s="594">
        <f t="shared" si="8"/>
        <v>15</v>
      </c>
      <c r="B24" s="595" t="s">
        <v>353</v>
      </c>
      <c r="C24" s="592">
        <f t="shared" si="9"/>
        <v>177</v>
      </c>
      <c r="D24" s="595" t="s">
        <v>126</v>
      </c>
      <c r="K24" s="582" t="s">
        <v>117</v>
      </c>
      <c r="M24" s="587">
        <v>1.5</v>
      </c>
      <c r="N24" s="573" t="s">
        <v>126</v>
      </c>
      <c r="O24" s="573" t="s">
        <v>354</v>
      </c>
      <c r="P24" s="587">
        <f>C18</f>
        <v>87</v>
      </c>
      <c r="Q24" s="573" t="s">
        <v>126</v>
      </c>
      <c r="R24" s="587">
        <f>(M24*P24)</f>
        <v>130.5</v>
      </c>
      <c r="T24" s="574" t="s">
        <v>355</v>
      </c>
      <c r="U24" s="573" t="s">
        <v>356</v>
      </c>
      <c r="V24" s="573" t="s">
        <v>281</v>
      </c>
      <c r="W24" s="573" t="s">
        <v>357</v>
      </c>
      <c r="X24" s="575">
        <f>X25</f>
        <v>0</v>
      </c>
      <c r="Y24" s="592">
        <v>34300</v>
      </c>
      <c r="Z24" s="575">
        <f>Z25</f>
        <v>0</v>
      </c>
      <c r="AA24" s="580"/>
      <c r="AB24" s="578">
        <v>0</v>
      </c>
      <c r="AC24" s="573">
        <f t="shared" si="1"/>
        <v>34300</v>
      </c>
      <c r="AD24" s="573" t="s">
        <v>358</v>
      </c>
      <c r="AE24" s="587">
        <f t="shared" si="2"/>
        <v>87</v>
      </c>
      <c r="AF24" s="600">
        <v>87</v>
      </c>
      <c r="AG24" s="587">
        <f t="shared" si="3"/>
        <v>95.7</v>
      </c>
      <c r="AH24" s="575">
        <f t="shared" si="4"/>
        <v>104.39999999999999</v>
      </c>
      <c r="AI24" s="575">
        <f t="shared" si="5"/>
        <v>130.5</v>
      </c>
      <c r="AJ24" s="575">
        <f t="shared" si="6"/>
        <v>91.350000000000009</v>
      </c>
      <c r="AK24" s="575">
        <f t="shared" si="7"/>
        <v>108.75</v>
      </c>
    </row>
    <row r="25" spans="1:37" ht="24" customHeight="1">
      <c r="A25" s="594">
        <f t="shared" si="8"/>
        <v>16</v>
      </c>
      <c r="B25" s="595" t="s">
        <v>359</v>
      </c>
      <c r="C25" s="596">
        <f>AE25</f>
        <v>70.7</v>
      </c>
      <c r="D25" s="595" t="s">
        <v>126</v>
      </c>
      <c r="G25" s="585" t="s">
        <v>122</v>
      </c>
      <c r="H25" s="573" t="s">
        <v>133</v>
      </c>
      <c r="M25" s="587">
        <v>1.5</v>
      </c>
      <c r="N25" s="573" t="s">
        <v>126</v>
      </c>
      <c r="O25" s="573" t="s">
        <v>360</v>
      </c>
      <c r="P25" s="587">
        <f>C27</f>
        <v>25.7</v>
      </c>
      <c r="Q25" s="573" t="s">
        <v>126</v>
      </c>
      <c r="R25" s="587">
        <f>(M25*P25)</f>
        <v>38.549999999999997</v>
      </c>
      <c r="T25" s="574" t="s">
        <v>361</v>
      </c>
      <c r="U25" s="601" t="s">
        <v>362</v>
      </c>
      <c r="V25" s="573" t="s">
        <v>281</v>
      </c>
      <c r="W25" s="599" t="s">
        <v>357</v>
      </c>
      <c r="X25" s="575">
        <f>'[2]lead  charge'!P12</f>
        <v>0</v>
      </c>
      <c r="Y25" s="592">
        <v>39400</v>
      </c>
      <c r="Z25" s="575">
        <f>'[2]lead  charge'!Q12</f>
        <v>0</v>
      </c>
      <c r="AA25" s="580"/>
      <c r="AB25" s="578">
        <v>0</v>
      </c>
      <c r="AC25" s="573">
        <f>SUM(Y25+Z25+AA25+AB25)</f>
        <v>39400</v>
      </c>
      <c r="AD25" s="573" t="s">
        <v>363</v>
      </c>
      <c r="AE25" s="587">
        <f t="shared" si="2"/>
        <v>70.7</v>
      </c>
      <c r="AF25" s="600">
        <v>70.7</v>
      </c>
      <c r="AG25" s="587">
        <f t="shared" si="3"/>
        <v>77.77000000000001</v>
      </c>
      <c r="AH25" s="575">
        <f t="shared" si="4"/>
        <v>84.84</v>
      </c>
      <c r="AI25" s="575">
        <f t="shared" si="5"/>
        <v>106.05000000000001</v>
      </c>
      <c r="AJ25" s="575">
        <f t="shared" si="6"/>
        <v>74.234999999999999</v>
      </c>
      <c r="AK25" s="575">
        <f t="shared" si="7"/>
        <v>88.375</v>
      </c>
    </row>
    <row r="26" spans="1:37" ht="24" customHeight="1">
      <c r="A26" s="594">
        <f t="shared" si="8"/>
        <v>17</v>
      </c>
      <c r="B26" s="595" t="s">
        <v>364</v>
      </c>
      <c r="C26" s="596">
        <f>AE28</f>
        <v>29.3</v>
      </c>
      <c r="D26" s="595" t="s">
        <v>365</v>
      </c>
      <c r="E26" s="575">
        <f>(65.8+87.9+100.7)/3</f>
        <v>84.8</v>
      </c>
      <c r="H26" s="582" t="s">
        <v>117</v>
      </c>
      <c r="N26" s="573" t="s">
        <v>129</v>
      </c>
      <c r="O26" s="573" t="s">
        <v>130</v>
      </c>
      <c r="P26" s="573" t="s">
        <v>115</v>
      </c>
      <c r="Q26" s="573" t="s">
        <v>129</v>
      </c>
      <c r="R26" s="587">
        <v>0</v>
      </c>
      <c r="T26" s="574" t="s">
        <v>366</v>
      </c>
      <c r="U26" s="573" t="s">
        <v>367</v>
      </c>
      <c r="V26" s="573" t="s">
        <v>281</v>
      </c>
      <c r="W26" s="599" t="s">
        <v>357</v>
      </c>
      <c r="X26" s="575">
        <f>X25</f>
        <v>0</v>
      </c>
      <c r="Y26" s="592">
        <v>111600</v>
      </c>
      <c r="Z26" s="575">
        <f>'[2]lead  charge'!Q12</f>
        <v>0</v>
      </c>
      <c r="AA26" s="580"/>
      <c r="AB26" s="578">
        <v>0</v>
      </c>
      <c r="AC26" s="573">
        <f>SUM(Y26+Z26+AA26+AB26)</f>
        <v>111600</v>
      </c>
      <c r="AD26" s="573" t="s">
        <v>368</v>
      </c>
      <c r="AE26" s="587">
        <f t="shared" si="2"/>
        <v>52.4</v>
      </c>
      <c r="AF26" s="600">
        <v>52.4</v>
      </c>
      <c r="AG26" s="587">
        <f t="shared" si="3"/>
        <v>57.64</v>
      </c>
      <c r="AH26" s="575">
        <f t="shared" si="4"/>
        <v>62.879999999999995</v>
      </c>
      <c r="AI26" s="575">
        <f t="shared" si="5"/>
        <v>78.599999999999994</v>
      </c>
      <c r="AJ26" s="575">
        <f t="shared" si="6"/>
        <v>55.02</v>
      </c>
      <c r="AK26" s="575">
        <f t="shared" si="7"/>
        <v>65.5</v>
      </c>
    </row>
    <row r="27" spans="1:37" ht="24" customHeight="1">
      <c r="A27" s="594">
        <f t="shared" si="8"/>
        <v>18</v>
      </c>
      <c r="B27" s="595" t="s">
        <v>369</v>
      </c>
      <c r="C27" s="596">
        <f>AE27</f>
        <v>25.7</v>
      </c>
      <c r="D27" s="595" t="s">
        <v>365</v>
      </c>
      <c r="E27" s="575">
        <f>(59.3+83+95)/3</f>
        <v>79.100000000000009</v>
      </c>
      <c r="F27" s="587">
        <v>0.48</v>
      </c>
      <c r="G27" s="585" t="s">
        <v>124</v>
      </c>
      <c r="H27" s="573" t="s">
        <v>125</v>
      </c>
      <c r="I27" s="587">
        <f>(C67)</f>
        <v>5800</v>
      </c>
      <c r="J27" s="573" t="s">
        <v>124</v>
      </c>
      <c r="K27" s="587">
        <f>(F27*I27)</f>
        <v>2784</v>
      </c>
      <c r="R27" s="582" t="s">
        <v>117</v>
      </c>
      <c r="T27" s="574" t="s">
        <v>370</v>
      </c>
      <c r="U27" s="573" t="s">
        <v>371</v>
      </c>
      <c r="V27" s="573" t="s">
        <v>281</v>
      </c>
      <c r="W27" s="599" t="s">
        <v>357</v>
      </c>
      <c r="X27" s="575">
        <f>X26</f>
        <v>0</v>
      </c>
      <c r="Y27" s="592">
        <v>99400</v>
      </c>
      <c r="Z27" s="575">
        <f>Z26</f>
        <v>0</v>
      </c>
      <c r="AA27" s="580"/>
      <c r="AB27" s="578">
        <v>0</v>
      </c>
      <c r="AC27" s="573">
        <f>SUM(Y27+Z27+AA27+AB27)</f>
        <v>99400</v>
      </c>
      <c r="AD27" s="573" t="s">
        <v>372</v>
      </c>
      <c r="AE27" s="587">
        <f t="shared" si="2"/>
        <v>25.7</v>
      </c>
      <c r="AF27" s="593">
        <v>25.7</v>
      </c>
      <c r="AG27" s="587">
        <f t="shared" si="3"/>
        <v>28.270000000000003</v>
      </c>
      <c r="AH27" s="575">
        <f t="shared" si="4"/>
        <v>30.839999999999996</v>
      </c>
      <c r="AI27" s="575">
        <f t="shared" si="5"/>
        <v>38.549999999999997</v>
      </c>
      <c r="AJ27" s="575">
        <f t="shared" si="6"/>
        <v>26.984999999999999</v>
      </c>
      <c r="AK27" s="575">
        <f t="shared" si="7"/>
        <v>32.125</v>
      </c>
    </row>
    <row r="28" spans="1:37" ht="24" customHeight="1">
      <c r="A28" s="594">
        <f t="shared" si="8"/>
        <v>19</v>
      </c>
      <c r="B28" s="595" t="s">
        <v>373</v>
      </c>
      <c r="C28" s="602">
        <v>84.8</v>
      </c>
      <c r="D28" s="595" t="s">
        <v>129</v>
      </c>
      <c r="E28" s="575">
        <v>226.12</v>
      </c>
      <c r="F28" s="587">
        <v>1</v>
      </c>
      <c r="G28" s="585" t="s">
        <v>126</v>
      </c>
      <c r="H28" s="573" t="s">
        <v>127</v>
      </c>
      <c r="I28" s="587">
        <f>(C78)</f>
        <v>1322.8</v>
      </c>
      <c r="J28" s="573" t="s">
        <v>126</v>
      </c>
      <c r="K28" s="587">
        <f>(F28*I28)</f>
        <v>1322.8</v>
      </c>
      <c r="O28" s="573" t="s">
        <v>374</v>
      </c>
      <c r="R28" s="587">
        <f>SUM(R22:R26)</f>
        <v>2496.83</v>
      </c>
      <c r="T28" s="574" t="s">
        <v>375</v>
      </c>
      <c r="U28" s="573" t="s">
        <v>376</v>
      </c>
      <c r="V28" s="573" t="s">
        <v>281</v>
      </c>
      <c r="W28" s="599" t="s">
        <v>357</v>
      </c>
      <c r="X28" s="575">
        <f>X27</f>
        <v>0</v>
      </c>
      <c r="Y28" s="592">
        <v>95000</v>
      </c>
      <c r="Z28" s="575">
        <f>Z27</f>
        <v>0</v>
      </c>
      <c r="AA28" s="580"/>
      <c r="AB28" s="578">
        <v>0</v>
      </c>
      <c r="AC28" s="573">
        <f>SUM(Y28+Z28+AA28+AB28)</f>
        <v>95000</v>
      </c>
      <c r="AD28" s="573" t="s">
        <v>377</v>
      </c>
      <c r="AE28" s="587">
        <f t="shared" si="2"/>
        <v>29.3</v>
      </c>
      <c r="AF28" s="593">
        <v>29.3</v>
      </c>
      <c r="AG28" s="587">
        <f t="shared" si="3"/>
        <v>32.230000000000004</v>
      </c>
      <c r="AH28" s="575">
        <f t="shared" si="4"/>
        <v>35.159999999999997</v>
      </c>
      <c r="AI28" s="575">
        <f t="shared" si="5"/>
        <v>43.95</v>
      </c>
      <c r="AJ28" s="575">
        <f t="shared" si="6"/>
        <v>30.765000000000001</v>
      </c>
      <c r="AK28" s="575">
        <f t="shared" si="7"/>
        <v>36.625</v>
      </c>
    </row>
    <row r="29" spans="1:37" ht="24" customHeight="1">
      <c r="A29" s="594">
        <f t="shared" si="8"/>
        <v>20</v>
      </c>
      <c r="B29" s="595" t="s">
        <v>378</v>
      </c>
      <c r="C29" s="596">
        <f>AE23</f>
        <v>592</v>
      </c>
      <c r="D29" s="595" t="s">
        <v>1</v>
      </c>
      <c r="E29" s="575">
        <f>E28/3</f>
        <v>75.373333333333335</v>
      </c>
      <c r="F29" s="587">
        <v>1</v>
      </c>
      <c r="G29" s="585" t="s">
        <v>126</v>
      </c>
      <c r="H29" s="573" t="s">
        <v>128</v>
      </c>
      <c r="I29" s="587">
        <f>(C18)</f>
        <v>87</v>
      </c>
      <c r="J29" s="573" t="s">
        <v>126</v>
      </c>
      <c r="K29" s="587">
        <f>(F29*I29)</f>
        <v>87</v>
      </c>
      <c r="R29" s="582" t="s">
        <v>117</v>
      </c>
      <c r="T29" s="574" t="s">
        <v>379</v>
      </c>
      <c r="U29" s="573" t="s">
        <v>380</v>
      </c>
      <c r="V29" s="573" t="s">
        <v>325</v>
      </c>
      <c r="W29" s="587" t="str">
        <f>W18</f>
        <v>Chinna Thadagam</v>
      </c>
      <c r="X29" s="587">
        <f>X18</f>
        <v>36</v>
      </c>
      <c r="Y29" s="592">
        <v>4095</v>
      </c>
      <c r="Z29" s="587">
        <f>'[2]lead  charge'!H10</f>
        <v>266.10000000000002</v>
      </c>
      <c r="AA29" s="580"/>
      <c r="AB29" s="578">
        <v>0</v>
      </c>
      <c r="AC29" s="573">
        <f>SUM(Y29+Z29+AA29+AB29)</f>
        <v>4361.1000000000004</v>
      </c>
      <c r="AD29" s="573" t="s">
        <v>381</v>
      </c>
      <c r="AE29" s="587">
        <f t="shared" si="2"/>
        <v>84</v>
      </c>
      <c r="AF29" s="593">
        <v>84</v>
      </c>
      <c r="AG29" s="587">
        <f t="shared" si="3"/>
        <v>92.4</v>
      </c>
      <c r="AH29" s="575">
        <f t="shared" si="4"/>
        <v>100.8</v>
      </c>
      <c r="AI29" s="575">
        <f t="shared" si="5"/>
        <v>126</v>
      </c>
      <c r="AJ29" s="575">
        <f t="shared" si="6"/>
        <v>88.2</v>
      </c>
      <c r="AK29" s="575">
        <f t="shared" si="7"/>
        <v>105</v>
      </c>
    </row>
    <row r="30" spans="1:37" ht="24" customHeight="1">
      <c r="A30" s="594">
        <f t="shared" si="8"/>
        <v>21</v>
      </c>
      <c r="B30" s="595" t="s">
        <v>382</v>
      </c>
      <c r="C30" s="596">
        <f>AE33</f>
        <v>10275</v>
      </c>
      <c r="D30" s="603">
        <f>AE31</f>
        <v>963</v>
      </c>
      <c r="G30" s="585" t="s">
        <v>129</v>
      </c>
      <c r="H30" s="573" t="s">
        <v>130</v>
      </c>
      <c r="I30" s="573" t="s">
        <v>115</v>
      </c>
      <c r="J30" s="573" t="s">
        <v>129</v>
      </c>
      <c r="K30" s="587">
        <v>0</v>
      </c>
      <c r="O30" s="573" t="s">
        <v>383</v>
      </c>
      <c r="R30" s="587">
        <f>(R28/1.5)</f>
        <v>1664.5533333333333</v>
      </c>
      <c r="T30" s="574" t="s">
        <v>384</v>
      </c>
      <c r="U30" s="573" t="s">
        <v>385</v>
      </c>
      <c r="V30" s="573" t="s">
        <v>325</v>
      </c>
      <c r="W30" s="599" t="s">
        <v>357</v>
      </c>
      <c r="X30" s="587"/>
      <c r="Y30" s="592">
        <v>11559</v>
      </c>
      <c r="Z30" s="587"/>
      <c r="AA30" s="574"/>
      <c r="AB30" s="578">
        <v>0</v>
      </c>
      <c r="AC30" s="573">
        <f t="shared" si="1"/>
        <v>11559</v>
      </c>
      <c r="AD30" s="573" t="s">
        <v>386</v>
      </c>
      <c r="AE30" s="587">
        <f t="shared" si="2"/>
        <v>1155</v>
      </c>
      <c r="AF30" s="600">
        <v>1155</v>
      </c>
      <c r="AG30" s="587">
        <f t="shared" si="3"/>
        <v>1270.5</v>
      </c>
      <c r="AH30" s="575">
        <f t="shared" si="4"/>
        <v>1386</v>
      </c>
      <c r="AI30" s="575">
        <f t="shared" si="5"/>
        <v>1732.5</v>
      </c>
      <c r="AJ30" s="575">
        <f t="shared" si="6"/>
        <v>1212.75</v>
      </c>
      <c r="AK30" s="575">
        <f t="shared" si="7"/>
        <v>1443.75</v>
      </c>
    </row>
    <row r="31" spans="1:37" ht="24" customHeight="1">
      <c r="A31" s="594">
        <f t="shared" si="8"/>
        <v>22</v>
      </c>
      <c r="B31" s="595" t="s">
        <v>387</v>
      </c>
      <c r="C31" s="596">
        <f>AE30</f>
        <v>1155</v>
      </c>
      <c r="D31" s="603">
        <f>AE32</f>
        <v>1078</v>
      </c>
      <c r="K31" s="582" t="s">
        <v>117</v>
      </c>
      <c r="O31" s="573" t="s">
        <v>251</v>
      </c>
      <c r="R31" s="582" t="s">
        <v>155</v>
      </c>
      <c r="T31" s="574" t="s">
        <v>388</v>
      </c>
      <c r="U31" s="573" t="s">
        <v>389</v>
      </c>
      <c r="V31" s="573" t="s">
        <v>124</v>
      </c>
      <c r="W31" s="573" t="s">
        <v>357</v>
      </c>
      <c r="X31" s="587">
        <f>'[2]lead  charge'!D14</f>
        <v>0</v>
      </c>
      <c r="Y31" s="592">
        <v>5800</v>
      </c>
      <c r="Z31" s="587">
        <f>'[2]lead  charge'!E14</f>
        <v>0</v>
      </c>
      <c r="AA31" s="574"/>
      <c r="AB31" s="578"/>
      <c r="AC31" s="573">
        <f>SUM(Y31+Z31+AA31+AB31)</f>
        <v>5800</v>
      </c>
      <c r="AD31" s="573" t="s">
        <v>390</v>
      </c>
      <c r="AE31" s="587">
        <f t="shared" si="2"/>
        <v>963</v>
      </c>
      <c r="AF31" s="600">
        <v>963</v>
      </c>
      <c r="AG31" s="587">
        <f t="shared" si="3"/>
        <v>1059.3000000000002</v>
      </c>
      <c r="AH31" s="575">
        <f t="shared" si="4"/>
        <v>1155.5999999999999</v>
      </c>
      <c r="AI31" s="575">
        <f t="shared" si="5"/>
        <v>1444.5</v>
      </c>
      <c r="AJ31" s="575">
        <f t="shared" si="6"/>
        <v>1011.1500000000001</v>
      </c>
      <c r="AK31" s="575">
        <f t="shared" si="7"/>
        <v>1203.75</v>
      </c>
    </row>
    <row r="32" spans="1:37" ht="24" customHeight="1">
      <c r="A32" s="594">
        <f t="shared" si="8"/>
        <v>23</v>
      </c>
      <c r="B32" s="604" t="s">
        <v>391</v>
      </c>
      <c r="C32" s="605">
        <v>2.5</v>
      </c>
      <c r="D32" s="596">
        <f>AE34</f>
        <v>901</v>
      </c>
      <c r="H32" s="573" t="s">
        <v>131</v>
      </c>
      <c r="K32" s="586">
        <f>SUM(K27:K30)</f>
        <v>4193.8</v>
      </c>
      <c r="T32" s="574" t="s">
        <v>392</v>
      </c>
      <c r="U32" s="573" t="s">
        <v>393</v>
      </c>
      <c r="V32" s="573" t="s">
        <v>124</v>
      </c>
      <c r="W32" s="573" t="s">
        <v>341</v>
      </c>
      <c r="X32" s="587">
        <f>'[2]lead  charge'!D15</f>
        <v>0</v>
      </c>
      <c r="Y32" s="592">
        <v>45000</v>
      </c>
      <c r="Z32" s="587">
        <f>Z31</f>
        <v>0</v>
      </c>
      <c r="AA32" s="574"/>
      <c r="AB32" s="578">
        <v>0</v>
      </c>
      <c r="AC32" s="606">
        <f>SUM(Y32+Z32+AA32+AB32)</f>
        <v>45000</v>
      </c>
      <c r="AD32" s="573" t="s">
        <v>394</v>
      </c>
      <c r="AE32" s="587">
        <f t="shared" si="2"/>
        <v>1078</v>
      </c>
      <c r="AF32" s="600">
        <v>1078</v>
      </c>
      <c r="AG32" s="587">
        <f t="shared" si="3"/>
        <v>1185.8000000000002</v>
      </c>
      <c r="AH32" s="575">
        <f t="shared" si="4"/>
        <v>1293.5999999999999</v>
      </c>
      <c r="AI32" s="575">
        <f t="shared" si="5"/>
        <v>1617</v>
      </c>
      <c r="AJ32" s="575">
        <f t="shared" si="6"/>
        <v>1131.9000000000001</v>
      </c>
      <c r="AK32" s="575">
        <f t="shared" si="7"/>
        <v>1347.5</v>
      </c>
    </row>
    <row r="33" spans="1:37" ht="24" customHeight="1">
      <c r="A33" s="594">
        <f t="shared" si="8"/>
        <v>24</v>
      </c>
      <c r="B33" s="604" t="s">
        <v>395</v>
      </c>
      <c r="C33" s="605">
        <v>3.64</v>
      </c>
      <c r="D33" s="596">
        <f>AE35</f>
        <v>805</v>
      </c>
      <c r="K33" s="582" t="s">
        <v>117</v>
      </c>
      <c r="T33" s="607" t="s">
        <v>396</v>
      </c>
      <c r="U33" s="573" t="s">
        <v>397</v>
      </c>
      <c r="V33" s="573" t="s">
        <v>124</v>
      </c>
      <c r="W33" s="573" t="s">
        <v>341</v>
      </c>
      <c r="X33" s="587">
        <f>X32</f>
        <v>0</v>
      </c>
      <c r="Y33" s="592">
        <f>Y32</f>
        <v>45000</v>
      </c>
      <c r="Z33" s="587">
        <f>Z32</f>
        <v>0</v>
      </c>
      <c r="AA33" s="574"/>
      <c r="AB33" s="578">
        <v>0</v>
      </c>
      <c r="AC33" s="606">
        <f t="shared" si="1"/>
        <v>45000</v>
      </c>
      <c r="AD33" s="573" t="s">
        <v>398</v>
      </c>
      <c r="AE33" s="587">
        <f t="shared" si="2"/>
        <v>10275</v>
      </c>
      <c r="AF33" s="600">
        <v>10275</v>
      </c>
      <c r="AG33" s="587">
        <f t="shared" si="3"/>
        <v>11302.500000000002</v>
      </c>
      <c r="AH33" s="575">
        <f t="shared" si="4"/>
        <v>12330</v>
      </c>
      <c r="AI33" s="575">
        <f t="shared" si="5"/>
        <v>15412.5</v>
      </c>
      <c r="AJ33" s="575">
        <f t="shared" si="6"/>
        <v>10788.75</v>
      </c>
      <c r="AK33" s="575">
        <f t="shared" si="7"/>
        <v>12843.75</v>
      </c>
    </row>
    <row r="34" spans="1:37" ht="24" customHeight="1">
      <c r="A34" s="594">
        <f t="shared" si="8"/>
        <v>25</v>
      </c>
      <c r="B34" s="595" t="s">
        <v>399</v>
      </c>
      <c r="C34" s="592">
        <v>41200</v>
      </c>
      <c r="D34" s="592">
        <f>C34</f>
        <v>41200</v>
      </c>
      <c r="G34" s="585" t="s">
        <v>122</v>
      </c>
      <c r="H34" s="573" t="s">
        <v>134</v>
      </c>
      <c r="T34" s="607" t="s">
        <v>400</v>
      </c>
      <c r="U34" s="573" t="s">
        <v>401</v>
      </c>
      <c r="V34" s="573" t="s">
        <v>325</v>
      </c>
      <c r="W34" s="587" t="str">
        <f>W18</f>
        <v>Chinna Thadagam</v>
      </c>
      <c r="X34" s="587">
        <f>'[2]lead  charge'!G10</f>
        <v>36</v>
      </c>
      <c r="Y34" s="592">
        <f>Y29</f>
        <v>4095</v>
      </c>
      <c r="Z34" s="587">
        <f>Z29</f>
        <v>266.10000000000002</v>
      </c>
      <c r="AA34" s="574"/>
      <c r="AB34" s="578">
        <v>0</v>
      </c>
      <c r="AC34" s="573">
        <f t="shared" si="1"/>
        <v>4361.1000000000004</v>
      </c>
      <c r="AD34" s="573" t="s">
        <v>402</v>
      </c>
      <c r="AE34" s="587">
        <f t="shared" si="2"/>
        <v>901</v>
      </c>
      <c r="AF34" s="600">
        <v>901</v>
      </c>
      <c r="AG34" s="587">
        <f t="shared" si="3"/>
        <v>991.10000000000014</v>
      </c>
      <c r="AH34" s="575">
        <f t="shared" si="4"/>
        <v>1081.2</v>
      </c>
      <c r="AI34" s="575">
        <f t="shared" si="5"/>
        <v>1351.5</v>
      </c>
      <c r="AJ34" s="575">
        <f t="shared" si="6"/>
        <v>946.05000000000007</v>
      </c>
      <c r="AK34" s="575">
        <f t="shared" si="7"/>
        <v>1126.25</v>
      </c>
    </row>
    <row r="35" spans="1:37" ht="24" customHeight="1">
      <c r="A35" s="594">
        <f t="shared" si="8"/>
        <v>26</v>
      </c>
      <c r="B35" s="595" t="s">
        <v>403</v>
      </c>
      <c r="C35" s="596">
        <f>AC38</f>
        <v>456.69</v>
      </c>
      <c r="D35" s="608"/>
      <c r="F35" s="587">
        <v>0.36</v>
      </c>
      <c r="G35" s="585" t="s">
        <v>124</v>
      </c>
      <c r="H35" s="573" t="s">
        <v>125</v>
      </c>
      <c r="I35" s="587">
        <f>C67</f>
        <v>5800</v>
      </c>
      <c r="J35" s="573" t="s">
        <v>124</v>
      </c>
      <c r="K35" s="587">
        <f>(F35*I35)</f>
        <v>2088</v>
      </c>
      <c r="T35" s="609" t="s">
        <v>404</v>
      </c>
      <c r="U35" s="610" t="s">
        <v>405</v>
      </c>
      <c r="V35" s="610" t="s">
        <v>281</v>
      </c>
      <c r="W35" s="610" t="str">
        <f>W11</f>
        <v>Madukkarai</v>
      </c>
      <c r="X35" s="598">
        <f>X11</f>
        <v>27</v>
      </c>
      <c r="Y35" s="611">
        <v>835</v>
      </c>
      <c r="Z35" s="587">
        <f>Z11</f>
        <v>246.69</v>
      </c>
      <c r="AA35" s="574"/>
      <c r="AB35" s="578"/>
      <c r="AC35" s="573">
        <f t="shared" si="1"/>
        <v>1081.69</v>
      </c>
      <c r="AD35" s="573" t="s">
        <v>406</v>
      </c>
      <c r="AE35" s="587">
        <f t="shared" si="2"/>
        <v>805</v>
      </c>
      <c r="AF35" s="600">
        <v>805</v>
      </c>
      <c r="AG35" s="587">
        <f t="shared" si="3"/>
        <v>885.50000000000011</v>
      </c>
      <c r="AH35" s="575">
        <f t="shared" si="4"/>
        <v>966</v>
      </c>
      <c r="AI35" s="575">
        <f t="shared" si="5"/>
        <v>1207.5</v>
      </c>
      <c r="AJ35" s="575">
        <f t="shared" si="6"/>
        <v>845.25</v>
      </c>
      <c r="AK35" s="575">
        <f t="shared" si="7"/>
        <v>1006.25</v>
      </c>
    </row>
    <row r="36" spans="1:37" ht="24" customHeight="1">
      <c r="A36" s="608" t="s">
        <v>115</v>
      </c>
      <c r="B36" s="595" t="s">
        <v>407</v>
      </c>
      <c r="C36" s="592">
        <v>8.1</v>
      </c>
      <c r="D36" s="608"/>
      <c r="F36" s="587">
        <v>1</v>
      </c>
      <c r="G36" s="585" t="s">
        <v>126</v>
      </c>
      <c r="H36" s="573" t="s">
        <v>127</v>
      </c>
      <c r="I36" s="587">
        <f>AC16</f>
        <v>1322.8</v>
      </c>
      <c r="J36" s="573" t="s">
        <v>126</v>
      </c>
      <c r="K36" s="587">
        <f>(F36*I36)</f>
        <v>1322.8</v>
      </c>
      <c r="T36" s="609" t="s">
        <v>408</v>
      </c>
      <c r="U36" s="610" t="s">
        <v>409</v>
      </c>
      <c r="V36" s="610" t="s">
        <v>281</v>
      </c>
      <c r="W36" s="610" t="str">
        <f>W12</f>
        <v>Madukkarai</v>
      </c>
      <c r="X36" s="598">
        <f>X11</f>
        <v>27</v>
      </c>
      <c r="Y36" s="611">
        <v>941</v>
      </c>
      <c r="Z36" s="587">
        <f>Z11</f>
        <v>246.69</v>
      </c>
      <c r="AA36" s="574"/>
      <c r="AB36" s="578">
        <v>0</v>
      </c>
      <c r="AC36" s="573">
        <f t="shared" si="1"/>
        <v>1187.69</v>
      </c>
      <c r="AD36" s="573" t="s">
        <v>410</v>
      </c>
      <c r="AE36" s="587">
        <f t="shared" si="2"/>
        <v>125.2</v>
      </c>
      <c r="AF36" s="593">
        <v>125.2</v>
      </c>
      <c r="AG36" s="587">
        <f t="shared" si="3"/>
        <v>137.72000000000003</v>
      </c>
      <c r="AH36" s="575">
        <f t="shared" si="4"/>
        <v>150.24</v>
      </c>
      <c r="AI36" s="575">
        <f t="shared" si="5"/>
        <v>187.8</v>
      </c>
      <c r="AJ36" s="575">
        <f t="shared" si="6"/>
        <v>131.46</v>
      </c>
      <c r="AK36" s="575">
        <f t="shared" si="7"/>
        <v>156.5</v>
      </c>
    </row>
    <row r="37" spans="1:37" ht="24" customHeight="1">
      <c r="A37" s="608"/>
      <c r="B37" s="595" t="s">
        <v>411</v>
      </c>
      <c r="C37" s="612">
        <v>41.6</v>
      </c>
      <c r="D37" s="608"/>
      <c r="F37" s="587">
        <v>1</v>
      </c>
      <c r="G37" s="585" t="s">
        <v>126</v>
      </c>
      <c r="H37" s="573" t="s">
        <v>128</v>
      </c>
      <c r="I37" s="587">
        <f>C18</f>
        <v>87</v>
      </c>
      <c r="J37" s="573" t="s">
        <v>126</v>
      </c>
      <c r="K37" s="587">
        <f>(F37*I37)</f>
        <v>87</v>
      </c>
      <c r="T37" s="609" t="s">
        <v>412</v>
      </c>
      <c r="U37" s="610" t="s">
        <v>413</v>
      </c>
      <c r="V37" s="610" t="s">
        <v>281</v>
      </c>
      <c r="W37" s="610" t="str">
        <f>W13</f>
        <v>Madukkarai</v>
      </c>
      <c r="X37" s="598">
        <f>X36</f>
        <v>27</v>
      </c>
      <c r="Y37" s="611">
        <v>795.75</v>
      </c>
      <c r="Z37" s="587">
        <f>Z11</f>
        <v>246.69</v>
      </c>
      <c r="AA37" s="574"/>
      <c r="AB37" s="578">
        <v>0</v>
      </c>
      <c r="AC37" s="573">
        <f>SUM(Y37+Z37+AA37+AB37)</f>
        <v>1042.44</v>
      </c>
      <c r="AD37" s="573" t="s">
        <v>414</v>
      </c>
      <c r="AE37" s="587">
        <f t="shared" si="2"/>
        <v>647</v>
      </c>
      <c r="AF37" s="593">
        <v>647</v>
      </c>
      <c r="AG37" s="587">
        <f t="shared" si="3"/>
        <v>711.7</v>
      </c>
      <c r="AH37" s="575">
        <f t="shared" si="4"/>
        <v>776.4</v>
      </c>
      <c r="AI37" s="575">
        <f t="shared" si="5"/>
        <v>970.5</v>
      </c>
      <c r="AJ37" s="575">
        <f t="shared" si="6"/>
        <v>679.35</v>
      </c>
      <c r="AK37" s="575">
        <f t="shared" si="7"/>
        <v>808.75</v>
      </c>
    </row>
    <row r="38" spans="1:37" ht="24" customHeight="1">
      <c r="A38" s="594">
        <f>(A35+1)</f>
        <v>27</v>
      </c>
      <c r="B38" s="613" t="s">
        <v>415</v>
      </c>
      <c r="C38" s="605">
        <v>40</v>
      </c>
      <c r="D38" s="595">
        <v>1.6</v>
      </c>
      <c r="G38" s="585" t="s">
        <v>129</v>
      </c>
      <c r="H38" s="573" t="s">
        <v>130</v>
      </c>
      <c r="I38" s="573" t="s">
        <v>115</v>
      </c>
      <c r="J38" s="573" t="s">
        <v>129</v>
      </c>
      <c r="K38" s="587">
        <v>0</v>
      </c>
      <c r="T38" s="574" t="s">
        <v>416</v>
      </c>
      <c r="U38" s="573" t="s">
        <v>417</v>
      </c>
      <c r="V38" s="573" t="s">
        <v>281</v>
      </c>
      <c r="W38" s="573" t="str">
        <f>W37</f>
        <v>Madukkarai</v>
      </c>
      <c r="X38" s="587">
        <f>'[2]lead  charge'!D13</f>
        <v>27</v>
      </c>
      <c r="Y38" s="614">
        <v>210</v>
      </c>
      <c r="Z38" s="587">
        <f>'[2]lead  charge'!E13</f>
        <v>246.69</v>
      </c>
      <c r="AA38" s="574"/>
      <c r="AB38" s="578">
        <v>0</v>
      </c>
      <c r="AC38" s="573">
        <f>SUM(Y38+Z38+AA38+AB38)</f>
        <v>456.69</v>
      </c>
      <c r="AD38" s="573" t="s">
        <v>418</v>
      </c>
      <c r="AE38" s="587">
        <f t="shared" si="2"/>
        <v>667</v>
      </c>
      <c r="AF38" s="593">
        <v>667</v>
      </c>
      <c r="AG38" s="587">
        <f t="shared" si="3"/>
        <v>733.7</v>
      </c>
      <c r="AH38" s="575">
        <f t="shared" si="4"/>
        <v>800.4</v>
      </c>
      <c r="AI38" s="575">
        <f t="shared" si="5"/>
        <v>1000.5</v>
      </c>
      <c r="AJ38" s="575">
        <f t="shared" si="6"/>
        <v>700.35</v>
      </c>
      <c r="AK38" s="575">
        <f t="shared" si="7"/>
        <v>833.75</v>
      </c>
    </row>
    <row r="39" spans="1:37" ht="24" customHeight="1">
      <c r="A39" s="594">
        <f t="shared" ref="A39:A58" si="10">(A38+1)</f>
        <v>28</v>
      </c>
      <c r="B39" s="613" t="s">
        <v>419</v>
      </c>
      <c r="C39" s="605">
        <v>41</v>
      </c>
      <c r="D39" s="596">
        <v>500</v>
      </c>
      <c r="K39" s="582" t="s">
        <v>117</v>
      </c>
      <c r="T39" s="607">
        <v>31</v>
      </c>
      <c r="U39" s="573" t="s">
        <v>420</v>
      </c>
      <c r="V39" s="573" t="s">
        <v>281</v>
      </c>
      <c r="W39" s="573" t="str">
        <f>W38</f>
        <v>Madukkarai</v>
      </c>
      <c r="X39" s="587">
        <f>'[2]lead  charge'!D16</f>
        <v>27</v>
      </c>
      <c r="Y39" s="614">
        <v>157</v>
      </c>
      <c r="Z39" s="587">
        <f>'[2]lead  charge'!E16</f>
        <v>246.69</v>
      </c>
      <c r="AA39" s="574"/>
      <c r="AB39" s="578">
        <v>0</v>
      </c>
      <c r="AC39" s="573">
        <f>SUM(Y39+Z39+AA39+AB39)</f>
        <v>403.69</v>
      </c>
      <c r="AD39" s="573" t="s">
        <v>421</v>
      </c>
      <c r="AE39" s="587">
        <f t="shared" si="2"/>
        <v>56.1</v>
      </c>
      <c r="AF39" s="593">
        <v>56.1</v>
      </c>
      <c r="AG39" s="587">
        <f t="shared" si="3"/>
        <v>61.710000000000008</v>
      </c>
      <c r="AH39" s="575">
        <f t="shared" si="4"/>
        <v>67.319999999999993</v>
      </c>
      <c r="AI39" s="575">
        <f t="shared" si="5"/>
        <v>84.15</v>
      </c>
      <c r="AJ39" s="575">
        <f t="shared" si="6"/>
        <v>58.905000000000001</v>
      </c>
      <c r="AK39" s="575">
        <f t="shared" si="7"/>
        <v>70.125</v>
      </c>
    </row>
    <row r="40" spans="1:37" ht="24" customHeight="1">
      <c r="A40" s="594">
        <f t="shared" si="10"/>
        <v>29</v>
      </c>
      <c r="B40" s="613" t="s">
        <v>422</v>
      </c>
      <c r="C40" s="605">
        <v>28</v>
      </c>
      <c r="D40" s="615">
        <v>116.2</v>
      </c>
      <c r="H40" s="573" t="s">
        <v>131</v>
      </c>
      <c r="K40" s="586">
        <f>SUM(K35:K38)</f>
        <v>3497.8</v>
      </c>
      <c r="T40" s="582"/>
      <c r="AE40" s="587">
        <f t="shared" si="2"/>
        <v>0</v>
      </c>
      <c r="AG40" s="587"/>
    </row>
    <row r="41" spans="1:37" ht="24" customHeight="1">
      <c r="A41" s="594">
        <f t="shared" si="10"/>
        <v>30</v>
      </c>
      <c r="B41" s="595" t="s">
        <v>423</v>
      </c>
      <c r="C41" s="596">
        <f>AE22</f>
        <v>569</v>
      </c>
      <c r="D41" s="595" t="s">
        <v>1</v>
      </c>
      <c r="K41" s="582" t="s">
        <v>117</v>
      </c>
      <c r="U41" s="573" t="s">
        <v>424</v>
      </c>
      <c r="V41" s="573" t="s">
        <v>325</v>
      </c>
      <c r="W41" s="573" t="str">
        <f>W34</f>
        <v>Chinna Thadagam</v>
      </c>
      <c r="X41" s="587">
        <f>'[2]lead  charge'!M10</f>
        <v>36</v>
      </c>
      <c r="Y41" s="592">
        <v>6282</v>
      </c>
      <c r="Z41" s="587">
        <f>'[2]lead  charge'!N10</f>
        <v>443.72</v>
      </c>
      <c r="AA41" s="574">
        <v>0</v>
      </c>
      <c r="AB41" s="578">
        <v>0</v>
      </c>
      <c r="AC41" s="573">
        <f t="shared" ref="AC41:AC47" si="11">SUM(Y41+Z41+AA41+AB41)</f>
        <v>6725.72</v>
      </c>
      <c r="AD41" s="595" t="s">
        <v>328</v>
      </c>
      <c r="AE41" s="587">
        <f t="shared" si="2"/>
        <v>59.2</v>
      </c>
      <c r="AF41" s="593">
        <v>59.2</v>
      </c>
      <c r="AG41" s="587">
        <f t="shared" ref="AG41:AG47" si="12">AF41*1.1</f>
        <v>65.12</v>
      </c>
      <c r="AH41" s="575">
        <f t="shared" si="4"/>
        <v>71.040000000000006</v>
      </c>
      <c r="AI41" s="575">
        <f t="shared" si="5"/>
        <v>88.800000000000011</v>
      </c>
      <c r="AJ41" s="575">
        <f t="shared" si="6"/>
        <v>62.160000000000004</v>
      </c>
      <c r="AK41" s="575">
        <f t="shared" si="7"/>
        <v>74</v>
      </c>
    </row>
    <row r="42" spans="1:37" ht="24" customHeight="1">
      <c r="A42" s="594">
        <f t="shared" si="10"/>
        <v>31</v>
      </c>
      <c r="B42" s="613" t="s">
        <v>425</v>
      </c>
      <c r="C42" s="605">
        <v>15.53</v>
      </c>
      <c r="D42" s="616" t="s">
        <v>203</v>
      </c>
      <c r="G42" s="585" t="s">
        <v>122</v>
      </c>
      <c r="H42" s="573" t="s">
        <v>135</v>
      </c>
      <c r="U42" s="573" t="s">
        <v>426</v>
      </c>
      <c r="V42" s="573" t="s">
        <v>325</v>
      </c>
      <c r="W42" s="573" t="str">
        <f>W34</f>
        <v>Chinna Thadagam</v>
      </c>
      <c r="X42" s="587">
        <f>X41</f>
        <v>36</v>
      </c>
      <c r="Y42" s="592">
        <v>6469</v>
      </c>
      <c r="Z42" s="587">
        <f>Z41</f>
        <v>443.72</v>
      </c>
      <c r="AA42" s="574">
        <v>0</v>
      </c>
      <c r="AB42" s="578">
        <v>0</v>
      </c>
      <c r="AC42" s="573">
        <f t="shared" si="11"/>
        <v>6912.72</v>
      </c>
      <c r="AD42" s="595" t="s">
        <v>333</v>
      </c>
      <c r="AE42" s="587">
        <f t="shared" si="2"/>
        <v>119.3</v>
      </c>
      <c r="AF42" s="593">
        <v>119.3</v>
      </c>
      <c r="AG42" s="587">
        <f t="shared" si="12"/>
        <v>131.23000000000002</v>
      </c>
      <c r="AH42" s="575">
        <f t="shared" si="4"/>
        <v>143.16</v>
      </c>
      <c r="AI42" s="575">
        <f t="shared" si="5"/>
        <v>178.95</v>
      </c>
      <c r="AJ42" s="575">
        <f t="shared" si="6"/>
        <v>125.265</v>
      </c>
      <c r="AK42" s="575">
        <f t="shared" si="7"/>
        <v>149.125</v>
      </c>
    </row>
    <row r="43" spans="1:37" ht="24" customHeight="1">
      <c r="A43" s="594">
        <f t="shared" si="10"/>
        <v>32</v>
      </c>
      <c r="B43" s="595" t="s">
        <v>427</v>
      </c>
      <c r="C43" s="592">
        <v>7.1</v>
      </c>
      <c r="D43" s="616" t="s">
        <v>1</v>
      </c>
      <c r="H43" s="582" t="s">
        <v>117</v>
      </c>
      <c r="U43" s="573" t="s">
        <v>428</v>
      </c>
      <c r="V43" s="573" t="s">
        <v>429</v>
      </c>
      <c r="W43" s="573" t="str">
        <f>W39</f>
        <v>Madukkarai</v>
      </c>
      <c r="X43" s="575">
        <f>'[2]lead  charge'!P13</f>
        <v>16</v>
      </c>
      <c r="Y43" s="592">
        <v>120.1</v>
      </c>
      <c r="Z43" s="587">
        <f>'[2]lead  charge'!Q13</f>
        <v>108.12</v>
      </c>
      <c r="AA43" s="574">
        <v>0</v>
      </c>
      <c r="AB43" s="578">
        <v>0</v>
      </c>
      <c r="AC43" s="573" t="s">
        <v>9</v>
      </c>
      <c r="AD43" s="595" t="s">
        <v>338</v>
      </c>
      <c r="AE43" s="587">
        <f t="shared" si="2"/>
        <v>119.3</v>
      </c>
      <c r="AF43" s="593">
        <f>AF42</f>
        <v>119.3</v>
      </c>
      <c r="AG43" s="587">
        <f t="shared" si="12"/>
        <v>131.23000000000002</v>
      </c>
      <c r="AH43" s="575">
        <f t="shared" si="4"/>
        <v>143.16</v>
      </c>
      <c r="AI43" s="575">
        <f t="shared" si="5"/>
        <v>178.95</v>
      </c>
      <c r="AJ43" s="575">
        <f t="shared" si="6"/>
        <v>125.265</v>
      </c>
      <c r="AK43" s="575">
        <f t="shared" si="7"/>
        <v>149.125</v>
      </c>
    </row>
    <row r="44" spans="1:37" ht="24" customHeight="1">
      <c r="A44" s="594">
        <f t="shared" si="10"/>
        <v>33</v>
      </c>
      <c r="B44" s="595" t="s">
        <v>430</v>
      </c>
      <c r="C44" s="592">
        <v>7.1</v>
      </c>
      <c r="D44" s="616" t="s">
        <v>1</v>
      </c>
      <c r="F44" s="617">
        <v>0.28799999999999998</v>
      </c>
      <c r="G44" s="585" t="s">
        <v>124</v>
      </c>
      <c r="H44" s="573" t="s">
        <v>125</v>
      </c>
      <c r="I44" s="587">
        <f>(C67)</f>
        <v>5800</v>
      </c>
      <c r="J44" s="573" t="s">
        <v>124</v>
      </c>
      <c r="K44" s="587">
        <f>(F44*I44)</f>
        <v>1670.3999999999999</v>
      </c>
      <c r="R44" s="575">
        <f>645+954</f>
        <v>1599</v>
      </c>
      <c r="U44" s="573" t="s">
        <v>431</v>
      </c>
      <c r="V44" s="573" t="s">
        <v>429</v>
      </c>
      <c r="W44" s="573" t="str">
        <f>W39</f>
        <v>Madukkarai</v>
      </c>
      <c r="X44" s="575">
        <f>X11</f>
        <v>27</v>
      </c>
      <c r="Y44" s="592">
        <v>799.5</v>
      </c>
      <c r="Z44" s="587">
        <f>Z11</f>
        <v>246.69</v>
      </c>
      <c r="AA44" s="574">
        <v>0</v>
      </c>
      <c r="AB44" s="578">
        <v>0</v>
      </c>
      <c r="AC44" s="573">
        <f t="shared" si="11"/>
        <v>1046.19</v>
      </c>
      <c r="AD44" s="595" t="s">
        <v>343</v>
      </c>
      <c r="AE44" s="587">
        <f t="shared" si="2"/>
        <v>89.9</v>
      </c>
      <c r="AF44" s="593">
        <v>89.9</v>
      </c>
      <c r="AG44" s="587">
        <f t="shared" si="12"/>
        <v>98.890000000000015</v>
      </c>
      <c r="AH44" s="575">
        <f t="shared" si="4"/>
        <v>107.88000000000001</v>
      </c>
      <c r="AI44" s="575">
        <f t="shared" si="5"/>
        <v>134.85000000000002</v>
      </c>
      <c r="AJ44" s="575">
        <f t="shared" si="6"/>
        <v>94.39500000000001</v>
      </c>
      <c r="AK44" s="575">
        <f t="shared" si="7"/>
        <v>112.375</v>
      </c>
    </row>
    <row r="45" spans="1:37" ht="24" customHeight="1">
      <c r="A45" s="594">
        <f t="shared" si="10"/>
        <v>34</v>
      </c>
      <c r="B45" s="595" t="s">
        <v>432</v>
      </c>
      <c r="C45" s="592">
        <v>8.5</v>
      </c>
      <c r="D45" s="616" t="s">
        <v>1</v>
      </c>
      <c r="F45" s="587">
        <v>1</v>
      </c>
      <c r="G45" s="585" t="s">
        <v>126</v>
      </c>
      <c r="H45" s="573" t="s">
        <v>127</v>
      </c>
      <c r="I45" s="587">
        <f>I36</f>
        <v>1322.8</v>
      </c>
      <c r="J45" s="573" t="s">
        <v>126</v>
      </c>
      <c r="K45" s="587">
        <f>(F45*I45)</f>
        <v>1322.8</v>
      </c>
      <c r="R45" s="575">
        <f>R44/2</f>
        <v>799.5</v>
      </c>
      <c r="U45" s="573" t="s">
        <v>433</v>
      </c>
      <c r="W45" s="573" t="str">
        <f>W41</f>
        <v>Chinna Thadagam</v>
      </c>
      <c r="X45" s="575">
        <f>'[2]lead  charge'!M10</f>
        <v>36</v>
      </c>
      <c r="Y45" s="592">
        <v>6282</v>
      </c>
      <c r="Z45" s="575">
        <f>Z41</f>
        <v>443.72</v>
      </c>
      <c r="AC45" s="573">
        <f t="shared" si="11"/>
        <v>6725.72</v>
      </c>
      <c r="AD45" s="595" t="s">
        <v>348</v>
      </c>
      <c r="AE45" s="587">
        <f t="shared" si="2"/>
        <v>177</v>
      </c>
      <c r="AF45" s="593">
        <v>177</v>
      </c>
      <c r="AG45" s="587">
        <f t="shared" si="12"/>
        <v>194.70000000000002</v>
      </c>
      <c r="AH45" s="575">
        <f t="shared" si="4"/>
        <v>212.4</v>
      </c>
      <c r="AI45" s="575">
        <f t="shared" si="5"/>
        <v>265.5</v>
      </c>
      <c r="AK45" s="575">
        <f t="shared" si="7"/>
        <v>221.25</v>
      </c>
    </row>
    <row r="46" spans="1:37" ht="24" customHeight="1">
      <c r="A46" s="594">
        <f t="shared" si="10"/>
        <v>35</v>
      </c>
      <c r="B46" s="595" t="s">
        <v>434</v>
      </c>
      <c r="C46" s="592">
        <v>10.199999999999999</v>
      </c>
      <c r="D46" s="616" t="s">
        <v>1</v>
      </c>
      <c r="F46" s="587">
        <v>1</v>
      </c>
      <c r="G46" s="585" t="s">
        <v>126</v>
      </c>
      <c r="H46" s="573" t="s">
        <v>128</v>
      </c>
      <c r="I46" s="587">
        <f>(C18)</f>
        <v>87</v>
      </c>
      <c r="J46" s="573" t="s">
        <v>126</v>
      </c>
      <c r="K46" s="587">
        <f>(F46*I46)</f>
        <v>87</v>
      </c>
      <c r="U46" s="573" t="s">
        <v>435</v>
      </c>
      <c r="V46" s="573" t="s">
        <v>281</v>
      </c>
      <c r="W46" s="573"/>
      <c r="X46" s="587">
        <f>'[2]lead  charge'!D17</f>
        <v>0</v>
      </c>
      <c r="Y46" s="597">
        <v>1250</v>
      </c>
      <c r="Z46" s="587">
        <f>'[2]lead  charge'!E17</f>
        <v>0</v>
      </c>
      <c r="AA46" s="574"/>
      <c r="AB46" s="578">
        <v>0</v>
      </c>
      <c r="AC46" s="573">
        <f t="shared" si="11"/>
        <v>1250</v>
      </c>
      <c r="AD46" s="595" t="s">
        <v>353</v>
      </c>
      <c r="AE46" s="587">
        <f t="shared" si="2"/>
        <v>177</v>
      </c>
      <c r="AF46" s="593">
        <f>AF45</f>
        <v>177</v>
      </c>
      <c r="AG46" s="587">
        <f t="shared" si="12"/>
        <v>194.70000000000002</v>
      </c>
      <c r="AH46" s="575">
        <f t="shared" si="4"/>
        <v>212.4</v>
      </c>
      <c r="AI46" s="575">
        <f t="shared" si="5"/>
        <v>265.5</v>
      </c>
      <c r="AJ46" s="575">
        <f>AF46*1.05</f>
        <v>185.85</v>
      </c>
      <c r="AK46" s="575">
        <f t="shared" si="7"/>
        <v>221.25</v>
      </c>
    </row>
    <row r="47" spans="1:37" ht="24" customHeight="1">
      <c r="A47" s="594">
        <f t="shared" si="10"/>
        <v>36</v>
      </c>
      <c r="B47" s="595" t="s">
        <v>436</v>
      </c>
      <c r="C47" s="592">
        <v>13.8</v>
      </c>
      <c r="D47" s="616" t="s">
        <v>1</v>
      </c>
      <c r="G47" s="585" t="s">
        <v>129</v>
      </c>
      <c r="H47" s="573" t="s">
        <v>130</v>
      </c>
      <c r="I47" s="573" t="s">
        <v>115</v>
      </c>
      <c r="J47" s="573" t="s">
        <v>129</v>
      </c>
      <c r="K47" s="587">
        <v>0</v>
      </c>
      <c r="N47" s="573" t="s">
        <v>122</v>
      </c>
      <c r="O47" s="573" t="s">
        <v>437</v>
      </c>
      <c r="U47" s="573" t="s">
        <v>438</v>
      </c>
      <c r="V47" s="573" t="s">
        <v>281</v>
      </c>
      <c r="W47" s="573"/>
      <c r="X47" s="587">
        <f>X46</f>
        <v>0</v>
      </c>
      <c r="Y47" s="597">
        <f>Y46</f>
        <v>1250</v>
      </c>
      <c r="Z47" s="587">
        <f>Z46</f>
        <v>0</v>
      </c>
      <c r="AA47" s="574"/>
      <c r="AB47" s="578">
        <v>0</v>
      </c>
      <c r="AC47" s="573">
        <f t="shared" si="11"/>
        <v>1250</v>
      </c>
      <c r="AD47" s="573"/>
      <c r="AE47" s="587"/>
      <c r="AF47" s="593"/>
      <c r="AG47" s="587">
        <f t="shared" si="12"/>
        <v>0</v>
      </c>
      <c r="AH47" s="575">
        <f t="shared" si="4"/>
        <v>0</v>
      </c>
      <c r="AI47" s="575">
        <f t="shared" si="5"/>
        <v>0</v>
      </c>
      <c r="AJ47" s="575">
        <f>AF47*1.05</f>
        <v>0</v>
      </c>
      <c r="AK47" s="575">
        <f t="shared" si="7"/>
        <v>0</v>
      </c>
    </row>
    <row r="48" spans="1:37" ht="24" customHeight="1">
      <c r="A48" s="594">
        <f t="shared" si="10"/>
        <v>37</v>
      </c>
      <c r="B48" s="595" t="s">
        <v>439</v>
      </c>
      <c r="C48" s="592">
        <v>17.7</v>
      </c>
      <c r="D48" s="593">
        <v>35.6</v>
      </c>
      <c r="K48" s="582" t="s">
        <v>117</v>
      </c>
      <c r="O48" s="573" t="s">
        <v>440</v>
      </c>
      <c r="U48" s="582" t="s">
        <v>117</v>
      </c>
      <c r="V48" s="582" t="s">
        <v>117</v>
      </c>
      <c r="W48" s="582" t="s">
        <v>117</v>
      </c>
      <c r="X48" s="582" t="s">
        <v>117</v>
      </c>
      <c r="Y48" s="582" t="s">
        <v>117</v>
      </c>
      <c r="Z48" s="582" t="s">
        <v>117</v>
      </c>
      <c r="AA48" s="582" t="s">
        <v>117</v>
      </c>
      <c r="AB48" s="582" t="s">
        <v>117</v>
      </c>
      <c r="AC48" s="582" t="s">
        <v>117</v>
      </c>
      <c r="AD48" s="582" t="s">
        <v>117</v>
      </c>
      <c r="AE48" s="587" t="str">
        <f t="shared" si="2"/>
        <v>-</v>
      </c>
      <c r="AF48" s="582" t="s">
        <v>117</v>
      </c>
      <c r="AG48" s="582" t="s">
        <v>117</v>
      </c>
      <c r="AH48" s="582" t="s">
        <v>117</v>
      </c>
      <c r="AI48" s="582" t="s">
        <v>117</v>
      </c>
      <c r="AJ48" s="582" t="s">
        <v>117</v>
      </c>
      <c r="AK48" s="582" t="s">
        <v>117</v>
      </c>
    </row>
    <row r="49" spans="1:45" ht="24" customHeight="1">
      <c r="A49" s="594">
        <f t="shared" si="10"/>
        <v>38</v>
      </c>
      <c r="B49" s="595" t="s">
        <v>441</v>
      </c>
      <c r="C49" s="592">
        <v>19.2</v>
      </c>
      <c r="D49" s="593">
        <v>25</v>
      </c>
      <c r="H49" s="573" t="s">
        <v>131</v>
      </c>
      <c r="K49" s="586">
        <f>SUM(K44:K47)</f>
        <v>3080.2</v>
      </c>
      <c r="O49" s="582" t="s">
        <v>117</v>
      </c>
      <c r="U49" s="575" t="s">
        <v>442</v>
      </c>
      <c r="AD49" s="595" t="s">
        <v>3028</v>
      </c>
      <c r="AE49" s="587">
        <f t="shared" si="2"/>
        <v>7.4</v>
      </c>
      <c r="AF49" s="618">
        <v>7.4</v>
      </c>
      <c r="AG49" s="587">
        <f>AF49*1.1</f>
        <v>8.14</v>
      </c>
      <c r="AH49" s="575">
        <f>AF49*1.2</f>
        <v>8.8800000000000008</v>
      </c>
      <c r="AI49" s="575">
        <f>AF49*1.5</f>
        <v>11.100000000000001</v>
      </c>
      <c r="AJ49" s="575">
        <f>AF49*1.05</f>
        <v>7.7700000000000005</v>
      </c>
      <c r="AK49" s="575">
        <f>AF49*1.25</f>
        <v>9.25</v>
      </c>
    </row>
    <row r="50" spans="1:45" ht="24" customHeight="1">
      <c r="A50" s="594">
        <f t="shared" si="10"/>
        <v>39</v>
      </c>
      <c r="B50" s="595" t="s">
        <v>443</v>
      </c>
      <c r="C50" s="592">
        <v>10</v>
      </c>
      <c r="D50" s="616" t="s">
        <v>1</v>
      </c>
      <c r="K50" s="582" t="s">
        <v>117</v>
      </c>
      <c r="M50" s="587">
        <v>9</v>
      </c>
      <c r="N50" s="573" t="s">
        <v>126</v>
      </c>
      <c r="O50" s="573" t="s">
        <v>440</v>
      </c>
      <c r="P50" s="587">
        <f>(C81)</f>
        <v>888.92</v>
      </c>
      <c r="Q50" s="573" t="s">
        <v>126</v>
      </c>
      <c r="R50" s="587">
        <f>(M50*P50)</f>
        <v>8000.28</v>
      </c>
      <c r="AA50" s="573" t="s">
        <v>444</v>
      </c>
      <c r="AD50" s="595" t="s">
        <v>3029</v>
      </c>
      <c r="AE50" s="587">
        <f t="shared" si="2"/>
        <v>6.9</v>
      </c>
      <c r="AF50" s="618">
        <v>6.9</v>
      </c>
      <c r="AG50" s="587">
        <f>AF50*1.1</f>
        <v>7.5900000000000007</v>
      </c>
      <c r="AH50" s="575">
        <f>AF50*1.2</f>
        <v>8.2799999999999994</v>
      </c>
      <c r="AI50" s="575">
        <f>AF50*1.5</f>
        <v>10.350000000000001</v>
      </c>
      <c r="AJ50" s="575">
        <f>AF50*1.05</f>
        <v>7.245000000000001</v>
      </c>
      <c r="AK50" s="575">
        <f>AF50*1.25</f>
        <v>8.625</v>
      </c>
    </row>
    <row r="51" spans="1:45" ht="24" customHeight="1">
      <c r="A51" s="594">
        <f t="shared" si="10"/>
        <v>40</v>
      </c>
      <c r="B51" s="595" t="s">
        <v>445</v>
      </c>
      <c r="C51" s="592">
        <v>10.199999999999999</v>
      </c>
      <c r="D51" s="616" t="s">
        <v>1</v>
      </c>
      <c r="G51" s="585" t="s">
        <v>122</v>
      </c>
      <c r="H51" s="573" t="s">
        <v>136</v>
      </c>
      <c r="M51" s="587">
        <v>4.5</v>
      </c>
      <c r="N51" s="573" t="s">
        <v>126</v>
      </c>
      <c r="O51" s="573" t="s">
        <v>138</v>
      </c>
      <c r="P51" s="587">
        <f>(K77)</f>
        <v>2453.8000000000002</v>
      </c>
      <c r="Q51" s="573" t="s">
        <v>126</v>
      </c>
      <c r="R51" s="587">
        <f>(M51*P51)</f>
        <v>11042.1</v>
      </c>
      <c r="W51" s="573"/>
      <c r="AD51" s="595" t="s">
        <v>838</v>
      </c>
      <c r="AE51" s="587">
        <f t="shared" si="2"/>
        <v>3.2</v>
      </c>
      <c r="AF51" s="618">
        <v>3.2</v>
      </c>
      <c r="AG51" s="587">
        <f>AF51*1.1</f>
        <v>3.5200000000000005</v>
      </c>
      <c r="AH51" s="575">
        <f>AF51*1.2</f>
        <v>3.84</v>
      </c>
      <c r="AI51" s="575">
        <f>AF51*1.5</f>
        <v>4.8000000000000007</v>
      </c>
      <c r="AJ51" s="575">
        <f>AF51*1.05</f>
        <v>3.3600000000000003</v>
      </c>
      <c r="AK51" s="575">
        <f>AF51*1.25</f>
        <v>4</v>
      </c>
    </row>
    <row r="52" spans="1:45" ht="24" customHeight="1">
      <c r="A52" s="594">
        <f t="shared" si="10"/>
        <v>41</v>
      </c>
      <c r="B52" s="595" t="s">
        <v>446</v>
      </c>
      <c r="C52" s="592">
        <v>21.1</v>
      </c>
      <c r="D52" s="616" t="s">
        <v>1</v>
      </c>
      <c r="H52" s="582" t="s">
        <v>117</v>
      </c>
      <c r="M52" s="587">
        <v>1.8</v>
      </c>
      <c r="N52" s="573" t="s">
        <v>209</v>
      </c>
      <c r="O52" s="573" t="s">
        <v>145</v>
      </c>
      <c r="P52" s="587">
        <f>(C11)</f>
        <v>718</v>
      </c>
      <c r="Q52" s="573" t="s">
        <v>209</v>
      </c>
      <c r="R52" s="587">
        <f>(M52*P52)</f>
        <v>1292.4000000000001</v>
      </c>
      <c r="AD52" s="595" t="s">
        <v>841</v>
      </c>
      <c r="AE52" s="587">
        <f t="shared" si="2"/>
        <v>4</v>
      </c>
      <c r="AF52" s="618">
        <v>4</v>
      </c>
      <c r="AG52" s="587">
        <f>AF52*1.1</f>
        <v>4.4000000000000004</v>
      </c>
      <c r="AH52" s="575">
        <f>AF52*1.2</f>
        <v>4.8</v>
      </c>
      <c r="AI52" s="575">
        <f>AF52*1.5</f>
        <v>6</v>
      </c>
      <c r="AJ52" s="575">
        <f>AF52*1.05</f>
        <v>4.2</v>
      </c>
      <c r="AK52" s="575">
        <f>AF52*1.25</f>
        <v>5</v>
      </c>
    </row>
    <row r="53" spans="1:45" ht="24" customHeight="1">
      <c r="A53" s="594">
        <f t="shared" si="10"/>
        <v>42</v>
      </c>
      <c r="B53" s="595" t="s">
        <v>447</v>
      </c>
      <c r="C53" s="592">
        <v>28.5</v>
      </c>
      <c r="D53" s="593">
        <v>71.7</v>
      </c>
      <c r="F53" s="587">
        <v>0.24</v>
      </c>
      <c r="G53" s="585" t="s">
        <v>124</v>
      </c>
      <c r="H53" s="573" t="s">
        <v>125</v>
      </c>
      <c r="I53" s="587">
        <f>(C67)</f>
        <v>5800</v>
      </c>
      <c r="J53" s="573" t="s">
        <v>124</v>
      </c>
      <c r="K53" s="587">
        <f>(F53*I53)</f>
        <v>1392</v>
      </c>
      <c r="M53" s="587">
        <v>17.7</v>
      </c>
      <c r="N53" s="573" t="s">
        <v>209</v>
      </c>
      <c r="O53" s="573" t="s">
        <v>146</v>
      </c>
      <c r="P53" s="587">
        <f>(C12)</f>
        <v>502</v>
      </c>
      <c r="Q53" s="573" t="s">
        <v>209</v>
      </c>
      <c r="R53" s="587">
        <f>(M53*P53)</f>
        <v>8885.4</v>
      </c>
      <c r="U53" s="575" t="s">
        <v>448</v>
      </c>
      <c r="V53" s="575" t="s">
        <v>449</v>
      </c>
      <c r="Z53" s="575" t="s">
        <v>450</v>
      </c>
      <c r="AD53" s="595" t="s">
        <v>3030</v>
      </c>
      <c r="AE53" s="587">
        <f t="shared" si="2"/>
        <v>6.5</v>
      </c>
      <c r="AF53" s="618">
        <v>6.5</v>
      </c>
      <c r="AG53" s="573">
        <f>AF53*1.1</f>
        <v>7.15</v>
      </c>
      <c r="AH53" s="575">
        <f>AF53*1.2</f>
        <v>7.8</v>
      </c>
      <c r="AI53" s="575">
        <f>AF53*1.5</f>
        <v>9.75</v>
      </c>
      <c r="AJ53" s="575">
        <f>AF53*1.05</f>
        <v>6.8250000000000002</v>
      </c>
      <c r="AK53" s="575">
        <f>AF53*1.25</f>
        <v>8.125</v>
      </c>
    </row>
    <row r="54" spans="1:45" ht="24" customHeight="1">
      <c r="A54" s="594">
        <f t="shared" si="10"/>
        <v>43</v>
      </c>
      <c r="B54" s="595" t="s">
        <v>451</v>
      </c>
      <c r="C54" s="593">
        <v>32</v>
      </c>
      <c r="D54" s="593">
        <v>54.1</v>
      </c>
      <c r="F54" s="587">
        <v>1</v>
      </c>
      <c r="G54" s="585" t="s">
        <v>126</v>
      </c>
      <c r="H54" s="573" t="s">
        <v>127</v>
      </c>
      <c r="I54" s="587">
        <f>(C78)</f>
        <v>1322.8</v>
      </c>
      <c r="J54" s="573" t="s">
        <v>126</v>
      </c>
      <c r="K54" s="587">
        <f>(F54*I54)</f>
        <v>1322.8</v>
      </c>
      <c r="M54" s="587">
        <v>14.1</v>
      </c>
      <c r="N54" s="573" t="s">
        <v>209</v>
      </c>
      <c r="O54" s="573" t="s">
        <v>147</v>
      </c>
      <c r="P54" s="587">
        <f>(C13)</f>
        <v>412</v>
      </c>
      <c r="Q54" s="573" t="s">
        <v>209</v>
      </c>
      <c r="R54" s="587">
        <f>(M54*P54)</f>
        <v>5809.2</v>
      </c>
      <c r="AE54" s="587">
        <f t="shared" ref="AE54:AE73" si="13">AG54</f>
        <v>0</v>
      </c>
      <c r="AG54" s="573"/>
    </row>
    <row r="55" spans="1:45" ht="24" customHeight="1">
      <c r="A55" s="594">
        <f t="shared" si="10"/>
        <v>44</v>
      </c>
      <c r="B55" s="595" t="s">
        <v>452</v>
      </c>
      <c r="C55" s="592">
        <v>35.6</v>
      </c>
      <c r="D55" s="593">
        <v>43</v>
      </c>
      <c r="F55" s="587">
        <v>1</v>
      </c>
      <c r="G55" s="585" t="s">
        <v>126</v>
      </c>
      <c r="H55" s="573" t="s">
        <v>128</v>
      </c>
      <c r="I55" s="587">
        <f>(C18)</f>
        <v>87</v>
      </c>
      <c r="J55" s="573" t="s">
        <v>126</v>
      </c>
      <c r="K55" s="587">
        <f>(F55*I55)</f>
        <v>87</v>
      </c>
      <c r="N55" s="573" t="s">
        <v>129</v>
      </c>
      <c r="O55" s="573" t="s">
        <v>130</v>
      </c>
      <c r="Q55" s="573" t="s">
        <v>129</v>
      </c>
      <c r="R55" s="587">
        <v>0</v>
      </c>
      <c r="AE55" s="587">
        <f t="shared" si="13"/>
        <v>0</v>
      </c>
    </row>
    <row r="56" spans="1:45" ht="24" customHeight="1">
      <c r="A56" s="594">
        <f t="shared" si="10"/>
        <v>45</v>
      </c>
      <c r="B56" s="613" t="s">
        <v>453</v>
      </c>
      <c r="C56" s="596">
        <v>12.1</v>
      </c>
      <c r="D56" s="595" t="s">
        <v>129</v>
      </c>
      <c r="G56" s="585" t="s">
        <v>129</v>
      </c>
      <c r="H56" s="573" t="s">
        <v>130</v>
      </c>
      <c r="I56" s="573" t="s">
        <v>115</v>
      </c>
      <c r="J56" s="573" t="s">
        <v>129</v>
      </c>
      <c r="K56" s="587">
        <v>0</v>
      </c>
      <c r="R56" s="582" t="s">
        <v>117</v>
      </c>
      <c r="AE56" s="587">
        <f t="shared" si="13"/>
        <v>0</v>
      </c>
    </row>
    <row r="57" spans="1:45" ht="24" customHeight="1">
      <c r="A57" s="594">
        <f t="shared" si="10"/>
        <v>46</v>
      </c>
      <c r="B57" s="613" t="s">
        <v>454</v>
      </c>
      <c r="C57" s="596">
        <v>35</v>
      </c>
      <c r="D57" s="595" t="s">
        <v>129</v>
      </c>
      <c r="K57" s="582" t="s">
        <v>117</v>
      </c>
      <c r="O57" s="573" t="s">
        <v>455</v>
      </c>
      <c r="R57" s="587">
        <f>SUM(R50:R55)</f>
        <v>35029.379999999997</v>
      </c>
      <c r="AE57" s="587">
        <f t="shared" si="13"/>
        <v>0</v>
      </c>
      <c r="AG57" s="573"/>
    </row>
    <row r="58" spans="1:45" ht="24" customHeight="1">
      <c r="A58" s="594">
        <f t="shared" si="10"/>
        <v>47</v>
      </c>
      <c r="B58" s="613" t="s">
        <v>456</v>
      </c>
      <c r="C58" s="596">
        <v>15</v>
      </c>
      <c r="D58" s="595" t="s">
        <v>129</v>
      </c>
      <c r="H58" s="573" t="s">
        <v>131</v>
      </c>
      <c r="K58" s="586">
        <f>SUM(K53:K56)</f>
        <v>2801.8</v>
      </c>
      <c r="R58" s="582" t="s">
        <v>117</v>
      </c>
      <c r="AE58" s="587">
        <f t="shared" si="13"/>
        <v>0</v>
      </c>
      <c r="AG58" s="573"/>
    </row>
    <row r="59" spans="1:45" ht="24" customHeight="1">
      <c r="A59" s="608"/>
      <c r="B59" s="608"/>
      <c r="C59" s="608"/>
      <c r="D59" s="608"/>
      <c r="F59" s="573" t="s">
        <v>115</v>
      </c>
      <c r="AE59" s="587">
        <f t="shared" si="13"/>
        <v>0</v>
      </c>
      <c r="AP59" s="619" t="s">
        <v>457</v>
      </c>
    </row>
    <row r="60" spans="1:45" ht="24" customHeight="1">
      <c r="A60" s="594">
        <f>(A58+1)</f>
        <v>48</v>
      </c>
      <c r="B60" s="595" t="s">
        <v>458</v>
      </c>
      <c r="C60" s="592">
        <v>24</v>
      </c>
      <c r="D60" s="595" t="s">
        <v>459</v>
      </c>
      <c r="K60" s="582" t="s">
        <v>117</v>
      </c>
      <c r="O60" s="573" t="s">
        <v>383</v>
      </c>
      <c r="R60" s="587">
        <f>(R57/10)</f>
        <v>3502.9379999999996</v>
      </c>
      <c r="AE60" s="587">
        <f t="shared" si="13"/>
        <v>0</v>
      </c>
      <c r="AG60" s="573"/>
      <c r="AN60" s="620">
        <v>6.5</v>
      </c>
      <c r="AO60" s="585" t="s">
        <v>122</v>
      </c>
      <c r="AP60" s="606" t="s">
        <v>460</v>
      </c>
      <c r="AR60" s="578"/>
    </row>
    <row r="61" spans="1:45" ht="24" customHeight="1">
      <c r="A61" s="594">
        <f t="shared" ref="A61:A91" si="14">(A60+1)</f>
        <v>49</v>
      </c>
      <c r="B61" s="595" t="s">
        <v>461</v>
      </c>
      <c r="C61" s="596">
        <f>AE29</f>
        <v>84</v>
      </c>
      <c r="D61" s="596">
        <f>AE36</f>
        <v>125.2</v>
      </c>
      <c r="G61" s="585" t="s">
        <v>122</v>
      </c>
      <c r="H61" s="573" t="s">
        <v>137</v>
      </c>
      <c r="R61" s="582" t="s">
        <v>155</v>
      </c>
      <c r="AE61" s="587">
        <f t="shared" si="13"/>
        <v>0</v>
      </c>
      <c r="AG61" s="573"/>
      <c r="AO61" s="576"/>
      <c r="AP61" s="606" t="s">
        <v>462</v>
      </c>
      <c r="AR61" s="578"/>
    </row>
    <row r="62" spans="1:45" ht="24" customHeight="1">
      <c r="A62" s="594">
        <f t="shared" si="14"/>
        <v>50</v>
      </c>
      <c r="B62" s="595" t="s">
        <v>463</v>
      </c>
      <c r="C62" s="592">
        <v>546</v>
      </c>
      <c r="D62" s="595" t="s">
        <v>209</v>
      </c>
      <c r="H62" s="582" t="s">
        <v>117</v>
      </c>
      <c r="N62" s="573" t="s">
        <v>122</v>
      </c>
      <c r="O62" s="573" t="s">
        <v>464</v>
      </c>
      <c r="AE62" s="587">
        <f t="shared" si="13"/>
        <v>0</v>
      </c>
      <c r="AG62" s="573"/>
      <c r="AO62" s="576"/>
      <c r="AP62" s="582" t="s">
        <v>117</v>
      </c>
      <c r="AR62" s="578"/>
    </row>
    <row r="63" spans="1:45" ht="24" customHeight="1">
      <c r="A63" s="594">
        <f t="shared" si="14"/>
        <v>51</v>
      </c>
      <c r="B63" s="621" t="s">
        <v>465</v>
      </c>
      <c r="C63" s="596">
        <v>42</v>
      </c>
      <c r="D63" s="595" t="s">
        <v>129</v>
      </c>
      <c r="F63" s="617">
        <v>0.20599999999999999</v>
      </c>
      <c r="G63" s="585" t="s">
        <v>124</v>
      </c>
      <c r="H63" s="573" t="s">
        <v>125</v>
      </c>
      <c r="I63" s="587">
        <f>(C67)</f>
        <v>5800</v>
      </c>
      <c r="J63" s="573" t="s">
        <v>124</v>
      </c>
      <c r="K63" s="587">
        <f>(F63*I63)</f>
        <v>1194.8</v>
      </c>
      <c r="O63" s="573" t="s">
        <v>466</v>
      </c>
      <c r="AB63" s="622"/>
      <c r="AE63" s="587">
        <f t="shared" si="13"/>
        <v>0</v>
      </c>
      <c r="AG63" s="573"/>
      <c r="AN63" s="587">
        <v>1300</v>
      </c>
      <c r="AO63" s="585" t="s">
        <v>467</v>
      </c>
      <c r="AP63" s="587" t="str">
        <f>AP61</f>
        <v>Bricks of size 23x11x7 cm</v>
      </c>
      <c r="AQ63" s="587">
        <f>AC45</f>
        <v>6725.72</v>
      </c>
      <c r="AR63" s="573" t="s">
        <v>468</v>
      </c>
      <c r="AS63" s="587">
        <f>(AN63*AQ63)/1000</f>
        <v>8743.4359999999997</v>
      </c>
    </row>
    <row r="64" spans="1:45" ht="24" customHeight="1">
      <c r="A64" s="594">
        <f t="shared" si="14"/>
        <v>52</v>
      </c>
      <c r="B64" s="595" t="s">
        <v>469</v>
      </c>
      <c r="C64" s="592">
        <v>211</v>
      </c>
      <c r="D64" s="595" t="s">
        <v>126</v>
      </c>
      <c r="F64" s="587">
        <v>1</v>
      </c>
      <c r="G64" s="585" t="s">
        <v>126</v>
      </c>
      <c r="H64" s="573" t="s">
        <v>127</v>
      </c>
      <c r="I64" s="587">
        <f>(C78)</f>
        <v>1322.8</v>
      </c>
      <c r="J64" s="573" t="s">
        <v>126</v>
      </c>
      <c r="K64" s="587">
        <f>(F64*I64)</f>
        <v>1322.8</v>
      </c>
      <c r="O64" s="582" t="s">
        <v>117</v>
      </c>
      <c r="AE64" s="587">
        <f t="shared" si="13"/>
        <v>0</v>
      </c>
      <c r="AG64" s="573"/>
      <c r="AN64" s="617">
        <v>0.70799999999999996</v>
      </c>
      <c r="AO64" s="585" t="s">
        <v>126</v>
      </c>
      <c r="AP64" s="573" t="s">
        <v>135</v>
      </c>
      <c r="AQ64" s="587">
        <f>K49</f>
        <v>3080.2</v>
      </c>
      <c r="AR64" s="573" t="s">
        <v>126</v>
      </c>
      <c r="AS64" s="587">
        <f>(AN64*AQ64)</f>
        <v>2180.7815999999998</v>
      </c>
    </row>
    <row r="65" spans="1:45" ht="24" customHeight="1">
      <c r="A65" s="594">
        <f t="shared" si="14"/>
        <v>53</v>
      </c>
      <c r="B65" s="595" t="s">
        <v>470</v>
      </c>
      <c r="C65" s="623">
        <v>304</v>
      </c>
      <c r="D65" s="595" t="s">
        <v>471</v>
      </c>
      <c r="F65" s="587">
        <v>1</v>
      </c>
      <c r="G65" s="585" t="s">
        <v>126</v>
      </c>
      <c r="H65" s="573" t="s">
        <v>128</v>
      </c>
      <c r="I65" s="587">
        <f>(C18)</f>
        <v>87</v>
      </c>
      <c r="J65" s="573" t="s">
        <v>126</v>
      </c>
      <c r="K65" s="587">
        <f>(F65*I65)</f>
        <v>87</v>
      </c>
      <c r="M65" s="587">
        <v>9</v>
      </c>
      <c r="N65" s="573" t="s">
        <v>126</v>
      </c>
      <c r="O65" s="573" t="s">
        <v>466</v>
      </c>
      <c r="P65" s="587">
        <f>(C73)</f>
        <v>1644.69</v>
      </c>
      <c r="Q65" s="573" t="s">
        <v>126</v>
      </c>
      <c r="R65" s="587">
        <f>(M65*P65)</f>
        <v>14802.210000000001</v>
      </c>
      <c r="AE65" s="587">
        <f t="shared" si="13"/>
        <v>0</v>
      </c>
      <c r="AG65" s="573"/>
      <c r="AN65" s="587">
        <v>1</v>
      </c>
      <c r="AO65" s="585" t="s">
        <v>209</v>
      </c>
      <c r="AP65" s="573" t="s">
        <v>144</v>
      </c>
      <c r="AQ65" s="587">
        <f>V313</f>
        <v>769</v>
      </c>
      <c r="AR65" s="573" t="s">
        <v>209</v>
      </c>
      <c r="AS65" s="587">
        <f>(AN65*AQ65)</f>
        <v>769</v>
      </c>
    </row>
    <row r="66" spans="1:45" ht="24" customHeight="1">
      <c r="A66" s="594">
        <f t="shared" si="14"/>
        <v>54</v>
      </c>
      <c r="B66" s="595" t="s">
        <v>472</v>
      </c>
      <c r="C66" s="596">
        <f>AE18</f>
        <v>660</v>
      </c>
      <c r="D66" s="595" t="s">
        <v>209</v>
      </c>
      <c r="G66" s="585" t="s">
        <v>129</v>
      </c>
      <c r="H66" s="573" t="s">
        <v>130</v>
      </c>
      <c r="I66" s="573" t="s">
        <v>115</v>
      </c>
      <c r="J66" s="573" t="s">
        <v>129</v>
      </c>
      <c r="K66" s="587">
        <v>0</v>
      </c>
      <c r="M66" s="587">
        <v>4.5</v>
      </c>
      <c r="N66" s="573" t="s">
        <v>126</v>
      </c>
      <c r="O66" s="573" t="s">
        <v>132</v>
      </c>
      <c r="P66" s="587">
        <f>(K23)</f>
        <v>5585.8</v>
      </c>
      <c r="Q66" s="573" t="s">
        <v>126</v>
      </c>
      <c r="R66" s="587">
        <f>(M66*P66)</f>
        <v>25136.100000000002</v>
      </c>
      <c r="AE66" s="587">
        <f t="shared" si="13"/>
        <v>0</v>
      </c>
      <c r="AG66" s="573"/>
      <c r="AN66" s="587">
        <v>3</v>
      </c>
      <c r="AO66" s="585" t="s">
        <v>209</v>
      </c>
      <c r="AP66" s="573" t="s">
        <v>145</v>
      </c>
      <c r="AQ66" s="587">
        <f>V314</f>
        <v>718</v>
      </c>
      <c r="AR66" s="573" t="s">
        <v>209</v>
      </c>
      <c r="AS66" s="587">
        <f>(AN66*AQ66)</f>
        <v>2154</v>
      </c>
    </row>
    <row r="67" spans="1:45" ht="24" customHeight="1">
      <c r="A67" s="594">
        <f t="shared" si="14"/>
        <v>55</v>
      </c>
      <c r="B67" s="595" t="s">
        <v>125</v>
      </c>
      <c r="C67" s="596">
        <f>AC31</f>
        <v>5800</v>
      </c>
      <c r="D67" s="595" t="s">
        <v>124</v>
      </c>
      <c r="K67" s="582" t="s">
        <v>117</v>
      </c>
      <c r="M67" s="587">
        <v>1.8</v>
      </c>
      <c r="N67" s="573" t="s">
        <v>209</v>
      </c>
      <c r="O67" s="573" t="s">
        <v>145</v>
      </c>
      <c r="P67" s="587">
        <f>(C11)</f>
        <v>718</v>
      </c>
      <c r="Q67" s="573" t="s">
        <v>209</v>
      </c>
      <c r="R67" s="587">
        <f>(M67*P67)</f>
        <v>1292.4000000000001</v>
      </c>
      <c r="AE67" s="587">
        <f t="shared" si="13"/>
        <v>0</v>
      </c>
      <c r="AG67" s="573"/>
      <c r="AN67" s="587">
        <v>2</v>
      </c>
      <c r="AO67" s="585" t="s">
        <v>209</v>
      </c>
      <c r="AP67" s="573" t="s">
        <v>146</v>
      </c>
      <c r="AQ67" s="587">
        <f>V315</f>
        <v>502</v>
      </c>
      <c r="AR67" s="573" t="s">
        <v>209</v>
      </c>
      <c r="AS67" s="587">
        <f>(AN67*AQ67)</f>
        <v>1004</v>
      </c>
    </row>
    <row r="68" spans="1:45" ht="24" customHeight="1">
      <c r="A68" s="594">
        <f t="shared" si="14"/>
        <v>56</v>
      </c>
      <c r="B68" s="595" t="s">
        <v>473</v>
      </c>
      <c r="C68" s="624">
        <f t="shared" ref="C68:C74" si="15">AC9</f>
        <v>683.69</v>
      </c>
      <c r="D68" s="595" t="s">
        <v>126</v>
      </c>
      <c r="H68" s="573" t="s">
        <v>131</v>
      </c>
      <c r="K68" s="586">
        <f>SUM(K63:K66)</f>
        <v>2604.6</v>
      </c>
      <c r="M68" s="587">
        <v>17.7</v>
      </c>
      <c r="N68" s="573" t="s">
        <v>209</v>
      </c>
      <c r="O68" s="573" t="s">
        <v>146</v>
      </c>
      <c r="P68" s="587">
        <f>(C12)</f>
        <v>502</v>
      </c>
      <c r="Q68" s="573" t="s">
        <v>209</v>
      </c>
      <c r="R68" s="587">
        <f>(M68*P68)</f>
        <v>8885.4</v>
      </c>
      <c r="AE68" s="587">
        <f t="shared" si="13"/>
        <v>0</v>
      </c>
      <c r="AG68" s="573"/>
      <c r="AN68" s="587">
        <v>6</v>
      </c>
      <c r="AO68" s="585" t="s">
        <v>209</v>
      </c>
      <c r="AP68" s="573" t="s">
        <v>147</v>
      </c>
      <c r="AQ68" s="587">
        <f>V316</f>
        <v>412</v>
      </c>
      <c r="AR68" s="573" t="s">
        <v>209</v>
      </c>
      <c r="AS68" s="587">
        <f>(AN68*AQ68)</f>
        <v>2472</v>
      </c>
    </row>
    <row r="69" spans="1:45" ht="24" customHeight="1">
      <c r="A69" s="594">
        <f t="shared" si="14"/>
        <v>57</v>
      </c>
      <c r="B69" s="595" t="s">
        <v>474</v>
      </c>
      <c r="C69" s="596">
        <f t="shared" si="15"/>
        <v>876.69</v>
      </c>
      <c r="D69" s="595" t="s">
        <v>126</v>
      </c>
      <c r="K69" s="582" t="s">
        <v>117</v>
      </c>
      <c r="M69" s="587">
        <v>14.1</v>
      </c>
      <c r="N69" s="573" t="s">
        <v>209</v>
      </c>
      <c r="O69" s="573" t="s">
        <v>147</v>
      </c>
      <c r="P69" s="587">
        <f>(C13)</f>
        <v>412</v>
      </c>
      <c r="Q69" s="573" t="s">
        <v>209</v>
      </c>
      <c r="R69" s="587">
        <f>(M69*P69)</f>
        <v>5809.2</v>
      </c>
      <c r="AE69" s="587">
        <f t="shared" si="13"/>
        <v>0</v>
      </c>
      <c r="AG69" s="573"/>
      <c r="AO69" s="585" t="s">
        <v>129</v>
      </c>
      <c r="AP69" s="573" t="s">
        <v>130</v>
      </c>
      <c r="AR69" s="573" t="s">
        <v>129</v>
      </c>
      <c r="AS69" s="587">
        <v>0</v>
      </c>
    </row>
    <row r="70" spans="1:45" ht="24" customHeight="1">
      <c r="A70" s="594">
        <f t="shared" si="14"/>
        <v>58</v>
      </c>
      <c r="B70" s="595" t="s">
        <v>475</v>
      </c>
      <c r="C70" s="596">
        <f t="shared" si="15"/>
        <v>973.3599999999999</v>
      </c>
      <c r="D70" s="595" t="s">
        <v>126</v>
      </c>
      <c r="G70" s="585" t="s">
        <v>122</v>
      </c>
      <c r="H70" s="573" t="s">
        <v>138</v>
      </c>
      <c r="N70" s="573" t="s">
        <v>129</v>
      </c>
      <c r="O70" s="573" t="s">
        <v>130</v>
      </c>
      <c r="Q70" s="573" t="s">
        <v>129</v>
      </c>
      <c r="R70" s="587">
        <v>0</v>
      </c>
      <c r="AE70" s="587">
        <f t="shared" si="13"/>
        <v>0</v>
      </c>
      <c r="AG70" s="573"/>
      <c r="AO70" s="576"/>
      <c r="AR70" s="578"/>
      <c r="AS70" s="582" t="s">
        <v>117</v>
      </c>
    </row>
    <row r="71" spans="1:45" ht="24" customHeight="1">
      <c r="A71" s="594">
        <f t="shared" si="14"/>
        <v>59</v>
      </c>
      <c r="B71" s="595" t="s">
        <v>476</v>
      </c>
      <c r="C71" s="596">
        <f t="shared" si="15"/>
        <v>1200.69</v>
      </c>
      <c r="D71" s="595" t="s">
        <v>126</v>
      </c>
      <c r="H71" s="582" t="s">
        <v>117</v>
      </c>
      <c r="R71" s="582" t="s">
        <v>117</v>
      </c>
      <c r="AE71" s="587">
        <f t="shared" si="13"/>
        <v>0</v>
      </c>
      <c r="AG71" s="573"/>
      <c r="AO71" s="576"/>
      <c r="AP71" s="573" t="s">
        <v>477</v>
      </c>
      <c r="AR71" s="578"/>
      <c r="AS71" s="587">
        <f>SUM(AS63:AS69)</f>
        <v>17323.2176</v>
      </c>
    </row>
    <row r="72" spans="1:45" ht="24" customHeight="1">
      <c r="A72" s="594">
        <f t="shared" si="14"/>
        <v>60</v>
      </c>
      <c r="B72" s="595" t="s">
        <v>478</v>
      </c>
      <c r="C72" s="596">
        <f t="shared" si="15"/>
        <v>1543.69</v>
      </c>
      <c r="D72" s="595" t="s">
        <v>126</v>
      </c>
      <c r="F72" s="587">
        <v>0.18</v>
      </c>
      <c r="G72" s="585" t="s">
        <v>124</v>
      </c>
      <c r="H72" s="573" t="s">
        <v>125</v>
      </c>
      <c r="I72" s="587">
        <f>(C67)</f>
        <v>5800</v>
      </c>
      <c r="J72" s="573" t="s">
        <v>124</v>
      </c>
      <c r="K72" s="587">
        <f>(F72*I72)</f>
        <v>1044</v>
      </c>
      <c r="O72" s="573" t="s">
        <v>455</v>
      </c>
      <c r="R72" s="587">
        <f>SUM(R65:R70)</f>
        <v>55925.310000000005</v>
      </c>
      <c r="AE72" s="587">
        <f t="shared" si="13"/>
        <v>0</v>
      </c>
      <c r="AG72" s="573"/>
      <c r="AO72" s="576"/>
      <c r="AR72" s="578"/>
      <c r="AS72" s="582" t="s">
        <v>117</v>
      </c>
    </row>
    <row r="73" spans="1:45" ht="24" customHeight="1">
      <c r="A73" s="594">
        <f t="shared" si="14"/>
        <v>61</v>
      </c>
      <c r="B73" s="595" t="s">
        <v>479</v>
      </c>
      <c r="C73" s="596">
        <f t="shared" si="15"/>
        <v>1644.69</v>
      </c>
      <c r="D73" s="595" t="s">
        <v>126</v>
      </c>
      <c r="F73" s="587">
        <v>1</v>
      </c>
      <c r="G73" s="585" t="s">
        <v>126</v>
      </c>
      <c r="H73" s="573" t="s">
        <v>127</v>
      </c>
      <c r="I73" s="587">
        <f>(C78)</f>
        <v>1322.8</v>
      </c>
      <c r="J73" s="573" t="s">
        <v>126</v>
      </c>
      <c r="K73" s="587">
        <f>(F73*I73)</f>
        <v>1322.8</v>
      </c>
      <c r="R73" s="582" t="s">
        <v>117</v>
      </c>
      <c r="AE73" s="587">
        <f t="shared" si="13"/>
        <v>0</v>
      </c>
      <c r="AG73" s="573"/>
      <c r="AO73" s="576"/>
      <c r="AP73" s="589" t="s">
        <v>383</v>
      </c>
      <c r="AR73" s="578"/>
      <c r="AS73" s="586">
        <f>(AS71/2.83168)</f>
        <v>6117.6466267374844</v>
      </c>
    </row>
    <row r="74" spans="1:45" ht="24" customHeight="1">
      <c r="A74" s="594">
        <f t="shared" si="14"/>
        <v>62</v>
      </c>
      <c r="B74" s="595" t="s">
        <v>480</v>
      </c>
      <c r="C74" s="596">
        <f t="shared" si="15"/>
        <v>1250.69</v>
      </c>
      <c r="D74" s="595" t="s">
        <v>126</v>
      </c>
      <c r="F74" s="587">
        <v>1</v>
      </c>
      <c r="G74" s="585" t="s">
        <v>126</v>
      </c>
      <c r="H74" s="573" t="s">
        <v>128</v>
      </c>
      <c r="I74" s="587">
        <f>(C18)</f>
        <v>87</v>
      </c>
      <c r="J74" s="573" t="s">
        <v>126</v>
      </c>
      <c r="K74" s="587">
        <f>(F74*I74)</f>
        <v>87</v>
      </c>
      <c r="O74" s="573" t="s">
        <v>383</v>
      </c>
      <c r="R74" s="587">
        <f>(R72/10)</f>
        <v>5592.5310000000009</v>
      </c>
      <c r="AE74" s="587">
        <f t="shared" ref="AE74:AE81" si="16">AG74</f>
        <v>0</v>
      </c>
      <c r="AG74" s="573"/>
      <c r="AO74" s="576"/>
      <c r="AR74" s="578"/>
      <c r="AS74" s="582" t="s">
        <v>155</v>
      </c>
    </row>
    <row r="75" spans="1:45" ht="24" customHeight="1">
      <c r="A75" s="594">
        <f t="shared" si="14"/>
        <v>63</v>
      </c>
      <c r="B75" s="613" t="s">
        <v>481</v>
      </c>
      <c r="C75" s="605">
        <v>175</v>
      </c>
      <c r="D75" s="595" t="s">
        <v>122</v>
      </c>
      <c r="G75" s="585" t="s">
        <v>129</v>
      </c>
      <c r="H75" s="573" t="s">
        <v>130</v>
      </c>
      <c r="I75" s="573" t="s">
        <v>115</v>
      </c>
      <c r="J75" s="573" t="s">
        <v>129</v>
      </c>
      <c r="K75" s="587">
        <v>0</v>
      </c>
      <c r="R75" s="582" t="s">
        <v>155</v>
      </c>
      <c r="AE75" s="587">
        <f t="shared" si="16"/>
        <v>0</v>
      </c>
      <c r="AG75" s="573"/>
      <c r="AO75" s="576"/>
      <c r="AP75" s="573" t="s">
        <v>482</v>
      </c>
      <c r="AR75" s="578"/>
      <c r="AS75" s="587">
        <f>AS73+C19</f>
        <v>6176.8466267374843</v>
      </c>
    </row>
    <row r="76" spans="1:45" ht="24" customHeight="1">
      <c r="A76" s="594">
        <f t="shared" si="14"/>
        <v>64</v>
      </c>
      <c r="B76" s="625" t="s">
        <v>483</v>
      </c>
      <c r="C76" s="605">
        <v>460</v>
      </c>
      <c r="D76" s="615">
        <v>290</v>
      </c>
      <c r="E76" s="575" t="s">
        <v>484</v>
      </c>
      <c r="K76" s="582" t="s">
        <v>117</v>
      </c>
      <c r="N76" s="573" t="s">
        <v>122</v>
      </c>
      <c r="O76" s="573" t="s">
        <v>485</v>
      </c>
      <c r="AE76" s="587">
        <f t="shared" si="16"/>
        <v>0</v>
      </c>
      <c r="AG76" s="573"/>
      <c r="AO76" s="576"/>
      <c r="AP76" s="573" t="s">
        <v>486</v>
      </c>
      <c r="AR76" s="578"/>
      <c r="AS76" s="587">
        <f>AS75+C20</f>
        <v>6296.1466267374844</v>
      </c>
    </row>
    <row r="77" spans="1:45" ht="24" customHeight="1">
      <c r="A77" s="594">
        <f t="shared" si="14"/>
        <v>65</v>
      </c>
      <c r="B77" s="595" t="s">
        <v>487</v>
      </c>
      <c r="C77" s="596">
        <f>AC34</f>
        <v>4361.1000000000004</v>
      </c>
      <c r="D77" s="595" t="s">
        <v>126</v>
      </c>
      <c r="H77" s="573" t="s">
        <v>131</v>
      </c>
      <c r="K77" s="586">
        <f>SUM(K72:K75)</f>
        <v>2453.8000000000002</v>
      </c>
      <c r="O77" s="573" t="s">
        <v>488</v>
      </c>
      <c r="AE77" s="587">
        <f t="shared" si="16"/>
        <v>0</v>
      </c>
      <c r="AG77" s="573"/>
      <c r="AO77" s="576"/>
      <c r="AP77" s="573" t="s">
        <v>489</v>
      </c>
      <c r="AR77" s="578"/>
      <c r="AS77" s="587">
        <f>AS76+C20</f>
        <v>6415.4466267374846</v>
      </c>
    </row>
    <row r="78" spans="1:45" ht="24" customHeight="1">
      <c r="A78" s="594">
        <f t="shared" si="14"/>
        <v>66</v>
      </c>
      <c r="B78" s="595" t="s">
        <v>490</v>
      </c>
      <c r="C78" s="596">
        <f t="shared" ref="C78:C91" si="17">AC16</f>
        <v>1322.8</v>
      </c>
      <c r="D78" s="595" t="s">
        <v>126</v>
      </c>
      <c r="K78" s="582" t="s">
        <v>117</v>
      </c>
      <c r="O78" s="582" t="s">
        <v>117</v>
      </c>
      <c r="AE78" s="587">
        <f t="shared" si="16"/>
        <v>0</v>
      </c>
      <c r="AG78" s="573"/>
      <c r="AO78" s="576"/>
      <c r="AP78" s="573" t="s">
        <v>491</v>
      </c>
      <c r="AR78" s="578"/>
      <c r="AS78" s="587">
        <f>AS77+C20</f>
        <v>6534.7466267374848</v>
      </c>
    </row>
    <row r="79" spans="1:45" ht="24" customHeight="1">
      <c r="A79" s="594">
        <f t="shared" si="14"/>
        <v>67</v>
      </c>
      <c r="B79" s="595" t="s">
        <v>492</v>
      </c>
      <c r="C79" s="596">
        <f t="shared" si="17"/>
        <v>1322.8</v>
      </c>
      <c r="D79" s="595" t="s">
        <v>126</v>
      </c>
      <c r="F79" s="620">
        <v>1.1000000000000001</v>
      </c>
      <c r="G79" s="585" t="s">
        <v>115</v>
      </c>
      <c r="H79" s="573" t="s">
        <v>493</v>
      </c>
      <c r="M79" s="587">
        <v>4600</v>
      </c>
      <c r="N79" s="573" t="s">
        <v>467</v>
      </c>
      <c r="O79" s="573" t="s">
        <v>494</v>
      </c>
      <c r="P79" s="587">
        <f>AC41</f>
        <v>6725.72</v>
      </c>
      <c r="Q79" s="573" t="s">
        <v>468</v>
      </c>
      <c r="R79" s="587">
        <f>(M79*P79)/1000</f>
        <v>30938.312000000002</v>
      </c>
      <c r="S79" s="626">
        <v>1.1000000000000001</v>
      </c>
      <c r="T79" s="585" t="s">
        <v>115</v>
      </c>
      <c r="U79" s="577" t="s">
        <v>495</v>
      </c>
      <c r="W79" s="578"/>
      <c r="AE79" s="587">
        <f t="shared" si="16"/>
        <v>0</v>
      </c>
      <c r="AG79" s="573"/>
      <c r="AO79" s="576"/>
      <c r="AP79" s="573" t="s">
        <v>496</v>
      </c>
      <c r="AR79" s="578"/>
      <c r="AS79" s="587">
        <f>AS78+C20</f>
        <v>6654.046626737485</v>
      </c>
    </row>
    <row r="80" spans="1:45" ht="24" customHeight="1">
      <c r="A80" s="594">
        <f t="shared" si="14"/>
        <v>68</v>
      </c>
      <c r="B80" s="595" t="s">
        <v>497</v>
      </c>
      <c r="C80" s="596">
        <f t="shared" si="17"/>
        <v>5704.1</v>
      </c>
      <c r="D80" s="595" t="s">
        <v>498</v>
      </c>
      <c r="F80" s="627" t="s">
        <v>115</v>
      </c>
      <c r="H80" s="573" t="s">
        <v>499</v>
      </c>
      <c r="M80" s="587">
        <v>2.5</v>
      </c>
      <c r="N80" s="573" t="s">
        <v>126</v>
      </c>
      <c r="O80" s="573" t="s">
        <v>135</v>
      </c>
      <c r="P80" s="587">
        <f>(K49)</f>
        <v>3080.2</v>
      </c>
      <c r="Q80" s="573" t="s">
        <v>126</v>
      </c>
      <c r="R80" s="587">
        <f>(M80*P80)</f>
        <v>7700.5</v>
      </c>
      <c r="S80" s="628" t="s">
        <v>115</v>
      </c>
      <c r="T80" s="576"/>
      <c r="U80" s="573" t="s">
        <v>499</v>
      </c>
      <c r="W80" s="578"/>
      <c r="AE80" s="587">
        <f t="shared" si="16"/>
        <v>0</v>
      </c>
      <c r="AG80" s="573"/>
      <c r="AQ80" s="592"/>
      <c r="AS80" s="573"/>
    </row>
    <row r="81" spans="1:45" ht="24" customHeight="1">
      <c r="A81" s="594">
        <f t="shared" si="14"/>
        <v>69</v>
      </c>
      <c r="B81" s="595" t="s">
        <v>500</v>
      </c>
      <c r="C81" s="596">
        <f t="shared" si="17"/>
        <v>888.92</v>
      </c>
      <c r="D81" s="595" t="s">
        <v>126</v>
      </c>
      <c r="F81" s="587">
        <v>10</v>
      </c>
      <c r="G81" s="585" t="s">
        <v>126</v>
      </c>
      <c r="H81" s="573" t="s">
        <v>501</v>
      </c>
      <c r="I81" s="587">
        <f>(C61)</f>
        <v>84</v>
      </c>
      <c r="J81" s="573" t="s">
        <v>126</v>
      </c>
      <c r="K81" s="587">
        <f>(F81*I81)</f>
        <v>840</v>
      </c>
      <c r="M81" s="587">
        <v>3.5</v>
      </c>
      <c r="N81" s="573" t="s">
        <v>209</v>
      </c>
      <c r="O81" s="573" t="s">
        <v>144</v>
      </c>
      <c r="P81" s="587">
        <f>(C10)</f>
        <v>769</v>
      </c>
      <c r="Q81" s="573" t="s">
        <v>209</v>
      </c>
      <c r="R81" s="587">
        <f>(M81*P81)</f>
        <v>2691.5</v>
      </c>
      <c r="S81" s="617">
        <v>10</v>
      </c>
      <c r="T81" s="585" t="s">
        <v>126</v>
      </c>
      <c r="U81" s="573" t="s">
        <v>501</v>
      </c>
      <c r="V81" s="587">
        <f>AE39</f>
        <v>56.1</v>
      </c>
      <c r="W81" s="573" t="s">
        <v>126</v>
      </c>
      <c r="X81" s="587">
        <f>(S81*V81)</f>
        <v>561</v>
      </c>
      <c r="AE81" s="587">
        <f t="shared" si="16"/>
        <v>0</v>
      </c>
      <c r="AG81" s="573"/>
      <c r="AQ81" s="592"/>
      <c r="AS81" s="573"/>
    </row>
    <row r="82" spans="1:45" ht="24" customHeight="1">
      <c r="A82" s="594">
        <f t="shared" si="14"/>
        <v>70</v>
      </c>
      <c r="B82" s="595" t="s">
        <v>502</v>
      </c>
      <c r="C82" s="596">
        <f t="shared" si="17"/>
        <v>965.92</v>
      </c>
      <c r="D82" s="595" t="s">
        <v>126</v>
      </c>
      <c r="F82" s="587">
        <v>10</v>
      </c>
      <c r="G82" s="585" t="s">
        <v>126</v>
      </c>
      <c r="H82" s="573" t="s">
        <v>503</v>
      </c>
      <c r="I82" s="587">
        <f>(C61)</f>
        <v>84</v>
      </c>
      <c r="J82" s="573" t="s">
        <v>126</v>
      </c>
      <c r="K82" s="587">
        <f>(F82*I82)</f>
        <v>840</v>
      </c>
      <c r="L82" s="575">
        <f>I82+I81</f>
        <v>168</v>
      </c>
      <c r="M82" s="587">
        <v>10.6</v>
      </c>
      <c r="N82" s="573" t="s">
        <v>209</v>
      </c>
      <c r="O82" s="573" t="s">
        <v>145</v>
      </c>
      <c r="P82" s="587">
        <f>(C11)</f>
        <v>718</v>
      </c>
      <c r="Q82" s="573" t="s">
        <v>209</v>
      </c>
      <c r="R82" s="587">
        <f>(M82*P82)</f>
        <v>7610.8</v>
      </c>
      <c r="S82" s="617">
        <v>10</v>
      </c>
      <c r="T82" s="585" t="s">
        <v>126</v>
      </c>
      <c r="U82" s="573" t="s">
        <v>503</v>
      </c>
      <c r="V82" s="587">
        <f>V81</f>
        <v>56.1</v>
      </c>
      <c r="W82" s="573" t="s">
        <v>126</v>
      </c>
      <c r="X82" s="587">
        <f>(S82*V82)</f>
        <v>561</v>
      </c>
      <c r="AE82" s="629"/>
      <c r="AG82" s="573"/>
      <c r="AQ82" s="592"/>
      <c r="AS82" s="573"/>
    </row>
    <row r="83" spans="1:45" ht="24" customHeight="1">
      <c r="A83" s="594">
        <f t="shared" si="14"/>
        <v>71</v>
      </c>
      <c r="B83" s="595" t="s">
        <v>504</v>
      </c>
      <c r="C83" s="596">
        <f t="shared" si="17"/>
        <v>16123.55</v>
      </c>
      <c r="D83" s="595" t="s">
        <v>498</v>
      </c>
      <c r="E83" s="575">
        <v>8710</v>
      </c>
      <c r="F83" s="587">
        <v>10</v>
      </c>
      <c r="G83" s="585" t="s">
        <v>126</v>
      </c>
      <c r="H83" s="573" t="s">
        <v>505</v>
      </c>
      <c r="I83" s="587">
        <f>(C26)/3</f>
        <v>9.7666666666666675</v>
      </c>
      <c r="J83" s="573" t="s">
        <v>126</v>
      </c>
      <c r="K83" s="587">
        <f>(F83*I83)</f>
        <v>97.666666666666671</v>
      </c>
      <c r="M83" s="587">
        <v>7.1</v>
      </c>
      <c r="N83" s="573" t="s">
        <v>209</v>
      </c>
      <c r="O83" s="573" t="s">
        <v>146</v>
      </c>
      <c r="P83" s="587">
        <f>(C12)</f>
        <v>502</v>
      </c>
      <c r="Q83" s="573" t="s">
        <v>209</v>
      </c>
      <c r="R83" s="587">
        <f>(M83*P83)</f>
        <v>3564.2</v>
      </c>
      <c r="S83" s="617">
        <v>10</v>
      </c>
      <c r="T83" s="585" t="s">
        <v>126</v>
      </c>
      <c r="U83" s="573" t="s">
        <v>505</v>
      </c>
      <c r="V83" s="587">
        <f>AE27/3</f>
        <v>8.5666666666666664</v>
      </c>
      <c r="W83" s="573" t="s">
        <v>126</v>
      </c>
      <c r="X83" s="587">
        <f>(S83*V83)</f>
        <v>85.666666666666657</v>
      </c>
      <c r="AE83" s="629"/>
      <c r="AG83" s="573"/>
      <c r="AQ83" s="592"/>
      <c r="AS83" s="573"/>
    </row>
    <row r="84" spans="1:45" ht="24" customHeight="1">
      <c r="A84" s="594">
        <f t="shared" si="14"/>
        <v>72</v>
      </c>
      <c r="B84" s="595" t="s">
        <v>506</v>
      </c>
      <c r="C84" s="596">
        <f t="shared" si="17"/>
        <v>1346.98</v>
      </c>
      <c r="D84" s="595" t="s">
        <v>126</v>
      </c>
      <c r="G84" s="585" t="s">
        <v>129</v>
      </c>
      <c r="H84" s="573" t="s">
        <v>130</v>
      </c>
      <c r="J84" s="573" t="s">
        <v>129</v>
      </c>
      <c r="K84" s="587">
        <v>0</v>
      </c>
      <c r="M84" s="629">
        <v>21.2</v>
      </c>
      <c r="N84" s="573" t="s">
        <v>209</v>
      </c>
      <c r="O84" s="573" t="s">
        <v>147</v>
      </c>
      <c r="P84" s="587">
        <f>(C13)</f>
        <v>412</v>
      </c>
      <c r="Q84" s="573" t="s">
        <v>209</v>
      </c>
      <c r="R84" s="587">
        <f>(M84*P84)</f>
        <v>8734.4</v>
      </c>
      <c r="T84" s="585" t="s">
        <v>129</v>
      </c>
      <c r="U84" s="573" t="s">
        <v>130</v>
      </c>
      <c r="W84" s="573" t="s">
        <v>129</v>
      </c>
      <c r="X84" s="587">
        <v>0</v>
      </c>
      <c r="AE84" s="629"/>
      <c r="AG84" s="573"/>
      <c r="AN84" s="607">
        <v>9</v>
      </c>
      <c r="AO84" s="585" t="s">
        <v>122</v>
      </c>
      <c r="AP84" s="573" t="s">
        <v>507</v>
      </c>
      <c r="AR84" s="578"/>
    </row>
    <row r="85" spans="1:45" ht="24" customHeight="1">
      <c r="A85" s="594">
        <f t="shared" si="14"/>
        <v>73</v>
      </c>
      <c r="B85" s="595" t="s">
        <v>508</v>
      </c>
      <c r="C85" s="596">
        <f t="shared" si="17"/>
        <v>1004.98</v>
      </c>
      <c r="D85" s="595" t="s">
        <v>126</v>
      </c>
      <c r="K85" s="582" t="s">
        <v>117</v>
      </c>
      <c r="N85" s="573" t="s">
        <v>129</v>
      </c>
      <c r="O85" s="573" t="s">
        <v>130</v>
      </c>
      <c r="Q85" s="573" t="s">
        <v>129</v>
      </c>
      <c r="R85" s="587">
        <v>0</v>
      </c>
      <c r="T85" s="576"/>
      <c r="W85" s="578"/>
      <c r="X85" s="582" t="s">
        <v>117</v>
      </c>
      <c r="AE85" s="629"/>
      <c r="AG85" s="573"/>
      <c r="AO85" s="576"/>
      <c r="AP85" s="573" t="str">
        <f>AP61</f>
        <v>Bricks of size 23x11x7 cm</v>
      </c>
      <c r="AR85" s="578"/>
    </row>
    <row r="86" spans="1:45" ht="24" customHeight="1">
      <c r="A86" s="594">
        <f t="shared" si="14"/>
        <v>74</v>
      </c>
      <c r="B86" s="595" t="s">
        <v>509</v>
      </c>
      <c r="C86" s="596">
        <f t="shared" si="17"/>
        <v>34300</v>
      </c>
      <c r="D86" s="595" t="s">
        <v>126</v>
      </c>
      <c r="H86" s="573" t="s">
        <v>455</v>
      </c>
      <c r="K86" s="587">
        <f>SUM(K81:K84)</f>
        <v>1777.6666666666667</v>
      </c>
      <c r="R86" s="582" t="s">
        <v>117</v>
      </c>
      <c r="T86" s="576"/>
      <c r="U86" s="573" t="s">
        <v>455</v>
      </c>
      <c r="W86" s="578"/>
      <c r="X86" s="587">
        <f>SUM(X81:X84)</f>
        <v>1207.6666666666667</v>
      </c>
      <c r="AE86" s="629"/>
      <c r="AG86" s="573"/>
      <c r="AO86" s="576"/>
      <c r="AP86" s="582" t="s">
        <v>117</v>
      </c>
      <c r="AR86" s="578"/>
    </row>
    <row r="87" spans="1:45" ht="24" customHeight="1">
      <c r="A87" s="594">
        <f t="shared" si="14"/>
        <v>75</v>
      </c>
      <c r="B87" s="595" t="s">
        <v>510</v>
      </c>
      <c r="C87" s="596">
        <f t="shared" si="17"/>
        <v>39400</v>
      </c>
      <c r="D87" s="595" t="s">
        <v>126</v>
      </c>
      <c r="K87" s="582" t="s">
        <v>117</v>
      </c>
      <c r="O87" s="573" t="s">
        <v>455</v>
      </c>
      <c r="R87" s="587">
        <f>SUM(R79:R85)</f>
        <v>61239.712000000007</v>
      </c>
      <c r="T87" s="576"/>
      <c r="W87" s="578"/>
      <c r="X87" s="582" t="s">
        <v>117</v>
      </c>
      <c r="AE87" s="629"/>
      <c r="AG87" s="573"/>
      <c r="AN87" s="587">
        <f>AN63</f>
        <v>1300</v>
      </c>
      <c r="AO87" s="585" t="s">
        <v>467</v>
      </c>
      <c r="AP87" s="587" t="str">
        <f>AP61</f>
        <v>Bricks of size 23x11x7 cm</v>
      </c>
      <c r="AQ87" s="587">
        <f>AC45</f>
        <v>6725.72</v>
      </c>
      <c r="AR87" s="573" t="s">
        <v>468</v>
      </c>
      <c r="AS87" s="587">
        <f>AQ87*AN87/1000</f>
        <v>8743.4359999999997</v>
      </c>
    </row>
    <row r="88" spans="1:45" ht="36" customHeight="1">
      <c r="A88" s="594">
        <f t="shared" si="14"/>
        <v>76</v>
      </c>
      <c r="B88" s="595" t="s">
        <v>511</v>
      </c>
      <c r="C88" s="596">
        <f t="shared" si="17"/>
        <v>111600</v>
      </c>
      <c r="D88" s="595" t="s">
        <v>126</v>
      </c>
      <c r="H88" s="577" t="s">
        <v>512</v>
      </c>
      <c r="I88" s="619" t="s">
        <v>513</v>
      </c>
      <c r="J88" s="630"/>
      <c r="K88" s="586">
        <f>(K86/10)</f>
        <v>177.76666666666668</v>
      </c>
      <c r="R88" s="582" t="s">
        <v>117</v>
      </c>
      <c r="T88" s="576"/>
      <c r="U88" s="577" t="s">
        <v>512</v>
      </c>
      <c r="V88" s="619" t="s">
        <v>513</v>
      </c>
      <c r="W88" s="630"/>
      <c r="X88" s="586">
        <f>(X86/10)</f>
        <v>120.76666666666668</v>
      </c>
      <c r="AE88" s="629"/>
      <c r="AG88" s="573"/>
      <c r="AN88" s="617">
        <f>AN64</f>
        <v>0.70799999999999996</v>
      </c>
      <c r="AO88" s="585" t="s">
        <v>126</v>
      </c>
      <c r="AP88" s="573" t="s">
        <v>136</v>
      </c>
      <c r="AQ88" s="587">
        <f>K58</f>
        <v>2801.8</v>
      </c>
      <c r="AR88" s="573" t="s">
        <v>126</v>
      </c>
      <c r="AS88" s="587">
        <f>AQ88*AN88</f>
        <v>1983.6744000000001</v>
      </c>
    </row>
    <row r="89" spans="1:45" ht="19.5" customHeight="1">
      <c r="A89" s="594">
        <f t="shared" si="14"/>
        <v>77</v>
      </c>
      <c r="B89" s="595" t="s">
        <v>514</v>
      </c>
      <c r="C89" s="596">
        <f t="shared" si="17"/>
        <v>99400</v>
      </c>
      <c r="D89" s="595" t="s">
        <v>126</v>
      </c>
      <c r="I89" s="619" t="s">
        <v>515</v>
      </c>
      <c r="J89" s="630"/>
      <c r="K89" s="584">
        <f>ROUND(K88+C36,2)</f>
        <v>185.87</v>
      </c>
      <c r="O89" s="573" t="s">
        <v>383</v>
      </c>
      <c r="R89" s="587">
        <f>(R87/10)</f>
        <v>6123.9712000000009</v>
      </c>
      <c r="T89" s="576"/>
      <c r="V89" s="619" t="s">
        <v>515</v>
      </c>
      <c r="W89" s="630"/>
      <c r="X89" s="584">
        <f>ROUND(X88+C36,2)</f>
        <v>128.87</v>
      </c>
      <c r="AE89" s="629"/>
      <c r="AG89" s="573"/>
      <c r="AN89" s="587">
        <v>1</v>
      </c>
      <c r="AO89" s="585" t="s">
        <v>209</v>
      </c>
      <c r="AP89" s="573" t="s">
        <v>144</v>
      </c>
      <c r="AQ89" s="587">
        <f>AQ65</f>
        <v>769</v>
      </c>
      <c r="AR89" s="573" t="s">
        <v>209</v>
      </c>
      <c r="AS89" s="587">
        <f>AQ89*AN89</f>
        <v>769</v>
      </c>
    </row>
    <row r="90" spans="1:45" ht="36" customHeight="1">
      <c r="A90" s="594">
        <f t="shared" si="14"/>
        <v>78</v>
      </c>
      <c r="B90" s="595" t="s">
        <v>516</v>
      </c>
      <c r="C90" s="596">
        <f>AC28</f>
        <v>95000</v>
      </c>
      <c r="D90" s="595" t="s">
        <v>126</v>
      </c>
      <c r="F90" s="607" t="s">
        <v>517</v>
      </c>
      <c r="H90" s="631" t="s">
        <v>518</v>
      </c>
      <c r="I90" s="619" t="s">
        <v>513</v>
      </c>
      <c r="J90" s="630"/>
      <c r="K90" s="586">
        <f>K88-K83/10</f>
        <v>168</v>
      </c>
      <c r="R90" s="582" t="s">
        <v>155</v>
      </c>
      <c r="S90" s="626" t="s">
        <v>517</v>
      </c>
      <c r="T90" s="576"/>
      <c r="U90" s="631" t="s">
        <v>519</v>
      </c>
      <c r="V90" s="619" t="s">
        <v>513</v>
      </c>
      <c r="W90" s="630"/>
      <c r="X90" s="586">
        <f>X88-X83/10</f>
        <v>112.20000000000002</v>
      </c>
      <c r="AE90" s="629"/>
      <c r="AG90" s="573"/>
      <c r="AN90" s="587">
        <v>3</v>
      </c>
      <c r="AO90" s="585" t="s">
        <v>209</v>
      </c>
      <c r="AP90" s="573" t="s">
        <v>145</v>
      </c>
      <c r="AQ90" s="587">
        <f>AQ66</f>
        <v>718</v>
      </c>
      <c r="AR90" s="573" t="s">
        <v>209</v>
      </c>
      <c r="AS90" s="587">
        <f>AQ90*AN90</f>
        <v>2154</v>
      </c>
    </row>
    <row r="91" spans="1:45" ht="24" customHeight="1">
      <c r="A91" s="594">
        <f t="shared" si="14"/>
        <v>79</v>
      </c>
      <c r="B91" s="595" t="s">
        <v>520</v>
      </c>
      <c r="C91" s="596">
        <f t="shared" si="17"/>
        <v>4361.1000000000004</v>
      </c>
      <c r="D91" s="595" t="s">
        <v>498</v>
      </c>
      <c r="I91" s="619" t="s">
        <v>515</v>
      </c>
      <c r="J91" s="630"/>
      <c r="K91" s="584">
        <f>ROUND(K90+C36,2)</f>
        <v>176.1</v>
      </c>
      <c r="T91" s="576"/>
      <c r="V91" s="619" t="s">
        <v>515</v>
      </c>
      <c r="W91" s="630"/>
      <c r="X91" s="584">
        <f>ROUND(X90+C36,2)</f>
        <v>120.3</v>
      </c>
      <c r="AE91" s="629"/>
      <c r="AG91" s="573"/>
      <c r="AN91" s="587">
        <v>2</v>
      </c>
      <c r="AO91" s="585" t="s">
        <v>209</v>
      </c>
      <c r="AP91" s="573" t="s">
        <v>146</v>
      </c>
      <c r="AQ91" s="587">
        <f>AQ67</f>
        <v>502</v>
      </c>
      <c r="AR91" s="573" t="s">
        <v>209</v>
      </c>
      <c r="AS91" s="587">
        <f>AQ91*AN91</f>
        <v>1004</v>
      </c>
    </row>
    <row r="92" spans="1:45" ht="24" customHeight="1">
      <c r="A92" s="608"/>
      <c r="B92" s="608"/>
      <c r="C92" s="608"/>
      <c r="D92" s="608"/>
      <c r="F92" s="607" t="s">
        <v>521</v>
      </c>
      <c r="G92" s="585" t="s">
        <v>115</v>
      </c>
      <c r="H92" s="573" t="s">
        <v>522</v>
      </c>
      <c r="S92" s="626"/>
      <c r="T92" s="585"/>
      <c r="U92" s="573"/>
      <c r="W92" s="578"/>
      <c r="AE92" s="629"/>
      <c r="AN92" s="587">
        <v>6</v>
      </c>
      <c r="AO92" s="585" t="s">
        <v>209</v>
      </c>
      <c r="AP92" s="573" t="s">
        <v>147</v>
      </c>
      <c r="AQ92" s="587">
        <f>AQ68</f>
        <v>412</v>
      </c>
      <c r="AR92" s="573" t="s">
        <v>209</v>
      </c>
      <c r="AS92" s="587">
        <f>AQ92*AN92</f>
        <v>2472</v>
      </c>
    </row>
    <row r="93" spans="1:45" ht="24" customHeight="1">
      <c r="A93" s="608"/>
      <c r="B93" s="608"/>
      <c r="C93" s="608"/>
      <c r="D93" s="608"/>
      <c r="F93" s="627" t="s">
        <v>115</v>
      </c>
      <c r="H93" s="582" t="s">
        <v>117</v>
      </c>
      <c r="M93" s="575" t="s">
        <v>523</v>
      </c>
      <c r="S93" s="628"/>
      <c r="T93" s="576"/>
      <c r="U93" s="582"/>
      <c r="W93" s="578"/>
      <c r="AE93" s="629"/>
      <c r="AO93" s="585" t="s">
        <v>129</v>
      </c>
      <c r="AP93" s="573" t="s">
        <v>130</v>
      </c>
      <c r="AR93" s="573" t="s">
        <v>129</v>
      </c>
      <c r="AS93" s="587">
        <v>0</v>
      </c>
    </row>
    <row r="94" spans="1:45" ht="24" customHeight="1">
      <c r="A94" s="608"/>
      <c r="B94" s="608"/>
      <c r="C94" s="608"/>
      <c r="D94" s="608"/>
      <c r="F94" s="587">
        <v>10</v>
      </c>
      <c r="G94" s="585" t="s">
        <v>126</v>
      </c>
      <c r="H94" s="573" t="s">
        <v>524</v>
      </c>
      <c r="I94" s="587">
        <f>D61</f>
        <v>125.2</v>
      </c>
      <c r="J94" s="573" t="s">
        <v>126</v>
      </c>
      <c r="K94" s="587">
        <f>(F94*I94)</f>
        <v>1252</v>
      </c>
      <c r="M94" s="575">
        <v>23.2</v>
      </c>
      <c r="S94" s="617"/>
      <c r="T94" s="585"/>
      <c r="U94" s="573"/>
      <c r="V94" s="587"/>
      <c r="W94" s="573"/>
      <c r="X94" s="587"/>
      <c r="AE94" s="629"/>
      <c r="AO94" s="576"/>
      <c r="AR94" s="578"/>
      <c r="AS94" s="582" t="s">
        <v>117</v>
      </c>
    </row>
    <row r="95" spans="1:45" ht="24" customHeight="1">
      <c r="A95" s="608"/>
      <c r="B95" s="608"/>
      <c r="C95" s="608"/>
      <c r="D95" s="608"/>
      <c r="F95" s="587">
        <v>10</v>
      </c>
      <c r="G95" s="585" t="s">
        <v>126</v>
      </c>
      <c r="H95" s="573" t="s">
        <v>503</v>
      </c>
      <c r="I95" s="587">
        <f>D61</f>
        <v>125.2</v>
      </c>
      <c r="J95" s="573" t="s">
        <v>126</v>
      </c>
      <c r="K95" s="587">
        <f>(F95*I95)</f>
        <v>1252</v>
      </c>
      <c r="M95" s="575">
        <v>23.2</v>
      </c>
      <c r="S95" s="617"/>
      <c r="T95" s="585"/>
      <c r="U95" s="573"/>
      <c r="V95" s="587"/>
      <c r="W95" s="573"/>
      <c r="X95" s="587"/>
      <c r="AE95" s="629"/>
      <c r="AO95" s="576"/>
      <c r="AP95" s="573" t="s">
        <v>455</v>
      </c>
      <c r="AR95" s="578"/>
      <c r="AS95" s="587">
        <f>SUM(AS87:AS93)</f>
        <v>17126.110399999998</v>
      </c>
    </row>
    <row r="96" spans="1:45" ht="24" customHeight="1">
      <c r="A96" s="608"/>
      <c r="B96" s="608"/>
      <c r="C96" s="608"/>
      <c r="D96" s="608"/>
      <c r="F96" s="587">
        <v>10</v>
      </c>
      <c r="G96" s="585" t="s">
        <v>126</v>
      </c>
      <c r="H96" s="573" t="s">
        <v>505</v>
      </c>
      <c r="I96" s="587">
        <f>I83</f>
        <v>9.7666666666666675</v>
      </c>
      <c r="J96" s="573" t="s">
        <v>126</v>
      </c>
      <c r="K96" s="587">
        <f>(F96*I96)</f>
        <v>97.666666666666671</v>
      </c>
      <c r="M96" s="575">
        <f>I96</f>
        <v>9.7666666666666675</v>
      </c>
      <c r="S96" s="617"/>
      <c r="T96" s="585"/>
      <c r="U96" s="573"/>
      <c r="V96" s="587"/>
      <c r="W96" s="573"/>
      <c r="X96" s="587"/>
      <c r="AE96" s="629"/>
      <c r="AO96" s="576"/>
      <c r="AR96" s="578"/>
      <c r="AS96" s="582" t="s">
        <v>117</v>
      </c>
    </row>
    <row r="97" spans="1:48" ht="24" customHeight="1">
      <c r="A97" s="608"/>
      <c r="B97" s="608"/>
      <c r="C97" s="608"/>
      <c r="D97" s="608"/>
      <c r="G97" s="585" t="s">
        <v>129</v>
      </c>
      <c r="H97" s="573" t="s">
        <v>130</v>
      </c>
      <c r="J97" s="573" t="s">
        <v>129</v>
      </c>
      <c r="K97" s="587">
        <v>0</v>
      </c>
      <c r="M97" s="575">
        <f>SUM(M94:M96)</f>
        <v>56.166666666666664</v>
      </c>
      <c r="T97" s="585"/>
      <c r="U97" s="573"/>
      <c r="W97" s="573"/>
      <c r="X97" s="587"/>
      <c r="AE97" s="629"/>
      <c r="AO97" s="576"/>
      <c r="AP97" s="574" t="s">
        <v>383</v>
      </c>
      <c r="AR97" s="578"/>
      <c r="AS97" s="587">
        <f>(AS95/2.83168)</f>
        <v>6048.0387614419697</v>
      </c>
    </row>
    <row r="98" spans="1:48" ht="24" customHeight="1">
      <c r="A98" s="608"/>
      <c r="B98" s="608"/>
      <c r="C98" s="608"/>
      <c r="D98" s="608"/>
      <c r="K98" s="582" t="s">
        <v>117</v>
      </c>
      <c r="T98" s="576"/>
      <c r="W98" s="578"/>
      <c r="X98" s="582"/>
      <c r="AE98" s="629"/>
      <c r="AO98" s="576"/>
      <c r="AR98" s="578"/>
      <c r="AS98" s="582" t="s">
        <v>155</v>
      </c>
    </row>
    <row r="99" spans="1:48" ht="24" customHeight="1">
      <c r="A99" s="608"/>
      <c r="B99" s="608"/>
      <c r="C99" s="608"/>
      <c r="D99" s="608"/>
      <c r="H99" s="573" t="s">
        <v>455</v>
      </c>
      <c r="K99" s="587">
        <f>SUM(K94:K97)</f>
        <v>2601.6666666666665</v>
      </c>
      <c r="T99" s="576"/>
      <c r="U99" s="573"/>
      <c r="W99" s="578"/>
      <c r="X99" s="587"/>
      <c r="AE99" s="629"/>
      <c r="AO99" s="576"/>
      <c r="AP99" s="573" t="s">
        <v>482</v>
      </c>
      <c r="AR99" s="578"/>
      <c r="AS99" s="586">
        <f>AS97+C19</f>
        <v>6107.2387614419695</v>
      </c>
      <c r="AU99" s="575">
        <f>AS99*22.69/100</f>
        <v>1385.7324749711829</v>
      </c>
      <c r="AV99" s="575">
        <f>AS99-AU99</f>
        <v>4721.506286470787</v>
      </c>
    </row>
    <row r="100" spans="1:48" ht="24" customHeight="1">
      <c r="A100" s="608"/>
      <c r="B100" s="608"/>
      <c r="C100" s="608"/>
      <c r="D100" s="608"/>
      <c r="K100" s="582" t="s">
        <v>117</v>
      </c>
      <c r="T100" s="576"/>
      <c r="W100" s="578"/>
      <c r="X100" s="582"/>
      <c r="AE100" s="629"/>
      <c r="AO100" s="576"/>
      <c r="AP100" s="573" t="s">
        <v>486</v>
      </c>
      <c r="AR100" s="578"/>
      <c r="AS100" s="586">
        <f>(AS99+C20)</f>
        <v>6226.5387614419697</v>
      </c>
      <c r="AU100" s="575">
        <f t="shared" ref="AU100:AU163" si="18">AS100*22.69/100</f>
        <v>1412.8016449711829</v>
      </c>
      <c r="AV100" s="575">
        <f t="shared" ref="AV100:AV163" si="19">AS100-AU100</f>
        <v>4813.7371164707865</v>
      </c>
    </row>
    <row r="101" spans="1:48" ht="24" customHeight="1">
      <c r="A101" s="608"/>
      <c r="B101" s="608"/>
      <c r="C101" s="608"/>
      <c r="D101" s="608"/>
      <c r="H101" s="577" t="s">
        <v>512</v>
      </c>
      <c r="I101" s="619" t="s">
        <v>513</v>
      </c>
      <c r="J101" s="630"/>
      <c r="K101" s="586">
        <f>(K99/10)</f>
        <v>260.16666666666663</v>
      </c>
      <c r="M101" s="575">
        <f>SUM(M94:M95)</f>
        <v>46.4</v>
      </c>
      <c r="T101" s="576"/>
      <c r="U101" s="577"/>
      <c r="V101" s="619"/>
      <c r="W101" s="630"/>
      <c r="X101" s="586"/>
      <c r="AE101" s="629"/>
      <c r="AO101" s="576"/>
      <c r="AP101" s="573" t="s">
        <v>489</v>
      </c>
      <c r="AR101" s="578"/>
      <c r="AS101" s="586">
        <f>(AS100+C20)</f>
        <v>6345.8387614419698</v>
      </c>
      <c r="AU101" s="575">
        <f t="shared" si="18"/>
        <v>1439.8708149711831</v>
      </c>
      <c r="AV101" s="575">
        <f t="shared" si="19"/>
        <v>4905.967946470787</v>
      </c>
    </row>
    <row r="102" spans="1:48" ht="24" customHeight="1">
      <c r="A102" s="608"/>
      <c r="B102" s="608"/>
      <c r="C102" s="608"/>
      <c r="D102" s="608"/>
      <c r="I102" s="619" t="s">
        <v>515</v>
      </c>
      <c r="J102" s="630"/>
      <c r="K102" s="584">
        <f>ROUND(K101+C36,2)</f>
        <v>268.27</v>
      </c>
      <c r="T102" s="576"/>
      <c r="V102" s="619"/>
      <c r="W102" s="630"/>
      <c r="X102" s="584"/>
      <c r="AE102" s="629"/>
      <c r="AO102" s="576"/>
      <c r="AP102" s="573" t="s">
        <v>491</v>
      </c>
      <c r="AR102" s="578"/>
      <c r="AS102" s="586">
        <f>(AS101+C20)</f>
        <v>6465.13876144197</v>
      </c>
      <c r="AU102" s="575">
        <f t="shared" si="18"/>
        <v>1466.9399849711831</v>
      </c>
      <c r="AV102" s="575">
        <f t="shared" si="19"/>
        <v>4998.1987764707865</v>
      </c>
    </row>
    <row r="103" spans="1:48" ht="24" customHeight="1">
      <c r="A103" s="608"/>
      <c r="B103" s="608"/>
      <c r="C103" s="608"/>
      <c r="D103" s="608"/>
      <c r="I103" s="619"/>
      <c r="J103" s="630"/>
      <c r="K103" s="632"/>
      <c r="T103" s="576"/>
      <c r="V103" s="619"/>
      <c r="W103" s="630"/>
      <c r="X103" s="632"/>
      <c r="AE103" s="629"/>
      <c r="AN103" s="573" t="s">
        <v>115</v>
      </c>
      <c r="AO103" s="576"/>
      <c r="AP103" s="573" t="s">
        <v>496</v>
      </c>
      <c r="AR103" s="578"/>
      <c r="AS103" s="586">
        <f>(AS102+C20)</f>
        <v>6584.4387614419702</v>
      </c>
      <c r="AU103" s="575">
        <f t="shared" si="18"/>
        <v>1494.0091549711831</v>
      </c>
      <c r="AV103" s="575">
        <f t="shared" si="19"/>
        <v>5090.4296064707869</v>
      </c>
    </row>
    <row r="104" spans="1:48" ht="30.75" customHeight="1">
      <c r="A104" s="608"/>
      <c r="B104" s="608"/>
      <c r="C104" s="608"/>
      <c r="D104" s="608"/>
      <c r="F104" s="620">
        <v>1.7</v>
      </c>
      <c r="H104" s="631" t="s">
        <v>525</v>
      </c>
      <c r="I104" s="619" t="s">
        <v>513</v>
      </c>
      <c r="J104" s="630"/>
      <c r="K104" s="584">
        <f>ROUND(K101-K96/10,2)</f>
        <v>250.4</v>
      </c>
      <c r="S104" s="626"/>
      <c r="T104" s="576"/>
      <c r="U104" s="631"/>
      <c r="V104" s="619"/>
      <c r="W104" s="630"/>
      <c r="X104" s="584"/>
      <c r="AE104" s="629"/>
      <c r="AN104" s="607">
        <v>27</v>
      </c>
      <c r="AO104" s="585" t="s">
        <v>122</v>
      </c>
      <c r="AP104" s="573" t="s">
        <v>526</v>
      </c>
      <c r="AR104" s="578"/>
    </row>
    <row r="105" spans="1:48" ht="24" customHeight="1">
      <c r="A105" s="608"/>
      <c r="B105" s="608"/>
      <c r="C105" s="608"/>
      <c r="D105" s="608"/>
      <c r="I105" s="619" t="s">
        <v>515</v>
      </c>
      <c r="J105" s="630"/>
      <c r="K105" s="584">
        <f>ROUND(K104+C36,2)</f>
        <v>258.5</v>
      </c>
      <c r="T105" s="576"/>
      <c r="V105" s="619"/>
      <c r="W105" s="630"/>
      <c r="X105" s="584"/>
      <c r="AE105" s="629"/>
      <c r="AO105" s="576"/>
      <c r="AP105" s="573" t="str">
        <f>AP85</f>
        <v>Bricks of size 23x11x7 cm</v>
      </c>
      <c r="AR105" s="578"/>
    </row>
    <row r="106" spans="1:48" ht="24" customHeight="1">
      <c r="A106" s="608"/>
      <c r="B106" s="608"/>
      <c r="C106" s="608"/>
      <c r="D106" s="608"/>
      <c r="K106" s="582"/>
      <c r="T106" s="576"/>
      <c r="W106" s="578"/>
      <c r="X106" s="582"/>
      <c r="AE106" s="629"/>
      <c r="AO106" s="576"/>
      <c r="AP106" s="582" t="s">
        <v>117</v>
      </c>
      <c r="AR106" s="578"/>
    </row>
    <row r="107" spans="1:48" ht="24" customHeight="1">
      <c r="A107" s="608"/>
      <c r="B107" s="608"/>
      <c r="C107" s="608"/>
      <c r="D107" s="608"/>
      <c r="K107" s="582"/>
      <c r="T107" s="576"/>
      <c r="W107" s="578"/>
      <c r="X107" s="582"/>
      <c r="AE107" s="629"/>
      <c r="AN107" s="587">
        <v>1300</v>
      </c>
      <c r="AO107" s="585" t="s">
        <v>467</v>
      </c>
      <c r="AP107" s="587" t="str">
        <f>AP61</f>
        <v>Bricks of size 23x11x7 cm</v>
      </c>
      <c r="AQ107" s="587">
        <f>AC45</f>
        <v>6725.72</v>
      </c>
      <c r="AR107" s="573" t="s">
        <v>468</v>
      </c>
      <c r="AS107" s="587">
        <f>(AN107*AQ107)/1000</f>
        <v>8743.4359999999997</v>
      </c>
      <c r="AU107" s="575">
        <f t="shared" si="18"/>
        <v>1983.8856284000001</v>
      </c>
      <c r="AV107" s="575">
        <f t="shared" si="19"/>
        <v>6759.5503715999994</v>
      </c>
    </row>
    <row r="108" spans="1:48" ht="38.25" customHeight="1">
      <c r="A108" s="608"/>
      <c r="B108" s="608"/>
      <c r="C108" s="608"/>
      <c r="D108" s="608"/>
      <c r="F108" s="620">
        <v>1.4</v>
      </c>
      <c r="G108" s="585" t="s">
        <v>115</v>
      </c>
      <c r="H108" s="633" t="s">
        <v>527</v>
      </c>
      <c r="S108" s="626">
        <v>1.4</v>
      </c>
      <c r="T108" s="585" t="s">
        <v>115</v>
      </c>
      <c r="U108" s="633" t="s">
        <v>527</v>
      </c>
      <c r="W108" s="578"/>
      <c r="AE108" s="629"/>
      <c r="AN108" s="617">
        <v>0.70799999999999996</v>
      </c>
      <c r="AO108" s="585" t="s">
        <v>126</v>
      </c>
      <c r="AP108" s="573" t="s">
        <v>134</v>
      </c>
      <c r="AQ108" s="587">
        <f>K40</f>
        <v>3497.8</v>
      </c>
      <c r="AR108" s="573" t="s">
        <v>126</v>
      </c>
      <c r="AS108" s="587">
        <f>(AN108*AQ108)</f>
        <v>2476.4423999999999</v>
      </c>
      <c r="AU108" s="575">
        <f t="shared" si="18"/>
        <v>561.90478055999995</v>
      </c>
      <c r="AV108" s="575">
        <f t="shared" si="19"/>
        <v>1914.5376194400001</v>
      </c>
    </row>
    <row r="109" spans="1:48" ht="24" customHeight="1">
      <c r="A109" s="608"/>
      <c r="B109" s="608"/>
      <c r="C109" s="608"/>
      <c r="D109" s="608"/>
      <c r="T109" s="576"/>
      <c r="W109" s="578"/>
      <c r="AE109" s="629"/>
      <c r="AN109" s="587">
        <v>1</v>
      </c>
      <c r="AO109" s="585" t="s">
        <v>209</v>
      </c>
      <c r="AP109" s="573" t="s">
        <v>144</v>
      </c>
      <c r="AQ109" s="587">
        <f>AQ89</f>
        <v>769</v>
      </c>
      <c r="AR109" s="573" t="s">
        <v>209</v>
      </c>
      <c r="AS109" s="587">
        <f>(AN109*AQ109)</f>
        <v>769</v>
      </c>
      <c r="AU109" s="575">
        <f t="shared" si="18"/>
        <v>174.48609999999999</v>
      </c>
      <c r="AV109" s="575">
        <f t="shared" si="19"/>
        <v>594.51390000000004</v>
      </c>
    </row>
    <row r="110" spans="1:48" ht="24" customHeight="1">
      <c r="A110" s="608"/>
      <c r="B110" s="608"/>
      <c r="C110" s="608"/>
      <c r="D110" s="608"/>
      <c r="F110" s="587">
        <v>10</v>
      </c>
      <c r="G110" s="585" t="s">
        <v>126</v>
      </c>
      <c r="H110" s="573" t="s">
        <v>501</v>
      </c>
      <c r="I110" s="587">
        <f>C61</f>
        <v>84</v>
      </c>
      <c r="J110" s="573" t="s">
        <v>126</v>
      </c>
      <c r="K110" s="587">
        <f>(F110*I110)</f>
        <v>840</v>
      </c>
      <c r="S110" s="617">
        <v>10</v>
      </c>
      <c r="T110" s="585" t="s">
        <v>126</v>
      </c>
      <c r="U110" s="573" t="s">
        <v>501</v>
      </c>
      <c r="V110" s="587">
        <f>V81</f>
        <v>56.1</v>
      </c>
      <c r="W110" s="573" t="s">
        <v>126</v>
      </c>
      <c r="X110" s="587">
        <f>(S110*V110)</f>
        <v>561</v>
      </c>
      <c r="AE110" s="629"/>
      <c r="AN110" s="587">
        <v>3</v>
      </c>
      <c r="AO110" s="585" t="s">
        <v>209</v>
      </c>
      <c r="AP110" s="573" t="s">
        <v>145</v>
      </c>
      <c r="AQ110" s="587">
        <f>AQ90</f>
        <v>718</v>
      </c>
      <c r="AR110" s="573" t="s">
        <v>209</v>
      </c>
      <c r="AS110" s="587">
        <f>(AN110*AQ110)</f>
        <v>2154</v>
      </c>
      <c r="AU110" s="575">
        <f t="shared" si="18"/>
        <v>488.74260000000004</v>
      </c>
      <c r="AV110" s="575">
        <f t="shared" si="19"/>
        <v>1665.2574</v>
      </c>
    </row>
    <row r="111" spans="1:48" ht="24" customHeight="1">
      <c r="A111" s="608"/>
      <c r="B111" s="608"/>
      <c r="C111" s="608"/>
      <c r="D111" s="608"/>
      <c r="F111" s="587">
        <v>10</v>
      </c>
      <c r="G111" s="585" t="s">
        <v>126</v>
      </c>
      <c r="H111" s="573" t="s">
        <v>505</v>
      </c>
      <c r="I111" s="587">
        <f>I83</f>
        <v>9.7666666666666675</v>
      </c>
      <c r="J111" s="573" t="s">
        <v>126</v>
      </c>
      <c r="K111" s="587">
        <f>(F111*I111)</f>
        <v>97.666666666666671</v>
      </c>
      <c r="S111" s="617">
        <v>10</v>
      </c>
      <c r="T111" s="585" t="s">
        <v>126</v>
      </c>
      <c r="U111" s="573" t="s">
        <v>505</v>
      </c>
      <c r="V111" s="587">
        <f>V83</f>
        <v>8.5666666666666664</v>
      </c>
      <c r="W111" s="573" t="s">
        <v>126</v>
      </c>
      <c r="X111" s="587">
        <f>(S111*V111)</f>
        <v>85.666666666666657</v>
      </c>
      <c r="AE111" s="629"/>
      <c r="AN111" s="587">
        <v>2</v>
      </c>
      <c r="AO111" s="585" t="s">
        <v>209</v>
      </c>
      <c r="AP111" s="573" t="s">
        <v>146</v>
      </c>
      <c r="AQ111" s="587">
        <f>AQ91</f>
        <v>502</v>
      </c>
      <c r="AR111" s="573" t="s">
        <v>209</v>
      </c>
      <c r="AS111" s="587">
        <f>(AN111*AQ111)</f>
        <v>1004</v>
      </c>
      <c r="AU111" s="575">
        <f t="shared" si="18"/>
        <v>227.80760000000001</v>
      </c>
      <c r="AV111" s="575">
        <f t="shared" si="19"/>
        <v>776.19240000000002</v>
      </c>
    </row>
    <row r="112" spans="1:48" ht="24" customHeight="1">
      <c r="A112" s="608"/>
      <c r="B112" s="608"/>
      <c r="C112" s="608"/>
      <c r="D112" s="608"/>
      <c r="G112" s="585" t="s">
        <v>129</v>
      </c>
      <c r="H112" s="573" t="s">
        <v>130</v>
      </c>
      <c r="J112" s="573" t="s">
        <v>129</v>
      </c>
      <c r="K112" s="587">
        <v>0</v>
      </c>
      <c r="T112" s="585" t="s">
        <v>129</v>
      </c>
      <c r="U112" s="573" t="s">
        <v>130</v>
      </c>
      <c r="W112" s="573" t="s">
        <v>129</v>
      </c>
      <c r="X112" s="587">
        <v>0</v>
      </c>
      <c r="AE112" s="629"/>
      <c r="AN112" s="587">
        <v>6</v>
      </c>
      <c r="AO112" s="585" t="s">
        <v>209</v>
      </c>
      <c r="AP112" s="573" t="s">
        <v>147</v>
      </c>
      <c r="AQ112" s="587">
        <f>AQ92</f>
        <v>412</v>
      </c>
      <c r="AR112" s="573" t="s">
        <v>209</v>
      </c>
      <c r="AS112" s="587">
        <f>(AN112*AQ112)</f>
        <v>2472</v>
      </c>
      <c r="AU112" s="575">
        <f t="shared" si="18"/>
        <v>560.89679999999998</v>
      </c>
      <c r="AV112" s="575">
        <f t="shared" si="19"/>
        <v>1911.1032</v>
      </c>
    </row>
    <row r="113" spans="1:48" ht="24" customHeight="1">
      <c r="A113" s="608"/>
      <c r="B113" s="608"/>
      <c r="C113" s="608"/>
      <c r="D113" s="608"/>
      <c r="K113" s="582" t="s">
        <v>117</v>
      </c>
      <c r="T113" s="576"/>
      <c r="W113" s="578"/>
      <c r="X113" s="582" t="s">
        <v>117</v>
      </c>
      <c r="AE113" s="629"/>
      <c r="AO113" s="585" t="s">
        <v>129</v>
      </c>
      <c r="AP113" s="573" t="s">
        <v>130</v>
      </c>
      <c r="AR113" s="573" t="s">
        <v>129</v>
      </c>
      <c r="AS113" s="587">
        <v>0</v>
      </c>
      <c r="AU113" s="575">
        <f t="shared" si="18"/>
        <v>0</v>
      </c>
      <c r="AV113" s="575">
        <f t="shared" si="19"/>
        <v>0</v>
      </c>
    </row>
    <row r="114" spans="1:48" ht="24" customHeight="1">
      <c r="A114" s="608"/>
      <c r="B114" s="608"/>
      <c r="C114" s="608"/>
      <c r="D114" s="608"/>
      <c r="H114" s="573" t="s">
        <v>455</v>
      </c>
      <c r="K114" s="587">
        <f>SUM(K110:K112)</f>
        <v>937.66666666666663</v>
      </c>
      <c r="T114" s="576"/>
      <c r="U114" s="573" t="s">
        <v>455</v>
      </c>
      <c r="W114" s="578"/>
      <c r="X114" s="587">
        <f>SUM(X110:X112)</f>
        <v>646.66666666666663</v>
      </c>
      <c r="AE114" s="629"/>
      <c r="AO114" s="576"/>
      <c r="AR114" s="578"/>
      <c r="AS114" s="582" t="s">
        <v>117</v>
      </c>
      <c r="AU114" s="575">
        <f t="shared" si="18"/>
        <v>0</v>
      </c>
      <c r="AV114" s="575">
        <f t="shared" si="19"/>
        <v>0</v>
      </c>
    </row>
    <row r="115" spans="1:48" ht="24" customHeight="1">
      <c r="A115" s="608"/>
      <c r="B115" s="608"/>
      <c r="C115" s="608"/>
      <c r="D115" s="608"/>
      <c r="K115" s="582" t="s">
        <v>117</v>
      </c>
      <c r="T115" s="576"/>
      <c r="W115" s="578"/>
      <c r="X115" s="582" t="s">
        <v>117</v>
      </c>
      <c r="AE115" s="629"/>
      <c r="AO115" s="576"/>
      <c r="AP115" s="573" t="s">
        <v>455</v>
      </c>
      <c r="AR115" s="578"/>
      <c r="AS115" s="587">
        <f>SUM(AS107:AS113)</f>
        <v>17618.878400000001</v>
      </c>
      <c r="AU115" s="575">
        <f t="shared" si="18"/>
        <v>3997.7235089600003</v>
      </c>
      <c r="AV115" s="575">
        <f t="shared" si="19"/>
        <v>13621.154891040002</v>
      </c>
    </row>
    <row r="116" spans="1:48" ht="24" customHeight="1">
      <c r="A116" s="608"/>
      <c r="B116" s="608"/>
      <c r="C116" s="608"/>
      <c r="D116" s="608"/>
      <c r="H116" s="573"/>
      <c r="K116" s="586">
        <f>(K114/10)</f>
        <v>93.766666666666666</v>
      </c>
      <c r="L116" s="619">
        <f>K116+C36</f>
        <v>101.86666666666666</v>
      </c>
      <c r="M116" s="575">
        <f>M94</f>
        <v>23.2</v>
      </c>
      <c r="T116" s="576"/>
      <c r="U116" s="573"/>
      <c r="W116" s="578"/>
      <c r="X116" s="586">
        <f>(X114/10)</f>
        <v>64.666666666666657</v>
      </c>
      <c r="AE116" s="629"/>
      <c r="AO116" s="576"/>
      <c r="AR116" s="578"/>
      <c r="AS116" s="582" t="s">
        <v>117</v>
      </c>
      <c r="AU116" s="575">
        <f t="shared" si="18"/>
        <v>0</v>
      </c>
      <c r="AV116" s="575">
        <f t="shared" si="19"/>
        <v>0</v>
      </c>
    </row>
    <row r="117" spans="1:48" ht="24" customHeight="1">
      <c r="A117" s="608"/>
      <c r="B117" s="608"/>
      <c r="C117" s="608"/>
      <c r="D117" s="608"/>
      <c r="K117" s="582"/>
      <c r="T117" s="576"/>
      <c r="W117" s="578"/>
      <c r="X117" s="582"/>
      <c r="AE117" s="629"/>
      <c r="AO117" s="576"/>
      <c r="AP117" s="573" t="s">
        <v>383</v>
      </c>
      <c r="AR117" s="578"/>
      <c r="AS117" s="586">
        <f>(AS115/2.83168)</f>
        <v>6222.0584246807557</v>
      </c>
      <c r="AU117" s="575">
        <f t="shared" si="18"/>
        <v>1411.7850565600636</v>
      </c>
      <c r="AV117" s="575">
        <f t="shared" si="19"/>
        <v>4810.2733681206919</v>
      </c>
    </row>
    <row r="118" spans="1:48" ht="24" customHeight="1">
      <c r="A118" s="608"/>
      <c r="B118" s="608"/>
      <c r="C118" s="608"/>
      <c r="D118" s="608"/>
      <c r="F118" s="620">
        <v>1.5</v>
      </c>
      <c r="H118" s="573" t="s">
        <v>528</v>
      </c>
      <c r="I118" s="619" t="s">
        <v>513</v>
      </c>
      <c r="K118" s="586">
        <f>K116-K111/10</f>
        <v>84</v>
      </c>
      <c r="S118" s="626">
        <v>1.5</v>
      </c>
      <c r="T118" s="576"/>
      <c r="U118" s="573" t="s">
        <v>528</v>
      </c>
      <c r="V118" s="619" t="s">
        <v>513</v>
      </c>
      <c r="W118" s="578"/>
      <c r="X118" s="586">
        <f>X116-X111/10</f>
        <v>56.099999999999994</v>
      </c>
      <c r="AE118" s="629"/>
      <c r="AO118" s="576"/>
      <c r="AR118" s="578"/>
      <c r="AS118" s="582" t="s">
        <v>155</v>
      </c>
      <c r="AU118" s="575">
        <f t="shared" si="18"/>
        <v>0</v>
      </c>
      <c r="AV118" s="575">
        <f t="shared" si="19"/>
        <v>0</v>
      </c>
    </row>
    <row r="119" spans="1:48" ht="24" customHeight="1">
      <c r="A119" s="608"/>
      <c r="B119" s="608"/>
      <c r="C119" s="608"/>
      <c r="D119" s="608"/>
      <c r="I119" s="619" t="s">
        <v>515</v>
      </c>
      <c r="K119" s="584">
        <f>ROUND(K118+C36,2)</f>
        <v>92.1</v>
      </c>
      <c r="T119" s="576"/>
      <c r="V119" s="619" t="s">
        <v>515</v>
      </c>
      <c r="W119" s="578"/>
      <c r="X119" s="584">
        <f>ROUND(X118+P36,2)</f>
        <v>56.1</v>
      </c>
      <c r="AE119" s="629"/>
      <c r="AO119" s="576"/>
      <c r="AP119" s="573" t="s">
        <v>482</v>
      </c>
      <c r="AR119" s="578"/>
      <c r="AS119" s="587">
        <f>(AS117+C19)</f>
        <v>6281.2584246807555</v>
      </c>
      <c r="AT119" s="575">
        <f>AS119-AS117</f>
        <v>59.199999999999818</v>
      </c>
      <c r="AU119" s="575">
        <f t="shared" si="18"/>
        <v>1425.2175365600635</v>
      </c>
      <c r="AV119" s="575">
        <f t="shared" si="19"/>
        <v>4856.0408881206922</v>
      </c>
    </row>
    <row r="120" spans="1:48" ht="24" customHeight="1">
      <c r="A120" s="608"/>
      <c r="B120" s="608"/>
      <c r="C120" s="608"/>
      <c r="D120" s="608"/>
      <c r="I120" s="575" t="s">
        <v>529</v>
      </c>
      <c r="K120" s="584">
        <f>ROUND(K119+C36,2)</f>
        <v>100.2</v>
      </c>
      <c r="T120" s="576"/>
      <c r="W120" s="578"/>
      <c r="X120" s="582"/>
      <c r="AE120" s="629"/>
      <c r="AO120" s="576"/>
      <c r="AP120" s="573" t="s">
        <v>486</v>
      </c>
      <c r="AR120" s="578"/>
      <c r="AS120" s="587">
        <f>(AS119+C20)</f>
        <v>6400.5584246807557</v>
      </c>
      <c r="AT120" s="575">
        <f>AS120-AS119</f>
        <v>119.30000000000018</v>
      </c>
      <c r="AU120" s="575">
        <f t="shared" si="18"/>
        <v>1452.2867065600635</v>
      </c>
      <c r="AV120" s="575">
        <f t="shared" si="19"/>
        <v>4948.2717181206917</v>
      </c>
    </row>
    <row r="121" spans="1:48" ht="24" customHeight="1">
      <c r="A121" s="608"/>
      <c r="B121" s="608"/>
      <c r="C121" s="608"/>
      <c r="D121" s="608"/>
      <c r="I121" s="575" t="s">
        <v>530</v>
      </c>
      <c r="K121" s="584">
        <f>ROUND(K120+C36,2)</f>
        <v>108.3</v>
      </c>
      <c r="T121" s="576"/>
      <c r="W121" s="578"/>
      <c r="X121" s="582"/>
      <c r="AE121" s="629"/>
      <c r="AO121" s="576"/>
      <c r="AP121" s="573" t="s">
        <v>489</v>
      </c>
      <c r="AR121" s="578"/>
      <c r="AS121" s="587">
        <f>(AS120+C20)</f>
        <v>6519.8584246807559</v>
      </c>
      <c r="AU121" s="575">
        <f t="shared" si="18"/>
        <v>1479.3558765600637</v>
      </c>
      <c r="AV121" s="575">
        <f t="shared" si="19"/>
        <v>5040.5025481206922</v>
      </c>
    </row>
    <row r="122" spans="1:48" ht="28.5" customHeight="1">
      <c r="A122" s="608"/>
      <c r="B122" s="608"/>
      <c r="C122" s="608"/>
      <c r="D122" s="608"/>
      <c r="F122" s="634">
        <v>1.8</v>
      </c>
      <c r="H122" s="633" t="s">
        <v>531</v>
      </c>
      <c r="K122" s="582"/>
      <c r="M122" s="574" t="s">
        <v>532</v>
      </c>
      <c r="N122" s="585" t="s">
        <v>122</v>
      </c>
      <c r="O122" s="573" t="s">
        <v>533</v>
      </c>
      <c r="Q122" s="578"/>
      <c r="S122" s="635"/>
      <c r="T122" s="576"/>
      <c r="U122" s="633"/>
      <c r="W122" s="578"/>
      <c r="X122" s="582"/>
      <c r="AE122" s="629"/>
      <c r="AO122" s="576"/>
      <c r="AP122" s="573" t="s">
        <v>491</v>
      </c>
      <c r="AR122" s="578"/>
      <c r="AS122" s="587">
        <f>AS121+C20</f>
        <v>6639.1584246807561</v>
      </c>
      <c r="AU122" s="575">
        <f t="shared" si="18"/>
        <v>1506.4250465600635</v>
      </c>
      <c r="AV122" s="575">
        <f t="shared" si="19"/>
        <v>5132.7333781206926</v>
      </c>
    </row>
    <row r="123" spans="1:48" ht="24" customHeight="1">
      <c r="A123" s="608"/>
      <c r="B123" s="608"/>
      <c r="C123" s="608"/>
      <c r="D123" s="608"/>
      <c r="K123" s="582"/>
      <c r="N123" s="576"/>
      <c r="O123" s="573" t="s">
        <v>534</v>
      </c>
      <c r="Q123" s="578"/>
      <c r="T123" s="576"/>
      <c r="W123" s="578"/>
      <c r="X123" s="582"/>
      <c r="AE123" s="629"/>
      <c r="AO123" s="576"/>
      <c r="AP123" s="573" t="s">
        <v>496</v>
      </c>
      <c r="AR123" s="578"/>
      <c r="AS123" s="587">
        <f>AS122+C20</f>
        <v>6758.4584246807563</v>
      </c>
      <c r="AU123" s="575">
        <f t="shared" si="18"/>
        <v>1533.4942165600637</v>
      </c>
      <c r="AV123" s="575">
        <f t="shared" si="19"/>
        <v>5224.964208120693</v>
      </c>
    </row>
    <row r="124" spans="1:48" ht="24" customHeight="1">
      <c r="A124" s="608"/>
      <c r="B124" s="608"/>
      <c r="C124" s="608"/>
      <c r="D124" s="608"/>
      <c r="F124" s="587">
        <v>10</v>
      </c>
      <c r="G124" s="585" t="s">
        <v>126</v>
      </c>
      <c r="H124" s="573" t="s">
        <v>524</v>
      </c>
      <c r="I124" s="575">
        <f>D61</f>
        <v>125.2</v>
      </c>
      <c r="J124" s="573" t="s">
        <v>126</v>
      </c>
      <c r="K124" s="587">
        <f>(F124*I124)</f>
        <v>1252</v>
      </c>
      <c r="N124" s="576"/>
      <c r="O124" s="582" t="s">
        <v>117</v>
      </c>
      <c r="Q124" s="578"/>
      <c r="S124" s="617"/>
      <c r="T124" s="585"/>
      <c r="U124" s="573"/>
      <c r="W124" s="573" t="s">
        <v>126</v>
      </c>
      <c r="X124" s="587"/>
      <c r="AE124" s="629"/>
      <c r="AO124" s="576"/>
      <c r="AP124" s="573" t="s">
        <v>535</v>
      </c>
      <c r="AR124" s="578"/>
      <c r="AS124" s="587">
        <f>(AS119+AS120+AS121+AS122)/4</f>
        <v>6460.2084246807553</v>
      </c>
      <c r="AU124" s="575">
        <f t="shared" si="18"/>
        <v>1465.8212915600636</v>
      </c>
      <c r="AV124" s="575">
        <f t="shared" si="19"/>
        <v>4994.3871331206919</v>
      </c>
    </row>
    <row r="125" spans="1:48" ht="24" customHeight="1">
      <c r="A125" s="608"/>
      <c r="B125" s="608"/>
      <c r="C125" s="608"/>
      <c r="D125" s="608"/>
      <c r="G125" s="576" t="s">
        <v>166</v>
      </c>
      <c r="J125" s="578" t="s">
        <v>166</v>
      </c>
      <c r="K125" s="587">
        <v>0</v>
      </c>
      <c r="M125" s="587">
        <v>1</v>
      </c>
      <c r="N125" s="585" t="s">
        <v>126</v>
      </c>
      <c r="O125" s="573" t="s">
        <v>536</v>
      </c>
      <c r="P125" s="587">
        <f>AC39</f>
        <v>403.69</v>
      </c>
      <c r="Q125" s="573" t="s">
        <v>126</v>
      </c>
      <c r="R125" s="587">
        <f>(M125*P125)</f>
        <v>403.69</v>
      </c>
      <c r="T125" s="576"/>
      <c r="W125" s="578" t="s">
        <v>166</v>
      </c>
      <c r="X125" s="587"/>
      <c r="AE125" s="629"/>
      <c r="AO125" s="576"/>
    </row>
    <row r="126" spans="1:48" ht="24" customHeight="1">
      <c r="A126" s="608"/>
      <c r="B126" s="608"/>
      <c r="C126" s="608"/>
      <c r="D126" s="608"/>
      <c r="K126" s="582" t="s">
        <v>117</v>
      </c>
      <c r="M126" s="587">
        <v>1</v>
      </c>
      <c r="N126" s="585" t="s">
        <v>126</v>
      </c>
      <c r="O126" s="573" t="s">
        <v>360</v>
      </c>
      <c r="P126" s="587">
        <f>P141</f>
        <v>29.3</v>
      </c>
      <c r="Q126" s="573" t="s">
        <v>126</v>
      </c>
      <c r="R126" s="587">
        <f>(M126*P126)</f>
        <v>29.3</v>
      </c>
      <c r="T126" s="576"/>
      <c r="W126" s="578"/>
      <c r="X126" s="582"/>
      <c r="AE126" s="629"/>
      <c r="AO126" s="576"/>
      <c r="AR126" s="578"/>
    </row>
    <row r="127" spans="1:48" ht="24" customHeight="1">
      <c r="A127" s="608"/>
      <c r="B127" s="608"/>
      <c r="C127" s="608"/>
      <c r="D127" s="608"/>
      <c r="H127" s="573" t="s">
        <v>455</v>
      </c>
      <c r="K127" s="587">
        <f>SUM(K124:K125)</f>
        <v>1252</v>
      </c>
      <c r="N127" s="585" t="s">
        <v>129</v>
      </c>
      <c r="O127" s="573" t="s">
        <v>130</v>
      </c>
      <c r="P127" s="573" t="s">
        <v>115</v>
      </c>
      <c r="Q127" s="573" t="s">
        <v>129</v>
      </c>
      <c r="R127" s="587">
        <v>0</v>
      </c>
      <c r="T127" s="576"/>
      <c r="U127" s="573"/>
      <c r="W127" s="578"/>
      <c r="X127" s="587"/>
      <c r="AE127" s="629"/>
      <c r="AO127" s="576"/>
      <c r="AP127" s="589" t="s">
        <v>537</v>
      </c>
      <c r="AR127" s="578"/>
    </row>
    <row r="128" spans="1:48" ht="24" customHeight="1">
      <c r="A128" s="608"/>
      <c r="B128" s="608"/>
      <c r="C128" s="608"/>
      <c r="D128" s="608"/>
      <c r="K128" s="582" t="s">
        <v>117</v>
      </c>
      <c r="N128" s="576"/>
      <c r="Q128" s="578"/>
      <c r="R128" s="582" t="s">
        <v>117</v>
      </c>
      <c r="T128" s="576"/>
      <c r="W128" s="578"/>
      <c r="X128" s="582"/>
      <c r="AE128" s="629"/>
      <c r="AO128" s="576"/>
      <c r="AP128" s="582" t="s">
        <v>117</v>
      </c>
      <c r="AR128" s="578"/>
    </row>
    <row r="129" spans="1:48" ht="38.25" customHeight="1">
      <c r="A129" s="608"/>
      <c r="B129" s="608"/>
      <c r="C129" s="608"/>
      <c r="D129" s="608"/>
      <c r="F129" s="636"/>
      <c r="H129" s="637" t="s">
        <v>538</v>
      </c>
      <c r="I129" s="619" t="s">
        <v>513</v>
      </c>
      <c r="K129" s="584">
        <f>ROUND(K127/10,2)</f>
        <v>125.2</v>
      </c>
      <c r="N129" s="576"/>
      <c r="O129" s="573" t="s">
        <v>131</v>
      </c>
      <c r="Q129" s="578"/>
      <c r="R129" s="587">
        <f>SUM(R125:R127)</f>
        <v>432.99</v>
      </c>
      <c r="S129" s="638"/>
      <c r="T129" s="576"/>
      <c r="U129" s="637"/>
      <c r="V129" s="619"/>
      <c r="W129" s="578"/>
      <c r="X129" s="584"/>
      <c r="AE129" s="629"/>
      <c r="AN129" s="607">
        <v>10</v>
      </c>
      <c r="AO129" s="585" t="s">
        <v>122</v>
      </c>
      <c r="AP129" s="573" t="s">
        <v>539</v>
      </c>
      <c r="AR129" s="578"/>
    </row>
    <row r="130" spans="1:48" ht="24" customHeight="1">
      <c r="A130" s="608"/>
      <c r="B130" s="608"/>
      <c r="C130" s="608"/>
      <c r="D130" s="608"/>
      <c r="I130" s="619" t="s">
        <v>515</v>
      </c>
      <c r="K130" s="584">
        <f>ROUND(K129+C36,2)</f>
        <v>133.30000000000001</v>
      </c>
      <c r="T130" s="576"/>
      <c r="V130" s="619"/>
      <c r="W130" s="578"/>
      <c r="X130" s="584"/>
      <c r="AE130" s="629"/>
      <c r="AO130" s="576"/>
      <c r="AP130" s="587" t="str">
        <f>AP61</f>
        <v>Bricks of size 23x11x7 cm</v>
      </c>
      <c r="AR130" s="578"/>
    </row>
    <row r="131" spans="1:48" ht="24" customHeight="1">
      <c r="A131" s="608"/>
      <c r="B131" s="608"/>
      <c r="C131" s="608"/>
      <c r="D131" s="608"/>
      <c r="I131" s="619"/>
      <c r="K131" s="582"/>
      <c r="T131" s="576"/>
      <c r="V131" s="619"/>
      <c r="W131" s="578"/>
      <c r="X131" s="582"/>
      <c r="AE131" s="629"/>
      <c r="AO131" s="576"/>
      <c r="AP131" s="582" t="s">
        <v>117</v>
      </c>
      <c r="AR131" s="578"/>
    </row>
    <row r="132" spans="1:48" ht="24" customHeight="1">
      <c r="A132" s="608"/>
      <c r="B132" s="608"/>
      <c r="C132" s="608"/>
      <c r="D132" s="608"/>
      <c r="F132" s="620">
        <v>1.6</v>
      </c>
      <c r="H132" s="573" t="s">
        <v>540</v>
      </c>
      <c r="I132" s="619"/>
      <c r="S132" s="626">
        <v>1.6</v>
      </c>
      <c r="T132" s="576"/>
      <c r="U132" s="573" t="s">
        <v>540</v>
      </c>
      <c r="V132" s="619"/>
      <c r="W132" s="578"/>
      <c r="AE132" s="629"/>
      <c r="AN132" s="587">
        <f>AN63</f>
        <v>1300</v>
      </c>
      <c r="AO132" s="585" t="s">
        <v>467</v>
      </c>
      <c r="AP132" s="587" t="str">
        <f>AP61</f>
        <v>Bricks of size 23x11x7 cm</v>
      </c>
      <c r="AQ132" s="587">
        <f>AC45</f>
        <v>6725.72</v>
      </c>
      <c r="AR132" s="573" t="s">
        <v>468</v>
      </c>
      <c r="AS132" s="587">
        <f>(AN132*AQ132)/1000</f>
        <v>8743.4359999999997</v>
      </c>
      <c r="AU132" s="575">
        <f t="shared" si="18"/>
        <v>1983.8856284000001</v>
      </c>
      <c r="AV132" s="575">
        <f t="shared" si="19"/>
        <v>6759.5503715999994</v>
      </c>
    </row>
    <row r="133" spans="1:48" ht="24" customHeight="1">
      <c r="A133" s="608"/>
      <c r="B133" s="608"/>
      <c r="C133" s="608"/>
      <c r="D133" s="608"/>
      <c r="H133" s="573" t="s">
        <v>541</v>
      </c>
      <c r="I133" s="619" t="s">
        <v>513</v>
      </c>
      <c r="K133" s="586">
        <f>C61*1.5</f>
        <v>126</v>
      </c>
      <c r="L133" s="586"/>
      <c r="M133" s="575">
        <f>M116*1.5</f>
        <v>34.799999999999997</v>
      </c>
      <c r="T133" s="576"/>
      <c r="U133" s="573" t="s">
        <v>541</v>
      </c>
      <c r="V133" s="619" t="s">
        <v>513</v>
      </c>
      <c r="W133" s="578"/>
      <c r="X133" s="586">
        <f>V81*1.5</f>
        <v>84.15</v>
      </c>
      <c r="AE133" s="629"/>
      <c r="AN133" s="617">
        <v>0.70799999999999996</v>
      </c>
      <c r="AO133" s="585" t="s">
        <v>126</v>
      </c>
      <c r="AP133" s="573" t="s">
        <v>134</v>
      </c>
      <c r="AQ133" s="587">
        <f>K40</f>
        <v>3497.8</v>
      </c>
      <c r="AR133" s="573" t="s">
        <v>126</v>
      </c>
      <c r="AS133" s="587">
        <f>(AN133*AQ133)</f>
        <v>2476.4423999999999</v>
      </c>
      <c r="AU133" s="575">
        <f t="shared" si="18"/>
        <v>561.90478055999995</v>
      </c>
      <c r="AV133" s="575">
        <f t="shared" si="19"/>
        <v>1914.5376194400001</v>
      </c>
    </row>
    <row r="134" spans="1:48" ht="24" customHeight="1">
      <c r="A134" s="608"/>
      <c r="B134" s="608"/>
      <c r="C134" s="608"/>
      <c r="D134" s="608"/>
      <c r="F134" s="573" t="s">
        <v>115</v>
      </c>
      <c r="H134" s="573" t="s">
        <v>542</v>
      </c>
      <c r="I134" s="619" t="s">
        <v>515</v>
      </c>
      <c r="K134" s="584">
        <f>ROUND(K133+C36,2)</f>
        <v>134.1</v>
      </c>
      <c r="S134" s="628" t="s">
        <v>115</v>
      </c>
      <c r="T134" s="576"/>
      <c r="U134" s="573" t="s">
        <v>542</v>
      </c>
      <c r="V134" s="619" t="s">
        <v>515</v>
      </c>
      <c r="W134" s="578"/>
      <c r="X134" s="584">
        <f>ROUND(X133+C36,2)</f>
        <v>92.25</v>
      </c>
      <c r="AE134" s="629"/>
      <c r="AN134" s="587">
        <v>1</v>
      </c>
      <c r="AO134" s="585" t="s">
        <v>209</v>
      </c>
      <c r="AP134" s="573" t="s">
        <v>144</v>
      </c>
      <c r="AQ134" s="587">
        <f>AQ109</f>
        <v>769</v>
      </c>
      <c r="AR134" s="573" t="s">
        <v>209</v>
      </c>
      <c r="AS134" s="587">
        <f>(AN134*AQ134)</f>
        <v>769</v>
      </c>
      <c r="AU134" s="575">
        <f t="shared" si="18"/>
        <v>174.48609999999999</v>
      </c>
      <c r="AV134" s="575">
        <f t="shared" si="19"/>
        <v>594.51390000000004</v>
      </c>
    </row>
    <row r="135" spans="1:48" ht="24" customHeight="1">
      <c r="A135" s="608"/>
      <c r="B135" s="608"/>
      <c r="C135" s="608"/>
      <c r="D135" s="608"/>
      <c r="K135" s="582" t="s">
        <v>155</v>
      </c>
      <c r="T135" s="576"/>
      <c r="W135" s="578"/>
      <c r="X135" s="582" t="s">
        <v>155</v>
      </c>
      <c r="AE135" s="629"/>
      <c r="AN135" s="587">
        <v>3</v>
      </c>
      <c r="AO135" s="585" t="s">
        <v>209</v>
      </c>
      <c r="AP135" s="573" t="s">
        <v>145</v>
      </c>
      <c r="AQ135" s="587">
        <f>AQ110</f>
        <v>718</v>
      </c>
      <c r="AR135" s="573" t="s">
        <v>209</v>
      </c>
      <c r="AS135" s="587">
        <f>(AN135*AQ135)</f>
        <v>2154</v>
      </c>
      <c r="AU135" s="575">
        <f t="shared" si="18"/>
        <v>488.74260000000004</v>
      </c>
      <c r="AV135" s="575">
        <f t="shared" si="19"/>
        <v>1665.2574</v>
      </c>
    </row>
    <row r="136" spans="1:48" ht="24" customHeight="1">
      <c r="A136" s="608"/>
      <c r="B136" s="608"/>
      <c r="C136" s="608"/>
      <c r="D136" s="608"/>
      <c r="H136" s="577" t="s">
        <v>543</v>
      </c>
      <c r="I136" s="619" t="s">
        <v>513</v>
      </c>
      <c r="K136" s="586">
        <f>C61*1.25</f>
        <v>105</v>
      </c>
      <c r="T136" s="576"/>
      <c r="U136" s="577" t="s">
        <v>544</v>
      </c>
      <c r="V136" s="619" t="s">
        <v>513</v>
      </c>
      <c r="W136" s="578"/>
      <c r="X136" s="586">
        <f>V81*1.25</f>
        <v>70.125</v>
      </c>
      <c r="AE136" s="629"/>
      <c r="AN136" s="587">
        <v>2</v>
      </c>
      <c r="AO136" s="585" t="s">
        <v>209</v>
      </c>
      <c r="AP136" s="573" t="s">
        <v>146</v>
      </c>
      <c r="AQ136" s="587">
        <f>AQ111</f>
        <v>502</v>
      </c>
      <c r="AR136" s="573" t="s">
        <v>209</v>
      </c>
      <c r="AS136" s="587">
        <f>(AN136*AQ136)</f>
        <v>1004</v>
      </c>
      <c r="AU136" s="575">
        <f t="shared" si="18"/>
        <v>227.80760000000001</v>
      </c>
      <c r="AV136" s="575">
        <f t="shared" si="19"/>
        <v>776.19240000000002</v>
      </c>
    </row>
    <row r="137" spans="1:48" ht="24" customHeight="1">
      <c r="A137" s="594">
        <f>(A91+1)</f>
        <v>80</v>
      </c>
      <c r="B137" s="595" t="s">
        <v>545</v>
      </c>
      <c r="C137" s="596">
        <f>AC30</f>
        <v>11559</v>
      </c>
      <c r="D137" s="639">
        <v>13.87</v>
      </c>
      <c r="E137" s="573" t="s">
        <v>115</v>
      </c>
      <c r="F137" s="574" t="s">
        <v>532</v>
      </c>
      <c r="G137" s="585" t="s">
        <v>122</v>
      </c>
      <c r="H137" s="573" t="s">
        <v>533</v>
      </c>
      <c r="M137" s="574" t="s">
        <v>532</v>
      </c>
      <c r="N137" s="585" t="s">
        <v>122</v>
      </c>
      <c r="O137" s="573" t="s">
        <v>533</v>
      </c>
      <c r="Q137" s="578"/>
      <c r="AE137" s="629"/>
      <c r="AG137" s="573"/>
      <c r="AN137" s="587">
        <v>6</v>
      </c>
      <c r="AO137" s="585" t="s">
        <v>209</v>
      </c>
      <c r="AP137" s="573" t="s">
        <v>147</v>
      </c>
      <c r="AQ137" s="587">
        <f>AQ112</f>
        <v>412</v>
      </c>
      <c r="AR137" s="573" t="s">
        <v>209</v>
      </c>
      <c r="AS137" s="587">
        <f>(AN137*AQ137)</f>
        <v>2472</v>
      </c>
      <c r="AU137" s="575">
        <f t="shared" si="18"/>
        <v>560.89679999999998</v>
      </c>
      <c r="AV137" s="575">
        <f t="shared" si="19"/>
        <v>1911.1032</v>
      </c>
    </row>
    <row r="138" spans="1:48" ht="24" customHeight="1">
      <c r="A138" s="594">
        <f t="shared" ref="A138:A143" si="20">(A137+1)</f>
        <v>81</v>
      </c>
      <c r="B138" s="595" t="s">
        <v>546</v>
      </c>
      <c r="C138" s="596">
        <f>AC33</f>
        <v>45000</v>
      </c>
      <c r="D138" s="595" t="s">
        <v>124</v>
      </c>
      <c r="H138" s="573" t="s">
        <v>547</v>
      </c>
      <c r="N138" s="576"/>
      <c r="O138" s="573" t="s">
        <v>548</v>
      </c>
      <c r="Q138" s="578"/>
      <c r="AE138" s="629"/>
      <c r="AG138" s="573"/>
      <c r="AO138" s="585" t="s">
        <v>129</v>
      </c>
      <c r="AP138" s="573" t="s">
        <v>130</v>
      </c>
      <c r="AQ138" s="573" t="s">
        <v>115</v>
      </c>
      <c r="AR138" s="573" t="s">
        <v>129</v>
      </c>
      <c r="AS138" s="587">
        <v>0</v>
      </c>
      <c r="AU138" s="575">
        <f t="shared" si="18"/>
        <v>0</v>
      </c>
      <c r="AV138" s="575">
        <f t="shared" si="19"/>
        <v>0</v>
      </c>
    </row>
    <row r="139" spans="1:48" ht="24" customHeight="1">
      <c r="A139" s="594">
        <f t="shared" si="20"/>
        <v>82</v>
      </c>
      <c r="B139" s="595" t="s">
        <v>549</v>
      </c>
      <c r="C139" s="596">
        <f>AC32</f>
        <v>45000</v>
      </c>
      <c r="D139" s="595" t="s">
        <v>124</v>
      </c>
      <c r="H139" s="582" t="s">
        <v>117</v>
      </c>
      <c r="N139" s="576"/>
      <c r="O139" s="582" t="s">
        <v>117</v>
      </c>
      <c r="Q139" s="578"/>
      <c r="AE139" s="629"/>
      <c r="AG139" s="573"/>
      <c r="AO139" s="576"/>
      <c r="AR139" s="578"/>
      <c r="AS139" s="582" t="s">
        <v>117</v>
      </c>
      <c r="AU139" s="575">
        <f t="shared" si="18"/>
        <v>0</v>
      </c>
      <c r="AV139" s="575">
        <f t="shared" si="19"/>
        <v>0</v>
      </c>
    </row>
    <row r="140" spans="1:48" ht="24" customHeight="1">
      <c r="A140" s="594">
        <f t="shared" si="20"/>
        <v>83</v>
      </c>
      <c r="B140" s="595" t="s">
        <v>550</v>
      </c>
      <c r="C140" s="596">
        <f>AC33</f>
        <v>45000</v>
      </c>
      <c r="D140" s="595" t="s">
        <v>124</v>
      </c>
      <c r="F140" s="587">
        <v>1</v>
      </c>
      <c r="G140" s="585" t="s">
        <v>126</v>
      </c>
      <c r="H140" s="573" t="s">
        <v>551</v>
      </c>
      <c r="I140" s="587">
        <f>I36</f>
        <v>1322.8</v>
      </c>
      <c r="J140" s="573" t="s">
        <v>126</v>
      </c>
      <c r="K140" s="587">
        <f>(F140*I140)</f>
        <v>1322.8</v>
      </c>
      <c r="M140" s="587">
        <v>1</v>
      </c>
      <c r="N140" s="585" t="s">
        <v>126</v>
      </c>
      <c r="O140" s="573" t="s">
        <v>536</v>
      </c>
      <c r="P140" s="587">
        <f>AC38</f>
        <v>456.69</v>
      </c>
      <c r="Q140" s="573" t="s">
        <v>126</v>
      </c>
      <c r="R140" s="587">
        <f>(M140*P140)</f>
        <v>456.69</v>
      </c>
      <c r="AE140" s="629"/>
      <c r="AG140" s="573"/>
      <c r="AO140" s="576"/>
      <c r="AP140" s="573" t="s">
        <v>455</v>
      </c>
      <c r="AR140" s="578"/>
      <c r="AS140" s="587">
        <f>SUM(AS132:AS138)</f>
        <v>17618.878400000001</v>
      </c>
      <c r="AU140" s="575">
        <f t="shared" si="18"/>
        <v>3997.7235089600003</v>
      </c>
      <c r="AV140" s="575">
        <f t="shared" si="19"/>
        <v>13621.154891040002</v>
      </c>
    </row>
    <row r="141" spans="1:48" ht="24" customHeight="1">
      <c r="A141" s="594">
        <f t="shared" si="20"/>
        <v>84</v>
      </c>
      <c r="B141" s="595" t="s">
        <v>552</v>
      </c>
      <c r="C141" s="596">
        <f>AC38</f>
        <v>456.69</v>
      </c>
      <c r="D141" s="595" t="s">
        <v>126</v>
      </c>
      <c r="F141" s="587">
        <v>1</v>
      </c>
      <c r="G141" s="585" t="s">
        <v>126</v>
      </c>
      <c r="H141" s="573" t="s">
        <v>360</v>
      </c>
      <c r="I141" s="587">
        <f>C27</f>
        <v>25.7</v>
      </c>
      <c r="J141" s="573" t="s">
        <v>126</v>
      </c>
      <c r="K141" s="587">
        <f>(F141*I141)</f>
        <v>25.7</v>
      </c>
      <c r="M141" s="587">
        <v>1</v>
      </c>
      <c r="N141" s="585" t="s">
        <v>126</v>
      </c>
      <c r="O141" s="573" t="s">
        <v>360</v>
      </c>
      <c r="P141" s="587">
        <f>C26</f>
        <v>29.3</v>
      </c>
      <c r="Q141" s="573" t="s">
        <v>126</v>
      </c>
      <c r="R141" s="587">
        <f>(M141*P141)</f>
        <v>29.3</v>
      </c>
      <c r="AE141" s="629"/>
      <c r="AG141" s="573"/>
      <c r="AO141" s="576"/>
      <c r="AR141" s="578"/>
      <c r="AS141" s="582" t="s">
        <v>117</v>
      </c>
      <c r="AU141" s="575">
        <f t="shared" si="18"/>
        <v>0</v>
      </c>
      <c r="AV141" s="575">
        <f t="shared" si="19"/>
        <v>0</v>
      </c>
    </row>
    <row r="142" spans="1:48" ht="24" customHeight="1">
      <c r="A142" s="594">
        <f t="shared" si="20"/>
        <v>85</v>
      </c>
      <c r="B142" s="613" t="s">
        <v>553</v>
      </c>
      <c r="C142" s="596">
        <v>43563.69</v>
      </c>
      <c r="D142" s="595" t="s">
        <v>124</v>
      </c>
      <c r="G142" s="585" t="s">
        <v>129</v>
      </c>
      <c r="H142" s="573" t="s">
        <v>130</v>
      </c>
      <c r="I142" s="573" t="s">
        <v>115</v>
      </c>
      <c r="J142" s="573" t="s">
        <v>129</v>
      </c>
      <c r="K142" s="587">
        <v>0</v>
      </c>
      <c r="N142" s="585" t="s">
        <v>129</v>
      </c>
      <c r="O142" s="573" t="s">
        <v>130</v>
      </c>
      <c r="P142" s="573" t="s">
        <v>115</v>
      </c>
      <c r="Q142" s="573" t="s">
        <v>129</v>
      </c>
      <c r="R142" s="587">
        <v>0</v>
      </c>
      <c r="AE142" s="629"/>
      <c r="AG142" s="573"/>
      <c r="AO142" s="576"/>
      <c r="AP142" s="573" t="s">
        <v>383</v>
      </c>
      <c r="AR142" s="578"/>
      <c r="AS142" s="587">
        <f>(AS140/2.83168)</f>
        <v>6222.0584246807557</v>
      </c>
      <c r="AU142" s="575">
        <f t="shared" si="18"/>
        <v>1411.7850565600636</v>
      </c>
      <c r="AV142" s="575">
        <f t="shared" si="19"/>
        <v>4810.2733681206919</v>
      </c>
    </row>
    <row r="143" spans="1:48" ht="24" customHeight="1">
      <c r="A143" s="594">
        <f t="shared" si="20"/>
        <v>86</v>
      </c>
      <c r="B143" s="595" t="s">
        <v>554</v>
      </c>
      <c r="C143" s="592">
        <v>43750</v>
      </c>
      <c r="D143" s="595" t="s">
        <v>124</v>
      </c>
      <c r="E143" s="575">
        <v>5</v>
      </c>
      <c r="K143" s="582" t="s">
        <v>117</v>
      </c>
      <c r="N143" s="576"/>
      <c r="Q143" s="578"/>
      <c r="R143" s="582" t="s">
        <v>117</v>
      </c>
      <c r="AE143" s="629"/>
      <c r="AG143" s="573"/>
      <c r="AO143" s="576"/>
      <c r="AR143" s="578"/>
      <c r="AS143" s="582" t="s">
        <v>155</v>
      </c>
      <c r="AU143" s="575">
        <f t="shared" si="18"/>
        <v>0</v>
      </c>
      <c r="AV143" s="575">
        <f t="shared" si="19"/>
        <v>0</v>
      </c>
    </row>
    <row r="144" spans="1:48" ht="24" customHeight="1">
      <c r="A144" s="608"/>
      <c r="B144" s="595" t="s">
        <v>115</v>
      </c>
      <c r="C144" s="608"/>
      <c r="D144" s="608"/>
      <c r="H144" s="573" t="s">
        <v>555</v>
      </c>
      <c r="K144" s="586">
        <f>SUM(K138:K142)</f>
        <v>1348.5</v>
      </c>
      <c r="N144" s="576"/>
      <c r="O144" s="573" t="s">
        <v>131</v>
      </c>
      <c r="Q144" s="578"/>
      <c r="R144" s="587">
        <f>SUM(R140:R142)</f>
        <v>485.99</v>
      </c>
      <c r="AE144" s="629"/>
      <c r="AG144" s="573"/>
      <c r="AO144" s="576"/>
      <c r="AR144" s="578"/>
      <c r="AU144" s="575">
        <f t="shared" si="18"/>
        <v>0</v>
      </c>
      <c r="AV144" s="575">
        <f t="shared" si="19"/>
        <v>0</v>
      </c>
    </row>
    <row r="145" spans="1:48" ht="24" customHeight="1">
      <c r="A145" s="594">
        <f>(A143+1)</f>
        <v>87</v>
      </c>
      <c r="B145" s="613" t="s">
        <v>556</v>
      </c>
      <c r="C145" s="605">
        <v>7.5</v>
      </c>
      <c r="D145" s="595" t="s">
        <v>129</v>
      </c>
      <c r="K145" s="582" t="s">
        <v>117</v>
      </c>
      <c r="N145" s="576"/>
      <c r="O145" s="573" t="s">
        <v>557</v>
      </c>
      <c r="Q145" s="578"/>
      <c r="R145" s="582" t="s">
        <v>117</v>
      </c>
      <c r="AE145" s="629"/>
      <c r="AG145" s="573"/>
      <c r="AO145" s="585" t="s">
        <v>558</v>
      </c>
      <c r="AP145" s="573" t="s">
        <v>559</v>
      </c>
      <c r="AR145" s="578"/>
      <c r="AU145" s="575">
        <f t="shared" si="18"/>
        <v>0</v>
      </c>
      <c r="AV145" s="575">
        <f t="shared" si="19"/>
        <v>0</v>
      </c>
    </row>
    <row r="146" spans="1:48" ht="24" customHeight="1">
      <c r="A146" s="608"/>
      <c r="B146" s="573" t="s">
        <v>560</v>
      </c>
      <c r="C146" s="593">
        <v>15.5</v>
      </c>
      <c r="D146" s="608"/>
      <c r="F146" s="574" t="s">
        <v>561</v>
      </c>
      <c r="G146" s="585" t="s">
        <v>122</v>
      </c>
      <c r="H146" s="573" t="s">
        <v>562</v>
      </c>
      <c r="AE146" s="629"/>
      <c r="AO146" s="576"/>
      <c r="AP146" s="582" t="s">
        <v>117</v>
      </c>
      <c r="AR146" s="578"/>
      <c r="AU146" s="575">
        <f t="shared" si="18"/>
        <v>0</v>
      </c>
      <c r="AV146" s="575">
        <f t="shared" si="19"/>
        <v>0</v>
      </c>
    </row>
    <row r="147" spans="1:48" ht="24" customHeight="1">
      <c r="A147" s="594">
        <f>(A145+1)</f>
        <v>88</v>
      </c>
      <c r="B147" s="613" t="s">
        <v>563</v>
      </c>
      <c r="C147" s="596">
        <v>15.25</v>
      </c>
      <c r="D147" s="595" t="s">
        <v>148</v>
      </c>
      <c r="H147" s="573" t="s">
        <v>564</v>
      </c>
      <c r="M147" s="574" t="s">
        <v>532</v>
      </c>
      <c r="N147" s="585" t="s">
        <v>122</v>
      </c>
      <c r="O147" s="573" t="s">
        <v>533</v>
      </c>
      <c r="Q147" s="578"/>
      <c r="AE147" s="629"/>
      <c r="AN147" s="587">
        <v>1.1000000000000001</v>
      </c>
      <c r="AO147" s="585" t="s">
        <v>126</v>
      </c>
      <c r="AP147" s="573" t="s">
        <v>565</v>
      </c>
      <c r="AQ147" s="587">
        <f>(AS142)</f>
        <v>6222.0584246807557</v>
      </c>
      <c r="AR147" s="573" t="s">
        <v>126</v>
      </c>
      <c r="AS147" s="629">
        <f>(AN147*AQ147)</f>
        <v>6844.264267148832</v>
      </c>
      <c r="AU147" s="575">
        <f t="shared" si="18"/>
        <v>1552.9635622160702</v>
      </c>
      <c r="AV147" s="575">
        <f t="shared" si="19"/>
        <v>5291.3007049327616</v>
      </c>
    </row>
    <row r="148" spans="1:48" ht="24" customHeight="1">
      <c r="A148" s="594">
        <f>(A147+1)</f>
        <v>89</v>
      </c>
      <c r="B148" s="595" t="s">
        <v>3031</v>
      </c>
      <c r="C148" s="593">
        <v>142.4</v>
      </c>
      <c r="D148" s="595" t="s">
        <v>148</v>
      </c>
      <c r="H148" s="573" t="s">
        <v>567</v>
      </c>
      <c r="N148" s="576"/>
      <c r="O148" s="573" t="s">
        <v>568</v>
      </c>
      <c r="Q148" s="578"/>
      <c r="AE148" s="629"/>
      <c r="AN148" s="587">
        <v>1</v>
      </c>
      <c r="AO148" s="585" t="s">
        <v>1</v>
      </c>
      <c r="AP148" s="573" t="s">
        <v>144</v>
      </c>
      <c r="AQ148" s="587">
        <f>AQ134</f>
        <v>769</v>
      </c>
      <c r="AR148" s="573" t="s">
        <v>209</v>
      </c>
      <c r="AS148" s="629">
        <f>(AN148*AQ148)</f>
        <v>769</v>
      </c>
      <c r="AU148" s="575">
        <f t="shared" si="18"/>
        <v>174.48609999999999</v>
      </c>
      <c r="AV148" s="575">
        <f t="shared" si="19"/>
        <v>594.51390000000004</v>
      </c>
    </row>
    <row r="149" spans="1:48" ht="24" customHeight="1">
      <c r="A149" s="608"/>
      <c r="B149" s="608"/>
      <c r="C149" s="608"/>
      <c r="D149" s="608"/>
      <c r="H149" s="573" t="s">
        <v>569</v>
      </c>
      <c r="N149" s="576"/>
      <c r="O149" s="582" t="s">
        <v>117</v>
      </c>
      <c r="Q149" s="578"/>
      <c r="AE149" s="629"/>
      <c r="AO149" s="585" t="s">
        <v>129</v>
      </c>
      <c r="AP149" s="573" t="s">
        <v>130</v>
      </c>
      <c r="AQ149" s="573" t="s">
        <v>115</v>
      </c>
      <c r="AR149" s="573" t="s">
        <v>129</v>
      </c>
      <c r="AS149" s="629">
        <v>0</v>
      </c>
      <c r="AU149" s="575">
        <f t="shared" si="18"/>
        <v>0</v>
      </c>
      <c r="AV149" s="575">
        <f t="shared" si="19"/>
        <v>0</v>
      </c>
    </row>
    <row r="150" spans="1:48" ht="24" customHeight="1">
      <c r="A150" s="608"/>
      <c r="B150" s="608"/>
      <c r="C150" s="608"/>
      <c r="D150" s="608"/>
      <c r="H150" s="573" t="s">
        <v>570</v>
      </c>
      <c r="M150" s="587">
        <v>1</v>
      </c>
      <c r="N150" s="585" t="s">
        <v>126</v>
      </c>
      <c r="O150" s="573" t="s">
        <v>571</v>
      </c>
      <c r="P150" s="587" t="str">
        <f>AC43</f>
        <v>D</v>
      </c>
      <c r="Q150" s="573" t="s">
        <v>126</v>
      </c>
      <c r="R150" s="587">
        <f>(M150*P150)</f>
        <v>0</v>
      </c>
      <c r="AE150" s="629"/>
      <c r="AO150" s="576"/>
      <c r="AR150" s="578"/>
      <c r="AS150" s="640" t="s">
        <v>117</v>
      </c>
      <c r="AU150" s="575">
        <f t="shared" si="18"/>
        <v>0</v>
      </c>
      <c r="AV150" s="575">
        <f t="shared" si="19"/>
        <v>0</v>
      </c>
    </row>
    <row r="151" spans="1:48" ht="24" customHeight="1">
      <c r="A151" s="608"/>
      <c r="B151" s="608"/>
      <c r="C151" s="608"/>
      <c r="D151" s="608"/>
      <c r="H151" s="582" t="s">
        <v>117</v>
      </c>
      <c r="M151" s="587">
        <v>1</v>
      </c>
      <c r="N151" s="585" t="s">
        <v>126</v>
      </c>
      <c r="O151" s="573" t="s">
        <v>360</v>
      </c>
      <c r="P151" s="587">
        <f>AE28</f>
        <v>29.3</v>
      </c>
      <c r="Q151" s="573" t="s">
        <v>126</v>
      </c>
      <c r="R151" s="587">
        <f>(M151*P151)</f>
        <v>29.3</v>
      </c>
      <c r="AE151" s="629"/>
      <c r="AO151" s="576"/>
      <c r="AP151" s="573" t="s">
        <v>153</v>
      </c>
      <c r="AR151" s="578"/>
      <c r="AS151" s="586">
        <f>SUM(AS147:AS149)</f>
        <v>7613.264267148832</v>
      </c>
      <c r="AU151" s="575">
        <f t="shared" si="18"/>
        <v>1727.44966221607</v>
      </c>
      <c r="AV151" s="575">
        <f t="shared" si="19"/>
        <v>5885.8146049327624</v>
      </c>
    </row>
    <row r="152" spans="1:48" ht="24" customHeight="1">
      <c r="A152" s="608"/>
      <c r="B152" s="608"/>
      <c r="C152" s="608"/>
      <c r="D152" s="608"/>
      <c r="F152" s="587">
        <v>0.7</v>
      </c>
      <c r="G152" s="585" t="s">
        <v>126</v>
      </c>
      <c r="H152" s="573" t="s">
        <v>344</v>
      </c>
      <c r="I152" s="587">
        <f>C79</f>
        <v>1322.8</v>
      </c>
      <c r="J152" s="573" t="s">
        <v>126</v>
      </c>
      <c r="K152" s="587">
        <f t="shared" ref="K152:K157" si="21">(F152*I152)</f>
        <v>925.95999999999992</v>
      </c>
      <c r="N152" s="585" t="s">
        <v>129</v>
      </c>
      <c r="O152" s="573" t="s">
        <v>130</v>
      </c>
      <c r="P152" s="573" t="s">
        <v>115</v>
      </c>
      <c r="Q152" s="573" t="s">
        <v>129</v>
      </c>
      <c r="R152" s="587">
        <v>0</v>
      </c>
      <c r="AE152" s="629"/>
      <c r="AO152" s="576"/>
      <c r="AR152" s="578"/>
      <c r="AS152" s="640" t="s">
        <v>117</v>
      </c>
      <c r="AU152" s="575">
        <f t="shared" si="18"/>
        <v>0</v>
      </c>
      <c r="AV152" s="575">
        <f t="shared" si="19"/>
        <v>0</v>
      </c>
    </row>
    <row r="153" spans="1:48" ht="24" customHeight="1">
      <c r="A153" s="608"/>
      <c r="B153" s="608"/>
      <c r="C153" s="608"/>
      <c r="D153" s="608"/>
      <c r="F153" s="587">
        <v>0.7</v>
      </c>
      <c r="G153" s="585" t="s">
        <v>126</v>
      </c>
      <c r="H153" s="641" t="s">
        <v>572</v>
      </c>
      <c r="I153" s="642">
        <f>C812</f>
        <v>3.15</v>
      </c>
      <c r="J153" s="573" t="s">
        <v>126</v>
      </c>
      <c r="K153" s="587">
        <f t="shared" si="21"/>
        <v>2.2049999999999996</v>
      </c>
      <c r="N153" s="576"/>
      <c r="Q153" s="578"/>
      <c r="R153" s="582" t="s">
        <v>117</v>
      </c>
      <c r="AE153" s="629"/>
      <c r="AO153" s="576"/>
      <c r="AP153" s="573" t="s">
        <v>154</v>
      </c>
      <c r="AR153" s="578"/>
      <c r="AS153" s="629">
        <f>(AS151/10)</f>
        <v>761.32642671488316</v>
      </c>
      <c r="AU153" s="575">
        <f t="shared" si="18"/>
        <v>172.744966221607</v>
      </c>
      <c r="AV153" s="575">
        <f t="shared" si="19"/>
        <v>588.58146049327615</v>
      </c>
    </row>
    <row r="154" spans="1:48" ht="24" customHeight="1">
      <c r="A154" s="608"/>
      <c r="B154" s="608"/>
      <c r="C154" s="608"/>
      <c r="D154" s="608"/>
      <c r="F154" s="587">
        <v>0.72</v>
      </c>
      <c r="G154" s="585" t="s">
        <v>126</v>
      </c>
      <c r="H154" s="573" t="s">
        <v>573</v>
      </c>
      <c r="I154" s="587">
        <f>C35</f>
        <v>456.69</v>
      </c>
      <c r="J154" s="573" t="s">
        <v>126</v>
      </c>
      <c r="K154" s="587">
        <f t="shared" si="21"/>
        <v>328.8168</v>
      </c>
      <c r="N154" s="576"/>
      <c r="O154" s="573" t="s">
        <v>131</v>
      </c>
      <c r="Q154" s="578"/>
      <c r="R154" s="587">
        <f>SUM(R150:R152)</f>
        <v>29.3</v>
      </c>
      <c r="AE154" s="629"/>
      <c r="AO154" s="576"/>
      <c r="AR154" s="578"/>
      <c r="AS154" s="640" t="s">
        <v>155</v>
      </c>
      <c r="AU154" s="575">
        <f t="shared" si="18"/>
        <v>0</v>
      </c>
      <c r="AV154" s="575">
        <f t="shared" si="19"/>
        <v>0</v>
      </c>
    </row>
    <row r="155" spans="1:48" ht="24" customHeight="1">
      <c r="A155" s="608"/>
      <c r="B155" s="608"/>
      <c r="C155" s="608"/>
      <c r="D155" s="608"/>
      <c r="F155" s="587">
        <v>0.72</v>
      </c>
      <c r="G155" s="585" t="s">
        <v>126</v>
      </c>
      <c r="H155" s="641" t="s">
        <v>572</v>
      </c>
      <c r="I155" s="642">
        <f>C812</f>
        <v>3.15</v>
      </c>
      <c r="J155" s="573" t="s">
        <v>126</v>
      </c>
      <c r="K155" s="587">
        <f t="shared" si="21"/>
        <v>2.2679999999999998</v>
      </c>
      <c r="N155" s="576"/>
      <c r="O155" s="573" t="s">
        <v>557</v>
      </c>
      <c r="Q155" s="578"/>
      <c r="R155" s="582" t="s">
        <v>117</v>
      </c>
      <c r="AE155" s="629"/>
      <c r="AO155" s="576"/>
      <c r="AP155" s="573" t="s">
        <v>482</v>
      </c>
      <c r="AR155" s="578">
        <f>AS155-AS153</f>
        <v>6.5119999999999436</v>
      </c>
      <c r="AS155" s="586">
        <f>(AS153+C19/10*AN147)</f>
        <v>767.8384267148831</v>
      </c>
      <c r="AT155" s="575">
        <f>AS153-AS155</f>
        <v>-6.5119999999999436</v>
      </c>
      <c r="AU155" s="575">
        <f t="shared" si="18"/>
        <v>174.22253902160696</v>
      </c>
      <c r="AV155" s="575">
        <f t="shared" si="19"/>
        <v>593.61588769327614</v>
      </c>
    </row>
    <row r="156" spans="1:48" ht="24" customHeight="1">
      <c r="A156" s="608"/>
      <c r="B156" s="608"/>
      <c r="C156" s="608"/>
      <c r="D156" s="608"/>
      <c r="F156" s="587">
        <v>1</v>
      </c>
      <c r="G156" s="585" t="s">
        <v>126</v>
      </c>
      <c r="H156" s="573" t="s">
        <v>354</v>
      </c>
      <c r="I156" s="587">
        <f>C18</f>
        <v>87</v>
      </c>
      <c r="J156" s="573" t="s">
        <v>126</v>
      </c>
      <c r="K156" s="587">
        <f t="shared" si="21"/>
        <v>87</v>
      </c>
      <c r="AE156" s="629"/>
      <c r="AO156" s="576"/>
      <c r="AP156" s="573" t="s">
        <v>486</v>
      </c>
      <c r="AR156" s="578">
        <f>AS156-AS155</f>
        <v>13.123000000000047</v>
      </c>
      <c r="AS156" s="586">
        <f>(AS155+C20/10*AN147)</f>
        <v>780.96142671488315</v>
      </c>
      <c r="AT156" s="575">
        <f>AS156-AS155</f>
        <v>13.123000000000047</v>
      </c>
      <c r="AU156" s="575">
        <f t="shared" si="18"/>
        <v>177.20014772160698</v>
      </c>
      <c r="AV156" s="575">
        <f t="shared" si="19"/>
        <v>603.76127899327616</v>
      </c>
    </row>
    <row r="157" spans="1:48" ht="24" customHeight="1">
      <c r="A157" s="608"/>
      <c r="B157" s="608"/>
      <c r="C157" s="608"/>
      <c r="D157" s="608"/>
      <c r="F157" s="587">
        <v>1</v>
      </c>
      <c r="G157" s="585" t="s">
        <v>126</v>
      </c>
      <c r="H157" s="641" t="s">
        <v>574</v>
      </c>
      <c r="I157" s="643">
        <f>C146</f>
        <v>15.5</v>
      </c>
      <c r="J157" s="573" t="s">
        <v>126</v>
      </c>
      <c r="K157" s="587">
        <f t="shared" si="21"/>
        <v>15.5</v>
      </c>
      <c r="AE157" s="629"/>
      <c r="AO157" s="576"/>
      <c r="AP157" s="573" t="s">
        <v>489</v>
      </c>
      <c r="AR157" s="578">
        <f>AS157-AS156</f>
        <v>13.123000000000047</v>
      </c>
      <c r="AS157" s="586">
        <f>(AS156+C21/10*AN147)</f>
        <v>794.08442671488319</v>
      </c>
      <c r="AU157" s="575">
        <f t="shared" si="18"/>
        <v>180.177756421607</v>
      </c>
      <c r="AV157" s="575">
        <f t="shared" si="19"/>
        <v>613.90667029327619</v>
      </c>
    </row>
    <row r="158" spans="1:48" ht="24" customHeight="1">
      <c r="A158" s="608"/>
      <c r="B158" s="608"/>
      <c r="C158" s="608"/>
      <c r="D158" s="608"/>
      <c r="H158" s="573" t="s">
        <v>575</v>
      </c>
      <c r="AE158" s="629"/>
      <c r="AO158" s="576"/>
      <c r="AP158" s="573" t="s">
        <v>491</v>
      </c>
      <c r="AR158" s="578">
        <f>AS158-AS157</f>
        <v>13.123000000000047</v>
      </c>
      <c r="AS158" s="586">
        <f>(AS157+C21/10*AN147)</f>
        <v>807.20742671488324</v>
      </c>
      <c r="AU158" s="575">
        <f t="shared" si="18"/>
        <v>183.15536512160702</v>
      </c>
      <c r="AV158" s="575">
        <f t="shared" si="19"/>
        <v>624.05206159327622</v>
      </c>
    </row>
    <row r="159" spans="1:48" ht="24" customHeight="1">
      <c r="A159" s="608"/>
      <c r="B159" s="608"/>
      <c r="C159" s="608"/>
      <c r="D159" s="608"/>
      <c r="G159" s="585" t="s">
        <v>129</v>
      </c>
      <c r="H159" s="573" t="s">
        <v>130</v>
      </c>
      <c r="I159" s="573" t="s">
        <v>115</v>
      </c>
      <c r="J159" s="573" t="s">
        <v>129</v>
      </c>
      <c r="K159" s="587">
        <v>0</v>
      </c>
      <c r="AE159" s="629"/>
      <c r="AO159" s="576"/>
      <c r="AP159" s="573" t="s">
        <v>576</v>
      </c>
      <c r="AR159" s="578">
        <f>AS159-AS158</f>
        <v>13.123000000000047</v>
      </c>
      <c r="AS159" s="586">
        <f>(AS158+C21/10*AN147)</f>
        <v>820.33042671488329</v>
      </c>
      <c r="AU159" s="575">
        <f t="shared" si="18"/>
        <v>186.13297382160701</v>
      </c>
      <c r="AV159" s="575">
        <f t="shared" si="19"/>
        <v>634.19745289327625</v>
      </c>
    </row>
    <row r="160" spans="1:48" ht="24" customHeight="1">
      <c r="A160" s="608"/>
      <c r="B160" s="608"/>
      <c r="C160" s="608"/>
      <c r="D160" s="608"/>
      <c r="K160" s="582" t="s">
        <v>117</v>
      </c>
      <c r="M160" s="574" t="s">
        <v>577</v>
      </c>
      <c r="N160" s="585" t="s">
        <v>122</v>
      </c>
      <c r="O160" s="573" t="s">
        <v>578</v>
      </c>
      <c r="Q160" s="578"/>
      <c r="AE160" s="629"/>
      <c r="AN160" s="644">
        <v>11</v>
      </c>
      <c r="AO160" s="645" t="s">
        <v>122</v>
      </c>
      <c r="AP160" s="577" t="s">
        <v>579</v>
      </c>
      <c r="AQ160" s="619"/>
      <c r="AR160" s="630"/>
      <c r="AS160" s="619"/>
      <c r="AU160" s="575">
        <f t="shared" si="18"/>
        <v>0</v>
      </c>
      <c r="AV160" s="575">
        <f t="shared" si="19"/>
        <v>0</v>
      </c>
    </row>
    <row r="161" spans="1:48" ht="24" customHeight="1">
      <c r="A161" s="608"/>
      <c r="B161" s="608"/>
      <c r="C161" s="608"/>
      <c r="D161" s="608"/>
      <c r="H161" s="589" t="s">
        <v>555</v>
      </c>
      <c r="K161" s="586">
        <f>SUM(K152:K159)</f>
        <v>1361.7498000000001</v>
      </c>
      <c r="N161" s="576"/>
      <c r="O161" s="573" t="s">
        <v>580</v>
      </c>
      <c r="Q161" s="578"/>
      <c r="AE161" s="629"/>
      <c r="AN161" s="619"/>
      <c r="AO161" s="646"/>
      <c r="AP161" s="586" t="str">
        <f>AP61</f>
        <v>Bricks of size 23x11x7 cm</v>
      </c>
      <c r="AQ161" s="619"/>
      <c r="AR161" s="630"/>
      <c r="AS161" s="619"/>
      <c r="AU161" s="575">
        <f t="shared" si="18"/>
        <v>0</v>
      </c>
      <c r="AV161" s="575">
        <f t="shared" si="19"/>
        <v>0</v>
      </c>
    </row>
    <row r="162" spans="1:48" ht="24" customHeight="1">
      <c r="A162" s="608"/>
      <c r="B162" s="608"/>
      <c r="C162" s="608"/>
      <c r="D162" s="608"/>
      <c r="K162" s="582" t="s">
        <v>117</v>
      </c>
      <c r="N162" s="576"/>
      <c r="O162" s="582" t="s">
        <v>117</v>
      </c>
      <c r="Q162" s="578"/>
      <c r="AE162" s="629"/>
      <c r="AO162" s="576"/>
      <c r="AP162" s="582" t="s">
        <v>117</v>
      </c>
      <c r="AR162" s="578"/>
      <c r="AU162" s="575">
        <f t="shared" si="18"/>
        <v>0</v>
      </c>
      <c r="AV162" s="575">
        <f t="shared" si="19"/>
        <v>0</v>
      </c>
    </row>
    <row r="163" spans="1:48" ht="24" customHeight="1">
      <c r="A163" s="608"/>
      <c r="B163" s="608"/>
      <c r="C163" s="608"/>
      <c r="D163" s="608"/>
      <c r="H163" s="573" t="s">
        <v>115</v>
      </c>
      <c r="K163" s="573" t="s">
        <v>115</v>
      </c>
      <c r="M163" s="587">
        <v>9</v>
      </c>
      <c r="N163" s="585" t="s">
        <v>126</v>
      </c>
      <c r="O163" s="573" t="s">
        <v>581</v>
      </c>
      <c r="P163" s="587">
        <f>I195</f>
        <v>1250.69</v>
      </c>
      <c r="Q163" s="573" t="s">
        <v>126</v>
      </c>
      <c r="R163" s="587">
        <f>(M163*P163)</f>
        <v>11256.210000000001</v>
      </c>
      <c r="AE163" s="629"/>
      <c r="AN163" s="587">
        <f>AN63</f>
        <v>1300</v>
      </c>
      <c r="AO163" s="585" t="s">
        <v>467</v>
      </c>
      <c r="AP163" s="587" t="str">
        <f>AP61</f>
        <v>Bricks of size 23x11x7 cm</v>
      </c>
      <c r="AQ163" s="587">
        <f>AC45</f>
        <v>6725.72</v>
      </c>
      <c r="AR163" s="573" t="s">
        <v>582</v>
      </c>
      <c r="AS163" s="587">
        <f>(AN163*AQ163)/1000</f>
        <v>8743.4359999999997</v>
      </c>
      <c r="AU163" s="575">
        <f t="shared" si="18"/>
        <v>1983.8856284000001</v>
      </c>
      <c r="AV163" s="575">
        <f t="shared" si="19"/>
        <v>6759.5503715999994</v>
      </c>
    </row>
    <row r="164" spans="1:48" ht="24" customHeight="1">
      <c r="A164" s="608"/>
      <c r="B164" s="608"/>
      <c r="C164" s="608"/>
      <c r="D164" s="608"/>
      <c r="K164" s="573" t="s">
        <v>115</v>
      </c>
      <c r="M164" s="587">
        <v>4.5</v>
      </c>
      <c r="N164" s="585" t="s">
        <v>126</v>
      </c>
      <c r="O164" s="573" t="s">
        <v>134</v>
      </c>
      <c r="P164" s="587">
        <f>K40</f>
        <v>3497.8</v>
      </c>
      <c r="Q164" s="573" t="s">
        <v>126</v>
      </c>
      <c r="R164" s="587">
        <f>(M164*P164)</f>
        <v>15740.1</v>
      </c>
      <c r="AE164" s="629"/>
      <c r="AN164" s="617">
        <f>AN133</f>
        <v>0.70799999999999996</v>
      </c>
      <c r="AO164" s="585" t="s">
        <v>126</v>
      </c>
      <c r="AP164" s="573" t="s">
        <v>134</v>
      </c>
      <c r="AQ164" s="587">
        <f>AQ133</f>
        <v>3497.8</v>
      </c>
      <c r="AR164" s="573" t="s">
        <v>126</v>
      </c>
      <c r="AS164" s="587">
        <f>(AN164*AQ164)</f>
        <v>2476.4423999999999</v>
      </c>
      <c r="AU164" s="575">
        <f t="shared" ref="AU164:AU217" si="22">AS164*22.69/100</f>
        <v>561.90478055999995</v>
      </c>
      <c r="AV164" s="575">
        <f t="shared" ref="AV164:AV217" si="23">AS164-AU164</f>
        <v>1914.5376194400001</v>
      </c>
    </row>
    <row r="165" spans="1:48" ht="24" customHeight="1">
      <c r="A165" s="647">
        <v>2.2999999999999998</v>
      </c>
      <c r="B165" s="595" t="s">
        <v>583</v>
      </c>
      <c r="C165" s="608">
        <f>AC19+I168</f>
        <v>918.21999999999991</v>
      </c>
      <c r="D165" s="608"/>
      <c r="F165" s="620">
        <v>2.6</v>
      </c>
      <c r="G165" s="585" t="s">
        <v>122</v>
      </c>
      <c r="H165" s="573" t="s">
        <v>584</v>
      </c>
      <c r="M165" s="587">
        <v>1.8</v>
      </c>
      <c r="N165" s="585" t="s">
        <v>209</v>
      </c>
      <c r="O165" s="573" t="s">
        <v>145</v>
      </c>
      <c r="P165" s="587">
        <f>I197</f>
        <v>718</v>
      </c>
      <c r="Q165" s="573" t="s">
        <v>209</v>
      </c>
      <c r="R165" s="587">
        <f>(M165*P165)</f>
        <v>1292.4000000000001</v>
      </c>
      <c r="AE165" s="629"/>
      <c r="AN165" s="587">
        <v>1</v>
      </c>
      <c r="AO165" s="585" t="s">
        <v>209</v>
      </c>
      <c r="AP165" s="573" t="s">
        <v>144</v>
      </c>
      <c r="AQ165" s="587">
        <f>AQ134</f>
        <v>769</v>
      </c>
      <c r="AR165" s="573" t="s">
        <v>209</v>
      </c>
      <c r="AS165" s="587">
        <f>(AN165*AQ165)</f>
        <v>769</v>
      </c>
      <c r="AU165" s="575">
        <f t="shared" si="22"/>
        <v>174.48609999999999</v>
      </c>
      <c r="AV165" s="575">
        <f t="shared" si="23"/>
        <v>594.51390000000004</v>
      </c>
    </row>
    <row r="166" spans="1:48" ht="24" customHeight="1">
      <c r="A166" s="647">
        <v>2.4</v>
      </c>
      <c r="B166" s="595" t="s">
        <v>585</v>
      </c>
      <c r="C166" s="608">
        <f>AC20+I168</f>
        <v>995.21999999999991</v>
      </c>
      <c r="D166" s="608"/>
      <c r="H166" s="582" t="s">
        <v>117</v>
      </c>
      <c r="M166" s="587">
        <v>17.7</v>
      </c>
      <c r="N166" s="585" t="s">
        <v>209</v>
      </c>
      <c r="O166" s="573" t="s">
        <v>146</v>
      </c>
      <c r="P166" s="587">
        <f>I198</f>
        <v>502</v>
      </c>
      <c r="Q166" s="573" t="s">
        <v>209</v>
      </c>
      <c r="R166" s="587">
        <f>(M166*P166)</f>
        <v>8885.4</v>
      </c>
      <c r="AE166" s="629"/>
      <c r="AN166" s="587">
        <v>3</v>
      </c>
      <c r="AO166" s="585" t="s">
        <v>209</v>
      </c>
      <c r="AP166" s="573" t="s">
        <v>145</v>
      </c>
      <c r="AQ166" s="587">
        <f>AQ135</f>
        <v>718</v>
      </c>
      <c r="AR166" s="573" t="s">
        <v>209</v>
      </c>
      <c r="AS166" s="587">
        <f>(AN166*AQ166)</f>
        <v>2154</v>
      </c>
      <c r="AU166" s="575">
        <f t="shared" si="22"/>
        <v>488.74260000000004</v>
      </c>
      <c r="AV166" s="575">
        <f t="shared" si="23"/>
        <v>1665.2574</v>
      </c>
    </row>
    <row r="167" spans="1:48" ht="24" customHeight="1">
      <c r="A167" s="608"/>
      <c r="B167" s="608"/>
      <c r="C167" s="608"/>
      <c r="D167" s="608"/>
      <c r="F167" s="587">
        <v>1</v>
      </c>
      <c r="G167" s="585" t="s">
        <v>126</v>
      </c>
      <c r="H167" s="573" t="s">
        <v>586</v>
      </c>
      <c r="I167" s="587">
        <f>AC15</f>
        <v>1250.69</v>
      </c>
      <c r="J167" s="573" t="s">
        <v>126</v>
      </c>
      <c r="K167" s="587">
        <f>(F167*I167)</f>
        <v>1250.69</v>
      </c>
      <c r="M167" s="587">
        <v>14.1</v>
      </c>
      <c r="N167" s="585" t="s">
        <v>209</v>
      </c>
      <c r="O167" s="573" t="s">
        <v>147</v>
      </c>
      <c r="P167" s="587">
        <f>I199</f>
        <v>412</v>
      </c>
      <c r="Q167" s="573" t="s">
        <v>209</v>
      </c>
      <c r="R167" s="587">
        <f>(M167*P167)</f>
        <v>5809.2</v>
      </c>
      <c r="AE167" s="629"/>
      <c r="AN167" s="587">
        <v>2</v>
      </c>
      <c r="AO167" s="585" t="s">
        <v>209</v>
      </c>
      <c r="AP167" s="573" t="s">
        <v>146</v>
      </c>
      <c r="AQ167" s="587">
        <f>AQ136</f>
        <v>502</v>
      </c>
      <c r="AR167" s="573" t="s">
        <v>209</v>
      </c>
      <c r="AS167" s="587">
        <f>(AN167*AQ167)</f>
        <v>1004</v>
      </c>
      <c r="AU167" s="575">
        <f t="shared" si="22"/>
        <v>227.80760000000001</v>
      </c>
      <c r="AV167" s="575">
        <f t="shared" si="23"/>
        <v>776.19240000000002</v>
      </c>
    </row>
    <row r="168" spans="1:48" ht="24" customHeight="1">
      <c r="A168" s="608"/>
      <c r="B168" s="608"/>
      <c r="C168" s="608"/>
      <c r="D168" s="608"/>
      <c r="F168" s="587">
        <v>1</v>
      </c>
      <c r="G168" s="585" t="s">
        <v>126</v>
      </c>
      <c r="H168" s="573" t="s">
        <v>360</v>
      </c>
      <c r="I168" s="587">
        <f>C26</f>
        <v>29.3</v>
      </c>
      <c r="J168" s="573" t="s">
        <v>126</v>
      </c>
      <c r="K168" s="587">
        <f>(F168*I168)</f>
        <v>29.3</v>
      </c>
      <c r="N168" s="585" t="s">
        <v>129</v>
      </c>
      <c r="O168" s="573" t="s">
        <v>130</v>
      </c>
      <c r="Q168" s="573" t="s">
        <v>129</v>
      </c>
      <c r="R168" s="587">
        <v>0</v>
      </c>
      <c r="AE168" s="629"/>
      <c r="AN168" s="587">
        <v>6</v>
      </c>
      <c r="AO168" s="585" t="s">
        <v>209</v>
      </c>
      <c r="AP168" s="573" t="s">
        <v>147</v>
      </c>
      <c r="AQ168" s="587">
        <f>AQ137</f>
        <v>412</v>
      </c>
      <c r="AR168" s="573" t="s">
        <v>209</v>
      </c>
      <c r="AS168" s="587">
        <f>(AN168*AQ168)</f>
        <v>2472</v>
      </c>
      <c r="AU168" s="575">
        <f t="shared" si="22"/>
        <v>560.89679999999998</v>
      </c>
      <c r="AV168" s="575">
        <f t="shared" si="23"/>
        <v>1911.1032</v>
      </c>
    </row>
    <row r="169" spans="1:48" ht="24" customHeight="1">
      <c r="A169" s="608"/>
      <c r="B169" s="608"/>
      <c r="C169" s="608"/>
      <c r="D169" s="608"/>
      <c r="G169" s="585" t="s">
        <v>129</v>
      </c>
      <c r="H169" s="573" t="s">
        <v>130</v>
      </c>
      <c r="I169" s="573" t="s">
        <v>115</v>
      </c>
      <c r="J169" s="573" t="s">
        <v>129</v>
      </c>
      <c r="K169" s="587">
        <v>0</v>
      </c>
      <c r="N169" s="576"/>
      <c r="Q169" s="578"/>
      <c r="R169" s="582" t="s">
        <v>117</v>
      </c>
      <c r="AE169" s="629"/>
      <c r="AO169" s="585" t="s">
        <v>129</v>
      </c>
      <c r="AP169" s="573" t="s">
        <v>130</v>
      </c>
      <c r="AQ169" s="573" t="s">
        <v>115</v>
      </c>
      <c r="AR169" s="573" t="s">
        <v>129</v>
      </c>
      <c r="AS169" s="587">
        <v>0</v>
      </c>
      <c r="AU169" s="575">
        <f t="shared" si="22"/>
        <v>0</v>
      </c>
      <c r="AV169" s="575">
        <f t="shared" si="23"/>
        <v>0</v>
      </c>
    </row>
    <row r="170" spans="1:48" ht="24" customHeight="1">
      <c r="A170" s="608"/>
      <c r="B170" s="608"/>
      <c r="C170" s="608"/>
      <c r="D170" s="608"/>
      <c r="K170" s="582" t="s">
        <v>117</v>
      </c>
      <c r="N170" s="576"/>
      <c r="Q170" s="578"/>
      <c r="R170" s="587">
        <f>SUM(R163:R168)</f>
        <v>42983.31</v>
      </c>
      <c r="AE170" s="629"/>
      <c r="AO170" s="576"/>
      <c r="AR170" s="578"/>
      <c r="AS170" s="582" t="s">
        <v>117</v>
      </c>
      <c r="AU170" s="575">
        <f t="shared" si="22"/>
        <v>0</v>
      </c>
      <c r="AV170" s="575">
        <f t="shared" si="23"/>
        <v>0</v>
      </c>
    </row>
    <row r="171" spans="1:48" ht="24" customHeight="1">
      <c r="A171" s="608"/>
      <c r="B171" s="608"/>
      <c r="C171" s="608"/>
      <c r="D171" s="608"/>
      <c r="H171" s="589" t="s">
        <v>555</v>
      </c>
      <c r="K171" s="586">
        <f>SUM(K166:K169)</f>
        <v>1279.99</v>
      </c>
      <c r="N171" s="576"/>
      <c r="O171" s="648" t="s">
        <v>455</v>
      </c>
      <c r="Q171" s="578"/>
      <c r="R171" s="582" t="s">
        <v>117</v>
      </c>
      <c r="AE171" s="629"/>
      <c r="AO171" s="576"/>
      <c r="AP171" s="573" t="s">
        <v>455</v>
      </c>
      <c r="AR171" s="578"/>
      <c r="AS171" s="587">
        <f>SUM(AS163:AS169)</f>
        <v>17618.878400000001</v>
      </c>
      <c r="AU171" s="575">
        <f t="shared" si="22"/>
        <v>3997.7235089600003</v>
      </c>
      <c r="AV171" s="575">
        <f t="shared" si="23"/>
        <v>13621.154891040002</v>
      </c>
    </row>
    <row r="172" spans="1:48" ht="24" customHeight="1">
      <c r="A172" s="608"/>
      <c r="B172" s="608"/>
      <c r="C172" s="608"/>
      <c r="D172" s="608"/>
      <c r="K172" s="582" t="s">
        <v>117</v>
      </c>
      <c r="N172" s="576"/>
      <c r="Q172" s="578"/>
      <c r="R172" s="586">
        <f>(R170/10)</f>
        <v>4298.3310000000001</v>
      </c>
      <c r="AE172" s="629"/>
      <c r="AO172" s="576"/>
      <c r="AR172" s="578"/>
      <c r="AS172" s="582" t="s">
        <v>117</v>
      </c>
      <c r="AU172" s="575">
        <f t="shared" si="22"/>
        <v>0</v>
      </c>
      <c r="AV172" s="575">
        <f t="shared" si="23"/>
        <v>0</v>
      </c>
    </row>
    <row r="173" spans="1:48" ht="24" customHeight="1">
      <c r="A173" s="608"/>
      <c r="B173" s="608"/>
      <c r="C173" s="608"/>
      <c r="D173" s="608"/>
      <c r="F173" s="620">
        <v>2.7</v>
      </c>
      <c r="G173" s="585" t="s">
        <v>122</v>
      </c>
      <c r="H173" s="573" t="s">
        <v>587</v>
      </c>
      <c r="N173" s="576"/>
      <c r="O173" s="589" t="s">
        <v>383</v>
      </c>
      <c r="Q173" s="578"/>
      <c r="R173" s="582" t="s">
        <v>155</v>
      </c>
      <c r="AE173" s="629"/>
      <c r="AO173" s="576"/>
      <c r="AP173" s="573" t="s">
        <v>383</v>
      </c>
      <c r="AR173" s="578"/>
      <c r="AS173" s="587">
        <f>(AS171/2.83168)</f>
        <v>6222.0584246807557</v>
      </c>
      <c r="AU173" s="575">
        <f t="shared" si="22"/>
        <v>1411.7850565600636</v>
      </c>
      <c r="AV173" s="575">
        <f t="shared" si="23"/>
        <v>4810.2733681206919</v>
      </c>
    </row>
    <row r="174" spans="1:48" ht="24" customHeight="1">
      <c r="A174" s="608"/>
      <c r="B174" s="608"/>
      <c r="C174" s="608"/>
      <c r="D174" s="608"/>
      <c r="H174" s="582" t="s">
        <v>117</v>
      </c>
      <c r="AE174" s="629"/>
      <c r="AO174" s="576"/>
      <c r="AR174" s="578"/>
      <c r="AS174" s="582" t="s">
        <v>155</v>
      </c>
      <c r="AU174" s="575">
        <f t="shared" si="22"/>
        <v>0</v>
      </c>
      <c r="AV174" s="575">
        <f t="shared" si="23"/>
        <v>0</v>
      </c>
    </row>
    <row r="175" spans="1:48" ht="24" customHeight="1">
      <c r="A175" s="608"/>
      <c r="B175" s="608"/>
      <c r="C175" s="608"/>
      <c r="D175" s="608"/>
      <c r="F175" s="587">
        <v>1</v>
      </c>
      <c r="G175" s="585" t="s">
        <v>126</v>
      </c>
      <c r="H175" s="573" t="s">
        <v>588</v>
      </c>
      <c r="I175" s="587">
        <f>AC14</f>
        <v>1644.69</v>
      </c>
      <c r="J175" s="573" t="s">
        <v>126</v>
      </c>
      <c r="K175" s="587">
        <f>(F175*I175)</f>
        <v>1644.69</v>
      </c>
      <c r="AE175" s="629"/>
      <c r="AN175" s="573" t="s">
        <v>251</v>
      </c>
      <c r="AO175" s="576"/>
      <c r="AR175" s="578"/>
      <c r="AU175" s="575">
        <f t="shared" si="22"/>
        <v>0</v>
      </c>
      <c r="AV175" s="575">
        <f t="shared" si="23"/>
        <v>0</v>
      </c>
    </row>
    <row r="176" spans="1:48" ht="24" customHeight="1">
      <c r="A176" s="608"/>
      <c r="B176" s="608"/>
      <c r="C176" s="608"/>
      <c r="D176" s="608"/>
      <c r="F176" s="587">
        <v>1</v>
      </c>
      <c r="G176" s="585" t="s">
        <v>126</v>
      </c>
      <c r="H176" s="573" t="s">
        <v>360</v>
      </c>
      <c r="I176" s="587">
        <f>C26</f>
        <v>29.3</v>
      </c>
      <c r="J176" s="573" t="s">
        <v>126</v>
      </c>
      <c r="K176" s="587">
        <f>(F176*I176)</f>
        <v>29.3</v>
      </c>
      <c r="AE176" s="629"/>
      <c r="AO176" s="576"/>
      <c r="AR176" s="578"/>
      <c r="AU176" s="575">
        <f t="shared" si="22"/>
        <v>0</v>
      </c>
      <c r="AV176" s="575">
        <f t="shared" si="23"/>
        <v>0</v>
      </c>
    </row>
    <row r="177" spans="1:48" ht="24" customHeight="1">
      <c r="A177" s="608"/>
      <c r="B177" s="608"/>
      <c r="C177" s="608"/>
      <c r="D177" s="608"/>
      <c r="G177" s="585" t="s">
        <v>129</v>
      </c>
      <c r="H177" s="573" t="s">
        <v>130</v>
      </c>
      <c r="I177" s="573" t="s">
        <v>115</v>
      </c>
      <c r="J177" s="573" t="s">
        <v>129</v>
      </c>
      <c r="K177" s="587">
        <v>0</v>
      </c>
      <c r="AE177" s="629"/>
      <c r="AO177" s="585" t="s">
        <v>589</v>
      </c>
      <c r="AP177" s="573" t="s">
        <v>590</v>
      </c>
      <c r="AR177" s="578"/>
      <c r="AU177" s="575">
        <f t="shared" si="22"/>
        <v>0</v>
      </c>
      <c r="AV177" s="575">
        <f t="shared" si="23"/>
        <v>0</v>
      </c>
    </row>
    <row r="178" spans="1:48" ht="24" customHeight="1">
      <c r="A178" s="608"/>
      <c r="B178" s="608"/>
      <c r="C178" s="608"/>
      <c r="D178" s="608"/>
      <c r="K178" s="582" t="s">
        <v>117</v>
      </c>
      <c r="AE178" s="629"/>
      <c r="AO178" s="576"/>
      <c r="AP178" s="582" t="s">
        <v>117</v>
      </c>
      <c r="AR178" s="578"/>
      <c r="AU178" s="575">
        <f t="shared" si="22"/>
        <v>0</v>
      </c>
      <c r="AV178" s="575">
        <f t="shared" si="23"/>
        <v>0</v>
      </c>
    </row>
    <row r="179" spans="1:48" ht="24" customHeight="1">
      <c r="A179" s="608"/>
      <c r="B179" s="608"/>
      <c r="C179" s="608"/>
      <c r="D179" s="608"/>
      <c r="H179" s="589" t="s">
        <v>555</v>
      </c>
      <c r="K179" s="586">
        <f>SUM(K174:K177)</f>
        <v>1673.99</v>
      </c>
      <c r="AE179" s="629"/>
      <c r="AN179" s="587">
        <v>0.7</v>
      </c>
      <c r="AO179" s="585" t="s">
        <v>126</v>
      </c>
      <c r="AP179" s="573" t="s">
        <v>591</v>
      </c>
      <c r="AQ179" s="587">
        <f>AQ147</f>
        <v>6222.0584246807557</v>
      </c>
      <c r="AR179" s="573" t="s">
        <v>209</v>
      </c>
      <c r="AS179" s="587">
        <f>(AN179*AQ179)</f>
        <v>4355.4408972765286</v>
      </c>
      <c r="AU179" s="575">
        <f t="shared" si="22"/>
        <v>988.24953959204447</v>
      </c>
      <c r="AV179" s="575">
        <f t="shared" si="23"/>
        <v>3367.191357684484</v>
      </c>
    </row>
    <row r="180" spans="1:48" ht="24" customHeight="1">
      <c r="K180" s="582" t="s">
        <v>117</v>
      </c>
      <c r="M180" s="587">
        <v>2.5</v>
      </c>
      <c r="N180" s="573" t="s">
        <v>126</v>
      </c>
      <c r="O180" s="573" t="s">
        <v>136</v>
      </c>
      <c r="P180" s="587">
        <f>(K58)</f>
        <v>2801.8</v>
      </c>
      <c r="Q180" s="573" t="s">
        <v>126</v>
      </c>
      <c r="R180" s="587">
        <f>(M180*P180)</f>
        <v>7004.5</v>
      </c>
      <c r="AE180" s="629"/>
      <c r="AG180" s="573"/>
      <c r="AN180" s="587">
        <v>1</v>
      </c>
      <c r="AO180" s="585" t="s">
        <v>1</v>
      </c>
      <c r="AP180" s="573" t="s">
        <v>144</v>
      </c>
      <c r="AQ180" s="587">
        <f>AQ165</f>
        <v>769</v>
      </c>
      <c r="AR180" s="573" t="s">
        <v>209</v>
      </c>
      <c r="AS180" s="587">
        <f>(AN180*AQ180)</f>
        <v>769</v>
      </c>
      <c r="AU180" s="575">
        <f t="shared" si="22"/>
        <v>174.48609999999999</v>
      </c>
      <c r="AV180" s="575">
        <f t="shared" si="23"/>
        <v>594.51390000000004</v>
      </c>
    </row>
    <row r="181" spans="1:48" ht="24" customHeight="1">
      <c r="H181" s="573" t="s">
        <v>115</v>
      </c>
      <c r="M181" s="587">
        <v>3.5</v>
      </c>
      <c r="N181" s="573" t="s">
        <v>209</v>
      </c>
      <c r="O181" s="573" t="s">
        <v>144</v>
      </c>
      <c r="P181" s="587">
        <f>(C10)</f>
        <v>769</v>
      </c>
      <c r="Q181" s="573" t="s">
        <v>209</v>
      </c>
      <c r="R181" s="587">
        <f>(M181*P181)</f>
        <v>2691.5</v>
      </c>
      <c r="AE181" s="629"/>
      <c r="AG181" s="573"/>
      <c r="AO181" s="585" t="s">
        <v>129</v>
      </c>
      <c r="AP181" s="573" t="s">
        <v>130</v>
      </c>
      <c r="AQ181" s="573" t="s">
        <v>115</v>
      </c>
      <c r="AR181" s="573" t="s">
        <v>129</v>
      </c>
      <c r="AS181" s="587">
        <v>0</v>
      </c>
      <c r="AU181" s="575">
        <f t="shared" si="22"/>
        <v>0</v>
      </c>
      <c r="AV181" s="575">
        <f t="shared" si="23"/>
        <v>0</v>
      </c>
    </row>
    <row r="182" spans="1:48" ht="24" customHeight="1">
      <c r="F182" s="574" t="s">
        <v>592</v>
      </c>
      <c r="H182" s="573" t="s">
        <v>593</v>
      </c>
      <c r="AE182" s="629"/>
      <c r="AO182" s="576"/>
      <c r="AR182" s="578"/>
      <c r="AS182" s="582" t="s">
        <v>117</v>
      </c>
      <c r="AU182" s="575">
        <f t="shared" si="22"/>
        <v>0</v>
      </c>
      <c r="AV182" s="575">
        <f t="shared" si="23"/>
        <v>0</v>
      </c>
    </row>
    <row r="183" spans="1:48" ht="24" customHeight="1">
      <c r="A183" s="608"/>
      <c r="B183" s="608"/>
      <c r="C183" s="608"/>
      <c r="D183" s="608"/>
      <c r="AE183" s="629"/>
      <c r="AO183" s="576"/>
      <c r="AP183" s="573" t="s">
        <v>153</v>
      </c>
      <c r="AR183" s="578"/>
      <c r="AS183" s="586">
        <f>SUM(AS179:AS181)</f>
        <v>5124.4408972765286</v>
      </c>
      <c r="AU183" s="575">
        <f t="shared" si="22"/>
        <v>1162.7356395920444</v>
      </c>
      <c r="AV183" s="575">
        <f t="shared" si="23"/>
        <v>3961.7052576844844</v>
      </c>
    </row>
    <row r="184" spans="1:48" ht="24" customHeight="1">
      <c r="A184" s="608"/>
      <c r="B184" s="608"/>
      <c r="C184" s="608"/>
      <c r="D184" s="608"/>
      <c r="F184" s="587">
        <v>1</v>
      </c>
      <c r="G184" s="585" t="s">
        <v>126</v>
      </c>
      <c r="H184" s="573" t="s">
        <v>594</v>
      </c>
      <c r="I184" s="587">
        <f>C35</f>
        <v>456.69</v>
      </c>
      <c r="J184" s="573" t="s">
        <v>126</v>
      </c>
      <c r="K184" s="587">
        <f>(F184*I184)</f>
        <v>456.69</v>
      </c>
      <c r="AE184" s="629"/>
      <c r="AO184" s="576"/>
      <c r="AR184" s="578"/>
      <c r="AS184" s="582" t="s">
        <v>117</v>
      </c>
      <c r="AU184" s="575">
        <f t="shared" si="22"/>
        <v>0</v>
      </c>
      <c r="AV184" s="575">
        <f t="shared" si="23"/>
        <v>0</v>
      </c>
    </row>
    <row r="185" spans="1:48" ht="24" customHeight="1">
      <c r="A185" s="608"/>
      <c r="B185" s="608"/>
      <c r="C185" s="608"/>
      <c r="D185" s="608"/>
      <c r="F185" s="587">
        <v>1</v>
      </c>
      <c r="G185" s="585" t="s">
        <v>126</v>
      </c>
      <c r="H185" s="573" t="s">
        <v>572</v>
      </c>
      <c r="I185" s="649">
        <f>C812</f>
        <v>3.15</v>
      </c>
      <c r="J185" s="573" t="s">
        <v>126</v>
      </c>
      <c r="K185" s="587">
        <f>(F185*I185)</f>
        <v>3.15</v>
      </c>
      <c r="AE185" s="629"/>
      <c r="AO185" s="576"/>
      <c r="AP185" s="573" t="s">
        <v>154</v>
      </c>
      <c r="AR185" s="578"/>
      <c r="AS185" s="587">
        <f>(AS183/10)</f>
        <v>512.44408972765291</v>
      </c>
      <c r="AU185" s="575">
        <f t="shared" si="22"/>
        <v>116.27356395920445</v>
      </c>
      <c r="AV185" s="575">
        <f t="shared" si="23"/>
        <v>396.17052576844844</v>
      </c>
    </row>
    <row r="186" spans="1:48" ht="24" customHeight="1">
      <c r="A186" s="608"/>
      <c r="B186" s="608"/>
      <c r="C186" s="608"/>
      <c r="D186" s="608"/>
      <c r="F186" s="587">
        <v>1</v>
      </c>
      <c r="G186" s="585" t="s">
        <v>126</v>
      </c>
      <c r="H186" s="573" t="s">
        <v>574</v>
      </c>
      <c r="I186" s="649">
        <f>C146</f>
        <v>15.5</v>
      </c>
      <c r="J186" s="573" t="s">
        <v>126</v>
      </c>
      <c r="K186" s="587">
        <f>(F186*I186)</f>
        <v>15.5</v>
      </c>
      <c r="AE186" s="629"/>
      <c r="AO186" s="576"/>
      <c r="AR186" s="578"/>
      <c r="AS186" s="582" t="s">
        <v>155</v>
      </c>
      <c r="AU186" s="575">
        <f t="shared" si="22"/>
        <v>0</v>
      </c>
      <c r="AV186" s="575">
        <f t="shared" si="23"/>
        <v>0</v>
      </c>
    </row>
    <row r="187" spans="1:48" ht="24" customHeight="1">
      <c r="A187" s="608"/>
      <c r="B187" s="608"/>
      <c r="C187" s="608"/>
      <c r="D187" s="608"/>
      <c r="H187" s="573" t="s">
        <v>575</v>
      </c>
      <c r="AE187" s="629"/>
      <c r="AO187" s="576"/>
      <c r="AP187" s="573" t="s">
        <v>482</v>
      </c>
      <c r="AR187" s="578">
        <f>AS187-AS185</f>
        <v>4.1440000000000055</v>
      </c>
      <c r="AS187" s="586">
        <f>(AS185+C19/10*AN179)</f>
        <v>516.58808972765291</v>
      </c>
      <c r="AU187" s="575">
        <f t="shared" si="22"/>
        <v>117.21383755920446</v>
      </c>
      <c r="AV187" s="575">
        <f t="shared" si="23"/>
        <v>399.37425216844844</v>
      </c>
    </row>
    <row r="188" spans="1:48" ht="24" customHeight="1">
      <c r="A188" s="608"/>
      <c r="B188" s="608"/>
      <c r="C188" s="608"/>
      <c r="D188" s="608"/>
      <c r="K188" s="582" t="s">
        <v>117</v>
      </c>
      <c r="AE188" s="629"/>
      <c r="AO188" s="576"/>
      <c r="AP188" s="573" t="s">
        <v>486</v>
      </c>
      <c r="AR188" s="578">
        <f>AS188-AS187</f>
        <v>8.3509999999999991</v>
      </c>
      <c r="AS188" s="586">
        <f>(AS187+C20/10*AN179)</f>
        <v>524.93908972765291</v>
      </c>
      <c r="AU188" s="575">
        <f t="shared" si="22"/>
        <v>119.10867945920445</v>
      </c>
      <c r="AV188" s="575">
        <f t="shared" si="23"/>
        <v>405.83041026844847</v>
      </c>
    </row>
    <row r="189" spans="1:48" ht="24" customHeight="1">
      <c r="A189" s="608"/>
      <c r="B189" s="608"/>
      <c r="C189" s="608"/>
      <c r="D189" s="608"/>
      <c r="H189" s="589" t="s">
        <v>555</v>
      </c>
      <c r="K189" s="586">
        <f>SUM(K182:K187)</f>
        <v>475.34</v>
      </c>
      <c r="AE189" s="629"/>
      <c r="AO189" s="576"/>
      <c r="AP189" s="573" t="s">
        <v>489</v>
      </c>
      <c r="AR189" s="578">
        <f>AS189-AS188</f>
        <v>8.3509999999999991</v>
      </c>
      <c r="AS189" s="586">
        <f>(AS188+C21/10*AN179)</f>
        <v>533.29008972765291</v>
      </c>
      <c r="AU189" s="575">
        <f t="shared" si="22"/>
        <v>121.00352135920446</v>
      </c>
      <c r="AV189" s="575">
        <f t="shared" si="23"/>
        <v>412.28656836844846</v>
      </c>
    </row>
    <row r="190" spans="1:48" ht="24" customHeight="1">
      <c r="A190" s="608"/>
      <c r="B190" s="608"/>
      <c r="C190" s="608"/>
      <c r="D190" s="608"/>
      <c r="F190" s="573" t="s">
        <v>115</v>
      </c>
      <c r="K190" s="582" t="s">
        <v>117</v>
      </c>
      <c r="AE190" s="629"/>
      <c r="AO190" s="576"/>
      <c r="AP190" s="573" t="s">
        <v>491</v>
      </c>
      <c r="AR190" s="578">
        <f>AS190-AS189</f>
        <v>8.3509999999999991</v>
      </c>
      <c r="AS190" s="586">
        <f>(AS189+C21/10*AN179)</f>
        <v>541.64108972765291</v>
      </c>
      <c r="AU190" s="575">
        <f t="shared" si="22"/>
        <v>122.89836325920446</v>
      </c>
      <c r="AV190" s="575">
        <f t="shared" si="23"/>
        <v>418.74272646844844</v>
      </c>
    </row>
    <row r="191" spans="1:48" ht="24" customHeight="1">
      <c r="A191" s="608"/>
      <c r="B191" s="608"/>
      <c r="C191" s="608"/>
      <c r="D191" s="608"/>
      <c r="K191" s="573" t="s">
        <v>115</v>
      </c>
      <c r="AE191" s="629"/>
      <c r="AO191" s="576"/>
      <c r="AP191" s="573" t="s">
        <v>595</v>
      </c>
      <c r="AR191" s="578">
        <f>AS191-AS190</f>
        <v>8.3509999999999991</v>
      </c>
      <c r="AS191" s="586">
        <f>(AS190+C21/10*AN179)</f>
        <v>549.99208972765291</v>
      </c>
      <c r="AU191" s="575">
        <f t="shared" si="22"/>
        <v>124.79320515920445</v>
      </c>
      <c r="AV191" s="575">
        <f t="shared" si="23"/>
        <v>425.19888456844848</v>
      </c>
    </row>
    <row r="192" spans="1:48" ht="24" customHeight="1">
      <c r="A192" s="594">
        <f>(A148+1)</f>
        <v>90</v>
      </c>
      <c r="B192" s="613" t="s">
        <v>596</v>
      </c>
      <c r="C192" s="596">
        <v>65</v>
      </c>
      <c r="D192" s="595" t="s">
        <v>597</v>
      </c>
      <c r="F192" s="574" t="s">
        <v>577</v>
      </c>
      <c r="G192" s="585" t="s">
        <v>122</v>
      </c>
      <c r="H192" s="573" t="s">
        <v>598</v>
      </c>
      <c r="M192" s="574" t="s">
        <v>577</v>
      </c>
      <c r="N192" s="585" t="s">
        <v>122</v>
      </c>
      <c r="O192" s="573" t="s">
        <v>599</v>
      </c>
      <c r="Q192" s="578"/>
      <c r="S192" s="574" t="s">
        <v>577</v>
      </c>
      <c r="T192" s="585" t="s">
        <v>122</v>
      </c>
      <c r="U192" s="573" t="s">
        <v>599</v>
      </c>
      <c r="W192" s="578"/>
      <c r="AE192" s="629"/>
      <c r="AG192" s="573"/>
      <c r="AP192" s="573"/>
      <c r="AR192" s="578"/>
      <c r="AS192" s="586"/>
      <c r="AU192" s="575">
        <f t="shared" si="22"/>
        <v>0</v>
      </c>
      <c r="AV192" s="575">
        <f t="shared" si="23"/>
        <v>0</v>
      </c>
    </row>
    <row r="193" spans="1:48" ht="24" customHeight="1">
      <c r="A193" s="594">
        <f t="shared" ref="A193:A208" si="24">(A192+1)</f>
        <v>91</v>
      </c>
      <c r="B193" s="613" t="s">
        <v>600</v>
      </c>
      <c r="C193" s="596">
        <v>25</v>
      </c>
      <c r="D193" s="595" t="s">
        <v>597</v>
      </c>
      <c r="H193" s="573" t="s">
        <v>580</v>
      </c>
      <c r="N193" s="576"/>
      <c r="O193" s="573" t="s">
        <v>466</v>
      </c>
      <c r="Q193" s="578"/>
      <c r="S193" s="575"/>
      <c r="T193" s="576"/>
      <c r="U193" s="573" t="s">
        <v>580</v>
      </c>
      <c r="W193" s="578"/>
      <c r="AE193" s="629"/>
      <c r="AG193" s="573"/>
      <c r="AP193" s="573"/>
      <c r="AR193" s="578"/>
      <c r="AS193" s="586"/>
      <c r="AU193" s="575">
        <f t="shared" si="22"/>
        <v>0</v>
      </c>
      <c r="AV193" s="575">
        <f t="shared" si="23"/>
        <v>0</v>
      </c>
    </row>
    <row r="194" spans="1:48" ht="24" customHeight="1">
      <c r="A194" s="594">
        <f t="shared" si="24"/>
        <v>92</v>
      </c>
      <c r="B194" s="595" t="s">
        <v>601</v>
      </c>
      <c r="C194" s="593">
        <v>266</v>
      </c>
      <c r="D194" s="595" t="s">
        <v>597</v>
      </c>
      <c r="H194" s="582" t="s">
        <v>117</v>
      </c>
      <c r="N194" s="576"/>
      <c r="O194" s="582" t="s">
        <v>117</v>
      </c>
      <c r="Q194" s="578"/>
      <c r="S194" s="575"/>
      <c r="T194" s="576"/>
      <c r="U194" s="582" t="s">
        <v>117</v>
      </c>
      <c r="W194" s="578"/>
      <c r="AE194" s="629"/>
      <c r="AG194" s="573"/>
      <c r="AU194" s="575">
        <f t="shared" si="22"/>
        <v>0</v>
      </c>
      <c r="AV194" s="575">
        <f t="shared" si="23"/>
        <v>0</v>
      </c>
    </row>
    <row r="195" spans="1:48" ht="24" customHeight="1">
      <c r="A195" s="594">
        <f t="shared" si="24"/>
        <v>93</v>
      </c>
      <c r="B195" s="595" t="s">
        <v>3032</v>
      </c>
      <c r="C195" s="593">
        <v>234.3</v>
      </c>
      <c r="D195" s="615">
        <v>96.11</v>
      </c>
      <c r="F195" s="587">
        <v>9</v>
      </c>
      <c r="G195" s="585" t="s">
        <v>126</v>
      </c>
      <c r="H195" s="573" t="s">
        <v>581</v>
      </c>
      <c r="I195" s="587">
        <f>(C74)</f>
        <v>1250.69</v>
      </c>
      <c r="J195" s="573" t="s">
        <v>126</v>
      </c>
      <c r="K195" s="587">
        <f>(F195*I195)</f>
        <v>11256.210000000001</v>
      </c>
      <c r="M195" s="587">
        <v>9</v>
      </c>
      <c r="N195" s="585" t="s">
        <v>126</v>
      </c>
      <c r="O195" s="573" t="s">
        <v>603</v>
      </c>
      <c r="P195" s="587">
        <f>(C73)</f>
        <v>1644.69</v>
      </c>
      <c r="Q195" s="573" t="s">
        <v>126</v>
      </c>
      <c r="R195" s="587">
        <f>(M195*P195)</f>
        <v>14802.210000000001</v>
      </c>
      <c r="S195" s="587">
        <v>9</v>
      </c>
      <c r="T195" s="585" t="s">
        <v>126</v>
      </c>
      <c r="U195" s="573" t="s">
        <v>581</v>
      </c>
      <c r="V195" s="587">
        <f>(C74)</f>
        <v>1250.69</v>
      </c>
      <c r="W195" s="573" t="s">
        <v>126</v>
      </c>
      <c r="X195" s="587">
        <f>(S195*V195)</f>
        <v>11256.210000000001</v>
      </c>
      <c r="AE195" s="629"/>
      <c r="AG195" s="573"/>
      <c r="AP195" s="573"/>
      <c r="AR195" s="578"/>
      <c r="AS195" s="586"/>
      <c r="AU195" s="575">
        <f t="shared" si="22"/>
        <v>0</v>
      </c>
      <c r="AV195" s="575">
        <f t="shared" si="23"/>
        <v>0</v>
      </c>
    </row>
    <row r="196" spans="1:48" ht="24" customHeight="1">
      <c r="A196" s="594">
        <f t="shared" si="24"/>
        <v>94</v>
      </c>
      <c r="B196" s="595" t="s">
        <v>3033</v>
      </c>
      <c r="C196" s="593">
        <v>144.69999999999999</v>
      </c>
      <c r="D196" s="595" t="s">
        <v>597</v>
      </c>
      <c r="F196" s="587">
        <v>4.5</v>
      </c>
      <c r="G196" s="585" t="s">
        <v>126</v>
      </c>
      <c r="H196" s="573" t="s">
        <v>135</v>
      </c>
      <c r="I196" s="587">
        <f>(K49)</f>
        <v>3080.2</v>
      </c>
      <c r="J196" s="573" t="s">
        <v>126</v>
      </c>
      <c r="K196" s="587">
        <f>(F196*I196)</f>
        <v>13860.9</v>
      </c>
      <c r="M196" s="587">
        <v>4.5</v>
      </c>
      <c r="N196" s="585" t="s">
        <v>126</v>
      </c>
      <c r="O196" s="573" t="s">
        <v>133</v>
      </c>
      <c r="P196" s="587">
        <f>K32</f>
        <v>4193.8</v>
      </c>
      <c r="Q196" s="573" t="s">
        <v>126</v>
      </c>
      <c r="R196" s="587">
        <f>(M196*P196)</f>
        <v>18872.100000000002</v>
      </c>
      <c r="S196" s="587">
        <v>4.5</v>
      </c>
      <c r="T196" s="585" t="s">
        <v>126</v>
      </c>
      <c r="U196" s="573" t="s">
        <v>133</v>
      </c>
      <c r="V196" s="587">
        <f>P196</f>
        <v>4193.8</v>
      </c>
      <c r="W196" s="573" t="s">
        <v>126</v>
      </c>
      <c r="X196" s="587">
        <f>(S196*V196)</f>
        <v>18872.100000000002</v>
      </c>
      <c r="AE196" s="629"/>
      <c r="AG196" s="573"/>
      <c r="AP196" s="573"/>
      <c r="AS196" s="586"/>
      <c r="AU196" s="575">
        <f t="shared" si="22"/>
        <v>0</v>
      </c>
      <c r="AV196" s="575">
        <f t="shared" si="23"/>
        <v>0</v>
      </c>
    </row>
    <row r="197" spans="1:48" ht="24" customHeight="1">
      <c r="A197" s="594">
        <f t="shared" si="24"/>
        <v>95</v>
      </c>
      <c r="B197" s="613" t="s">
        <v>605</v>
      </c>
      <c r="C197" s="596">
        <v>0.25</v>
      </c>
      <c r="D197" s="595" t="s">
        <v>209</v>
      </c>
      <c r="F197" s="587">
        <v>1.8</v>
      </c>
      <c r="G197" s="585" t="s">
        <v>209</v>
      </c>
      <c r="H197" s="573" t="s">
        <v>145</v>
      </c>
      <c r="I197" s="587">
        <f>(C11)</f>
        <v>718</v>
      </c>
      <c r="J197" s="573" t="s">
        <v>209</v>
      </c>
      <c r="K197" s="587">
        <f>(F197*I197)</f>
        <v>1292.4000000000001</v>
      </c>
      <c r="M197" s="587">
        <v>1.8</v>
      </c>
      <c r="N197" s="585" t="s">
        <v>209</v>
      </c>
      <c r="O197" s="573" t="s">
        <v>145</v>
      </c>
      <c r="P197" s="587">
        <f>I197</f>
        <v>718</v>
      </c>
      <c r="Q197" s="573" t="s">
        <v>209</v>
      </c>
      <c r="R197" s="587">
        <f>(M197*P197)</f>
        <v>1292.4000000000001</v>
      </c>
      <c r="S197" s="587">
        <v>1.8</v>
      </c>
      <c r="T197" s="585" t="s">
        <v>209</v>
      </c>
      <c r="U197" s="573" t="s">
        <v>145</v>
      </c>
      <c r="V197" s="587">
        <f>P197</f>
        <v>718</v>
      </c>
      <c r="W197" s="573" t="s">
        <v>209</v>
      </c>
      <c r="X197" s="587">
        <f>(S197*V197)</f>
        <v>1292.4000000000001</v>
      </c>
      <c r="AE197" s="629"/>
      <c r="AG197" s="573"/>
      <c r="AP197" s="573"/>
      <c r="AS197" s="586"/>
      <c r="AU197" s="575">
        <f t="shared" si="22"/>
        <v>0</v>
      </c>
      <c r="AV197" s="575">
        <f t="shared" si="23"/>
        <v>0</v>
      </c>
    </row>
    <row r="198" spans="1:48" ht="24" customHeight="1">
      <c r="A198" s="594">
        <f t="shared" si="24"/>
        <v>96</v>
      </c>
      <c r="B198" s="595" t="s">
        <v>606</v>
      </c>
      <c r="C198" s="592">
        <v>31.65</v>
      </c>
      <c r="D198" s="595" t="s">
        <v>140</v>
      </c>
      <c r="F198" s="587">
        <v>17.7</v>
      </c>
      <c r="G198" s="585" t="s">
        <v>209</v>
      </c>
      <c r="H198" s="573" t="s">
        <v>146</v>
      </c>
      <c r="I198" s="587">
        <f>(C12)</f>
        <v>502</v>
      </c>
      <c r="J198" s="573" t="s">
        <v>209</v>
      </c>
      <c r="K198" s="587">
        <f>(F198*I198)</f>
        <v>8885.4</v>
      </c>
      <c r="M198" s="587">
        <v>17.7</v>
      </c>
      <c r="N198" s="585" t="s">
        <v>209</v>
      </c>
      <c r="O198" s="573" t="s">
        <v>146</v>
      </c>
      <c r="P198" s="587">
        <f>I198</f>
        <v>502</v>
      </c>
      <c r="Q198" s="573" t="s">
        <v>209</v>
      </c>
      <c r="R198" s="587">
        <f>(M198*P198)</f>
        <v>8885.4</v>
      </c>
      <c r="S198" s="587">
        <v>17.7</v>
      </c>
      <c r="T198" s="585" t="s">
        <v>209</v>
      </c>
      <c r="U198" s="573" t="s">
        <v>146</v>
      </c>
      <c r="V198" s="587">
        <f>P198</f>
        <v>502</v>
      </c>
      <c r="W198" s="573" t="s">
        <v>209</v>
      </c>
      <c r="X198" s="587">
        <f>(S198*V198)</f>
        <v>8885.4</v>
      </c>
      <c r="AE198" s="629"/>
      <c r="AG198" s="573"/>
      <c r="AP198" s="573"/>
      <c r="AS198" s="586"/>
      <c r="AU198" s="575">
        <f t="shared" si="22"/>
        <v>0</v>
      </c>
      <c r="AV198" s="575">
        <f t="shared" si="23"/>
        <v>0</v>
      </c>
    </row>
    <row r="199" spans="1:48" ht="24" customHeight="1">
      <c r="A199" s="594">
        <f t="shared" si="24"/>
        <v>97</v>
      </c>
      <c r="B199" s="595" t="s">
        <v>607</v>
      </c>
      <c r="C199" s="592">
        <v>295</v>
      </c>
      <c r="D199" s="592">
        <v>91</v>
      </c>
      <c r="E199" s="595" t="s">
        <v>140</v>
      </c>
      <c r="F199" s="587">
        <v>14.1</v>
      </c>
      <c r="G199" s="585" t="s">
        <v>209</v>
      </c>
      <c r="H199" s="573" t="s">
        <v>147</v>
      </c>
      <c r="I199" s="587">
        <f>(C13)</f>
        <v>412</v>
      </c>
      <c r="J199" s="573" t="s">
        <v>209</v>
      </c>
      <c r="K199" s="587">
        <f>(F199*I199)</f>
        <v>5809.2</v>
      </c>
      <c r="M199" s="587">
        <v>14.1</v>
      </c>
      <c r="N199" s="585" t="s">
        <v>209</v>
      </c>
      <c r="O199" s="573" t="s">
        <v>147</v>
      </c>
      <c r="P199" s="587">
        <f>I199</f>
        <v>412</v>
      </c>
      <c r="Q199" s="573" t="s">
        <v>209</v>
      </c>
      <c r="R199" s="587">
        <f>(M199*P199)</f>
        <v>5809.2</v>
      </c>
      <c r="S199" s="587">
        <v>14.1</v>
      </c>
      <c r="T199" s="585" t="s">
        <v>209</v>
      </c>
      <c r="U199" s="573" t="s">
        <v>147</v>
      </c>
      <c r="V199" s="587">
        <f>P199</f>
        <v>412</v>
      </c>
      <c r="W199" s="573" t="s">
        <v>209</v>
      </c>
      <c r="X199" s="587">
        <f>(S199*V199)</f>
        <v>5809.2</v>
      </c>
      <c r="AE199" s="629"/>
      <c r="AG199" s="573"/>
      <c r="AP199" s="573"/>
      <c r="AS199" s="586"/>
      <c r="AU199" s="575">
        <f t="shared" si="22"/>
        <v>0</v>
      </c>
      <c r="AV199" s="575">
        <f t="shared" si="23"/>
        <v>0</v>
      </c>
    </row>
    <row r="200" spans="1:48" ht="24" customHeight="1">
      <c r="A200" s="594">
        <f t="shared" si="24"/>
        <v>98</v>
      </c>
      <c r="B200" s="595" t="s">
        <v>608</v>
      </c>
      <c r="C200" s="592">
        <v>143</v>
      </c>
      <c r="D200" s="595" t="s">
        <v>1</v>
      </c>
      <c r="G200" s="585" t="s">
        <v>129</v>
      </c>
      <c r="H200" s="573" t="s">
        <v>130</v>
      </c>
      <c r="J200" s="573" t="s">
        <v>129</v>
      </c>
      <c r="K200" s="587">
        <v>0</v>
      </c>
      <c r="N200" s="585" t="s">
        <v>129</v>
      </c>
      <c r="O200" s="573" t="s">
        <v>130</v>
      </c>
      <c r="Q200" s="573" t="s">
        <v>129</v>
      </c>
      <c r="R200" s="587">
        <v>0</v>
      </c>
      <c r="S200" s="575"/>
      <c r="T200" s="585" t="s">
        <v>129</v>
      </c>
      <c r="U200" s="573" t="s">
        <v>130</v>
      </c>
      <c r="W200" s="573" t="s">
        <v>129</v>
      </c>
      <c r="X200" s="587">
        <v>0</v>
      </c>
      <c r="AE200" s="629"/>
      <c r="AG200" s="573"/>
      <c r="AU200" s="575">
        <f t="shared" si="22"/>
        <v>0</v>
      </c>
      <c r="AV200" s="575">
        <f t="shared" si="23"/>
        <v>0</v>
      </c>
    </row>
    <row r="201" spans="1:48" ht="24" customHeight="1">
      <c r="A201" s="594">
        <f t="shared" si="24"/>
        <v>99</v>
      </c>
      <c r="B201" s="595" t="s">
        <v>3034</v>
      </c>
      <c r="C201" s="592">
        <v>1180</v>
      </c>
      <c r="D201" s="595" t="s">
        <v>1</v>
      </c>
      <c r="K201" s="582" t="s">
        <v>117</v>
      </c>
      <c r="N201" s="576"/>
      <c r="Q201" s="578"/>
      <c r="R201" s="582" t="s">
        <v>117</v>
      </c>
      <c r="S201" s="575"/>
      <c r="T201" s="576"/>
      <c r="W201" s="578"/>
      <c r="X201" s="582" t="s">
        <v>117</v>
      </c>
      <c r="AE201" s="629"/>
      <c r="AG201" s="573"/>
      <c r="AU201" s="575">
        <f t="shared" si="22"/>
        <v>0</v>
      </c>
      <c r="AV201" s="575">
        <f t="shared" si="23"/>
        <v>0</v>
      </c>
    </row>
    <row r="202" spans="1:48" ht="24" customHeight="1">
      <c r="A202" s="594">
        <f t="shared" si="24"/>
        <v>100</v>
      </c>
      <c r="B202" s="650" t="s">
        <v>610</v>
      </c>
      <c r="C202" s="605">
        <v>47.2</v>
      </c>
      <c r="D202" s="595" t="s">
        <v>1</v>
      </c>
      <c r="K202" s="587">
        <f>SUM(K195:K200)</f>
        <v>41104.11</v>
      </c>
      <c r="N202" s="576"/>
      <c r="Q202" s="578"/>
      <c r="R202" s="587">
        <f>SUM(R195:R200)</f>
        <v>49661.310000000005</v>
      </c>
      <c r="S202" s="575"/>
      <c r="T202" s="576"/>
      <c r="W202" s="578"/>
      <c r="X202" s="587">
        <f>SUM(X195:X200)</f>
        <v>46115.310000000005</v>
      </c>
      <c r="AE202" s="629"/>
      <c r="AG202" s="573"/>
      <c r="AU202" s="575">
        <f t="shared" si="22"/>
        <v>0</v>
      </c>
      <c r="AV202" s="575">
        <f t="shared" si="23"/>
        <v>0</v>
      </c>
    </row>
    <row r="203" spans="1:48" ht="24" customHeight="1">
      <c r="A203" s="594">
        <f t="shared" si="24"/>
        <v>101</v>
      </c>
      <c r="B203" s="595" t="s">
        <v>3035</v>
      </c>
      <c r="C203" s="593">
        <v>125.6</v>
      </c>
      <c r="D203" s="595" t="s">
        <v>1</v>
      </c>
      <c r="E203" s="618">
        <v>162.9</v>
      </c>
      <c r="H203" s="648" t="s">
        <v>455</v>
      </c>
      <c r="K203" s="582" t="s">
        <v>117</v>
      </c>
      <c r="N203" s="576"/>
      <c r="O203" s="573" t="s">
        <v>455</v>
      </c>
      <c r="Q203" s="578"/>
      <c r="R203" s="582" t="s">
        <v>117</v>
      </c>
      <c r="S203" s="575"/>
      <c r="T203" s="576"/>
      <c r="U203" s="573" t="s">
        <v>455</v>
      </c>
      <c r="W203" s="578"/>
      <c r="X203" s="582" t="s">
        <v>117</v>
      </c>
      <c r="AE203" s="629"/>
      <c r="AG203" s="573"/>
      <c r="AU203" s="575">
        <f t="shared" si="22"/>
        <v>0</v>
      </c>
      <c r="AV203" s="575">
        <f t="shared" si="23"/>
        <v>0</v>
      </c>
    </row>
    <row r="204" spans="1:48" ht="24" customHeight="1">
      <c r="A204" s="594">
        <f t="shared" si="24"/>
        <v>102</v>
      </c>
      <c r="B204" s="595" t="s">
        <v>3036</v>
      </c>
      <c r="C204" s="593">
        <v>62.2</v>
      </c>
      <c r="D204" s="595" t="s">
        <v>1</v>
      </c>
      <c r="K204" s="586">
        <f>(K202/10)</f>
        <v>4110.4110000000001</v>
      </c>
      <c r="N204" s="576"/>
      <c r="Q204" s="578"/>
      <c r="R204" s="587">
        <f>(R202/10)</f>
        <v>4966.1310000000003</v>
      </c>
      <c r="S204" s="575"/>
      <c r="T204" s="576"/>
      <c r="W204" s="578"/>
      <c r="X204" s="587">
        <f>(X202/10)</f>
        <v>4611.5310000000009</v>
      </c>
      <c r="AE204" s="629"/>
      <c r="AU204" s="575">
        <f t="shared" si="22"/>
        <v>0</v>
      </c>
      <c r="AV204" s="575">
        <f t="shared" si="23"/>
        <v>0</v>
      </c>
    </row>
    <row r="205" spans="1:48" ht="24" customHeight="1">
      <c r="A205" s="594">
        <f t="shared" si="24"/>
        <v>103</v>
      </c>
      <c r="B205" s="595" t="s">
        <v>613</v>
      </c>
      <c r="C205" s="593">
        <v>100</v>
      </c>
      <c r="D205" s="595" t="s">
        <v>1</v>
      </c>
      <c r="H205" s="589" t="s">
        <v>383</v>
      </c>
      <c r="K205" s="582" t="s">
        <v>155</v>
      </c>
      <c r="N205" s="576"/>
      <c r="O205" s="573" t="s">
        <v>383</v>
      </c>
      <c r="Q205" s="578"/>
      <c r="R205" s="582" t="s">
        <v>155</v>
      </c>
      <c r="S205" s="575"/>
      <c r="T205" s="576"/>
      <c r="U205" s="573" t="s">
        <v>383</v>
      </c>
      <c r="W205" s="578"/>
      <c r="X205" s="582" t="s">
        <v>155</v>
      </c>
      <c r="AE205" s="629"/>
      <c r="AU205" s="575">
        <f t="shared" si="22"/>
        <v>0</v>
      </c>
      <c r="AV205" s="575">
        <f t="shared" si="23"/>
        <v>0</v>
      </c>
    </row>
    <row r="206" spans="1:48" ht="24" customHeight="1">
      <c r="A206" s="594">
        <f t="shared" si="24"/>
        <v>104</v>
      </c>
      <c r="B206" s="595" t="s">
        <v>3037</v>
      </c>
      <c r="C206" s="593">
        <v>99.6</v>
      </c>
      <c r="D206" s="595" t="s">
        <v>1</v>
      </c>
      <c r="E206" s="618">
        <v>138</v>
      </c>
      <c r="AE206" s="629"/>
      <c r="AG206" s="573"/>
      <c r="AU206" s="575">
        <f t="shared" si="22"/>
        <v>0</v>
      </c>
      <c r="AV206" s="575">
        <f t="shared" si="23"/>
        <v>0</v>
      </c>
    </row>
    <row r="207" spans="1:48" ht="24" customHeight="1">
      <c r="A207" s="594">
        <f t="shared" si="24"/>
        <v>105</v>
      </c>
      <c r="B207" s="595" t="s">
        <v>3038</v>
      </c>
      <c r="C207" s="593">
        <v>223.2</v>
      </c>
      <c r="D207" s="595" t="s">
        <v>616</v>
      </c>
      <c r="F207" s="574" t="s">
        <v>617</v>
      </c>
      <c r="G207" s="585" t="s">
        <v>122</v>
      </c>
      <c r="H207" s="573" t="s">
        <v>618</v>
      </c>
      <c r="AE207" s="629"/>
      <c r="AU207" s="575">
        <f t="shared" si="22"/>
        <v>0</v>
      </c>
      <c r="AV207" s="575">
        <f t="shared" si="23"/>
        <v>0</v>
      </c>
    </row>
    <row r="208" spans="1:48" ht="24" customHeight="1">
      <c r="A208" s="594">
        <f t="shared" si="24"/>
        <v>106</v>
      </c>
      <c r="B208" s="595" t="s">
        <v>3039</v>
      </c>
      <c r="C208" s="593">
        <v>162.9</v>
      </c>
      <c r="D208" s="595" t="s">
        <v>1</v>
      </c>
      <c r="H208" s="573" t="s">
        <v>466</v>
      </c>
      <c r="N208" s="573" t="s">
        <v>196</v>
      </c>
      <c r="O208" s="573" t="s">
        <v>620</v>
      </c>
      <c r="AE208" s="629"/>
      <c r="AU208" s="575">
        <f t="shared" si="22"/>
        <v>0</v>
      </c>
      <c r="AV208" s="575">
        <f t="shared" si="23"/>
        <v>0</v>
      </c>
    </row>
    <row r="209" spans="1:48" ht="24" customHeight="1">
      <c r="A209" s="608"/>
      <c r="B209" s="608"/>
      <c r="C209" s="608"/>
      <c r="D209" s="608"/>
      <c r="H209" s="582" t="s">
        <v>117</v>
      </c>
      <c r="O209" s="582" t="s">
        <v>117</v>
      </c>
      <c r="AE209" s="629"/>
      <c r="AU209" s="575">
        <f t="shared" si="22"/>
        <v>0</v>
      </c>
      <c r="AV209" s="575">
        <f t="shared" si="23"/>
        <v>0</v>
      </c>
    </row>
    <row r="210" spans="1:48" ht="24" customHeight="1">
      <c r="A210" s="608"/>
      <c r="B210" s="608"/>
      <c r="C210" s="608"/>
      <c r="D210" s="608"/>
      <c r="F210" s="587">
        <v>9</v>
      </c>
      <c r="G210" s="585" t="s">
        <v>126</v>
      </c>
      <c r="H210" s="573" t="s">
        <v>603</v>
      </c>
      <c r="I210" s="587">
        <f>C73</f>
        <v>1644.69</v>
      </c>
      <c r="J210" s="573" t="s">
        <v>126</v>
      </c>
      <c r="K210" s="587">
        <f>(F210*I210)</f>
        <v>14802.210000000001</v>
      </c>
      <c r="M210" s="651">
        <v>1.153E-2</v>
      </c>
      <c r="N210" s="573" t="s">
        <v>126</v>
      </c>
      <c r="O210" s="573" t="s">
        <v>621</v>
      </c>
      <c r="P210" s="587">
        <f>C88</f>
        <v>111600</v>
      </c>
      <c r="Q210" s="573" t="s">
        <v>126</v>
      </c>
      <c r="R210" s="587">
        <f t="shared" ref="R210:R219" si="25">(M210*P210)</f>
        <v>1286.748</v>
      </c>
      <c r="AE210" s="629"/>
      <c r="AU210" s="575">
        <f t="shared" si="22"/>
        <v>0</v>
      </c>
      <c r="AV210" s="575">
        <f t="shared" si="23"/>
        <v>0</v>
      </c>
    </row>
    <row r="211" spans="1:48" ht="24" customHeight="1">
      <c r="A211" s="608"/>
      <c r="B211" s="608"/>
      <c r="C211" s="608"/>
      <c r="D211" s="608"/>
      <c r="F211" s="587">
        <v>4.5</v>
      </c>
      <c r="G211" s="585" t="s">
        <v>126</v>
      </c>
      <c r="H211" s="573" t="s">
        <v>132</v>
      </c>
      <c r="I211" s="587">
        <f>K23</f>
        <v>5585.8</v>
      </c>
      <c r="J211" s="573" t="s">
        <v>126</v>
      </c>
      <c r="K211" s="587">
        <f>(F211*I211)</f>
        <v>25136.100000000002</v>
      </c>
      <c r="M211" s="651">
        <v>1.013E-2</v>
      </c>
      <c r="N211" s="573" t="s">
        <v>126</v>
      </c>
      <c r="O211" s="573" t="s">
        <v>622</v>
      </c>
      <c r="P211" s="587">
        <f>C89</f>
        <v>99400</v>
      </c>
      <c r="Q211" s="573" t="s">
        <v>126</v>
      </c>
      <c r="R211" s="587">
        <f t="shared" si="25"/>
        <v>1006.922</v>
      </c>
      <c r="AE211" s="629"/>
      <c r="AU211" s="575">
        <f t="shared" si="22"/>
        <v>0</v>
      </c>
      <c r="AV211" s="575">
        <f t="shared" si="23"/>
        <v>0</v>
      </c>
    </row>
    <row r="212" spans="1:48" ht="24" customHeight="1">
      <c r="A212" s="608"/>
      <c r="B212" s="608"/>
      <c r="C212" s="608"/>
      <c r="D212" s="608"/>
      <c r="F212" s="587">
        <v>1.8</v>
      </c>
      <c r="G212" s="585" t="s">
        <v>209</v>
      </c>
      <c r="H212" s="573" t="s">
        <v>145</v>
      </c>
      <c r="I212" s="587">
        <f>C11</f>
        <v>718</v>
      </c>
      <c r="J212" s="573" t="s">
        <v>209</v>
      </c>
      <c r="K212" s="587">
        <f>(F212*I212)</f>
        <v>1292.4000000000001</v>
      </c>
      <c r="M212" s="651">
        <v>0.77780000000000005</v>
      </c>
      <c r="N212" s="573" t="s">
        <v>140</v>
      </c>
      <c r="O212" s="573" t="s">
        <v>623</v>
      </c>
      <c r="P212" s="587">
        <f>C783</f>
        <v>387.4</v>
      </c>
      <c r="Q212" s="573" t="s">
        <v>140</v>
      </c>
      <c r="R212" s="587">
        <f t="shared" si="25"/>
        <v>301.31972000000002</v>
      </c>
      <c r="AE212" s="629"/>
      <c r="AU212" s="575">
        <f t="shared" si="22"/>
        <v>0</v>
      </c>
      <c r="AV212" s="575">
        <f t="shared" si="23"/>
        <v>0</v>
      </c>
    </row>
    <row r="213" spans="1:48" ht="24" customHeight="1">
      <c r="A213" s="608"/>
      <c r="B213" s="608"/>
      <c r="C213" s="608"/>
      <c r="D213" s="608"/>
      <c r="F213" s="587">
        <v>17.7</v>
      </c>
      <c r="G213" s="585" t="s">
        <v>209</v>
      </c>
      <c r="H213" s="573" t="s">
        <v>146</v>
      </c>
      <c r="I213" s="587">
        <f>C12</f>
        <v>502</v>
      </c>
      <c r="J213" s="573" t="s">
        <v>209</v>
      </c>
      <c r="K213" s="587">
        <f>(F213*I213)</f>
        <v>8885.4</v>
      </c>
      <c r="M213" s="651">
        <v>1.23</v>
      </c>
      <c r="N213" s="573" t="s">
        <v>140</v>
      </c>
      <c r="O213" s="573" t="s">
        <v>624</v>
      </c>
      <c r="P213" s="587">
        <f>D30</f>
        <v>963</v>
      </c>
      <c r="Q213" s="573" t="s">
        <v>140</v>
      </c>
      <c r="R213" s="587">
        <f t="shared" si="25"/>
        <v>1184.49</v>
      </c>
      <c r="AE213" s="629"/>
      <c r="AU213" s="575">
        <f t="shared" si="22"/>
        <v>0</v>
      </c>
      <c r="AV213" s="575">
        <f t="shared" si="23"/>
        <v>0</v>
      </c>
    </row>
    <row r="214" spans="1:48" ht="24" customHeight="1">
      <c r="A214" s="608"/>
      <c r="B214" s="608"/>
      <c r="C214" s="608"/>
      <c r="D214" s="608"/>
      <c r="F214" s="587">
        <v>14.1</v>
      </c>
      <c r="G214" s="585" t="s">
        <v>209</v>
      </c>
      <c r="H214" s="573" t="s">
        <v>147</v>
      </c>
      <c r="I214" s="587">
        <f>C13</f>
        <v>412</v>
      </c>
      <c r="J214" s="573" t="s">
        <v>209</v>
      </c>
      <c r="K214" s="587">
        <f>(F214*I214)</f>
        <v>5809.2</v>
      </c>
      <c r="M214" s="587">
        <v>2</v>
      </c>
      <c r="N214" s="573" t="s">
        <v>209</v>
      </c>
      <c r="O214" s="573" t="s">
        <v>625</v>
      </c>
      <c r="P214" s="587">
        <f>C284</f>
        <v>57.2</v>
      </c>
      <c r="Q214" s="573" t="s">
        <v>209</v>
      </c>
      <c r="R214" s="587">
        <f t="shared" si="25"/>
        <v>114.4</v>
      </c>
      <c r="AE214" s="629"/>
      <c r="AU214" s="575">
        <f t="shared" si="22"/>
        <v>0</v>
      </c>
      <c r="AV214" s="575">
        <f t="shared" si="23"/>
        <v>0</v>
      </c>
    </row>
    <row r="215" spans="1:48" ht="24" customHeight="1">
      <c r="A215" s="608"/>
      <c r="B215" s="608"/>
      <c r="C215" s="608"/>
      <c r="D215" s="608"/>
      <c r="G215" s="585" t="s">
        <v>129</v>
      </c>
      <c r="H215" s="573" t="s">
        <v>130</v>
      </c>
      <c r="J215" s="573" t="s">
        <v>129</v>
      </c>
      <c r="K215" s="587">
        <v>0</v>
      </c>
      <c r="M215" s="587">
        <v>3</v>
      </c>
      <c r="N215" s="573" t="s">
        <v>209</v>
      </c>
      <c r="O215" s="573" t="s">
        <v>626</v>
      </c>
      <c r="P215" s="587">
        <f>C279</f>
        <v>79.099999999999994</v>
      </c>
      <c r="Q215" s="573" t="s">
        <v>209</v>
      </c>
      <c r="R215" s="587">
        <f t="shared" si="25"/>
        <v>237.29999999999998</v>
      </c>
      <c r="AE215" s="629"/>
      <c r="AU215" s="575">
        <f t="shared" si="22"/>
        <v>0</v>
      </c>
      <c r="AV215" s="575">
        <f t="shared" si="23"/>
        <v>0</v>
      </c>
    </row>
    <row r="216" spans="1:48" ht="24" customHeight="1">
      <c r="A216" s="608"/>
      <c r="B216" s="608"/>
      <c r="C216" s="608"/>
      <c r="D216" s="608"/>
      <c r="K216" s="582" t="s">
        <v>117</v>
      </c>
      <c r="M216" s="587">
        <v>1</v>
      </c>
      <c r="N216" s="573" t="s">
        <v>209</v>
      </c>
      <c r="O216" s="573" t="s">
        <v>627</v>
      </c>
      <c r="P216" s="587">
        <f>C286</f>
        <v>159.69999999999999</v>
      </c>
      <c r="Q216" s="573" t="s">
        <v>209</v>
      </c>
      <c r="R216" s="587">
        <f t="shared" si="25"/>
        <v>159.69999999999999</v>
      </c>
      <c r="T216" s="575">
        <v>0</v>
      </c>
      <c r="AE216" s="629"/>
      <c r="AU216" s="575">
        <f t="shared" si="22"/>
        <v>0</v>
      </c>
      <c r="AV216" s="575">
        <f t="shared" si="23"/>
        <v>0</v>
      </c>
    </row>
    <row r="217" spans="1:48" ht="24" customHeight="1">
      <c r="A217" s="608"/>
      <c r="B217" s="608"/>
      <c r="C217" s="608"/>
      <c r="D217" s="608"/>
      <c r="H217" s="575" t="s">
        <v>115</v>
      </c>
      <c r="K217" s="587">
        <f>SUM(K210:K215)</f>
        <v>55925.310000000005</v>
      </c>
      <c r="M217" s="587">
        <v>1</v>
      </c>
      <c r="N217" s="573" t="s">
        <v>209</v>
      </c>
      <c r="O217" s="573" t="s">
        <v>628</v>
      </c>
      <c r="P217" s="587">
        <f>C288</f>
        <v>7.3</v>
      </c>
      <c r="Q217" s="573" t="s">
        <v>209</v>
      </c>
      <c r="R217" s="587">
        <f t="shared" si="25"/>
        <v>7.3</v>
      </c>
      <c r="AE217" s="629"/>
      <c r="AU217" s="575">
        <f t="shared" si="22"/>
        <v>0</v>
      </c>
      <c r="AV217" s="575">
        <f t="shared" si="23"/>
        <v>0</v>
      </c>
    </row>
    <row r="218" spans="1:48" ht="24" customHeight="1">
      <c r="A218" s="608"/>
      <c r="B218" s="608"/>
      <c r="C218" s="608"/>
      <c r="D218" s="608"/>
      <c r="H218" s="573" t="s">
        <v>455</v>
      </c>
      <c r="K218" s="582" t="s">
        <v>117</v>
      </c>
      <c r="M218" s="587">
        <v>1</v>
      </c>
      <c r="N218" s="573" t="s">
        <v>209</v>
      </c>
      <c r="O218" s="573" t="s">
        <v>629</v>
      </c>
      <c r="P218" s="587">
        <f>C598</f>
        <v>50.9</v>
      </c>
      <c r="Q218" s="573" t="s">
        <v>209</v>
      </c>
      <c r="R218" s="587">
        <f t="shared" si="25"/>
        <v>50.9</v>
      </c>
      <c r="AE218" s="629"/>
    </row>
    <row r="219" spans="1:48" ht="24" customHeight="1">
      <c r="A219" s="608"/>
      <c r="B219" s="608"/>
      <c r="C219" s="608"/>
      <c r="D219" s="608"/>
      <c r="K219" s="586">
        <f>(K217/10)</f>
        <v>5592.5310000000009</v>
      </c>
      <c r="M219" s="587">
        <v>1</v>
      </c>
      <c r="N219" s="573" t="s">
        <v>209</v>
      </c>
      <c r="O219" s="573" t="s">
        <v>630</v>
      </c>
      <c r="P219" s="587">
        <f>D598</f>
        <v>43.8</v>
      </c>
      <c r="Q219" s="573" t="s">
        <v>209</v>
      </c>
      <c r="R219" s="587">
        <f t="shared" si="25"/>
        <v>43.8</v>
      </c>
      <c r="AE219" s="629"/>
    </row>
    <row r="220" spans="1:48" ht="24" customHeight="1">
      <c r="A220" s="608"/>
      <c r="B220" s="608"/>
      <c r="C220" s="608"/>
      <c r="D220" s="608"/>
      <c r="H220" s="589" t="s">
        <v>383</v>
      </c>
      <c r="K220" s="582" t="s">
        <v>155</v>
      </c>
      <c r="R220" s="582" t="s">
        <v>117</v>
      </c>
      <c r="AE220" s="629"/>
    </row>
    <row r="221" spans="1:48" ht="24" customHeight="1">
      <c r="A221" s="608"/>
      <c r="B221" s="608"/>
      <c r="C221" s="608"/>
      <c r="D221" s="608"/>
      <c r="O221" s="574" t="s">
        <v>631</v>
      </c>
      <c r="R221" s="587">
        <f>SUM(R210:R219)</f>
        <v>4392.8797199999999</v>
      </c>
      <c r="AE221" s="629"/>
    </row>
    <row r="222" spans="1:48" ht="24" customHeight="1">
      <c r="A222" s="608"/>
      <c r="B222" s="608"/>
      <c r="C222" s="608"/>
      <c r="D222" s="608"/>
      <c r="F222" s="574" t="s">
        <v>632</v>
      </c>
      <c r="G222" s="585" t="s">
        <v>122</v>
      </c>
      <c r="H222" s="573" t="s">
        <v>633</v>
      </c>
      <c r="N222" s="573" t="s">
        <v>115</v>
      </c>
      <c r="R222" s="582" t="s">
        <v>117</v>
      </c>
      <c r="AE222" s="629"/>
    </row>
    <row r="223" spans="1:48" ht="24" customHeight="1">
      <c r="A223" s="608"/>
      <c r="B223" s="608"/>
      <c r="C223" s="608"/>
      <c r="D223" s="608"/>
      <c r="H223" s="573" t="s">
        <v>634</v>
      </c>
      <c r="M223" s="573" t="s">
        <v>115</v>
      </c>
      <c r="AE223" s="629"/>
    </row>
    <row r="224" spans="1:48" ht="24" customHeight="1">
      <c r="A224" s="608"/>
      <c r="B224" s="608"/>
      <c r="C224" s="608"/>
      <c r="D224" s="608"/>
      <c r="H224" s="582" t="s">
        <v>117</v>
      </c>
      <c r="O224" s="574" t="s">
        <v>154</v>
      </c>
      <c r="R224" s="587">
        <f>R221/M213</f>
        <v>3571.4469268292683</v>
      </c>
      <c r="AE224" s="629"/>
    </row>
    <row r="225" spans="1:31" ht="24" customHeight="1">
      <c r="A225" s="608"/>
      <c r="B225" s="608"/>
      <c r="C225" s="608"/>
      <c r="D225" s="608"/>
      <c r="F225" s="587">
        <v>9</v>
      </c>
      <c r="G225" s="585" t="s">
        <v>126</v>
      </c>
      <c r="H225" s="573" t="s">
        <v>635</v>
      </c>
      <c r="I225" s="587">
        <f>AC20</f>
        <v>965.92</v>
      </c>
      <c r="J225" s="573" t="s">
        <v>126</v>
      </c>
      <c r="K225" s="587">
        <f>(F225*I225)</f>
        <v>8693.2799999999988</v>
      </c>
      <c r="M225" s="573" t="s">
        <v>636</v>
      </c>
      <c r="AE225" s="629"/>
    </row>
    <row r="226" spans="1:31" ht="24" customHeight="1">
      <c r="A226" s="608"/>
      <c r="B226" s="608"/>
      <c r="C226" s="608"/>
      <c r="D226" s="608"/>
      <c r="F226" s="587">
        <v>4.5</v>
      </c>
      <c r="G226" s="585" t="s">
        <v>126</v>
      </c>
      <c r="H226" s="573" t="s">
        <v>138</v>
      </c>
      <c r="I226" s="587">
        <f>K77</f>
        <v>2453.8000000000002</v>
      </c>
      <c r="J226" s="573" t="s">
        <v>126</v>
      </c>
      <c r="K226" s="587">
        <f>(F226*I226)</f>
        <v>11042.1</v>
      </c>
      <c r="AE226" s="629"/>
    </row>
    <row r="227" spans="1:31" ht="24" customHeight="1">
      <c r="A227" s="608"/>
      <c r="B227" s="608"/>
      <c r="C227" s="608"/>
      <c r="D227" s="608"/>
      <c r="F227" s="587">
        <v>1.8</v>
      </c>
      <c r="G227" s="585" t="s">
        <v>209</v>
      </c>
      <c r="H227" s="573" t="s">
        <v>145</v>
      </c>
      <c r="I227" s="587">
        <f>C11</f>
        <v>718</v>
      </c>
      <c r="J227" s="573" t="s">
        <v>209</v>
      </c>
      <c r="K227" s="587">
        <f>(F227*I227)</f>
        <v>1292.4000000000001</v>
      </c>
      <c r="AE227" s="629"/>
    </row>
    <row r="228" spans="1:31" ht="24" customHeight="1">
      <c r="A228" s="608"/>
      <c r="B228" s="608"/>
      <c r="C228" s="608"/>
      <c r="D228" s="608"/>
      <c r="F228" s="587">
        <v>17.7</v>
      </c>
      <c r="G228" s="585" t="s">
        <v>209</v>
      </c>
      <c r="H228" s="573" t="s">
        <v>146</v>
      </c>
      <c r="I228" s="587">
        <f>C12</f>
        <v>502</v>
      </c>
      <c r="J228" s="573" t="s">
        <v>209</v>
      </c>
      <c r="K228" s="587">
        <f>(F228*I228)</f>
        <v>8885.4</v>
      </c>
      <c r="M228" s="574" t="s">
        <v>632</v>
      </c>
      <c r="N228" s="585" t="s">
        <v>122</v>
      </c>
      <c r="O228" s="573" t="s">
        <v>637</v>
      </c>
      <c r="Q228" s="578"/>
      <c r="AE228" s="629"/>
    </row>
    <row r="229" spans="1:31" ht="24" customHeight="1">
      <c r="A229" s="608"/>
      <c r="B229" s="608"/>
      <c r="C229" s="608"/>
      <c r="D229" s="608"/>
      <c r="F229" s="587">
        <v>14.1</v>
      </c>
      <c r="G229" s="585" t="s">
        <v>209</v>
      </c>
      <c r="H229" s="573" t="s">
        <v>147</v>
      </c>
      <c r="I229" s="587">
        <f>C13</f>
        <v>412</v>
      </c>
      <c r="J229" s="573" t="s">
        <v>209</v>
      </c>
      <c r="K229" s="587">
        <f>(F229*I229)</f>
        <v>5809.2</v>
      </c>
      <c r="N229" s="576"/>
      <c r="O229" s="573" t="s">
        <v>638</v>
      </c>
      <c r="Q229" s="578"/>
      <c r="AE229" s="629"/>
    </row>
    <row r="230" spans="1:31" ht="24" customHeight="1">
      <c r="A230" s="608"/>
      <c r="B230" s="608"/>
      <c r="C230" s="608"/>
      <c r="D230" s="608"/>
      <c r="G230" s="585" t="s">
        <v>129</v>
      </c>
      <c r="H230" s="573" t="s">
        <v>130</v>
      </c>
      <c r="J230" s="573" t="s">
        <v>129</v>
      </c>
      <c r="K230" s="587">
        <v>0</v>
      </c>
      <c r="N230" s="576"/>
      <c r="O230" s="582" t="s">
        <v>117</v>
      </c>
      <c r="Q230" s="578"/>
      <c r="AE230" s="629"/>
    </row>
    <row r="231" spans="1:31" ht="24" customHeight="1">
      <c r="A231" s="608"/>
      <c r="B231" s="608"/>
      <c r="C231" s="608"/>
      <c r="D231" s="608"/>
      <c r="K231" s="582" t="s">
        <v>117</v>
      </c>
      <c r="M231" s="587">
        <v>9</v>
      </c>
      <c r="N231" s="585" t="s">
        <v>126</v>
      </c>
      <c r="O231" s="573" t="s">
        <v>639</v>
      </c>
      <c r="P231" s="587">
        <f>AC15</f>
        <v>1250.69</v>
      </c>
      <c r="Q231" s="573" t="s">
        <v>126</v>
      </c>
      <c r="R231" s="587">
        <f>(M231*P231)</f>
        <v>11256.210000000001</v>
      </c>
      <c r="AE231" s="629"/>
    </row>
    <row r="232" spans="1:31" ht="24" customHeight="1">
      <c r="A232" s="608"/>
      <c r="B232" s="608"/>
      <c r="C232" s="608"/>
      <c r="D232" s="608"/>
      <c r="K232" s="587">
        <f>SUM(K225:K230)</f>
        <v>35722.379999999997</v>
      </c>
      <c r="M232" s="587">
        <v>4.5</v>
      </c>
      <c r="N232" s="585" t="s">
        <v>126</v>
      </c>
      <c r="O232" s="573" t="s">
        <v>134</v>
      </c>
      <c r="P232" s="587">
        <f>K40</f>
        <v>3497.8</v>
      </c>
      <c r="Q232" s="573" t="s">
        <v>126</v>
      </c>
      <c r="R232" s="587">
        <f>(M232*P232)</f>
        <v>15740.1</v>
      </c>
      <c r="AE232" s="629"/>
    </row>
    <row r="233" spans="1:31" ht="24" customHeight="1">
      <c r="A233" s="608"/>
      <c r="B233" s="608"/>
      <c r="C233" s="608"/>
      <c r="D233" s="608"/>
      <c r="H233" s="573" t="s">
        <v>455</v>
      </c>
      <c r="K233" s="582" t="s">
        <v>117</v>
      </c>
      <c r="M233" s="587">
        <v>1.8</v>
      </c>
      <c r="N233" s="585" t="s">
        <v>209</v>
      </c>
      <c r="O233" s="573" t="s">
        <v>145</v>
      </c>
      <c r="P233" s="587">
        <f>I227</f>
        <v>718</v>
      </c>
      <c r="Q233" s="573" t="s">
        <v>209</v>
      </c>
      <c r="R233" s="587">
        <f>(M233*P233)</f>
        <v>1292.4000000000001</v>
      </c>
      <c r="AE233" s="629"/>
    </row>
    <row r="234" spans="1:31" ht="24" customHeight="1">
      <c r="A234" s="608"/>
      <c r="B234" s="608"/>
      <c r="C234" s="608"/>
      <c r="D234" s="608"/>
      <c r="K234" s="586">
        <f>(K232/10)</f>
        <v>3572.2379999999998</v>
      </c>
      <c r="M234" s="587">
        <v>17.7</v>
      </c>
      <c r="N234" s="585" t="s">
        <v>209</v>
      </c>
      <c r="O234" s="573" t="s">
        <v>146</v>
      </c>
      <c r="P234" s="587">
        <f>I228</f>
        <v>502</v>
      </c>
      <c r="Q234" s="573" t="s">
        <v>209</v>
      </c>
      <c r="R234" s="587">
        <f>(M234*P234)</f>
        <v>8885.4</v>
      </c>
      <c r="AE234" s="629"/>
    </row>
    <row r="235" spans="1:31" ht="24" customHeight="1">
      <c r="A235" s="608"/>
      <c r="B235" s="608"/>
      <c r="C235" s="608"/>
      <c r="D235" s="608"/>
      <c r="H235" s="589" t="s">
        <v>383</v>
      </c>
      <c r="K235" s="582" t="s">
        <v>155</v>
      </c>
      <c r="M235" s="587">
        <v>14.1</v>
      </c>
      <c r="N235" s="585" t="s">
        <v>209</v>
      </c>
      <c r="O235" s="573" t="s">
        <v>147</v>
      </c>
      <c r="P235" s="587">
        <f>I229</f>
        <v>412</v>
      </c>
      <c r="Q235" s="573" t="s">
        <v>209</v>
      </c>
      <c r="R235" s="587">
        <f>(M235*P235)</f>
        <v>5809.2</v>
      </c>
      <c r="AE235" s="629"/>
    </row>
    <row r="236" spans="1:31" ht="24" customHeight="1">
      <c r="A236" s="608"/>
      <c r="B236" s="608"/>
      <c r="C236" s="608"/>
      <c r="D236" s="608"/>
      <c r="N236" s="585" t="s">
        <v>129</v>
      </c>
      <c r="O236" s="573" t="s">
        <v>130</v>
      </c>
      <c r="Q236" s="573" t="s">
        <v>129</v>
      </c>
      <c r="R236" s="587">
        <v>0</v>
      </c>
      <c r="AE236" s="629"/>
    </row>
    <row r="237" spans="1:31" ht="24" customHeight="1">
      <c r="A237" s="608"/>
      <c r="B237" s="608"/>
      <c r="C237" s="608"/>
      <c r="D237" s="608"/>
      <c r="N237" s="576"/>
      <c r="Q237" s="578"/>
      <c r="R237" s="582" t="s">
        <v>117</v>
      </c>
      <c r="AE237" s="629"/>
    </row>
    <row r="238" spans="1:31" ht="24" customHeight="1">
      <c r="A238" s="608"/>
      <c r="B238" s="608"/>
      <c r="C238" s="608"/>
      <c r="D238" s="608"/>
      <c r="F238" s="620">
        <v>3.6</v>
      </c>
      <c r="H238" s="573" t="s">
        <v>640</v>
      </c>
      <c r="N238" s="576"/>
      <c r="Q238" s="578"/>
      <c r="R238" s="587">
        <f>SUM(R231:R236)</f>
        <v>42983.31</v>
      </c>
      <c r="AE238" s="629"/>
    </row>
    <row r="239" spans="1:31" ht="24" customHeight="1">
      <c r="A239" s="608"/>
      <c r="B239" s="608"/>
      <c r="C239" s="608"/>
      <c r="D239" s="608"/>
      <c r="H239" s="573" t="s">
        <v>641</v>
      </c>
      <c r="N239" s="576"/>
      <c r="O239" s="573" t="s">
        <v>455</v>
      </c>
      <c r="Q239" s="578"/>
      <c r="R239" s="582" t="s">
        <v>117</v>
      </c>
      <c r="AE239" s="629"/>
    </row>
    <row r="240" spans="1:31" ht="24" customHeight="1">
      <c r="A240" s="608"/>
      <c r="B240" s="608"/>
      <c r="C240" s="608"/>
      <c r="D240" s="608"/>
      <c r="H240" s="582" t="s">
        <v>155</v>
      </c>
      <c r="N240" s="576"/>
      <c r="Q240" s="578"/>
      <c r="R240" s="586">
        <f>(R238/10)</f>
        <v>4298.3310000000001</v>
      </c>
      <c r="AE240" s="629"/>
    </row>
    <row r="241" spans="1:31" ht="24" customHeight="1">
      <c r="A241" s="608"/>
      <c r="B241" s="608"/>
      <c r="C241" s="608"/>
      <c r="D241" s="608"/>
      <c r="F241" s="587">
        <v>1.25</v>
      </c>
      <c r="G241" s="585" t="s">
        <v>642</v>
      </c>
      <c r="H241" s="573" t="s">
        <v>643</v>
      </c>
      <c r="I241" s="649">
        <f>C812</f>
        <v>3.15</v>
      </c>
      <c r="J241" s="573" t="s">
        <v>642</v>
      </c>
      <c r="K241" s="587">
        <f>(F241*I241)</f>
        <v>3.9375</v>
      </c>
      <c r="N241" s="576"/>
      <c r="O241" s="589" t="s">
        <v>383</v>
      </c>
      <c r="Q241" s="578"/>
      <c r="R241" s="582" t="s">
        <v>155</v>
      </c>
      <c r="AE241" s="629"/>
    </row>
    <row r="242" spans="1:31" ht="24" customHeight="1">
      <c r="A242" s="608"/>
      <c r="B242" s="608"/>
      <c r="C242" s="608"/>
      <c r="D242" s="608"/>
      <c r="F242" s="587">
        <v>0.75</v>
      </c>
      <c r="G242" s="585" t="s">
        <v>642</v>
      </c>
      <c r="H242" s="573" t="s">
        <v>644</v>
      </c>
      <c r="I242" s="587">
        <f>AC37</f>
        <v>1042.44</v>
      </c>
      <c r="J242" s="573" t="s">
        <v>642</v>
      </c>
      <c r="K242" s="587">
        <f>(F242*I242)</f>
        <v>781.83</v>
      </c>
      <c r="AE242" s="629"/>
    </row>
    <row r="243" spans="1:31" ht="24" customHeight="1">
      <c r="A243" s="608"/>
      <c r="B243" s="608"/>
      <c r="C243" s="608"/>
      <c r="D243" s="608"/>
      <c r="F243" s="587">
        <v>0.5</v>
      </c>
      <c r="G243" s="585" t="s">
        <v>642</v>
      </c>
      <c r="H243" s="573" t="s">
        <v>645</v>
      </c>
      <c r="I243" s="587">
        <f>AC36</f>
        <v>1187.69</v>
      </c>
      <c r="J243" s="573" t="s">
        <v>642</v>
      </c>
      <c r="K243" s="587">
        <f>(F243*I243)</f>
        <v>593.84500000000003</v>
      </c>
      <c r="AE243" s="629"/>
    </row>
    <row r="244" spans="1:31" ht="24" customHeight="1">
      <c r="A244" s="608"/>
      <c r="B244" s="608"/>
      <c r="C244" s="608"/>
      <c r="D244" s="608"/>
      <c r="F244" s="587">
        <v>0.45</v>
      </c>
      <c r="G244" s="585" t="s">
        <v>642</v>
      </c>
      <c r="H244" s="573" t="s">
        <v>646</v>
      </c>
      <c r="I244" s="587">
        <f>AC38</f>
        <v>456.69</v>
      </c>
      <c r="J244" s="573" t="s">
        <v>642</v>
      </c>
      <c r="K244" s="587">
        <f>(F244*I244)</f>
        <v>205.51050000000001</v>
      </c>
      <c r="AE244" s="629"/>
    </row>
    <row r="245" spans="1:31" ht="24" customHeight="1">
      <c r="A245" s="608"/>
      <c r="B245" s="608"/>
      <c r="C245" s="608"/>
      <c r="D245" s="608"/>
      <c r="F245" s="587">
        <v>10</v>
      </c>
      <c r="G245" s="585" t="s">
        <v>110</v>
      </c>
      <c r="H245" s="573" t="s">
        <v>647</v>
      </c>
      <c r="I245" s="649">
        <v>17.82</v>
      </c>
      <c r="J245" s="573" t="s">
        <v>110</v>
      </c>
      <c r="K245" s="587">
        <f>(F245*I245)</f>
        <v>178.2</v>
      </c>
      <c r="AE245" s="629"/>
    </row>
    <row r="246" spans="1:31" ht="24" customHeight="1">
      <c r="A246" s="608"/>
      <c r="B246" s="608"/>
      <c r="C246" s="608"/>
      <c r="D246" s="608"/>
      <c r="H246" s="573" t="s">
        <v>648</v>
      </c>
      <c r="K246" s="582" t="s">
        <v>117</v>
      </c>
      <c r="AE246" s="629"/>
    </row>
    <row r="247" spans="1:31" ht="24" customHeight="1">
      <c r="A247" s="608"/>
      <c r="B247" s="608"/>
      <c r="C247" s="608"/>
      <c r="D247" s="608"/>
      <c r="H247" s="573" t="s">
        <v>649</v>
      </c>
      <c r="K247" s="587">
        <f>SUM(K241:K245)</f>
        <v>1763.3230000000003</v>
      </c>
      <c r="AE247" s="629"/>
    </row>
    <row r="248" spans="1:31" ht="24" customHeight="1">
      <c r="A248" s="608"/>
      <c r="B248" s="608"/>
      <c r="C248" s="608"/>
      <c r="D248" s="608"/>
      <c r="K248" s="582" t="s">
        <v>117</v>
      </c>
      <c r="AE248" s="629"/>
    </row>
    <row r="249" spans="1:31" ht="24" customHeight="1">
      <c r="A249" s="608"/>
      <c r="B249" s="608"/>
      <c r="C249" s="608"/>
      <c r="D249" s="608"/>
      <c r="H249" s="589" t="s">
        <v>650</v>
      </c>
      <c r="K249" s="586">
        <f>K247/10</f>
        <v>176.33230000000003</v>
      </c>
      <c r="AE249" s="629"/>
    </row>
    <row r="250" spans="1:31" ht="24" customHeight="1">
      <c r="A250" s="608"/>
      <c r="B250" s="608"/>
      <c r="C250" s="608"/>
      <c r="D250" s="608"/>
      <c r="K250" s="582" t="s">
        <v>155</v>
      </c>
      <c r="AE250" s="629"/>
    </row>
    <row r="251" spans="1:31" ht="24" customHeight="1">
      <c r="A251" s="608"/>
      <c r="B251" s="608"/>
      <c r="C251" s="608"/>
      <c r="D251" s="608"/>
      <c r="AE251" s="629"/>
    </row>
    <row r="252" spans="1:31" ht="24" customHeight="1">
      <c r="A252" s="608"/>
      <c r="B252" s="608"/>
      <c r="C252" s="608"/>
      <c r="D252" s="608"/>
      <c r="F252" s="620">
        <v>3.7</v>
      </c>
      <c r="H252" s="573" t="s">
        <v>651</v>
      </c>
      <c r="AE252" s="629"/>
    </row>
    <row r="253" spans="1:31" ht="24" customHeight="1">
      <c r="A253" s="608"/>
      <c r="B253" s="608"/>
      <c r="C253" s="608"/>
      <c r="D253" s="608"/>
      <c r="H253" s="582" t="s">
        <v>117</v>
      </c>
      <c r="AE253" s="629"/>
    </row>
    <row r="254" spans="1:31" ht="24" customHeight="1">
      <c r="A254" s="608"/>
      <c r="B254" s="608"/>
      <c r="C254" s="608"/>
      <c r="D254" s="608"/>
      <c r="F254" s="587">
        <v>2.7</v>
      </c>
      <c r="G254" s="585" t="s">
        <v>642</v>
      </c>
      <c r="H254" s="573" t="s">
        <v>652</v>
      </c>
      <c r="I254" s="587">
        <f>AC35</f>
        <v>1081.69</v>
      </c>
      <c r="J254" s="573" t="s">
        <v>642</v>
      </c>
      <c r="K254" s="587">
        <f>(F254*I254)</f>
        <v>2920.5630000000006</v>
      </c>
      <c r="AE254" s="629"/>
    </row>
    <row r="255" spans="1:31" ht="24" customHeight="1">
      <c r="A255" s="608"/>
      <c r="B255" s="608"/>
      <c r="C255" s="608"/>
      <c r="D255" s="608"/>
      <c r="F255" s="652">
        <v>0.14499999999999999</v>
      </c>
      <c r="G255" s="585" t="s">
        <v>642</v>
      </c>
      <c r="H255" s="573" t="s">
        <v>653</v>
      </c>
      <c r="I255" s="587">
        <f>AC17</f>
        <v>1322.8</v>
      </c>
      <c r="J255" s="573" t="s">
        <v>642</v>
      </c>
      <c r="K255" s="587">
        <f>(F255*I255)</f>
        <v>191.80599999999998</v>
      </c>
      <c r="AE255" s="629"/>
    </row>
    <row r="256" spans="1:31" ht="24" customHeight="1">
      <c r="A256" s="608"/>
      <c r="B256" s="608"/>
      <c r="C256" s="608"/>
      <c r="D256" s="608"/>
      <c r="F256" s="587">
        <v>218.8</v>
      </c>
      <c r="G256" s="585" t="s">
        <v>654</v>
      </c>
      <c r="H256" s="573" t="s">
        <v>655</v>
      </c>
      <c r="I256" s="587">
        <f>C142</f>
        <v>43563.69</v>
      </c>
      <c r="J256" s="573" t="s">
        <v>654</v>
      </c>
      <c r="K256" s="587">
        <f>(F256*I256)/1000</f>
        <v>9531.735372000001</v>
      </c>
      <c r="AE256" s="629"/>
    </row>
    <row r="257" spans="1:33" ht="24" customHeight="1">
      <c r="A257" s="608"/>
      <c r="B257" s="608"/>
      <c r="C257" s="608"/>
      <c r="D257" s="608"/>
      <c r="F257" s="587">
        <v>100</v>
      </c>
      <c r="G257" s="585" t="s">
        <v>110</v>
      </c>
      <c r="H257" s="573" t="s">
        <v>656</v>
      </c>
      <c r="I257" s="649">
        <v>14.3</v>
      </c>
      <c r="J257" s="573" t="s">
        <v>110</v>
      </c>
      <c r="K257" s="587">
        <f>(F257*I257)</f>
        <v>1430</v>
      </c>
      <c r="AE257" s="629"/>
    </row>
    <row r="258" spans="1:33" ht="24" customHeight="1">
      <c r="A258" s="608"/>
      <c r="B258" s="608"/>
      <c r="C258" s="608"/>
      <c r="D258" s="608"/>
      <c r="K258" s="582" t="s">
        <v>117</v>
      </c>
      <c r="AE258" s="629"/>
    </row>
    <row r="259" spans="1:33" ht="24" customHeight="1">
      <c r="A259" s="608"/>
      <c r="B259" s="608"/>
      <c r="C259" s="608"/>
      <c r="D259" s="608"/>
      <c r="H259" s="573" t="s">
        <v>657</v>
      </c>
      <c r="K259" s="587">
        <f>SUM(K254:K257)</f>
        <v>14074.104372000002</v>
      </c>
      <c r="AE259" s="629"/>
    </row>
    <row r="260" spans="1:33" ht="24" customHeight="1">
      <c r="A260" s="608"/>
      <c r="B260" s="608"/>
      <c r="C260" s="608"/>
      <c r="D260" s="608"/>
      <c r="K260" s="582" t="s">
        <v>117</v>
      </c>
      <c r="AE260" s="629"/>
    </row>
    <row r="261" spans="1:33" ht="24" customHeight="1">
      <c r="A261" s="608"/>
      <c r="B261" s="608"/>
      <c r="C261" s="608"/>
      <c r="D261" s="608"/>
      <c r="H261" s="589" t="s">
        <v>650</v>
      </c>
      <c r="K261" s="586">
        <f>K259/100</f>
        <v>140.74104372000002</v>
      </c>
      <c r="AE261" s="629"/>
    </row>
    <row r="262" spans="1:33" ht="24" customHeight="1">
      <c r="A262" s="608"/>
      <c r="B262" s="608"/>
      <c r="C262" s="608"/>
      <c r="D262" s="608"/>
      <c r="F262" s="573" t="s">
        <v>115</v>
      </c>
      <c r="G262" s="585" t="s">
        <v>115</v>
      </c>
      <c r="K262" s="582" t="s">
        <v>155</v>
      </c>
      <c r="AE262" s="629"/>
    </row>
    <row r="263" spans="1:33" ht="24" customHeight="1">
      <c r="A263" s="608"/>
      <c r="B263" s="608"/>
      <c r="C263" s="608"/>
      <c r="D263" s="608"/>
      <c r="AE263" s="629"/>
    </row>
    <row r="264" spans="1:33" ht="24" customHeight="1">
      <c r="A264" s="608"/>
      <c r="B264" s="608"/>
      <c r="C264" s="608"/>
      <c r="D264" s="608"/>
      <c r="AE264" s="629"/>
    </row>
    <row r="265" spans="1:33" ht="24" customHeight="1">
      <c r="A265" s="594">
        <f>(A206+1)</f>
        <v>105</v>
      </c>
      <c r="B265" s="653" t="s">
        <v>3040</v>
      </c>
      <c r="C265" s="592">
        <v>138</v>
      </c>
      <c r="D265" s="595" t="s">
        <v>1</v>
      </c>
      <c r="F265" s="574" t="s">
        <v>659</v>
      </c>
      <c r="H265" s="573" t="s">
        <v>660</v>
      </c>
      <c r="N265" s="573" t="s">
        <v>558</v>
      </c>
      <c r="O265" s="573" t="s">
        <v>661</v>
      </c>
      <c r="AE265" s="629"/>
      <c r="AG265" s="573"/>
    </row>
    <row r="266" spans="1:33" ht="24" customHeight="1">
      <c r="A266" s="594">
        <f t="shared" ref="A266:A280" si="26">(A265+1)</f>
        <v>106</v>
      </c>
      <c r="B266" s="653" t="s">
        <v>3041</v>
      </c>
      <c r="C266" s="593">
        <v>167.1</v>
      </c>
      <c r="D266" s="595" t="s">
        <v>1</v>
      </c>
      <c r="H266" s="582" t="s">
        <v>155</v>
      </c>
      <c r="O266" s="582" t="s">
        <v>117</v>
      </c>
      <c r="AE266" s="629"/>
      <c r="AG266" s="573"/>
    </row>
    <row r="267" spans="1:33" ht="24" customHeight="1">
      <c r="A267" s="594">
        <f t="shared" si="26"/>
        <v>107</v>
      </c>
      <c r="B267" s="654" t="s">
        <v>3042</v>
      </c>
      <c r="C267" s="655">
        <v>63</v>
      </c>
      <c r="D267" s="593">
        <v>132.69999999999999</v>
      </c>
      <c r="G267" s="585" t="s">
        <v>122</v>
      </c>
      <c r="H267" s="573" t="s">
        <v>664</v>
      </c>
      <c r="M267" s="587">
        <v>1.1399999999999999</v>
      </c>
      <c r="N267" s="573" t="s">
        <v>126</v>
      </c>
      <c r="O267" s="573" t="s">
        <v>591</v>
      </c>
      <c r="P267" s="587">
        <f>(K420)</f>
        <v>5572.0582000000004</v>
      </c>
      <c r="Q267" s="573" t="s">
        <v>209</v>
      </c>
      <c r="R267" s="587">
        <f>(M267*P267)</f>
        <v>6352.1463480000002</v>
      </c>
      <c r="AE267" s="629"/>
      <c r="AG267" s="573"/>
    </row>
    <row r="268" spans="1:33" ht="39" customHeight="1">
      <c r="A268" s="594">
        <f t="shared" si="26"/>
        <v>108</v>
      </c>
      <c r="B268" s="656" t="s">
        <v>665</v>
      </c>
      <c r="C268" s="592">
        <v>17600</v>
      </c>
      <c r="D268" s="595" t="s">
        <v>126</v>
      </c>
      <c r="H268" s="573" t="s">
        <v>666</v>
      </c>
      <c r="M268" s="587">
        <v>1</v>
      </c>
      <c r="N268" s="573" t="s">
        <v>1</v>
      </c>
      <c r="O268" s="573" t="s">
        <v>144</v>
      </c>
      <c r="P268" s="587">
        <f>(C10)</f>
        <v>769</v>
      </c>
      <c r="Q268" s="573" t="s">
        <v>209</v>
      </c>
      <c r="R268" s="587">
        <f>(M268*P268)</f>
        <v>769</v>
      </c>
      <c r="AE268" s="629"/>
      <c r="AG268" s="573"/>
    </row>
    <row r="269" spans="1:33" ht="24" customHeight="1">
      <c r="A269" s="594">
        <f t="shared" si="26"/>
        <v>109</v>
      </c>
      <c r="B269" s="595" t="s">
        <v>667</v>
      </c>
      <c r="C269" s="592">
        <v>15500</v>
      </c>
      <c r="D269" s="595" t="s">
        <v>126</v>
      </c>
      <c r="H269" s="582" t="s">
        <v>117</v>
      </c>
      <c r="N269" s="573" t="s">
        <v>129</v>
      </c>
      <c r="O269" s="573" t="s">
        <v>130</v>
      </c>
      <c r="P269" s="573" t="s">
        <v>115</v>
      </c>
      <c r="Q269" s="573" t="s">
        <v>129</v>
      </c>
      <c r="R269" s="587">
        <v>0.05</v>
      </c>
      <c r="AE269" s="629"/>
      <c r="AG269" s="573"/>
    </row>
    <row r="270" spans="1:33" ht="24" customHeight="1">
      <c r="A270" s="594">
        <f t="shared" si="26"/>
        <v>110</v>
      </c>
      <c r="B270" s="595" t="s">
        <v>668</v>
      </c>
      <c r="C270" s="592">
        <v>25.2</v>
      </c>
      <c r="D270" s="595" t="s">
        <v>1</v>
      </c>
      <c r="F270" s="587">
        <v>9</v>
      </c>
      <c r="G270" s="585" t="s">
        <v>126</v>
      </c>
      <c r="H270" s="573" t="s">
        <v>669</v>
      </c>
      <c r="I270" s="587">
        <f>(C73)</f>
        <v>1644.69</v>
      </c>
      <c r="J270" s="573" t="s">
        <v>126</v>
      </c>
      <c r="K270" s="587">
        <f t="shared" ref="K270:K275" si="27">(F270*I270)</f>
        <v>14802.210000000001</v>
      </c>
      <c r="R270" s="582" t="s">
        <v>117</v>
      </c>
      <c r="AE270" s="629"/>
      <c r="AG270" s="573"/>
    </row>
    <row r="271" spans="1:33" ht="24" customHeight="1">
      <c r="A271" s="594">
        <f t="shared" si="26"/>
        <v>111</v>
      </c>
      <c r="B271" s="595" t="s">
        <v>3043</v>
      </c>
      <c r="C271" s="593">
        <v>48.95</v>
      </c>
      <c r="D271" s="595" t="s">
        <v>148</v>
      </c>
      <c r="E271" s="618">
        <v>155</v>
      </c>
      <c r="F271" s="617">
        <v>3.2309999999999999</v>
      </c>
      <c r="G271" s="585" t="s">
        <v>124</v>
      </c>
      <c r="H271" s="573" t="s">
        <v>125</v>
      </c>
      <c r="I271" s="587">
        <f>(C67)</f>
        <v>5800</v>
      </c>
      <c r="J271" s="573" t="s">
        <v>124</v>
      </c>
      <c r="K271" s="587">
        <f t="shared" si="27"/>
        <v>18739.8</v>
      </c>
      <c r="O271" s="573" t="s">
        <v>153</v>
      </c>
      <c r="R271" s="587">
        <f>SUM(R267:R269)</f>
        <v>7121.1963480000004</v>
      </c>
      <c r="AE271" s="629"/>
      <c r="AG271" s="573"/>
    </row>
    <row r="272" spans="1:33" ht="24" customHeight="1">
      <c r="A272" s="594">
        <f t="shared" si="26"/>
        <v>112</v>
      </c>
      <c r="B272" s="595" t="s">
        <v>3044</v>
      </c>
      <c r="C272" s="593">
        <v>300.89999999999998</v>
      </c>
      <c r="D272" s="615">
        <v>452.09</v>
      </c>
      <c r="E272" s="657">
        <v>250</v>
      </c>
      <c r="F272" s="587">
        <v>4.5</v>
      </c>
      <c r="G272" s="585" t="s">
        <v>126</v>
      </c>
      <c r="H272" s="573" t="s">
        <v>127</v>
      </c>
      <c r="I272" s="587">
        <f>(C78)</f>
        <v>1322.8</v>
      </c>
      <c r="J272" s="573" t="s">
        <v>126</v>
      </c>
      <c r="K272" s="587">
        <f t="shared" si="27"/>
        <v>5952.5999999999995</v>
      </c>
      <c r="R272" s="582" t="s">
        <v>117</v>
      </c>
      <c r="AE272" s="629"/>
      <c r="AG272" s="573"/>
    </row>
    <row r="273" spans="1:33" ht="24" customHeight="1">
      <c r="A273" s="594">
        <f t="shared" si="26"/>
        <v>113</v>
      </c>
      <c r="B273" s="595" t="s">
        <v>3045</v>
      </c>
      <c r="C273" s="593">
        <v>141.30000000000001</v>
      </c>
      <c r="D273" s="595" t="s">
        <v>203</v>
      </c>
      <c r="F273" s="587">
        <v>3.5</v>
      </c>
      <c r="G273" s="585" t="s">
        <v>209</v>
      </c>
      <c r="H273" s="573" t="s">
        <v>145</v>
      </c>
      <c r="I273" s="587">
        <f>(C11)</f>
        <v>718</v>
      </c>
      <c r="J273" s="573" t="s">
        <v>209</v>
      </c>
      <c r="K273" s="587">
        <f t="shared" si="27"/>
        <v>2513</v>
      </c>
      <c r="O273" s="573" t="s">
        <v>154</v>
      </c>
      <c r="R273" s="587">
        <f>(R271/10)</f>
        <v>712.11963480000009</v>
      </c>
      <c r="AE273" s="629"/>
      <c r="AG273" s="573"/>
    </row>
    <row r="274" spans="1:33" ht="24" customHeight="1">
      <c r="A274" s="594">
        <f t="shared" si="26"/>
        <v>114</v>
      </c>
      <c r="B274" s="595" t="s">
        <v>673</v>
      </c>
      <c r="C274" s="593">
        <v>51.3</v>
      </c>
      <c r="D274" s="595" t="s">
        <v>1</v>
      </c>
      <c r="F274" s="587">
        <v>21.2</v>
      </c>
      <c r="G274" s="585" t="s">
        <v>209</v>
      </c>
      <c r="H274" s="573" t="s">
        <v>146</v>
      </c>
      <c r="I274" s="587">
        <f>(C12)</f>
        <v>502</v>
      </c>
      <c r="J274" s="573" t="s">
        <v>209</v>
      </c>
      <c r="K274" s="587">
        <f t="shared" si="27"/>
        <v>10642.4</v>
      </c>
      <c r="R274" s="582" t="s">
        <v>155</v>
      </c>
      <c r="Y274" s="579">
        <v>1.51</v>
      </c>
      <c r="Z274" s="579">
        <v>1.08</v>
      </c>
      <c r="AB274" s="575">
        <v>55.07</v>
      </c>
      <c r="AC274" s="575">
        <f>Y274*AB274</f>
        <v>83.155699999999996</v>
      </c>
      <c r="AD274" s="575">
        <f>Z274*AB274</f>
        <v>59.475600000000007</v>
      </c>
      <c r="AE274" s="629"/>
      <c r="AG274" s="573"/>
    </row>
    <row r="275" spans="1:33" ht="24" customHeight="1">
      <c r="A275" s="594">
        <f t="shared" si="26"/>
        <v>115</v>
      </c>
      <c r="B275" s="595" t="s">
        <v>3046</v>
      </c>
      <c r="C275" s="593">
        <v>44.8</v>
      </c>
      <c r="D275" s="595" t="s">
        <v>1</v>
      </c>
      <c r="F275" s="587">
        <v>35.299999999999997</v>
      </c>
      <c r="G275" s="585" t="s">
        <v>209</v>
      </c>
      <c r="H275" s="573" t="s">
        <v>147</v>
      </c>
      <c r="I275" s="587">
        <f>(C13)</f>
        <v>412</v>
      </c>
      <c r="J275" s="573" t="s">
        <v>209</v>
      </c>
      <c r="K275" s="587">
        <f t="shared" si="27"/>
        <v>14543.599999999999</v>
      </c>
      <c r="N275" s="573" t="s">
        <v>675</v>
      </c>
      <c r="O275" s="573" t="s">
        <v>482</v>
      </c>
      <c r="R275" s="587">
        <f>(R273+C19/10*M267)</f>
        <v>718.86843480000005</v>
      </c>
      <c r="Y275" s="579">
        <v>0.216</v>
      </c>
      <c r="Z275" s="579">
        <v>0.216</v>
      </c>
      <c r="AB275" s="575">
        <v>993.48</v>
      </c>
      <c r="AC275" s="575">
        <f>Y275*AB275</f>
        <v>214.59168</v>
      </c>
      <c r="AD275" s="575">
        <f>Z275*AB275</f>
        <v>214.59168</v>
      </c>
      <c r="AE275" s="629"/>
      <c r="AG275" s="573"/>
    </row>
    <row r="276" spans="1:33" ht="24" customHeight="1">
      <c r="A276" s="594">
        <f t="shared" si="26"/>
        <v>116</v>
      </c>
      <c r="B276" s="650" t="s">
        <v>676</v>
      </c>
      <c r="C276" s="605">
        <v>16.440000000000001</v>
      </c>
      <c r="D276" s="595" t="s">
        <v>1</v>
      </c>
      <c r="G276" s="585" t="s">
        <v>129</v>
      </c>
      <c r="H276" s="573" t="s">
        <v>130</v>
      </c>
      <c r="I276" s="573" t="s">
        <v>115</v>
      </c>
      <c r="J276" s="573" t="s">
        <v>129</v>
      </c>
      <c r="K276" s="587">
        <v>0</v>
      </c>
      <c r="N276" s="573" t="s">
        <v>677</v>
      </c>
      <c r="O276" s="573" t="s">
        <v>486</v>
      </c>
      <c r="R276" s="587">
        <f>(R275+C20/10*M267)</f>
        <v>732.46863480000002</v>
      </c>
      <c r="Y276" s="579">
        <v>0.71599999999999997</v>
      </c>
      <c r="Z276" s="579">
        <v>0.48699999999999999</v>
      </c>
      <c r="AB276" s="575">
        <v>1762.91</v>
      </c>
      <c r="AC276" s="575">
        <f>Y276*AB276</f>
        <v>1262.2435600000001</v>
      </c>
      <c r="AD276" s="575">
        <f>Z276*AB276</f>
        <v>858.53717000000006</v>
      </c>
      <c r="AE276" s="629"/>
      <c r="AG276" s="573"/>
    </row>
    <row r="277" spans="1:33" ht="24" customHeight="1">
      <c r="A277" s="594">
        <f t="shared" si="26"/>
        <v>117</v>
      </c>
      <c r="B277" s="595" t="s">
        <v>3047</v>
      </c>
      <c r="C277" s="593">
        <v>31.5</v>
      </c>
      <c r="D277" s="596">
        <v>6.25</v>
      </c>
      <c r="K277" s="582" t="s">
        <v>117</v>
      </c>
      <c r="N277" s="573" t="s">
        <v>679</v>
      </c>
      <c r="O277" s="573" t="s">
        <v>489</v>
      </c>
      <c r="R277" s="587">
        <f>(R276+C21/10*M267)</f>
        <v>746.06883479999999</v>
      </c>
      <c r="Y277" s="579">
        <v>7.35</v>
      </c>
      <c r="Z277" s="579">
        <v>5.36</v>
      </c>
      <c r="AB277" s="575">
        <v>69.709999999999994</v>
      </c>
      <c r="AC277" s="575">
        <f>Y277*AB277</f>
        <v>512.36849999999993</v>
      </c>
      <c r="AD277" s="575">
        <f>Z277*AB277</f>
        <v>373.6456</v>
      </c>
      <c r="AE277" s="629"/>
      <c r="AG277" s="573"/>
    </row>
    <row r="278" spans="1:33" ht="24" customHeight="1">
      <c r="A278" s="594">
        <f t="shared" si="26"/>
        <v>118</v>
      </c>
      <c r="B278" s="595" t="s">
        <v>3048</v>
      </c>
      <c r="C278" s="593">
        <v>357.5</v>
      </c>
      <c r="D278" s="595" t="s">
        <v>140</v>
      </c>
      <c r="H278" s="573" t="s">
        <v>681</v>
      </c>
      <c r="K278" s="587">
        <f>SUM(K270:K276)</f>
        <v>67193.61</v>
      </c>
      <c r="N278" s="573" t="s">
        <v>682</v>
      </c>
      <c r="O278" s="573" t="s">
        <v>491</v>
      </c>
      <c r="R278" s="587">
        <f>(R277+C21/10*M267)</f>
        <v>759.66903479999996</v>
      </c>
      <c r="Y278" s="579">
        <v>3.2000000000000001E-2</v>
      </c>
      <c r="Z278" s="579">
        <v>3.2000000000000001E-2</v>
      </c>
      <c r="AB278" s="575">
        <v>2824.15</v>
      </c>
      <c r="AC278" s="575">
        <f>Y278*AB278</f>
        <v>90.372799999999998</v>
      </c>
      <c r="AD278" s="575">
        <f>Z278*AB278</f>
        <v>90.372799999999998</v>
      </c>
      <c r="AE278" s="629"/>
      <c r="AG278" s="573"/>
    </row>
    <row r="279" spans="1:33" ht="24" customHeight="1">
      <c r="A279" s="594">
        <f t="shared" si="26"/>
        <v>119</v>
      </c>
      <c r="B279" s="595" t="s">
        <v>3049</v>
      </c>
      <c r="C279" s="593">
        <v>79.099999999999994</v>
      </c>
      <c r="D279" s="595" t="s">
        <v>1</v>
      </c>
      <c r="K279" s="582" t="s">
        <v>117</v>
      </c>
      <c r="Z279" s="579"/>
      <c r="AD279" s="575">
        <v>13.38</v>
      </c>
      <c r="AE279" s="629"/>
      <c r="AG279" s="573"/>
    </row>
    <row r="280" spans="1:33" ht="24" customHeight="1">
      <c r="A280" s="594">
        <f t="shared" si="26"/>
        <v>120</v>
      </c>
      <c r="B280" s="595" t="s">
        <v>684</v>
      </c>
      <c r="C280" s="593">
        <v>63.5</v>
      </c>
      <c r="D280" s="595" t="s">
        <v>1</v>
      </c>
      <c r="H280" s="589" t="s">
        <v>383</v>
      </c>
      <c r="K280" s="586">
        <f>(K278/10)</f>
        <v>6719.3609999999999</v>
      </c>
      <c r="R280" s="573" t="s">
        <v>115</v>
      </c>
      <c r="AC280" s="575">
        <f>SUM(AC274:AC279)</f>
        <v>2162.7322400000003</v>
      </c>
      <c r="AD280" s="575">
        <f>SUM(AD274:AD279)</f>
        <v>1610.0028500000003</v>
      </c>
      <c r="AE280" s="629"/>
      <c r="AG280" s="573"/>
    </row>
    <row r="281" spans="1:33" ht="24" customHeight="1">
      <c r="A281" s="608"/>
      <c r="B281" s="608"/>
      <c r="C281" s="618"/>
      <c r="D281" s="608"/>
      <c r="F281" s="573" t="s">
        <v>115</v>
      </c>
      <c r="N281" s="573" t="s">
        <v>558</v>
      </c>
      <c r="O281" s="573" t="s">
        <v>685</v>
      </c>
      <c r="AE281" s="629"/>
    </row>
    <row r="282" spans="1:33" ht="24" customHeight="1">
      <c r="A282" s="594">
        <f>(A280+1)</f>
        <v>121</v>
      </c>
      <c r="B282" s="595" t="s">
        <v>686</v>
      </c>
      <c r="C282" s="593">
        <v>43.6</v>
      </c>
      <c r="D282" s="595" t="s">
        <v>1</v>
      </c>
      <c r="O282" s="573" t="s">
        <v>687</v>
      </c>
      <c r="AE282" s="629"/>
      <c r="AG282" s="573"/>
    </row>
    <row r="283" spans="1:33" ht="24" customHeight="1">
      <c r="A283" s="594">
        <f t="shared" ref="A283:A346" si="28">(A282+1)</f>
        <v>122</v>
      </c>
      <c r="B283" s="595" t="s">
        <v>688</v>
      </c>
      <c r="C283" s="593">
        <v>35.15</v>
      </c>
      <c r="D283" s="595" t="s">
        <v>1</v>
      </c>
      <c r="F283" s="587">
        <v>1</v>
      </c>
      <c r="G283" s="585" t="s">
        <v>126</v>
      </c>
      <c r="H283" s="573" t="s">
        <v>689</v>
      </c>
      <c r="K283" s="587">
        <f>(C25)</f>
        <v>70.7</v>
      </c>
      <c r="O283" s="582" t="s">
        <v>117</v>
      </c>
      <c r="AE283" s="629"/>
      <c r="AG283" s="573"/>
    </row>
    <row r="284" spans="1:33" ht="24" customHeight="1">
      <c r="A284" s="594">
        <f t="shared" si="28"/>
        <v>123</v>
      </c>
      <c r="B284" s="595" t="s">
        <v>3050</v>
      </c>
      <c r="C284" s="593">
        <v>57.2</v>
      </c>
      <c r="D284" s="595" t="s">
        <v>1</v>
      </c>
      <c r="K284" s="582" t="s">
        <v>117</v>
      </c>
      <c r="M284" s="587">
        <v>10</v>
      </c>
      <c r="N284" s="573" t="s">
        <v>140</v>
      </c>
      <c r="O284" s="573" t="s">
        <v>691</v>
      </c>
      <c r="P284" s="587">
        <f>(K1241)</f>
        <v>1004.9637999999999</v>
      </c>
      <c r="Q284" s="573" t="s">
        <v>140</v>
      </c>
      <c r="R284" s="587">
        <f>(M284*P284)</f>
        <v>10049.637999999999</v>
      </c>
      <c r="AE284" s="629"/>
      <c r="AG284" s="573"/>
    </row>
    <row r="285" spans="1:33" ht="24" customHeight="1">
      <c r="A285" s="594">
        <f t="shared" si="28"/>
        <v>124</v>
      </c>
      <c r="B285" s="595" t="s">
        <v>3051</v>
      </c>
      <c r="C285" s="593">
        <v>35.1</v>
      </c>
      <c r="D285" s="595" t="s">
        <v>1</v>
      </c>
      <c r="E285" s="618">
        <v>50.3</v>
      </c>
      <c r="H285" s="573" t="s">
        <v>693</v>
      </c>
      <c r="K285" s="586">
        <f>SUM(K280:K283)</f>
        <v>6790.0609999999997</v>
      </c>
      <c r="M285" s="587">
        <v>1.1000000000000001</v>
      </c>
      <c r="N285" s="573" t="s">
        <v>209</v>
      </c>
      <c r="O285" s="573" t="s">
        <v>145</v>
      </c>
      <c r="P285" s="587">
        <f>(C11)</f>
        <v>718</v>
      </c>
      <c r="Q285" s="573" t="s">
        <v>209</v>
      </c>
      <c r="R285" s="587">
        <f>(M285*P285)</f>
        <v>789.80000000000007</v>
      </c>
      <c r="AE285" s="629"/>
      <c r="AG285" s="573"/>
    </row>
    <row r="286" spans="1:33" ht="24" customHeight="1">
      <c r="A286" s="594">
        <f t="shared" si="28"/>
        <v>125</v>
      </c>
      <c r="B286" s="595" t="s">
        <v>3052</v>
      </c>
      <c r="C286" s="593">
        <v>159.69999999999999</v>
      </c>
      <c r="D286" s="595" t="s">
        <v>1</v>
      </c>
      <c r="K286" s="582" t="s">
        <v>117</v>
      </c>
      <c r="M286" s="587">
        <v>1.1000000000000001</v>
      </c>
      <c r="N286" s="573" t="s">
        <v>209</v>
      </c>
      <c r="O286" s="573" t="s">
        <v>146</v>
      </c>
      <c r="P286" s="587">
        <f>(C12)</f>
        <v>502</v>
      </c>
      <c r="Q286" s="573" t="s">
        <v>209</v>
      </c>
      <c r="R286" s="587">
        <f>(M286*P286)</f>
        <v>552.20000000000005</v>
      </c>
      <c r="AE286" s="629"/>
      <c r="AG286" s="573"/>
    </row>
    <row r="287" spans="1:33" ht="24" customHeight="1">
      <c r="A287" s="594">
        <f t="shared" si="28"/>
        <v>126</v>
      </c>
      <c r="B287" s="595" t="s">
        <v>3053</v>
      </c>
      <c r="C287" s="593">
        <v>89.7</v>
      </c>
      <c r="D287" s="595" t="s">
        <v>1</v>
      </c>
      <c r="H287" s="573" t="s">
        <v>482</v>
      </c>
      <c r="K287" s="586">
        <f>(K285+C22)</f>
        <v>6879.9609999999993</v>
      </c>
      <c r="L287" s="575">
        <v>54</v>
      </c>
      <c r="M287" s="587">
        <v>1.1000000000000001</v>
      </c>
      <c r="N287" s="573" t="s">
        <v>209</v>
      </c>
      <c r="O287" s="573" t="s">
        <v>251</v>
      </c>
      <c r="P287" s="587">
        <f>(C13)</f>
        <v>412</v>
      </c>
      <c r="Q287" s="573" t="s">
        <v>209</v>
      </c>
      <c r="R287" s="587">
        <f>(M287*P287)</f>
        <v>453.20000000000005</v>
      </c>
      <c r="AE287" s="629"/>
      <c r="AG287" s="573"/>
    </row>
    <row r="288" spans="1:33" ht="24" customHeight="1">
      <c r="A288" s="594">
        <f t="shared" si="28"/>
        <v>127</v>
      </c>
      <c r="B288" s="650" t="s">
        <v>696</v>
      </c>
      <c r="C288" s="615">
        <v>7.3</v>
      </c>
      <c r="D288" s="595" t="s">
        <v>1</v>
      </c>
      <c r="H288" s="573" t="s">
        <v>486</v>
      </c>
      <c r="K288" s="586">
        <f>(K287+C23)</f>
        <v>7056.9609999999993</v>
      </c>
      <c r="L288" s="575">
        <v>107</v>
      </c>
      <c r="R288" s="582" t="s">
        <v>117</v>
      </c>
      <c r="AE288" s="629"/>
      <c r="AG288" s="573"/>
    </row>
    <row r="289" spans="1:33" ht="24" customHeight="1">
      <c r="A289" s="594">
        <f t="shared" si="28"/>
        <v>128</v>
      </c>
      <c r="B289" s="650" t="s">
        <v>697</v>
      </c>
      <c r="C289" s="615">
        <v>7.3</v>
      </c>
      <c r="D289" s="595" t="s">
        <v>1</v>
      </c>
      <c r="H289" s="573" t="s">
        <v>489</v>
      </c>
      <c r="K289" s="586">
        <f>(K288+C24)</f>
        <v>7233.9609999999993</v>
      </c>
      <c r="O289" s="573" t="s">
        <v>153</v>
      </c>
      <c r="R289" s="587">
        <f>SUM(R284:R287)</f>
        <v>11844.838</v>
      </c>
      <c r="AE289" s="629"/>
      <c r="AG289" s="573"/>
    </row>
    <row r="290" spans="1:33" ht="24" customHeight="1">
      <c r="A290" s="594">
        <f t="shared" si="28"/>
        <v>129</v>
      </c>
      <c r="B290" s="650" t="s">
        <v>698</v>
      </c>
      <c r="C290" s="605">
        <v>2.9</v>
      </c>
      <c r="D290" s="595" t="s">
        <v>699</v>
      </c>
      <c r="H290" s="573" t="s">
        <v>491</v>
      </c>
      <c r="K290" s="586">
        <f>(K289+C24)</f>
        <v>7410.9609999999993</v>
      </c>
      <c r="R290" s="582" t="s">
        <v>117</v>
      </c>
      <c r="AE290" s="629"/>
      <c r="AG290" s="573"/>
    </row>
    <row r="291" spans="1:33" ht="24" customHeight="1">
      <c r="A291" s="594">
        <f t="shared" si="28"/>
        <v>130</v>
      </c>
      <c r="B291" s="650" t="s">
        <v>700</v>
      </c>
      <c r="C291" s="615">
        <v>11.8</v>
      </c>
      <c r="D291" s="595" t="s">
        <v>699</v>
      </c>
      <c r="H291" s="573" t="s">
        <v>496</v>
      </c>
      <c r="K291" s="586">
        <f>(K290+C24)</f>
        <v>7587.9609999999993</v>
      </c>
      <c r="O291" s="573" t="s">
        <v>154</v>
      </c>
      <c r="R291" s="587">
        <f>(R289/10)</f>
        <v>1184.4838</v>
      </c>
      <c r="AE291" s="629"/>
      <c r="AG291" s="573"/>
    </row>
    <row r="292" spans="1:33" ht="24" customHeight="1">
      <c r="A292" s="594">
        <f t="shared" si="28"/>
        <v>131</v>
      </c>
      <c r="B292" s="650" t="s">
        <v>701</v>
      </c>
      <c r="C292" s="615">
        <v>8.9</v>
      </c>
      <c r="D292" s="595" t="s">
        <v>1</v>
      </c>
      <c r="R292" s="582" t="s">
        <v>155</v>
      </c>
      <c r="AE292" s="629"/>
      <c r="AG292" s="573"/>
    </row>
    <row r="293" spans="1:33" ht="24" customHeight="1">
      <c r="A293" s="594">
        <f t="shared" si="28"/>
        <v>132</v>
      </c>
      <c r="B293" s="650" t="s">
        <v>702</v>
      </c>
      <c r="C293" s="615">
        <v>6.1</v>
      </c>
      <c r="D293" s="595" t="s">
        <v>1</v>
      </c>
      <c r="F293" s="574" t="s">
        <v>298</v>
      </c>
      <c r="G293" s="585" t="s">
        <v>122</v>
      </c>
      <c r="H293" s="573" t="s">
        <v>703</v>
      </c>
      <c r="AE293" s="629"/>
      <c r="AG293" s="573"/>
    </row>
    <row r="294" spans="1:33" ht="24" customHeight="1">
      <c r="A294" s="594">
        <f t="shared" si="28"/>
        <v>133</v>
      </c>
      <c r="B294" s="650" t="s">
        <v>704</v>
      </c>
      <c r="C294" s="605">
        <v>5.75</v>
      </c>
      <c r="D294" s="595" t="s">
        <v>1</v>
      </c>
      <c r="H294" s="582" t="s">
        <v>155</v>
      </c>
      <c r="N294" s="573" t="s">
        <v>122</v>
      </c>
      <c r="O294" s="573" t="s">
        <v>705</v>
      </c>
      <c r="AE294" s="629"/>
      <c r="AG294" s="573"/>
    </row>
    <row r="295" spans="1:33" ht="24" customHeight="1">
      <c r="A295" s="594">
        <f t="shared" si="28"/>
        <v>134</v>
      </c>
      <c r="B295" s="650" t="s">
        <v>706</v>
      </c>
      <c r="C295" s="605">
        <v>8.5</v>
      </c>
      <c r="D295" s="595" t="s">
        <v>1</v>
      </c>
      <c r="F295" s="587">
        <v>10</v>
      </c>
      <c r="G295" s="585" t="s">
        <v>126</v>
      </c>
      <c r="H295" s="573" t="s">
        <v>707</v>
      </c>
      <c r="I295" s="587">
        <f>(C68)</f>
        <v>683.69</v>
      </c>
      <c r="J295" s="573" t="s">
        <v>126</v>
      </c>
      <c r="K295" s="587">
        <f t="shared" ref="K295:K301" si="29">(F295*I295)</f>
        <v>6836.9000000000005</v>
      </c>
      <c r="O295" s="582" t="s">
        <v>117</v>
      </c>
      <c r="AE295" s="629"/>
      <c r="AG295" s="573"/>
    </row>
    <row r="296" spans="1:33" ht="24" customHeight="1">
      <c r="A296" s="594">
        <f t="shared" si="28"/>
        <v>135</v>
      </c>
      <c r="B296" s="650" t="s">
        <v>708</v>
      </c>
      <c r="C296" s="605">
        <v>10</v>
      </c>
      <c r="D296" s="595" t="s">
        <v>1</v>
      </c>
      <c r="F296" s="587">
        <v>1</v>
      </c>
      <c r="G296" s="585" t="s">
        <v>126</v>
      </c>
      <c r="H296" s="573" t="s">
        <v>474</v>
      </c>
      <c r="I296" s="587">
        <f>(C69)</f>
        <v>876.69</v>
      </c>
      <c r="J296" s="573" t="s">
        <v>126</v>
      </c>
      <c r="K296" s="587">
        <f t="shared" si="29"/>
        <v>876.69</v>
      </c>
      <c r="M296" s="587">
        <v>0.14000000000000001</v>
      </c>
      <c r="N296" s="573" t="s">
        <v>126</v>
      </c>
      <c r="O296" s="573" t="s">
        <v>133</v>
      </c>
      <c r="P296" s="587">
        <f>(K32)</f>
        <v>4193.8</v>
      </c>
      <c r="Q296" s="573" t="s">
        <v>126</v>
      </c>
      <c r="R296" s="587">
        <f>(M296*P296)</f>
        <v>587.13200000000006</v>
      </c>
      <c r="AE296" s="629"/>
      <c r="AG296" s="573"/>
    </row>
    <row r="297" spans="1:33" ht="24" customHeight="1">
      <c r="A297" s="594">
        <f t="shared" si="28"/>
        <v>136</v>
      </c>
      <c r="B297" s="621" t="s">
        <v>709</v>
      </c>
      <c r="C297" s="615">
        <v>7</v>
      </c>
      <c r="D297" s="595" t="s">
        <v>1</v>
      </c>
      <c r="F297" s="587">
        <v>3.4</v>
      </c>
      <c r="G297" s="585" t="s">
        <v>126</v>
      </c>
      <c r="H297" s="573" t="s">
        <v>135</v>
      </c>
      <c r="I297" s="587">
        <f>(K49)</f>
        <v>3080.2</v>
      </c>
      <c r="J297" s="573" t="s">
        <v>126</v>
      </c>
      <c r="K297" s="587">
        <f t="shared" si="29"/>
        <v>10472.679999999998</v>
      </c>
      <c r="M297" s="587">
        <v>1.1000000000000001</v>
      </c>
      <c r="N297" s="573" t="s">
        <v>209</v>
      </c>
      <c r="O297" s="573" t="s">
        <v>144</v>
      </c>
      <c r="P297" s="587">
        <f>(C10)</f>
        <v>769</v>
      </c>
      <c r="Q297" s="573" t="s">
        <v>209</v>
      </c>
      <c r="R297" s="587">
        <f>(M297*P297)</f>
        <v>845.90000000000009</v>
      </c>
      <c r="AE297" s="629"/>
      <c r="AG297" s="573"/>
    </row>
    <row r="298" spans="1:33" ht="24" customHeight="1">
      <c r="A298" s="594">
        <f t="shared" si="28"/>
        <v>137</v>
      </c>
      <c r="B298" s="650" t="s">
        <v>710</v>
      </c>
      <c r="C298" s="605">
        <v>2.2000000000000002</v>
      </c>
      <c r="D298" s="595" t="s">
        <v>1</v>
      </c>
      <c r="F298" s="587">
        <v>7.1</v>
      </c>
      <c r="G298" s="585" t="s">
        <v>209</v>
      </c>
      <c r="H298" s="573" t="s">
        <v>144</v>
      </c>
      <c r="I298" s="587">
        <f>(C10)</f>
        <v>769</v>
      </c>
      <c r="J298" s="573" t="s">
        <v>209</v>
      </c>
      <c r="K298" s="587">
        <f t="shared" si="29"/>
        <v>5459.9</v>
      </c>
      <c r="M298" s="587">
        <v>0.5</v>
      </c>
      <c r="N298" s="573" t="s">
        <v>209</v>
      </c>
      <c r="O298" s="573" t="s">
        <v>146</v>
      </c>
      <c r="P298" s="587">
        <f>(C12)</f>
        <v>502</v>
      </c>
      <c r="Q298" s="573" t="s">
        <v>209</v>
      </c>
      <c r="R298" s="587">
        <f>(M298*P298)</f>
        <v>251</v>
      </c>
      <c r="AE298" s="629"/>
      <c r="AG298" s="573"/>
    </row>
    <row r="299" spans="1:33" ht="24" customHeight="1">
      <c r="A299" s="594">
        <f t="shared" si="28"/>
        <v>138</v>
      </c>
      <c r="B299" s="650" t="s">
        <v>711</v>
      </c>
      <c r="C299" s="605">
        <v>10.5</v>
      </c>
      <c r="D299" s="595" t="s">
        <v>1</v>
      </c>
      <c r="F299" s="587">
        <v>10.6</v>
      </c>
      <c r="G299" s="585" t="s">
        <v>209</v>
      </c>
      <c r="H299" s="573" t="s">
        <v>145</v>
      </c>
      <c r="I299" s="587">
        <f>(C11)</f>
        <v>718</v>
      </c>
      <c r="J299" s="573" t="s">
        <v>209</v>
      </c>
      <c r="K299" s="587">
        <f t="shared" si="29"/>
        <v>7610.8</v>
      </c>
      <c r="M299" s="587">
        <v>1.1000000000000001</v>
      </c>
      <c r="N299" s="573" t="s">
        <v>209</v>
      </c>
      <c r="O299" s="573" t="s">
        <v>147</v>
      </c>
      <c r="P299" s="587">
        <f>(C13)</f>
        <v>412</v>
      </c>
      <c r="Q299" s="573" t="s">
        <v>209</v>
      </c>
      <c r="R299" s="587">
        <f>(M299*P299)</f>
        <v>453.20000000000005</v>
      </c>
      <c r="AE299" s="629"/>
      <c r="AG299" s="573"/>
    </row>
    <row r="300" spans="1:33" ht="24" customHeight="1">
      <c r="A300" s="594">
        <f t="shared" si="28"/>
        <v>139</v>
      </c>
      <c r="B300" s="650" t="s">
        <v>712</v>
      </c>
      <c r="C300" s="605">
        <v>5.5</v>
      </c>
      <c r="D300" s="595" t="s">
        <v>1</v>
      </c>
      <c r="F300" s="587">
        <v>14.1</v>
      </c>
      <c r="G300" s="585" t="s">
        <v>209</v>
      </c>
      <c r="H300" s="573" t="s">
        <v>146</v>
      </c>
      <c r="I300" s="587">
        <f>(C12)</f>
        <v>502</v>
      </c>
      <c r="J300" s="573" t="s">
        <v>209</v>
      </c>
      <c r="K300" s="587">
        <f t="shared" si="29"/>
        <v>7078.2</v>
      </c>
      <c r="N300" s="573" t="s">
        <v>129</v>
      </c>
      <c r="O300" s="573" t="s">
        <v>130</v>
      </c>
      <c r="P300" s="573" t="s">
        <v>115</v>
      </c>
      <c r="Q300" s="573" t="s">
        <v>129</v>
      </c>
      <c r="R300" s="587">
        <v>5</v>
      </c>
      <c r="AE300" s="629"/>
      <c r="AG300" s="573"/>
    </row>
    <row r="301" spans="1:33" ht="24" customHeight="1">
      <c r="A301" s="594">
        <f t="shared" si="28"/>
        <v>140</v>
      </c>
      <c r="B301" s="650" t="s">
        <v>713</v>
      </c>
      <c r="C301" s="605">
        <v>21</v>
      </c>
      <c r="D301" s="595" t="s">
        <v>1</v>
      </c>
      <c r="F301" s="587">
        <v>14.1</v>
      </c>
      <c r="G301" s="585" t="s">
        <v>209</v>
      </c>
      <c r="H301" s="573" t="s">
        <v>147</v>
      </c>
      <c r="I301" s="587">
        <f>(C13)</f>
        <v>412</v>
      </c>
      <c r="J301" s="573" t="s">
        <v>209</v>
      </c>
      <c r="K301" s="587">
        <f t="shared" si="29"/>
        <v>5809.2</v>
      </c>
      <c r="R301" s="582" t="s">
        <v>117</v>
      </c>
      <c r="AE301" s="629"/>
      <c r="AG301" s="573"/>
    </row>
    <row r="302" spans="1:33" ht="24" customHeight="1">
      <c r="A302" s="594">
        <f t="shared" si="28"/>
        <v>141</v>
      </c>
      <c r="B302" s="650" t="s">
        <v>714</v>
      </c>
      <c r="C302" s="605">
        <v>10</v>
      </c>
      <c r="D302" s="595" t="s">
        <v>1</v>
      </c>
      <c r="G302" s="585" t="s">
        <v>129</v>
      </c>
      <c r="H302" s="573" t="s">
        <v>130</v>
      </c>
      <c r="J302" s="573" t="s">
        <v>129</v>
      </c>
      <c r="K302" s="587">
        <v>0</v>
      </c>
      <c r="O302" s="573" t="s">
        <v>115</v>
      </c>
      <c r="R302" s="587">
        <f>SUM(R296:R300)</f>
        <v>2142.232</v>
      </c>
      <c r="AE302" s="629"/>
      <c r="AG302" s="573"/>
    </row>
    <row r="303" spans="1:33" ht="24" customHeight="1">
      <c r="A303" s="594">
        <f t="shared" si="28"/>
        <v>142</v>
      </c>
      <c r="B303" s="606" t="s">
        <v>715</v>
      </c>
      <c r="C303" s="615">
        <v>7.3</v>
      </c>
      <c r="D303" s="595" t="s">
        <v>1</v>
      </c>
      <c r="K303" s="582" t="s">
        <v>117</v>
      </c>
      <c r="R303" s="582" t="s">
        <v>117</v>
      </c>
      <c r="AE303" s="629"/>
      <c r="AG303" s="573"/>
    </row>
    <row r="304" spans="1:33" ht="24" customHeight="1">
      <c r="A304" s="594">
        <f t="shared" si="28"/>
        <v>143</v>
      </c>
      <c r="B304" s="650" t="s">
        <v>697</v>
      </c>
      <c r="C304" s="605">
        <v>8</v>
      </c>
      <c r="D304" s="595" t="s">
        <v>209</v>
      </c>
      <c r="H304" s="573" t="s">
        <v>455</v>
      </c>
      <c r="K304" s="587">
        <f>SUM(K295:K302)</f>
        <v>44144.369999999995</v>
      </c>
      <c r="O304" s="573" t="s">
        <v>154</v>
      </c>
      <c r="R304" s="587">
        <f>(R302/10)</f>
        <v>214.22319999999999</v>
      </c>
      <c r="AE304" s="629"/>
      <c r="AG304" s="573"/>
    </row>
    <row r="305" spans="1:33" ht="24" customHeight="1">
      <c r="A305" s="594">
        <f t="shared" si="28"/>
        <v>144</v>
      </c>
      <c r="B305" s="650" t="s">
        <v>698</v>
      </c>
      <c r="C305" s="605">
        <v>8.5</v>
      </c>
      <c r="D305" s="595" t="s">
        <v>1</v>
      </c>
      <c r="K305" s="582" t="s">
        <v>117</v>
      </c>
      <c r="N305" s="573" t="s">
        <v>122</v>
      </c>
      <c r="O305" s="573" t="s">
        <v>716</v>
      </c>
      <c r="R305" s="582" t="s">
        <v>155</v>
      </c>
      <c r="AE305" s="629"/>
      <c r="AG305" s="573"/>
    </row>
    <row r="306" spans="1:33" ht="24" customHeight="1">
      <c r="A306" s="594">
        <f t="shared" si="28"/>
        <v>145</v>
      </c>
      <c r="B306" s="650" t="s">
        <v>717</v>
      </c>
      <c r="C306" s="605">
        <v>2.8</v>
      </c>
      <c r="D306" s="595" t="s">
        <v>1</v>
      </c>
      <c r="H306" s="589" t="s">
        <v>383</v>
      </c>
      <c r="K306" s="586">
        <f>(K304/10)</f>
        <v>4414.4369999999999</v>
      </c>
      <c r="O306" s="582" t="s">
        <v>117</v>
      </c>
      <c r="AE306" s="629"/>
      <c r="AG306" s="573"/>
    </row>
    <row r="307" spans="1:33" ht="24" customHeight="1">
      <c r="A307" s="594">
        <f t="shared" si="28"/>
        <v>146</v>
      </c>
      <c r="B307" s="650" t="s">
        <v>718</v>
      </c>
      <c r="C307" s="605">
        <v>1.8</v>
      </c>
      <c r="D307" s="595" t="s">
        <v>1</v>
      </c>
      <c r="K307" s="582" t="s">
        <v>155</v>
      </c>
      <c r="M307" s="587">
        <v>0.14000000000000001</v>
      </c>
      <c r="N307" s="573" t="s">
        <v>126</v>
      </c>
      <c r="O307" s="573" t="s">
        <v>132</v>
      </c>
      <c r="P307" s="587">
        <f>(K23)</f>
        <v>5585.8</v>
      </c>
      <c r="Q307" s="573" t="s">
        <v>126</v>
      </c>
      <c r="R307" s="587">
        <f>(M307*P307)</f>
        <v>782.01200000000006</v>
      </c>
      <c r="AE307" s="629"/>
      <c r="AG307" s="573"/>
    </row>
    <row r="308" spans="1:33" ht="24" customHeight="1">
      <c r="A308" s="594">
        <f t="shared" si="28"/>
        <v>147</v>
      </c>
      <c r="B308" s="615" t="s">
        <v>719</v>
      </c>
      <c r="C308" s="615">
        <v>3</v>
      </c>
      <c r="D308" s="595" t="s">
        <v>1</v>
      </c>
      <c r="F308" s="620">
        <v>6.5</v>
      </c>
      <c r="G308" s="585" t="s">
        <v>122</v>
      </c>
      <c r="H308" s="573" t="s">
        <v>720</v>
      </c>
      <c r="M308" s="587">
        <v>1.1000000000000001</v>
      </c>
      <c r="N308" s="573" t="s">
        <v>209</v>
      </c>
      <c r="O308" s="573" t="s">
        <v>144</v>
      </c>
      <c r="P308" s="587">
        <f>(C10)</f>
        <v>769</v>
      </c>
      <c r="Q308" s="573" t="s">
        <v>209</v>
      </c>
      <c r="R308" s="587">
        <f>(M308*P308)</f>
        <v>845.90000000000009</v>
      </c>
      <c r="S308" s="579">
        <v>6.1</v>
      </c>
      <c r="T308" s="575" t="s">
        <v>122</v>
      </c>
      <c r="U308" s="575" t="s">
        <v>721</v>
      </c>
      <c r="AB308" s="607">
        <v>6</v>
      </c>
      <c r="AC308" s="585" t="s">
        <v>122</v>
      </c>
      <c r="AD308" s="573" t="s">
        <v>722</v>
      </c>
      <c r="AF308" s="578"/>
    </row>
    <row r="309" spans="1:33" ht="24" customHeight="1">
      <c r="A309" s="594">
        <f t="shared" si="28"/>
        <v>148</v>
      </c>
      <c r="B309" s="595" t="s">
        <v>723</v>
      </c>
      <c r="C309" s="613" t="s">
        <v>115</v>
      </c>
      <c r="D309" s="658"/>
      <c r="H309" s="573" t="s">
        <v>724</v>
      </c>
      <c r="M309" s="587">
        <v>0.5</v>
      </c>
      <c r="N309" s="573" t="s">
        <v>209</v>
      </c>
      <c r="O309" s="573" t="s">
        <v>146</v>
      </c>
      <c r="P309" s="587">
        <f>(C12)</f>
        <v>502</v>
      </c>
      <c r="Q309" s="573" t="s">
        <v>209</v>
      </c>
      <c r="R309" s="587">
        <f>(M309*P309)</f>
        <v>251</v>
      </c>
      <c r="U309" s="575" t="s">
        <v>725</v>
      </c>
      <c r="AC309" s="576"/>
      <c r="AD309" s="573" t="s">
        <v>726</v>
      </c>
      <c r="AF309" s="578"/>
    </row>
    <row r="310" spans="1:33" ht="24" customHeight="1">
      <c r="A310" s="594">
        <f t="shared" si="28"/>
        <v>149</v>
      </c>
      <c r="B310" s="595" t="s">
        <v>727</v>
      </c>
      <c r="C310" s="659">
        <v>66.44</v>
      </c>
      <c r="D310" s="660" t="s">
        <v>203</v>
      </c>
      <c r="H310" s="582" t="s">
        <v>117</v>
      </c>
      <c r="M310" s="587">
        <v>1.1000000000000001</v>
      </c>
      <c r="N310" s="573" t="s">
        <v>209</v>
      </c>
      <c r="O310" s="573" t="s">
        <v>147</v>
      </c>
      <c r="P310" s="587">
        <f>(C13)</f>
        <v>412</v>
      </c>
      <c r="Q310" s="573" t="s">
        <v>209</v>
      </c>
      <c r="R310" s="587">
        <f>(M310*P310)</f>
        <v>453.20000000000005</v>
      </c>
      <c r="U310" s="575" t="s">
        <v>117</v>
      </c>
      <c r="AC310" s="576"/>
      <c r="AD310" s="582" t="s">
        <v>117</v>
      </c>
      <c r="AF310" s="578"/>
    </row>
    <row r="311" spans="1:33" ht="15.75">
      <c r="A311" s="594">
        <f t="shared" si="28"/>
        <v>150</v>
      </c>
      <c r="B311" s="595" t="s">
        <v>728</v>
      </c>
      <c r="C311" s="659">
        <v>83.5</v>
      </c>
      <c r="D311" s="660" t="s">
        <v>203</v>
      </c>
      <c r="F311" s="587">
        <v>4800</v>
      </c>
      <c r="G311" s="585" t="s">
        <v>467</v>
      </c>
      <c r="H311" s="587" t="str">
        <f>H309</f>
        <v>Bricks of size 22x11x7 cm</v>
      </c>
      <c r="I311" s="587">
        <f>C80</f>
        <v>5704.1</v>
      </c>
      <c r="J311" s="573" t="s">
        <v>468</v>
      </c>
      <c r="K311" s="587">
        <f>(F311*I311)/1000</f>
        <v>27379.68</v>
      </c>
      <c r="N311" s="573" t="s">
        <v>129</v>
      </c>
      <c r="O311" s="573" t="s">
        <v>130</v>
      </c>
      <c r="P311" s="573" t="s">
        <v>115</v>
      </c>
      <c r="Q311" s="573" t="s">
        <v>129</v>
      </c>
      <c r="R311" s="587">
        <v>0</v>
      </c>
      <c r="S311" s="579">
        <v>4600</v>
      </c>
      <c r="T311" s="575" t="s">
        <v>467</v>
      </c>
      <c r="U311" s="575" t="s">
        <v>725</v>
      </c>
      <c r="V311" s="661">
        <f>AC41</f>
        <v>6725.72</v>
      </c>
      <c r="W311" s="579" t="s">
        <v>729</v>
      </c>
      <c r="X311" s="575">
        <f>(V311*S311)/1000</f>
        <v>30938.312000000002</v>
      </c>
      <c r="AB311" s="587">
        <v>4240</v>
      </c>
      <c r="AC311" s="585" t="s">
        <v>467</v>
      </c>
      <c r="AD311" s="587" t="str">
        <f>AD309</f>
        <v>Bricks of size 23x11.4x7.5 cm</v>
      </c>
      <c r="AE311" s="587">
        <f>AC42</f>
        <v>6912.72</v>
      </c>
      <c r="AF311" s="573" t="s">
        <v>468</v>
      </c>
      <c r="AG311" s="587">
        <f>(AB311*AE311)/1000</f>
        <v>29309.932800000002</v>
      </c>
    </row>
    <row r="312" spans="1:33" ht="24" customHeight="1">
      <c r="A312" s="594">
        <f t="shared" si="28"/>
        <v>151</v>
      </c>
      <c r="B312" s="595" t="s">
        <v>730</v>
      </c>
      <c r="C312" s="659">
        <v>102.12</v>
      </c>
      <c r="D312" s="660" t="s">
        <v>203</v>
      </c>
      <c r="F312" s="587">
        <v>2.5</v>
      </c>
      <c r="G312" s="585" t="s">
        <v>126</v>
      </c>
      <c r="H312" s="573" t="s">
        <v>135</v>
      </c>
      <c r="I312" s="587">
        <f>K49</f>
        <v>3080.2</v>
      </c>
      <c r="J312" s="573" t="s">
        <v>126</v>
      </c>
      <c r="K312" s="587">
        <f>(F312*I312)</f>
        <v>7700.5</v>
      </c>
      <c r="R312" s="582" t="s">
        <v>117</v>
      </c>
      <c r="S312" s="579">
        <v>2.5</v>
      </c>
      <c r="T312" s="575" t="s">
        <v>126</v>
      </c>
      <c r="U312" s="575" t="s">
        <v>135</v>
      </c>
      <c r="V312" s="661">
        <f>K49</f>
        <v>3080.2</v>
      </c>
      <c r="W312" s="575" t="s">
        <v>126</v>
      </c>
      <c r="X312" s="575">
        <f>V312*S312</f>
        <v>7700.5</v>
      </c>
      <c r="AB312" s="587">
        <v>2</v>
      </c>
      <c r="AC312" s="585" t="s">
        <v>126</v>
      </c>
      <c r="AD312" s="573" t="s">
        <v>135</v>
      </c>
      <c r="AE312" s="587">
        <f>K49</f>
        <v>3080.2</v>
      </c>
      <c r="AF312" s="573" t="s">
        <v>126</v>
      </c>
      <c r="AG312" s="587">
        <f>(AB312*AE312)</f>
        <v>6160.4</v>
      </c>
    </row>
    <row r="313" spans="1:33" ht="24" customHeight="1">
      <c r="A313" s="594">
        <f t="shared" si="28"/>
        <v>152</v>
      </c>
      <c r="B313" s="595" t="s">
        <v>731</v>
      </c>
      <c r="C313" s="659">
        <v>182.52</v>
      </c>
      <c r="D313" s="660" t="s">
        <v>203</v>
      </c>
      <c r="F313" s="587">
        <v>3.5</v>
      </c>
      <c r="G313" s="585" t="s">
        <v>209</v>
      </c>
      <c r="H313" s="573" t="s">
        <v>144</v>
      </c>
      <c r="I313" s="587">
        <f>C10</f>
        <v>769</v>
      </c>
      <c r="J313" s="573" t="s">
        <v>209</v>
      </c>
      <c r="K313" s="587">
        <f>(F313*I313)</f>
        <v>2691.5</v>
      </c>
      <c r="O313" s="573" t="s">
        <v>153</v>
      </c>
      <c r="R313" s="587">
        <f>SUM(R307:R311)</f>
        <v>2332.1120000000001</v>
      </c>
      <c r="S313" s="579">
        <v>3.5</v>
      </c>
      <c r="T313" s="575" t="s">
        <v>209</v>
      </c>
      <c r="U313" s="575" t="s">
        <v>144</v>
      </c>
      <c r="V313" s="661">
        <f>I313</f>
        <v>769</v>
      </c>
      <c r="W313" s="575" t="s">
        <v>209</v>
      </c>
      <c r="X313" s="575">
        <f>V313*S313</f>
        <v>2691.5</v>
      </c>
      <c r="AB313" s="587">
        <v>3.5</v>
      </c>
      <c r="AC313" s="585" t="s">
        <v>209</v>
      </c>
      <c r="AD313" s="573" t="s">
        <v>144</v>
      </c>
      <c r="AE313" s="587">
        <f>V313</f>
        <v>769</v>
      </c>
      <c r="AF313" s="573" t="s">
        <v>209</v>
      </c>
      <c r="AG313" s="587">
        <f>(AB313*AE313)</f>
        <v>2691.5</v>
      </c>
    </row>
    <row r="314" spans="1:33" ht="24" customHeight="1">
      <c r="A314" s="594">
        <f t="shared" si="28"/>
        <v>153</v>
      </c>
      <c r="B314" s="595" t="s">
        <v>732</v>
      </c>
      <c r="C314" s="662"/>
      <c r="D314" s="662"/>
      <c r="F314" s="587">
        <v>10.6</v>
      </c>
      <c r="G314" s="585" t="s">
        <v>209</v>
      </c>
      <c r="H314" s="573" t="s">
        <v>145</v>
      </c>
      <c r="I314" s="587">
        <f>C11</f>
        <v>718</v>
      </c>
      <c r="J314" s="573" t="s">
        <v>209</v>
      </c>
      <c r="K314" s="587">
        <f>(F314*I314)</f>
        <v>7610.8</v>
      </c>
      <c r="R314" s="582" t="s">
        <v>117</v>
      </c>
      <c r="S314" s="579">
        <v>10.6</v>
      </c>
      <c r="T314" s="575" t="s">
        <v>209</v>
      </c>
      <c r="U314" s="575" t="s">
        <v>145</v>
      </c>
      <c r="V314" s="661">
        <f>I314</f>
        <v>718</v>
      </c>
      <c r="W314" s="575" t="s">
        <v>209</v>
      </c>
      <c r="X314" s="575">
        <f>V314*S314</f>
        <v>7610.8</v>
      </c>
      <c r="AB314" s="587">
        <v>10.6</v>
      </c>
      <c r="AC314" s="585" t="s">
        <v>209</v>
      </c>
      <c r="AD314" s="573" t="s">
        <v>145</v>
      </c>
      <c r="AE314" s="587">
        <f>V314</f>
        <v>718</v>
      </c>
      <c r="AF314" s="573" t="s">
        <v>209</v>
      </c>
      <c r="AG314" s="587">
        <f>(AB314*AE314)</f>
        <v>7610.8</v>
      </c>
    </row>
    <row r="315" spans="1:33" ht="24" customHeight="1">
      <c r="A315" s="594">
        <f t="shared" si="28"/>
        <v>154</v>
      </c>
      <c r="B315" s="595" t="s">
        <v>727</v>
      </c>
      <c r="C315" s="659">
        <v>26.62</v>
      </c>
      <c r="D315" s="660" t="s">
        <v>1</v>
      </c>
      <c r="F315" s="587">
        <v>7.1</v>
      </c>
      <c r="G315" s="585" t="s">
        <v>209</v>
      </c>
      <c r="H315" s="573" t="s">
        <v>146</v>
      </c>
      <c r="I315" s="587">
        <f>C12</f>
        <v>502</v>
      </c>
      <c r="J315" s="573" t="s">
        <v>209</v>
      </c>
      <c r="K315" s="587">
        <f>(F315*I315)</f>
        <v>3564.2</v>
      </c>
      <c r="O315" s="573" t="s">
        <v>154</v>
      </c>
      <c r="R315" s="587">
        <f>(R313/10)</f>
        <v>233.21120000000002</v>
      </c>
      <c r="S315" s="579">
        <v>7.1</v>
      </c>
      <c r="T315" s="575" t="s">
        <v>209</v>
      </c>
      <c r="U315" s="575" t="s">
        <v>146</v>
      </c>
      <c r="V315" s="661">
        <f>I315</f>
        <v>502</v>
      </c>
      <c r="W315" s="575" t="s">
        <v>209</v>
      </c>
      <c r="X315" s="575">
        <f>V315*S315</f>
        <v>3564.2</v>
      </c>
      <c r="AB315" s="587">
        <v>7.1</v>
      </c>
      <c r="AC315" s="585" t="s">
        <v>209</v>
      </c>
      <c r="AD315" s="573" t="s">
        <v>146</v>
      </c>
      <c r="AE315" s="587">
        <f>V315</f>
        <v>502</v>
      </c>
      <c r="AF315" s="573" t="s">
        <v>209</v>
      </c>
      <c r="AG315" s="587">
        <f>(AB315*AE315)</f>
        <v>3564.2</v>
      </c>
    </row>
    <row r="316" spans="1:33" ht="24" customHeight="1">
      <c r="A316" s="594">
        <f t="shared" si="28"/>
        <v>155</v>
      </c>
      <c r="B316" s="595" t="s">
        <v>728</v>
      </c>
      <c r="C316" s="659">
        <v>34.869999999999997</v>
      </c>
      <c r="D316" s="660" t="s">
        <v>1</v>
      </c>
      <c r="F316" s="587">
        <v>21.2</v>
      </c>
      <c r="G316" s="585" t="s">
        <v>209</v>
      </c>
      <c r="H316" s="573" t="s">
        <v>147</v>
      </c>
      <c r="I316" s="587">
        <f>C13</f>
        <v>412</v>
      </c>
      <c r="J316" s="573" t="s">
        <v>209</v>
      </c>
      <c r="K316" s="587">
        <f>(F316*I316)</f>
        <v>8734.4</v>
      </c>
      <c r="R316" s="582" t="s">
        <v>155</v>
      </c>
      <c r="S316" s="579">
        <v>21.2</v>
      </c>
      <c r="T316" s="575" t="s">
        <v>209</v>
      </c>
      <c r="U316" s="575" t="s">
        <v>147</v>
      </c>
      <c r="V316" s="661">
        <f>I316</f>
        <v>412</v>
      </c>
      <c r="W316" s="575" t="s">
        <v>209</v>
      </c>
      <c r="X316" s="575">
        <f>V316*S316</f>
        <v>8734.4</v>
      </c>
      <c r="AB316" s="587">
        <v>21.2</v>
      </c>
      <c r="AC316" s="585" t="s">
        <v>209</v>
      </c>
      <c r="AD316" s="573" t="s">
        <v>147</v>
      </c>
      <c r="AE316" s="587">
        <f>V316</f>
        <v>412</v>
      </c>
      <c r="AF316" s="573" t="s">
        <v>209</v>
      </c>
      <c r="AG316" s="587">
        <f>(AB316*AE316)</f>
        <v>8734.4</v>
      </c>
    </row>
    <row r="317" spans="1:33" ht="24" customHeight="1">
      <c r="A317" s="594">
        <f t="shared" si="28"/>
        <v>156</v>
      </c>
      <c r="B317" s="595" t="s">
        <v>730</v>
      </c>
      <c r="C317" s="659">
        <v>45</v>
      </c>
      <c r="D317" s="660" t="s">
        <v>1</v>
      </c>
      <c r="G317" s="585" t="s">
        <v>129</v>
      </c>
      <c r="H317" s="573" t="s">
        <v>130</v>
      </c>
      <c r="J317" s="573" t="s">
        <v>129</v>
      </c>
      <c r="K317" s="587">
        <v>0</v>
      </c>
      <c r="N317" s="573" t="s">
        <v>122</v>
      </c>
      <c r="O317" s="573" t="s">
        <v>733</v>
      </c>
      <c r="T317" s="575" t="s">
        <v>129</v>
      </c>
      <c r="U317" s="575" t="s">
        <v>130</v>
      </c>
      <c r="W317" s="575" t="s">
        <v>129</v>
      </c>
      <c r="X317" s="575">
        <v>0</v>
      </c>
      <c r="AC317" s="585" t="s">
        <v>129</v>
      </c>
      <c r="AD317" s="573" t="s">
        <v>130</v>
      </c>
      <c r="AF317" s="573" t="s">
        <v>129</v>
      </c>
      <c r="AG317" s="587">
        <v>0</v>
      </c>
    </row>
    <row r="318" spans="1:33" ht="24" customHeight="1">
      <c r="A318" s="594">
        <f t="shared" si="28"/>
        <v>157</v>
      </c>
      <c r="B318" s="595" t="s">
        <v>731</v>
      </c>
      <c r="C318" s="659">
        <v>99.75</v>
      </c>
      <c r="D318" s="660" t="s">
        <v>1</v>
      </c>
      <c r="K318" s="582" t="s">
        <v>117</v>
      </c>
      <c r="O318" s="582" t="s">
        <v>117</v>
      </c>
      <c r="X318" s="575" t="s">
        <v>117</v>
      </c>
      <c r="AC318" s="576"/>
      <c r="AF318" s="578"/>
      <c r="AG318" s="582" t="s">
        <v>117</v>
      </c>
    </row>
    <row r="319" spans="1:33" ht="24" customHeight="1">
      <c r="A319" s="594">
        <f t="shared" si="28"/>
        <v>158</v>
      </c>
      <c r="B319" s="595" t="s">
        <v>734</v>
      </c>
      <c r="C319" s="662"/>
      <c r="D319" s="662"/>
      <c r="H319" s="573" t="s">
        <v>455</v>
      </c>
      <c r="K319" s="587">
        <f>SUM(K311:K317)</f>
        <v>57681.08</v>
      </c>
      <c r="M319" s="587">
        <v>0.1</v>
      </c>
      <c r="N319" s="573" t="s">
        <v>126</v>
      </c>
      <c r="O319" s="573" t="s">
        <v>132</v>
      </c>
      <c r="P319" s="587">
        <f>(K23)</f>
        <v>5585.8</v>
      </c>
      <c r="Q319" s="573" t="s">
        <v>126</v>
      </c>
      <c r="R319" s="587">
        <f>(M319*P319)</f>
        <v>558.58000000000004</v>
      </c>
      <c r="U319" s="575" t="s">
        <v>455</v>
      </c>
      <c r="X319" s="575">
        <f>SUM(X311:X318)</f>
        <v>61239.712000000007</v>
      </c>
      <c r="AC319" s="576"/>
      <c r="AD319" s="573" t="s">
        <v>455</v>
      </c>
      <c r="AF319" s="578"/>
      <c r="AG319" s="587">
        <f>SUM(AG311:AG317)</f>
        <v>58071.232800000005</v>
      </c>
    </row>
    <row r="320" spans="1:33" ht="24" customHeight="1">
      <c r="A320" s="594">
        <f t="shared" si="28"/>
        <v>159</v>
      </c>
      <c r="B320" s="595" t="s">
        <v>727</v>
      </c>
      <c r="C320" s="659">
        <v>43.47</v>
      </c>
      <c r="D320" s="660" t="s">
        <v>1</v>
      </c>
      <c r="K320" s="582" t="s">
        <v>117</v>
      </c>
      <c r="M320" s="587">
        <v>1.1000000000000001</v>
      </c>
      <c r="N320" s="573" t="s">
        <v>209</v>
      </c>
      <c r="O320" s="573" t="s">
        <v>144</v>
      </c>
      <c r="P320" s="587">
        <f>(C10)</f>
        <v>769</v>
      </c>
      <c r="Q320" s="573" t="s">
        <v>209</v>
      </c>
      <c r="R320" s="587">
        <f>(M320*P320)</f>
        <v>845.90000000000009</v>
      </c>
      <c r="X320" s="575" t="s">
        <v>117</v>
      </c>
      <c r="AC320" s="576"/>
      <c r="AF320" s="578"/>
      <c r="AG320" s="582" t="s">
        <v>117</v>
      </c>
    </row>
    <row r="321" spans="1:34" ht="24" customHeight="1">
      <c r="A321" s="594">
        <f t="shared" si="28"/>
        <v>160</v>
      </c>
      <c r="B321" s="595" t="s">
        <v>728</v>
      </c>
      <c r="C321" s="659">
        <v>50.34</v>
      </c>
      <c r="D321" s="660" t="s">
        <v>1</v>
      </c>
      <c r="H321" s="589" t="s">
        <v>383</v>
      </c>
      <c r="K321" s="586">
        <f>(K319/10)</f>
        <v>5768.1080000000002</v>
      </c>
      <c r="M321" s="587">
        <v>1.1000000000000001</v>
      </c>
      <c r="N321" s="573" t="s">
        <v>209</v>
      </c>
      <c r="O321" s="573" t="s">
        <v>146</v>
      </c>
      <c r="P321" s="587">
        <f>(C12)</f>
        <v>502</v>
      </c>
      <c r="Q321" s="573" t="s">
        <v>209</v>
      </c>
      <c r="R321" s="587">
        <f>(M321*P321)</f>
        <v>552.20000000000005</v>
      </c>
      <c r="U321" s="575" t="s">
        <v>383</v>
      </c>
      <c r="X321" s="619">
        <f>X319/10</f>
        <v>6123.9712000000009</v>
      </c>
      <c r="AC321" s="576"/>
      <c r="AD321" s="589" t="s">
        <v>383</v>
      </c>
      <c r="AF321" s="578"/>
      <c r="AG321" s="586">
        <f>(AG319/10)</f>
        <v>5807.1232800000007</v>
      </c>
    </row>
    <row r="322" spans="1:34" ht="24" customHeight="1">
      <c r="A322" s="594">
        <f t="shared" si="28"/>
        <v>161</v>
      </c>
      <c r="B322" s="595" t="s">
        <v>730</v>
      </c>
      <c r="C322" s="659">
        <v>65.209999999999994</v>
      </c>
      <c r="D322" s="660" t="s">
        <v>1</v>
      </c>
      <c r="K322" s="582" t="s">
        <v>155</v>
      </c>
      <c r="M322" s="587">
        <v>1.1000000000000001</v>
      </c>
      <c r="N322" s="573" t="s">
        <v>209</v>
      </c>
      <c r="O322" s="573" t="s">
        <v>147</v>
      </c>
      <c r="P322" s="587">
        <f>(C13)</f>
        <v>412</v>
      </c>
      <c r="Q322" s="573" t="s">
        <v>209</v>
      </c>
      <c r="R322" s="587">
        <f>(M322*P322)</f>
        <v>453.20000000000005</v>
      </c>
      <c r="AC322" s="576"/>
      <c r="AF322" s="578"/>
      <c r="AG322" s="582" t="s">
        <v>155</v>
      </c>
    </row>
    <row r="323" spans="1:34" ht="24" customHeight="1">
      <c r="A323" s="594">
        <f t="shared" si="28"/>
        <v>162</v>
      </c>
      <c r="B323" s="595" t="s">
        <v>731</v>
      </c>
      <c r="C323" s="659">
        <v>145.29</v>
      </c>
      <c r="D323" s="660" t="s">
        <v>1</v>
      </c>
      <c r="H323" s="573" t="s">
        <v>482</v>
      </c>
      <c r="K323" s="587">
        <f>(K321+C19)</f>
        <v>5827.308</v>
      </c>
      <c r="L323" s="575">
        <f>K323-K321</f>
        <v>59.199999999999818</v>
      </c>
      <c r="N323" s="573" t="s">
        <v>129</v>
      </c>
      <c r="O323" s="573" t="s">
        <v>130</v>
      </c>
      <c r="P323" s="573" t="s">
        <v>115</v>
      </c>
      <c r="Q323" s="573" t="s">
        <v>129</v>
      </c>
      <c r="R323" s="587">
        <v>0</v>
      </c>
      <c r="U323" s="575" t="s">
        <v>482</v>
      </c>
      <c r="X323" s="575">
        <f>X321+C19</f>
        <v>6183.1712000000007</v>
      </c>
      <c r="Y323" s="575">
        <f>X323-X321</f>
        <v>59.199999999999818</v>
      </c>
      <c r="AC323" s="576"/>
      <c r="AD323" s="573" t="s">
        <v>482</v>
      </c>
      <c r="AF323" s="578"/>
      <c r="AG323" s="587">
        <f>AG321+C19</f>
        <v>5866.3232800000005</v>
      </c>
      <c r="AH323" s="575">
        <f>AG323-AG321</f>
        <v>59.199999999999818</v>
      </c>
    </row>
    <row r="324" spans="1:34" ht="24" customHeight="1">
      <c r="A324" s="594">
        <f t="shared" si="28"/>
        <v>163</v>
      </c>
      <c r="B324" s="595" t="s">
        <v>735</v>
      </c>
      <c r="C324" s="662"/>
      <c r="D324" s="662"/>
      <c r="H324" s="573" t="s">
        <v>486</v>
      </c>
      <c r="K324" s="587">
        <f>(K323+C20)</f>
        <v>5946.6080000000002</v>
      </c>
      <c r="L324" s="575">
        <f>K324-K323</f>
        <v>119.30000000000018</v>
      </c>
      <c r="R324" s="582" t="s">
        <v>117</v>
      </c>
      <c r="U324" s="575" t="s">
        <v>486</v>
      </c>
      <c r="X324" s="575">
        <f>X323+C20</f>
        <v>6302.4712000000009</v>
      </c>
      <c r="Y324" s="575">
        <f>X324-X323</f>
        <v>119.30000000000018</v>
      </c>
      <c r="AC324" s="576"/>
      <c r="AD324" s="573" t="s">
        <v>486</v>
      </c>
      <c r="AF324" s="578"/>
      <c r="AG324" s="587">
        <f>AG323+C20</f>
        <v>5985.6232800000007</v>
      </c>
      <c r="AH324" s="575">
        <f>AG324-AG323</f>
        <v>119.30000000000018</v>
      </c>
    </row>
    <row r="325" spans="1:34" ht="24" customHeight="1">
      <c r="A325" s="594">
        <f t="shared" si="28"/>
        <v>164</v>
      </c>
      <c r="B325" s="595" t="s">
        <v>727</v>
      </c>
      <c r="C325" s="659">
        <v>14.91</v>
      </c>
      <c r="D325" s="660" t="s">
        <v>203</v>
      </c>
      <c r="H325" s="573" t="s">
        <v>489</v>
      </c>
      <c r="K325" s="587">
        <f>(K324+C21)</f>
        <v>6065.9080000000004</v>
      </c>
      <c r="M325" s="575">
        <f>(K325+K324)/2</f>
        <v>6006.2579999999998</v>
      </c>
      <c r="O325" s="573" t="s">
        <v>153</v>
      </c>
      <c r="R325" s="587">
        <f>SUM(R319:R323)</f>
        <v>2409.88</v>
      </c>
      <c r="U325" s="575" t="s">
        <v>489</v>
      </c>
      <c r="X325" s="575">
        <f>X324+C20</f>
        <v>6421.771200000001</v>
      </c>
      <c r="AC325" s="576"/>
      <c r="AD325" s="573" t="s">
        <v>489</v>
      </c>
      <c r="AF325" s="578"/>
      <c r="AG325" s="587">
        <f>AG324+C20</f>
        <v>6104.9232800000009</v>
      </c>
      <c r="AH325" s="575">
        <f>AG324-AG323</f>
        <v>119.30000000000018</v>
      </c>
    </row>
    <row r="326" spans="1:34" ht="24" customHeight="1">
      <c r="A326" s="594">
        <f t="shared" si="28"/>
        <v>165</v>
      </c>
      <c r="B326" s="595" t="s">
        <v>728</v>
      </c>
      <c r="C326" s="659">
        <v>19.41</v>
      </c>
      <c r="D326" s="660" t="s">
        <v>203</v>
      </c>
      <c r="H326" s="573" t="s">
        <v>491</v>
      </c>
      <c r="K326" s="587">
        <f>(K325+C21)</f>
        <v>6185.2080000000005</v>
      </c>
      <c r="R326" s="582" t="s">
        <v>117</v>
      </c>
      <c r="U326" s="575" t="s">
        <v>491</v>
      </c>
      <c r="X326" s="575">
        <f>X325+C20</f>
        <v>6541.0712000000012</v>
      </c>
      <c r="AC326" s="576"/>
      <c r="AD326" s="573" t="s">
        <v>491</v>
      </c>
      <c r="AF326" s="578"/>
      <c r="AG326" s="587">
        <f>AG325+C20</f>
        <v>6224.2232800000011</v>
      </c>
    </row>
    <row r="327" spans="1:34" ht="24" customHeight="1">
      <c r="A327" s="594">
        <f t="shared" si="28"/>
        <v>166</v>
      </c>
      <c r="B327" s="595" t="s">
        <v>730</v>
      </c>
      <c r="C327" s="659">
        <v>22.22</v>
      </c>
      <c r="D327" s="660" t="s">
        <v>203</v>
      </c>
      <c r="H327" s="573" t="s">
        <v>496</v>
      </c>
      <c r="K327" s="587">
        <f>(K326+C21)</f>
        <v>6304.5080000000007</v>
      </c>
      <c r="O327" s="573" t="s">
        <v>154</v>
      </c>
      <c r="R327" s="587">
        <f>(R325/10)</f>
        <v>240.988</v>
      </c>
      <c r="U327" s="575" t="s">
        <v>496</v>
      </c>
      <c r="X327" s="575">
        <f>X326+C20</f>
        <v>6660.3712000000014</v>
      </c>
      <c r="AC327" s="576"/>
      <c r="AD327" s="573" t="s">
        <v>496</v>
      </c>
      <c r="AF327" s="578"/>
      <c r="AG327" s="587">
        <f>AG326+C20</f>
        <v>6343.5232800000013</v>
      </c>
    </row>
    <row r="328" spans="1:34" ht="24" customHeight="1">
      <c r="A328" s="594"/>
      <c r="B328" s="595"/>
      <c r="C328" s="659"/>
      <c r="D328" s="660"/>
      <c r="H328" s="573"/>
      <c r="K328" s="587"/>
      <c r="O328" s="573"/>
      <c r="R328" s="587"/>
      <c r="AE328" s="592"/>
      <c r="AG328" s="573"/>
    </row>
    <row r="329" spans="1:34" ht="24" customHeight="1">
      <c r="A329" s="594"/>
      <c r="B329" s="595"/>
      <c r="C329" s="659"/>
      <c r="D329" s="660"/>
      <c r="F329" s="574" t="s">
        <v>736</v>
      </c>
      <c r="H329" s="573" t="s">
        <v>737</v>
      </c>
      <c r="K329" s="663">
        <v>705</v>
      </c>
      <c r="L329" s="575" t="s">
        <v>738</v>
      </c>
      <c r="O329" s="573"/>
      <c r="R329" s="587"/>
      <c r="AE329" s="592"/>
      <c r="AG329" s="573"/>
    </row>
    <row r="330" spans="1:34" ht="24" customHeight="1">
      <c r="A330" s="594"/>
      <c r="B330" s="595"/>
      <c r="C330" s="659"/>
      <c r="D330" s="660"/>
      <c r="H330" s="573" t="s">
        <v>3054</v>
      </c>
      <c r="K330" s="582" t="s">
        <v>155</v>
      </c>
      <c r="O330" s="573"/>
      <c r="R330" s="587"/>
      <c r="AE330" s="592"/>
      <c r="AG330" s="573"/>
    </row>
    <row r="331" spans="1:34" ht="24" customHeight="1">
      <c r="A331" s="594"/>
      <c r="B331" s="595"/>
      <c r="C331" s="659"/>
      <c r="D331" s="660"/>
      <c r="H331" s="573"/>
      <c r="K331" s="587"/>
      <c r="O331" s="573"/>
      <c r="R331" s="587"/>
      <c r="AE331" s="592"/>
      <c r="AG331" s="573"/>
    </row>
    <row r="332" spans="1:34" ht="24" customHeight="1">
      <c r="A332" s="594">
        <f>(A327+1)</f>
        <v>167</v>
      </c>
      <c r="B332" s="595" t="s">
        <v>731</v>
      </c>
      <c r="C332" s="659">
        <v>46.42</v>
      </c>
      <c r="D332" s="660" t="s">
        <v>203</v>
      </c>
      <c r="F332" s="607">
        <v>9</v>
      </c>
      <c r="G332" s="585" t="s">
        <v>122</v>
      </c>
      <c r="H332" s="573" t="s">
        <v>740</v>
      </c>
      <c r="R332" s="582" t="s">
        <v>155</v>
      </c>
      <c r="S332" s="579">
        <v>9</v>
      </c>
      <c r="T332" s="575" t="s">
        <v>122</v>
      </c>
      <c r="U332" s="575" t="s">
        <v>741</v>
      </c>
      <c r="AB332" s="607">
        <v>9</v>
      </c>
      <c r="AC332" s="585" t="s">
        <v>122</v>
      </c>
      <c r="AD332" s="573" t="s">
        <v>742</v>
      </c>
      <c r="AF332" s="578"/>
    </row>
    <row r="333" spans="1:34" ht="24" customHeight="1">
      <c r="A333" s="594">
        <f t="shared" si="28"/>
        <v>168</v>
      </c>
      <c r="B333" s="595" t="s">
        <v>743</v>
      </c>
      <c r="C333" s="662"/>
      <c r="D333" s="662"/>
      <c r="H333" s="573" t="str">
        <f>H309</f>
        <v>Bricks of size 22x11x7 cm</v>
      </c>
      <c r="U333" s="575" t="s">
        <v>725</v>
      </c>
      <c r="AC333" s="576"/>
      <c r="AD333" s="573" t="str">
        <f>AD309</f>
        <v>Bricks of size 23x11.4x7.5 cm</v>
      </c>
      <c r="AF333" s="578"/>
    </row>
    <row r="334" spans="1:34" ht="24" customHeight="1">
      <c r="A334" s="594">
        <f t="shared" si="28"/>
        <v>169</v>
      </c>
      <c r="B334" s="595" t="s">
        <v>727</v>
      </c>
      <c r="C334" s="659">
        <v>8.58</v>
      </c>
      <c r="D334" s="660" t="s">
        <v>1</v>
      </c>
      <c r="H334" s="582" t="s">
        <v>117</v>
      </c>
      <c r="N334" s="573" t="s">
        <v>122</v>
      </c>
      <c r="O334" s="573" t="s">
        <v>744</v>
      </c>
      <c r="U334" s="575" t="s">
        <v>117</v>
      </c>
      <c r="AC334" s="576"/>
      <c r="AD334" s="582" t="s">
        <v>117</v>
      </c>
      <c r="AF334" s="578"/>
    </row>
    <row r="335" spans="1:34" ht="24" customHeight="1">
      <c r="A335" s="594">
        <f t="shared" si="28"/>
        <v>170</v>
      </c>
      <c r="B335" s="595" t="s">
        <v>728</v>
      </c>
      <c r="C335" s="659">
        <v>12.26</v>
      </c>
      <c r="D335" s="660" t="s">
        <v>1</v>
      </c>
      <c r="F335" s="587">
        <f>F311</f>
        <v>4800</v>
      </c>
      <c r="G335" s="585" t="s">
        <v>467</v>
      </c>
      <c r="H335" s="587" t="str">
        <f>H309</f>
        <v>Bricks of size 22x11x7 cm</v>
      </c>
      <c r="I335" s="587">
        <f>C80</f>
        <v>5704.1</v>
      </c>
      <c r="J335" s="573" t="s">
        <v>468</v>
      </c>
      <c r="K335" s="587">
        <f>(F335*I335)/1000</f>
        <v>27379.68</v>
      </c>
      <c r="O335" s="582" t="s">
        <v>117</v>
      </c>
      <c r="S335" s="579">
        <v>4600</v>
      </c>
      <c r="T335" s="575" t="s">
        <v>467</v>
      </c>
      <c r="U335" s="575" t="s">
        <v>725</v>
      </c>
      <c r="V335" s="575">
        <f>AC41</f>
        <v>6725.72</v>
      </c>
      <c r="W335" s="575" t="s">
        <v>468</v>
      </c>
      <c r="X335" s="575">
        <f>V335*S335/1000</f>
        <v>30938.312000000002</v>
      </c>
      <c r="AB335" s="587">
        <f>AB311</f>
        <v>4240</v>
      </c>
      <c r="AC335" s="585" t="s">
        <v>467</v>
      </c>
      <c r="AD335" s="587" t="str">
        <f>AD309</f>
        <v>Bricks of size 23x11.4x7.5 cm</v>
      </c>
      <c r="AE335" s="587">
        <f>AC42</f>
        <v>6912.72</v>
      </c>
      <c r="AF335" s="573" t="s">
        <v>468</v>
      </c>
      <c r="AG335" s="587">
        <f>AE335*AB335/1000</f>
        <v>29309.932800000002</v>
      </c>
    </row>
    <row r="336" spans="1:34" ht="24" customHeight="1">
      <c r="A336" s="594">
        <f t="shared" si="28"/>
        <v>171</v>
      </c>
      <c r="B336" s="595" t="s">
        <v>730</v>
      </c>
      <c r="C336" s="659">
        <v>13.89</v>
      </c>
      <c r="D336" s="660" t="s">
        <v>1</v>
      </c>
      <c r="F336" s="587">
        <f>F312</f>
        <v>2.5</v>
      </c>
      <c r="G336" s="585" t="s">
        <v>126</v>
      </c>
      <c r="H336" s="573" t="s">
        <v>136</v>
      </c>
      <c r="I336" s="587">
        <f>K58</f>
        <v>2801.8</v>
      </c>
      <c r="J336" s="573" t="s">
        <v>126</v>
      </c>
      <c r="K336" s="587">
        <f>(F336*I336)</f>
        <v>7004.5</v>
      </c>
      <c r="M336" s="587">
        <v>0.22</v>
      </c>
      <c r="N336" s="573" t="s">
        <v>126</v>
      </c>
      <c r="O336" s="573" t="s">
        <v>135</v>
      </c>
      <c r="P336" s="587">
        <f>(K49)</f>
        <v>3080.2</v>
      </c>
      <c r="Q336" s="573" t="s">
        <v>126</v>
      </c>
      <c r="R336" s="587">
        <f>(M336*P336)</f>
        <v>677.64400000000001</v>
      </c>
      <c r="S336" s="579">
        <v>2.5</v>
      </c>
      <c r="T336" s="575" t="s">
        <v>126</v>
      </c>
      <c r="U336" s="575" t="s">
        <v>136</v>
      </c>
      <c r="V336" s="575">
        <f>I336</f>
        <v>2801.8</v>
      </c>
      <c r="W336" s="575" t="s">
        <v>126</v>
      </c>
      <c r="X336" s="575">
        <f t="shared" ref="X336:X341" si="30">V336*S336</f>
        <v>7004.5</v>
      </c>
      <c r="AB336" s="587">
        <f>AB312</f>
        <v>2</v>
      </c>
      <c r="AC336" s="585" t="s">
        <v>126</v>
      </c>
      <c r="AD336" s="573" t="s">
        <v>136</v>
      </c>
      <c r="AE336" s="587">
        <f>V336</f>
        <v>2801.8</v>
      </c>
      <c r="AF336" s="573" t="s">
        <v>126</v>
      </c>
      <c r="AG336" s="587">
        <f>AE336*AB336</f>
        <v>5603.6</v>
      </c>
    </row>
    <row r="337" spans="1:33" ht="24" customHeight="1">
      <c r="A337" s="594">
        <f t="shared" si="28"/>
        <v>172</v>
      </c>
      <c r="B337" s="595" t="s">
        <v>731</v>
      </c>
      <c r="C337" s="659">
        <v>36.25</v>
      </c>
      <c r="D337" s="660" t="s">
        <v>1</v>
      </c>
      <c r="F337" s="587">
        <v>3.5</v>
      </c>
      <c r="G337" s="585" t="s">
        <v>209</v>
      </c>
      <c r="H337" s="573" t="s">
        <v>144</v>
      </c>
      <c r="I337" s="587">
        <f>C10</f>
        <v>769</v>
      </c>
      <c r="J337" s="573" t="s">
        <v>209</v>
      </c>
      <c r="K337" s="587">
        <f>(F337*I337)</f>
        <v>2691.5</v>
      </c>
      <c r="M337" s="587">
        <v>2.2000000000000002</v>
      </c>
      <c r="N337" s="573" t="s">
        <v>209</v>
      </c>
      <c r="O337" s="573" t="s">
        <v>144</v>
      </c>
      <c r="P337" s="587">
        <f>(C10)</f>
        <v>769</v>
      </c>
      <c r="Q337" s="573" t="s">
        <v>209</v>
      </c>
      <c r="R337" s="587">
        <f>(M337*P337)</f>
        <v>1691.8000000000002</v>
      </c>
      <c r="S337" s="579">
        <v>3.5</v>
      </c>
      <c r="T337" s="575" t="s">
        <v>209</v>
      </c>
      <c r="U337" s="575" t="s">
        <v>144</v>
      </c>
      <c r="V337" s="575">
        <f>I337</f>
        <v>769</v>
      </c>
      <c r="W337" s="575" t="s">
        <v>209</v>
      </c>
      <c r="X337" s="575">
        <f t="shared" si="30"/>
        <v>2691.5</v>
      </c>
      <c r="AB337" s="587">
        <v>3.5</v>
      </c>
      <c r="AC337" s="585" t="s">
        <v>209</v>
      </c>
      <c r="AD337" s="573" t="s">
        <v>144</v>
      </c>
      <c r="AE337" s="587">
        <f>V337</f>
        <v>769</v>
      </c>
      <c r="AF337" s="573" t="s">
        <v>209</v>
      </c>
      <c r="AG337" s="587">
        <f>AE337*AB337</f>
        <v>2691.5</v>
      </c>
    </row>
    <row r="338" spans="1:33" ht="24" customHeight="1">
      <c r="A338" s="594">
        <f t="shared" si="28"/>
        <v>173</v>
      </c>
      <c r="B338" s="595" t="s">
        <v>745</v>
      </c>
      <c r="C338" s="662"/>
      <c r="D338" s="662"/>
      <c r="F338" s="587">
        <v>10.6</v>
      </c>
      <c r="G338" s="585" t="s">
        <v>209</v>
      </c>
      <c r="H338" s="573" t="s">
        <v>145</v>
      </c>
      <c r="I338" s="587">
        <f>C11</f>
        <v>718</v>
      </c>
      <c r="J338" s="573" t="s">
        <v>209</v>
      </c>
      <c r="K338" s="587">
        <f>(F338*I338)</f>
        <v>7610.8</v>
      </c>
      <c r="M338" s="587">
        <v>0.5</v>
      </c>
      <c r="N338" s="573" t="s">
        <v>209</v>
      </c>
      <c r="O338" s="573" t="s">
        <v>146</v>
      </c>
      <c r="P338" s="587">
        <f>(C12)</f>
        <v>502</v>
      </c>
      <c r="Q338" s="573" t="s">
        <v>209</v>
      </c>
      <c r="R338" s="587">
        <f>(M338*P338)</f>
        <v>251</v>
      </c>
      <c r="S338" s="579">
        <v>10.6</v>
      </c>
      <c r="T338" s="575" t="s">
        <v>209</v>
      </c>
      <c r="U338" s="575" t="s">
        <v>145</v>
      </c>
      <c r="V338" s="575">
        <f>I338</f>
        <v>718</v>
      </c>
      <c r="W338" s="575" t="s">
        <v>209</v>
      </c>
      <c r="X338" s="575">
        <f t="shared" si="30"/>
        <v>7610.8</v>
      </c>
      <c r="AB338" s="587">
        <v>10.6</v>
      </c>
      <c r="AC338" s="585" t="s">
        <v>209</v>
      </c>
      <c r="AD338" s="573" t="s">
        <v>145</v>
      </c>
      <c r="AE338" s="587">
        <f>V338</f>
        <v>718</v>
      </c>
      <c r="AF338" s="573" t="s">
        <v>209</v>
      </c>
      <c r="AG338" s="587">
        <f>AE338*AB338</f>
        <v>7610.8</v>
      </c>
    </row>
    <row r="339" spans="1:33" ht="24" customHeight="1">
      <c r="A339" s="594">
        <f t="shared" si="28"/>
        <v>174</v>
      </c>
      <c r="B339" s="595" t="s">
        <v>727</v>
      </c>
      <c r="C339" s="659">
        <v>15.7</v>
      </c>
      <c r="D339" s="660" t="s">
        <v>1</v>
      </c>
      <c r="F339" s="587">
        <v>7.1</v>
      </c>
      <c r="G339" s="585" t="s">
        <v>209</v>
      </c>
      <c r="H339" s="573" t="s">
        <v>146</v>
      </c>
      <c r="I339" s="587">
        <f>C12</f>
        <v>502</v>
      </c>
      <c r="J339" s="573" t="s">
        <v>209</v>
      </c>
      <c r="K339" s="587">
        <f>(F339*I339)</f>
        <v>3564.2</v>
      </c>
      <c r="M339" s="587">
        <v>3.2</v>
      </c>
      <c r="N339" s="573" t="s">
        <v>209</v>
      </c>
      <c r="O339" s="573" t="s">
        <v>147</v>
      </c>
      <c r="P339" s="587">
        <f>(C13)</f>
        <v>412</v>
      </c>
      <c r="Q339" s="573" t="s">
        <v>209</v>
      </c>
      <c r="R339" s="587">
        <f>(M339*P339)</f>
        <v>1318.4</v>
      </c>
      <c r="S339" s="579">
        <v>7.1</v>
      </c>
      <c r="T339" s="575" t="s">
        <v>209</v>
      </c>
      <c r="U339" s="575" t="s">
        <v>146</v>
      </c>
      <c r="V339" s="575">
        <f>I339</f>
        <v>502</v>
      </c>
      <c r="W339" s="575" t="s">
        <v>209</v>
      </c>
      <c r="X339" s="575">
        <f t="shared" si="30"/>
        <v>3564.2</v>
      </c>
      <c r="AB339" s="587">
        <v>7.1</v>
      </c>
      <c r="AC339" s="585" t="s">
        <v>209</v>
      </c>
      <c r="AD339" s="573" t="s">
        <v>146</v>
      </c>
      <c r="AE339" s="587">
        <f>V339</f>
        <v>502</v>
      </c>
      <c r="AF339" s="573" t="s">
        <v>209</v>
      </c>
      <c r="AG339" s="587">
        <f>AE339*AB339</f>
        <v>3564.2</v>
      </c>
    </row>
    <row r="340" spans="1:33" ht="24" customHeight="1">
      <c r="A340" s="594">
        <f t="shared" si="28"/>
        <v>175</v>
      </c>
      <c r="B340" s="595" t="s">
        <v>728</v>
      </c>
      <c r="C340" s="659">
        <v>22.31</v>
      </c>
      <c r="D340" s="660" t="s">
        <v>1</v>
      </c>
      <c r="F340" s="587">
        <v>21.2</v>
      </c>
      <c r="G340" s="585" t="s">
        <v>209</v>
      </c>
      <c r="H340" s="573" t="s">
        <v>147</v>
      </c>
      <c r="I340" s="587">
        <f>C13</f>
        <v>412</v>
      </c>
      <c r="J340" s="573" t="s">
        <v>209</v>
      </c>
      <c r="K340" s="587">
        <f>(F340*I340)</f>
        <v>8734.4</v>
      </c>
      <c r="N340" s="573" t="s">
        <v>129</v>
      </c>
      <c r="O340" s="573" t="s">
        <v>130</v>
      </c>
      <c r="P340" s="573" t="s">
        <v>115</v>
      </c>
      <c r="Q340" s="573" t="s">
        <v>129</v>
      </c>
      <c r="R340" s="587">
        <v>5</v>
      </c>
      <c r="S340" s="579">
        <v>21.2</v>
      </c>
      <c r="T340" s="575" t="s">
        <v>209</v>
      </c>
      <c r="U340" s="575" t="s">
        <v>147</v>
      </c>
      <c r="V340" s="575">
        <f>I340</f>
        <v>412</v>
      </c>
      <c r="W340" s="575" t="s">
        <v>209</v>
      </c>
      <c r="X340" s="575">
        <f t="shared" si="30"/>
        <v>8734.4</v>
      </c>
      <c r="AB340" s="587">
        <v>21.2</v>
      </c>
      <c r="AC340" s="585" t="s">
        <v>209</v>
      </c>
      <c r="AD340" s="573" t="s">
        <v>147</v>
      </c>
      <c r="AE340" s="587">
        <f>V340</f>
        <v>412</v>
      </c>
      <c r="AF340" s="573" t="s">
        <v>209</v>
      </c>
      <c r="AG340" s="587">
        <f>AE340*AB340</f>
        <v>8734.4</v>
      </c>
    </row>
    <row r="341" spans="1:33" ht="24" customHeight="1">
      <c r="A341" s="594">
        <f t="shared" si="28"/>
        <v>176</v>
      </c>
      <c r="B341" s="595" t="s">
        <v>730</v>
      </c>
      <c r="C341" s="659">
        <v>25.24</v>
      </c>
      <c r="D341" s="660" t="s">
        <v>1</v>
      </c>
      <c r="G341" s="585" t="s">
        <v>129</v>
      </c>
      <c r="H341" s="573" t="s">
        <v>130</v>
      </c>
      <c r="J341" s="573" t="s">
        <v>129</v>
      </c>
      <c r="K341" s="587">
        <v>0</v>
      </c>
      <c r="R341" s="582" t="s">
        <v>117</v>
      </c>
      <c r="T341" s="575" t="s">
        <v>129</v>
      </c>
      <c r="U341" s="575" t="s">
        <v>130</v>
      </c>
      <c r="W341" s="575" t="s">
        <v>129</v>
      </c>
      <c r="X341" s="575">
        <f t="shared" si="30"/>
        <v>0</v>
      </c>
      <c r="AC341" s="585" t="s">
        <v>129</v>
      </c>
      <c r="AD341" s="573" t="s">
        <v>130</v>
      </c>
      <c r="AF341" s="573" t="s">
        <v>129</v>
      </c>
      <c r="AG341" s="587">
        <v>0</v>
      </c>
    </row>
    <row r="342" spans="1:33" ht="24" customHeight="1">
      <c r="A342" s="594">
        <f t="shared" si="28"/>
        <v>177</v>
      </c>
      <c r="B342" s="595" t="s">
        <v>731</v>
      </c>
      <c r="C342" s="659">
        <v>52.34</v>
      </c>
      <c r="D342" s="660" t="s">
        <v>1</v>
      </c>
      <c r="K342" s="582" t="s">
        <v>117</v>
      </c>
      <c r="O342" s="573" t="s">
        <v>153</v>
      </c>
      <c r="R342" s="587">
        <f>SUM(R336:R340)</f>
        <v>3943.8440000000005</v>
      </c>
      <c r="X342" s="582" t="s">
        <v>117</v>
      </c>
      <c r="AC342" s="576"/>
      <c r="AF342" s="578"/>
      <c r="AG342" s="582" t="s">
        <v>117</v>
      </c>
    </row>
    <row r="343" spans="1:33" ht="24" customHeight="1">
      <c r="A343" s="594">
        <f t="shared" si="28"/>
        <v>178</v>
      </c>
      <c r="B343" s="595" t="s">
        <v>746</v>
      </c>
      <c r="C343" s="662"/>
      <c r="D343" s="662"/>
      <c r="H343" s="573" t="s">
        <v>455</v>
      </c>
      <c r="K343" s="587">
        <f>SUM(K335:K341)</f>
        <v>56985.08</v>
      </c>
      <c r="R343" s="582" t="s">
        <v>117</v>
      </c>
      <c r="U343" s="575" t="s">
        <v>455</v>
      </c>
      <c r="X343" s="575">
        <f>SUM(X335:X342)</f>
        <v>60543.712000000007</v>
      </c>
      <c r="AC343" s="576"/>
      <c r="AD343" s="573" t="s">
        <v>455</v>
      </c>
      <c r="AF343" s="578"/>
      <c r="AG343" s="587">
        <f>SUM(AG335:AG341)</f>
        <v>57514.432800000002</v>
      </c>
    </row>
    <row r="344" spans="1:33" ht="24" customHeight="1">
      <c r="A344" s="594">
        <f t="shared" si="28"/>
        <v>179</v>
      </c>
      <c r="B344" s="595" t="s">
        <v>727</v>
      </c>
      <c r="C344" s="659">
        <v>13.73</v>
      </c>
      <c r="D344" s="660" t="s">
        <v>1</v>
      </c>
      <c r="K344" s="582" t="s">
        <v>117</v>
      </c>
      <c r="O344" s="573" t="s">
        <v>154</v>
      </c>
      <c r="R344" s="587">
        <f>(R342/10)</f>
        <v>394.38440000000003</v>
      </c>
      <c r="X344" s="582" t="s">
        <v>117</v>
      </c>
      <c r="AC344" s="576"/>
      <c r="AF344" s="578"/>
      <c r="AG344" s="582" t="s">
        <v>117</v>
      </c>
    </row>
    <row r="345" spans="1:33" ht="24" customHeight="1">
      <c r="A345" s="594">
        <f t="shared" si="28"/>
        <v>180</v>
      </c>
      <c r="B345" s="595" t="s">
        <v>728</v>
      </c>
      <c r="C345" s="659">
        <v>20.16</v>
      </c>
      <c r="D345" s="660" t="s">
        <v>1</v>
      </c>
      <c r="H345" s="574" t="s">
        <v>383</v>
      </c>
      <c r="K345" s="587">
        <f>(K343/10)</f>
        <v>5698.5079999999998</v>
      </c>
      <c r="R345" s="582" t="s">
        <v>155</v>
      </c>
      <c r="U345" s="575" t="s">
        <v>383</v>
      </c>
      <c r="X345" s="575">
        <f>X343/10</f>
        <v>6054.3712000000005</v>
      </c>
      <c r="AC345" s="576"/>
      <c r="AD345" s="574" t="s">
        <v>383</v>
      </c>
      <c r="AF345" s="578"/>
      <c r="AG345" s="587">
        <f>(AG343/10)</f>
        <v>5751.4432800000004</v>
      </c>
    </row>
    <row r="346" spans="1:33" ht="24" customHeight="1">
      <c r="A346" s="594">
        <f t="shared" si="28"/>
        <v>181</v>
      </c>
      <c r="B346" s="595" t="s">
        <v>730</v>
      </c>
      <c r="C346" s="659">
        <v>22.73</v>
      </c>
      <c r="D346" s="660" t="s">
        <v>1</v>
      </c>
      <c r="K346" s="582" t="s">
        <v>155</v>
      </c>
      <c r="N346" s="573" t="s">
        <v>122</v>
      </c>
      <c r="O346" s="573" t="s">
        <v>747</v>
      </c>
      <c r="X346" s="622" t="s">
        <v>748</v>
      </c>
      <c r="AC346" s="576"/>
      <c r="AF346" s="578"/>
      <c r="AG346" s="582" t="s">
        <v>155</v>
      </c>
    </row>
    <row r="347" spans="1:33" ht="24" customHeight="1">
      <c r="A347" s="594">
        <f t="shared" ref="A347:A410" si="31">(A346+1)</f>
        <v>182</v>
      </c>
      <c r="B347" s="595" t="s">
        <v>731</v>
      </c>
      <c r="C347" s="659">
        <v>46.98</v>
      </c>
      <c r="D347" s="660" t="s">
        <v>115</v>
      </c>
      <c r="H347" s="573" t="s">
        <v>482</v>
      </c>
      <c r="K347" s="586">
        <f>(K345+C19)</f>
        <v>5757.7079999999996</v>
      </c>
      <c r="L347" s="575">
        <f>K347-K345</f>
        <v>59.199999999999818</v>
      </c>
      <c r="O347" s="582" t="s">
        <v>117</v>
      </c>
      <c r="U347" s="619" t="s">
        <v>482</v>
      </c>
      <c r="X347" s="619">
        <f>X345+C19</f>
        <v>6113.5712000000003</v>
      </c>
      <c r="AC347" s="576"/>
      <c r="AD347" s="573" t="s">
        <v>482</v>
      </c>
      <c r="AF347" s="578"/>
      <c r="AG347" s="586">
        <f>(AG345+C19)</f>
        <v>5810.6432800000002</v>
      </c>
    </row>
    <row r="348" spans="1:33" ht="24" customHeight="1">
      <c r="A348" s="594">
        <f t="shared" si="31"/>
        <v>183</v>
      </c>
      <c r="B348" s="595" t="s">
        <v>749</v>
      </c>
      <c r="C348" s="662"/>
      <c r="D348" s="662"/>
      <c r="H348" s="573" t="s">
        <v>486</v>
      </c>
      <c r="K348" s="586">
        <f>(K347+C20)</f>
        <v>5877.0079999999998</v>
      </c>
      <c r="L348" s="575">
        <f>K348-K347</f>
        <v>119.30000000000018</v>
      </c>
      <c r="M348" s="587">
        <v>0.22</v>
      </c>
      <c r="N348" s="573" t="s">
        <v>126</v>
      </c>
      <c r="O348" s="573" t="s">
        <v>133</v>
      </c>
      <c r="P348" s="587">
        <f>(K32)</f>
        <v>4193.8</v>
      </c>
      <c r="Q348" s="573" t="s">
        <v>126</v>
      </c>
      <c r="R348" s="587">
        <f>(M348*P348)</f>
        <v>922.63600000000008</v>
      </c>
      <c r="U348" s="619" t="s">
        <v>486</v>
      </c>
      <c r="X348" s="619">
        <f>X347+C20</f>
        <v>6232.8712000000005</v>
      </c>
      <c r="AC348" s="576"/>
      <c r="AD348" s="573" t="s">
        <v>486</v>
      </c>
      <c r="AF348" s="578"/>
      <c r="AG348" s="586">
        <f>(AG347+C20)</f>
        <v>5929.9432800000004</v>
      </c>
    </row>
    <row r="349" spans="1:33" ht="24" customHeight="1">
      <c r="A349" s="594">
        <f t="shared" si="31"/>
        <v>184</v>
      </c>
      <c r="B349" s="595" t="s">
        <v>727</v>
      </c>
      <c r="C349" s="659">
        <v>19.3</v>
      </c>
      <c r="D349" s="660" t="s">
        <v>1</v>
      </c>
      <c r="H349" s="573" t="s">
        <v>489</v>
      </c>
      <c r="K349" s="586">
        <f>(K348+C20)</f>
        <v>5996.308</v>
      </c>
      <c r="L349" s="575">
        <f>K349-K348</f>
        <v>119.30000000000018</v>
      </c>
      <c r="M349" s="587">
        <v>2.2000000000000002</v>
      </c>
      <c r="N349" s="573" t="s">
        <v>209</v>
      </c>
      <c r="O349" s="573" t="s">
        <v>144</v>
      </c>
      <c r="P349" s="587">
        <f>(C10)</f>
        <v>769</v>
      </c>
      <c r="Q349" s="573" t="s">
        <v>209</v>
      </c>
      <c r="R349" s="587">
        <f>(M349*P349)</f>
        <v>1691.8000000000002</v>
      </c>
      <c r="U349" s="619" t="s">
        <v>489</v>
      </c>
      <c r="X349" s="619">
        <f>X348+C20</f>
        <v>6352.1712000000007</v>
      </c>
      <c r="AC349" s="576"/>
      <c r="AD349" s="573" t="s">
        <v>489</v>
      </c>
      <c r="AF349" s="578"/>
      <c r="AG349" s="586">
        <f>(AG348+C20)</f>
        <v>6049.2432800000006</v>
      </c>
    </row>
    <row r="350" spans="1:33" ht="24" customHeight="1">
      <c r="A350" s="594">
        <f t="shared" si="31"/>
        <v>185</v>
      </c>
      <c r="B350" s="595" t="s">
        <v>730</v>
      </c>
      <c r="C350" s="659">
        <v>33.46</v>
      </c>
      <c r="D350" s="660" t="s">
        <v>1</v>
      </c>
      <c r="H350" s="573" t="s">
        <v>491</v>
      </c>
      <c r="K350" s="586">
        <f>(K349+C21)</f>
        <v>6115.6080000000002</v>
      </c>
      <c r="M350" s="587">
        <v>0.5</v>
      </c>
      <c r="N350" s="573" t="s">
        <v>209</v>
      </c>
      <c r="O350" s="573" t="s">
        <v>146</v>
      </c>
      <c r="P350" s="587">
        <f>(C12)</f>
        <v>502</v>
      </c>
      <c r="Q350" s="573" t="s">
        <v>209</v>
      </c>
      <c r="R350" s="587">
        <f>(M350*P350)</f>
        <v>251</v>
      </c>
      <c r="U350" s="619" t="s">
        <v>491</v>
      </c>
      <c r="X350" s="619">
        <f>X349+C20</f>
        <v>6471.4712000000009</v>
      </c>
      <c r="AC350" s="576"/>
      <c r="AD350" s="573" t="s">
        <v>491</v>
      </c>
      <c r="AF350" s="578"/>
      <c r="AG350" s="586">
        <f>(AG349+C20)</f>
        <v>6168.5432800000008</v>
      </c>
    </row>
    <row r="351" spans="1:33" ht="24" customHeight="1">
      <c r="A351" s="594">
        <f t="shared" si="31"/>
        <v>186</v>
      </c>
      <c r="B351" s="595" t="s">
        <v>731</v>
      </c>
      <c r="C351" s="659">
        <v>53.62</v>
      </c>
      <c r="D351" s="660" t="s">
        <v>1</v>
      </c>
      <c r="F351" s="573" t="s">
        <v>115</v>
      </c>
      <c r="H351" s="573" t="s">
        <v>496</v>
      </c>
      <c r="K351" s="586">
        <f>(K350+C21)</f>
        <v>6234.9080000000004</v>
      </c>
      <c r="L351" s="575">
        <f>K351-K350</f>
        <v>119.30000000000018</v>
      </c>
      <c r="M351" s="587">
        <v>3.2</v>
      </c>
      <c r="N351" s="573" t="s">
        <v>209</v>
      </c>
      <c r="O351" s="573" t="s">
        <v>147</v>
      </c>
      <c r="P351" s="587">
        <f>(C13)</f>
        <v>412</v>
      </c>
      <c r="Q351" s="573" t="s">
        <v>209</v>
      </c>
      <c r="R351" s="587">
        <f>(M351*P351)</f>
        <v>1318.4</v>
      </c>
      <c r="S351" s="579" t="s">
        <v>115</v>
      </c>
      <c r="U351" s="619" t="s">
        <v>496</v>
      </c>
      <c r="X351" s="619">
        <f>X350+C20</f>
        <v>6590.771200000001</v>
      </c>
      <c r="AB351" s="573" t="s">
        <v>115</v>
      </c>
      <c r="AC351" s="576"/>
      <c r="AD351" s="573" t="s">
        <v>496</v>
      </c>
      <c r="AF351" s="578"/>
      <c r="AG351" s="586">
        <f>(AG350+C20)</f>
        <v>6287.843280000001</v>
      </c>
    </row>
    <row r="352" spans="1:33" ht="24" customHeight="1">
      <c r="A352" s="594">
        <f t="shared" si="31"/>
        <v>187</v>
      </c>
      <c r="B352" s="595" t="s">
        <v>750</v>
      </c>
      <c r="C352" s="662"/>
      <c r="D352" s="662"/>
      <c r="F352" s="607">
        <v>27</v>
      </c>
      <c r="G352" s="585" t="s">
        <v>122</v>
      </c>
      <c r="H352" s="573" t="s">
        <v>751</v>
      </c>
      <c r="L352" s="575">
        <f>K351+L351</f>
        <v>6354.2080000000005</v>
      </c>
      <c r="N352" s="573" t="s">
        <v>129</v>
      </c>
      <c r="O352" s="573" t="s">
        <v>130</v>
      </c>
      <c r="P352" s="573" t="s">
        <v>115</v>
      </c>
      <c r="Q352" s="573" t="s">
        <v>129</v>
      </c>
      <c r="R352" s="587">
        <v>0</v>
      </c>
      <c r="S352" s="579">
        <v>27</v>
      </c>
      <c r="T352" s="575" t="s">
        <v>122</v>
      </c>
      <c r="U352" s="575" t="s">
        <v>752</v>
      </c>
      <c r="AB352" s="573"/>
      <c r="AC352" s="576"/>
      <c r="AD352" s="573">
        <v>5</v>
      </c>
      <c r="AF352" s="578"/>
      <c r="AG352" s="586">
        <f>(AG351+C20)</f>
        <v>6407.1432800000011</v>
      </c>
    </row>
    <row r="353" spans="1:34" ht="24" customHeight="1">
      <c r="A353" s="594">
        <f t="shared" si="31"/>
        <v>188</v>
      </c>
      <c r="B353" s="595" t="s">
        <v>727</v>
      </c>
      <c r="C353" s="659">
        <v>13.73</v>
      </c>
      <c r="D353" s="660" t="s">
        <v>1</v>
      </c>
      <c r="H353" s="573" t="str">
        <f>H333</f>
        <v>Bricks of size 22x11x7 cm</v>
      </c>
      <c r="L353" s="575">
        <f>L352+L351</f>
        <v>6473.5080000000007</v>
      </c>
      <c r="R353" s="582" t="s">
        <v>117</v>
      </c>
      <c r="U353" s="575" t="s">
        <v>725</v>
      </c>
      <c r="AB353" s="573"/>
      <c r="AC353" s="576"/>
      <c r="AD353" s="573">
        <v>6</v>
      </c>
      <c r="AF353" s="578"/>
      <c r="AG353" s="586">
        <f>(AG352+C20)</f>
        <v>6526.4432800000013</v>
      </c>
    </row>
    <row r="354" spans="1:34" ht="24" customHeight="1">
      <c r="A354" s="594">
        <f t="shared" si="31"/>
        <v>189</v>
      </c>
      <c r="B354" s="595" t="s">
        <v>728</v>
      </c>
      <c r="C354" s="659">
        <v>20.16</v>
      </c>
      <c r="D354" s="660" t="s">
        <v>1</v>
      </c>
      <c r="H354" s="582" t="s">
        <v>117</v>
      </c>
      <c r="O354" s="573" t="s">
        <v>153</v>
      </c>
      <c r="R354" s="587">
        <f>SUM(R348:R352)</f>
        <v>4183.8360000000002</v>
      </c>
      <c r="U354" s="575" t="s">
        <v>117</v>
      </c>
      <c r="AB354" s="573"/>
      <c r="AC354" s="576"/>
      <c r="AD354" s="573">
        <v>7</v>
      </c>
      <c r="AF354" s="578"/>
      <c r="AG354" s="586">
        <f>(AG353+C20)</f>
        <v>6645.7432800000015</v>
      </c>
    </row>
    <row r="355" spans="1:34" ht="24" customHeight="1">
      <c r="A355" s="594">
        <f t="shared" si="31"/>
        <v>190</v>
      </c>
      <c r="B355" s="595" t="s">
        <v>730</v>
      </c>
      <c r="C355" s="659">
        <v>22.73</v>
      </c>
      <c r="D355" s="660" t="s">
        <v>1</v>
      </c>
      <c r="F355" s="587">
        <v>4800</v>
      </c>
      <c r="G355" s="585" t="s">
        <v>467</v>
      </c>
      <c r="H355" s="587" t="str">
        <f>H309</f>
        <v>Bricks of size 22x11x7 cm</v>
      </c>
      <c r="I355" s="587">
        <f>C80</f>
        <v>5704.1</v>
      </c>
      <c r="J355" s="573" t="s">
        <v>468</v>
      </c>
      <c r="K355" s="587">
        <f>(F355*I355)/1000</f>
        <v>27379.68</v>
      </c>
      <c r="R355" s="582" t="s">
        <v>117</v>
      </c>
      <c r="S355" s="579">
        <v>4600</v>
      </c>
      <c r="T355" s="575" t="s">
        <v>467</v>
      </c>
      <c r="U355" s="575" t="s">
        <v>725</v>
      </c>
      <c r="V355" s="575">
        <f>AC41</f>
        <v>6725.72</v>
      </c>
      <c r="W355" s="575" t="s">
        <v>468</v>
      </c>
      <c r="X355" s="575">
        <f>V355*S355/1000</f>
        <v>30938.312000000002</v>
      </c>
      <c r="AB355" s="573"/>
      <c r="AC355" s="576"/>
      <c r="AD355" s="573">
        <v>8</v>
      </c>
      <c r="AF355" s="578"/>
      <c r="AG355" s="586">
        <f>(AG354+C20)</f>
        <v>6765.0432800000017</v>
      </c>
    </row>
    <row r="356" spans="1:34" ht="24" customHeight="1">
      <c r="A356" s="594">
        <f t="shared" si="31"/>
        <v>191</v>
      </c>
      <c r="B356" s="595" t="s">
        <v>731</v>
      </c>
      <c r="C356" s="659">
        <v>46.98</v>
      </c>
      <c r="D356" s="660" t="s">
        <v>1</v>
      </c>
      <c r="F356" s="587">
        <v>2.5</v>
      </c>
      <c r="G356" s="585" t="s">
        <v>126</v>
      </c>
      <c r="H356" s="573" t="s">
        <v>134</v>
      </c>
      <c r="I356" s="587">
        <f>K40</f>
        <v>3497.8</v>
      </c>
      <c r="J356" s="573" t="s">
        <v>126</v>
      </c>
      <c r="K356" s="587">
        <f>(F356*I356)</f>
        <v>8744.5</v>
      </c>
      <c r="O356" s="573" t="s">
        <v>154</v>
      </c>
      <c r="R356" s="587">
        <f>(R354/10)</f>
        <v>418.3836</v>
      </c>
      <c r="S356" s="579">
        <v>2.5</v>
      </c>
      <c r="T356" s="575" t="s">
        <v>126</v>
      </c>
      <c r="U356" s="575" t="s">
        <v>134</v>
      </c>
      <c r="V356" s="575">
        <f>I356</f>
        <v>3497.8</v>
      </c>
      <c r="W356" s="575" t="s">
        <v>126</v>
      </c>
      <c r="X356" s="575">
        <f>V356*S356</f>
        <v>8744.5</v>
      </c>
      <c r="AB356" s="573"/>
      <c r="AC356" s="576"/>
      <c r="AD356" s="573">
        <v>9</v>
      </c>
      <c r="AF356" s="578"/>
      <c r="AG356" s="586">
        <f>(AG355+C20)</f>
        <v>6884.3432800000019</v>
      </c>
    </row>
    <row r="357" spans="1:34" ht="24" customHeight="1">
      <c r="A357" s="594">
        <f t="shared" si="31"/>
        <v>192</v>
      </c>
      <c r="B357" s="595" t="s">
        <v>753</v>
      </c>
      <c r="C357" s="662"/>
      <c r="D357" s="662"/>
      <c r="F357" s="587">
        <v>3.5</v>
      </c>
      <c r="G357" s="585" t="s">
        <v>209</v>
      </c>
      <c r="H357" s="573" t="s">
        <v>144</v>
      </c>
      <c r="I357" s="587">
        <f>(C10)</f>
        <v>769</v>
      </c>
      <c r="J357" s="573" t="s">
        <v>209</v>
      </c>
      <c r="K357" s="587">
        <f>(F357*I357)</f>
        <v>2691.5</v>
      </c>
      <c r="R357" s="582" t="s">
        <v>155</v>
      </c>
      <c r="S357" s="579">
        <v>3.5</v>
      </c>
      <c r="T357" s="575" t="s">
        <v>209</v>
      </c>
      <c r="U357" s="575" t="s">
        <v>144</v>
      </c>
      <c r="V357" s="575">
        <f>I357</f>
        <v>769</v>
      </c>
      <c r="W357" s="575" t="s">
        <v>209</v>
      </c>
      <c r="X357" s="575">
        <f>V357*S357</f>
        <v>2691.5</v>
      </c>
      <c r="AB357" s="573"/>
      <c r="AC357" s="576"/>
      <c r="AD357" s="573">
        <v>10</v>
      </c>
      <c r="AF357" s="578"/>
      <c r="AG357" s="586">
        <f>(AG356+C20)</f>
        <v>7003.6432800000021</v>
      </c>
    </row>
    <row r="358" spans="1:34" ht="24" customHeight="1">
      <c r="A358" s="594">
        <f t="shared" si="31"/>
        <v>193</v>
      </c>
      <c r="B358" s="595" t="s">
        <v>727</v>
      </c>
      <c r="C358" s="659">
        <v>19.3</v>
      </c>
      <c r="D358" s="660" t="s">
        <v>1</v>
      </c>
      <c r="F358" s="587">
        <v>10.6</v>
      </c>
      <c r="G358" s="585" t="s">
        <v>209</v>
      </c>
      <c r="H358" s="573" t="s">
        <v>145</v>
      </c>
      <c r="I358" s="587">
        <f>(C11)</f>
        <v>718</v>
      </c>
      <c r="J358" s="573" t="s">
        <v>209</v>
      </c>
      <c r="K358" s="587">
        <f>(F358*I358)</f>
        <v>7610.8</v>
      </c>
      <c r="N358" s="573" t="s">
        <v>122</v>
      </c>
      <c r="O358" s="573" t="s">
        <v>754</v>
      </c>
      <c r="S358" s="579">
        <v>10.6</v>
      </c>
      <c r="T358" s="575" t="s">
        <v>209</v>
      </c>
      <c r="U358" s="575" t="s">
        <v>145</v>
      </c>
      <c r="V358" s="575">
        <f>I358</f>
        <v>718</v>
      </c>
      <c r="W358" s="575" t="s">
        <v>209</v>
      </c>
      <c r="X358" s="575">
        <f>V358*S358</f>
        <v>7610.8</v>
      </c>
      <c r="AB358" s="573"/>
      <c r="AC358" s="576"/>
      <c r="AD358" s="573">
        <v>11</v>
      </c>
      <c r="AF358" s="578"/>
      <c r="AG358" s="586">
        <f>(AG357+C20)</f>
        <v>7122.9432800000022</v>
      </c>
    </row>
    <row r="359" spans="1:34" ht="24" customHeight="1">
      <c r="A359" s="594">
        <f t="shared" si="31"/>
        <v>194</v>
      </c>
      <c r="B359" s="595" t="s">
        <v>728</v>
      </c>
      <c r="C359" s="659">
        <v>25.74</v>
      </c>
      <c r="D359" s="660" t="s">
        <v>1</v>
      </c>
      <c r="F359" s="587">
        <v>7.1</v>
      </c>
      <c r="G359" s="585" t="s">
        <v>209</v>
      </c>
      <c r="H359" s="573" t="s">
        <v>146</v>
      </c>
      <c r="I359" s="587">
        <f>(C12)</f>
        <v>502</v>
      </c>
      <c r="J359" s="573" t="s">
        <v>209</v>
      </c>
      <c r="K359" s="587">
        <f>(F359*I359)</f>
        <v>3564.2</v>
      </c>
      <c r="O359" s="573" t="s">
        <v>755</v>
      </c>
      <c r="S359" s="579">
        <v>7.1</v>
      </c>
      <c r="T359" s="575" t="s">
        <v>209</v>
      </c>
      <c r="U359" s="575" t="s">
        <v>146</v>
      </c>
      <c r="V359" s="575">
        <f>I359</f>
        <v>502</v>
      </c>
      <c r="W359" s="575" t="s">
        <v>209</v>
      </c>
      <c r="X359" s="575">
        <f>V359*S359</f>
        <v>3564.2</v>
      </c>
      <c r="AB359" s="573"/>
      <c r="AC359" s="576"/>
      <c r="AD359" s="573">
        <v>12</v>
      </c>
      <c r="AF359" s="578"/>
      <c r="AG359" s="586">
        <f>(AG358+C20)</f>
        <v>7242.2432800000024</v>
      </c>
    </row>
    <row r="360" spans="1:34" ht="24" customHeight="1">
      <c r="A360" s="594">
        <f t="shared" si="31"/>
        <v>195</v>
      </c>
      <c r="B360" s="595" t="s">
        <v>730</v>
      </c>
      <c r="C360" s="659">
        <v>33.46</v>
      </c>
      <c r="D360" s="660" t="s">
        <v>1</v>
      </c>
      <c r="F360" s="587">
        <v>21.2</v>
      </c>
      <c r="G360" s="585" t="s">
        <v>209</v>
      </c>
      <c r="H360" s="573" t="s">
        <v>147</v>
      </c>
      <c r="I360" s="587">
        <f>(C13)</f>
        <v>412</v>
      </c>
      <c r="J360" s="573" t="s">
        <v>209</v>
      </c>
      <c r="K360" s="587">
        <f>(F360*I360)</f>
        <v>8734.4</v>
      </c>
      <c r="O360" s="573" t="s">
        <v>756</v>
      </c>
      <c r="S360" s="579">
        <v>21.2</v>
      </c>
      <c r="T360" s="575" t="s">
        <v>209</v>
      </c>
      <c r="U360" s="575" t="s">
        <v>147</v>
      </c>
      <c r="V360" s="575">
        <f>I360</f>
        <v>412</v>
      </c>
      <c r="W360" s="575" t="s">
        <v>209</v>
      </c>
      <c r="X360" s="575">
        <f>V360*S360</f>
        <v>8734.4</v>
      </c>
      <c r="AB360" s="573"/>
      <c r="AC360" s="576"/>
      <c r="AD360" s="573">
        <v>13</v>
      </c>
      <c r="AF360" s="578"/>
      <c r="AG360" s="586">
        <f>(AG359+C20)</f>
        <v>7361.5432800000026</v>
      </c>
    </row>
    <row r="361" spans="1:34" ht="24" customHeight="1">
      <c r="A361" s="594">
        <f t="shared" si="31"/>
        <v>196</v>
      </c>
      <c r="B361" s="595" t="s">
        <v>731</v>
      </c>
      <c r="C361" s="659">
        <v>53.62</v>
      </c>
      <c r="D361" s="660" t="s">
        <v>115</v>
      </c>
      <c r="G361" s="585" t="s">
        <v>129</v>
      </c>
      <c r="H361" s="573" t="s">
        <v>130</v>
      </c>
      <c r="J361" s="573" t="s">
        <v>129</v>
      </c>
      <c r="K361" s="587">
        <v>0</v>
      </c>
      <c r="O361" s="582" t="s">
        <v>117</v>
      </c>
      <c r="T361" s="575" t="s">
        <v>129</v>
      </c>
      <c r="U361" s="575" t="s">
        <v>130</v>
      </c>
      <c r="W361" s="575" t="s">
        <v>129</v>
      </c>
      <c r="X361" s="575">
        <v>0</v>
      </c>
      <c r="AB361" s="607">
        <v>27</v>
      </c>
      <c r="AC361" s="585" t="s">
        <v>122</v>
      </c>
      <c r="AD361" s="573" t="s">
        <v>757</v>
      </c>
      <c r="AF361" s="578"/>
    </row>
    <row r="362" spans="1:34" ht="24" customHeight="1">
      <c r="A362" s="594">
        <f t="shared" si="31"/>
        <v>197</v>
      </c>
      <c r="B362" s="595" t="s">
        <v>758</v>
      </c>
      <c r="C362" s="662"/>
      <c r="D362" s="662"/>
      <c r="K362" s="582" t="s">
        <v>117</v>
      </c>
      <c r="M362" s="587">
        <v>0.22</v>
      </c>
      <c r="N362" s="573" t="s">
        <v>126</v>
      </c>
      <c r="O362" s="573" t="s">
        <v>134</v>
      </c>
      <c r="P362" s="587">
        <f>(K40)</f>
        <v>3497.8</v>
      </c>
      <c r="Q362" s="573" t="s">
        <v>126</v>
      </c>
      <c r="R362" s="587">
        <f t="shared" ref="R362:R367" si="32">(M362*P362)</f>
        <v>769.51600000000008</v>
      </c>
      <c r="X362" s="582" t="s">
        <v>117</v>
      </c>
      <c r="AC362" s="576"/>
      <c r="AD362" s="573" t="str">
        <f>AD333</f>
        <v>Bricks of size 23x11.4x7.5 cm</v>
      </c>
      <c r="AF362" s="578"/>
    </row>
    <row r="363" spans="1:34" ht="24" customHeight="1">
      <c r="A363" s="594">
        <f t="shared" si="31"/>
        <v>198</v>
      </c>
      <c r="B363" s="595" t="s">
        <v>727</v>
      </c>
      <c r="C363" s="659">
        <v>26.16</v>
      </c>
      <c r="D363" s="660" t="s">
        <v>1</v>
      </c>
      <c r="H363" s="573" t="s">
        <v>455</v>
      </c>
      <c r="K363" s="587">
        <f>SUM(K355:K361)</f>
        <v>58725.08</v>
      </c>
      <c r="M363" s="587">
        <v>2.2000000000000002</v>
      </c>
      <c r="N363" s="573" t="s">
        <v>209</v>
      </c>
      <c r="O363" s="573" t="s">
        <v>144</v>
      </c>
      <c r="P363" s="587">
        <f>(C10)</f>
        <v>769</v>
      </c>
      <c r="Q363" s="573" t="s">
        <v>209</v>
      </c>
      <c r="R363" s="587">
        <f t="shared" si="32"/>
        <v>1691.8000000000002</v>
      </c>
      <c r="U363" s="575" t="s">
        <v>455</v>
      </c>
      <c r="X363" s="575">
        <f>SUM(X355:X361)</f>
        <v>62283.712000000007</v>
      </c>
      <c r="AC363" s="576"/>
      <c r="AD363" s="582" t="s">
        <v>117</v>
      </c>
      <c r="AF363" s="578"/>
    </row>
    <row r="364" spans="1:34" ht="24" customHeight="1">
      <c r="A364" s="594">
        <f t="shared" si="31"/>
        <v>199</v>
      </c>
      <c r="B364" s="595" t="s">
        <v>728</v>
      </c>
      <c r="C364" s="659">
        <v>34.32</v>
      </c>
      <c r="D364" s="660" t="s">
        <v>1</v>
      </c>
      <c r="K364" s="582" t="s">
        <v>117</v>
      </c>
      <c r="M364" s="587">
        <v>0.5</v>
      </c>
      <c r="N364" s="573" t="s">
        <v>209</v>
      </c>
      <c r="O364" s="573" t="s">
        <v>146</v>
      </c>
      <c r="P364" s="587">
        <f>(C12)</f>
        <v>502</v>
      </c>
      <c r="Q364" s="573" t="s">
        <v>209</v>
      </c>
      <c r="R364" s="587">
        <f t="shared" si="32"/>
        <v>251</v>
      </c>
      <c r="X364" s="582" t="s">
        <v>117</v>
      </c>
      <c r="AB364" s="587">
        <v>4240</v>
      </c>
      <c r="AC364" s="585" t="s">
        <v>467</v>
      </c>
      <c r="AD364" s="587" t="str">
        <f>AD309</f>
        <v>Bricks of size 23x11.4x7.5 cm</v>
      </c>
      <c r="AE364" s="587">
        <f>AC42</f>
        <v>6912.72</v>
      </c>
      <c r="AF364" s="573" t="s">
        <v>468</v>
      </c>
      <c r="AG364" s="587">
        <f>(AB364*AE364)/1000</f>
        <v>29309.932800000002</v>
      </c>
    </row>
    <row r="365" spans="1:34" ht="24" customHeight="1">
      <c r="A365" s="594">
        <f t="shared" si="31"/>
        <v>200</v>
      </c>
      <c r="B365" s="595" t="s">
        <v>730</v>
      </c>
      <c r="C365" s="659">
        <v>40.33</v>
      </c>
      <c r="D365" s="660" t="s">
        <v>1</v>
      </c>
      <c r="H365" s="573" t="s">
        <v>383</v>
      </c>
      <c r="K365" s="587">
        <f>(K363/10)</f>
        <v>5872.5079999999998</v>
      </c>
      <c r="M365" s="587">
        <v>1.1000000000000001</v>
      </c>
      <c r="N365" s="573" t="s">
        <v>759</v>
      </c>
      <c r="O365" s="573" t="s">
        <v>760</v>
      </c>
      <c r="P365" s="587">
        <f>(C10)</f>
        <v>769</v>
      </c>
      <c r="Q365" s="573" t="s">
        <v>209</v>
      </c>
      <c r="R365" s="587">
        <f t="shared" si="32"/>
        <v>845.90000000000009</v>
      </c>
      <c r="U365" s="575" t="s">
        <v>383</v>
      </c>
      <c r="X365" s="575">
        <f>X363/10</f>
        <v>6228.3712000000005</v>
      </c>
      <c r="AB365" s="587">
        <v>2</v>
      </c>
      <c r="AC365" s="585" t="s">
        <v>126</v>
      </c>
      <c r="AD365" s="573" t="s">
        <v>134</v>
      </c>
      <c r="AE365" s="587">
        <f>V356</f>
        <v>3497.8</v>
      </c>
      <c r="AF365" s="573" t="s">
        <v>126</v>
      </c>
      <c r="AG365" s="587">
        <f>(AB365*AE365)</f>
        <v>6995.6</v>
      </c>
    </row>
    <row r="366" spans="1:34" ht="24" customHeight="1">
      <c r="A366" s="594">
        <f t="shared" si="31"/>
        <v>201</v>
      </c>
      <c r="B366" s="595" t="s">
        <v>761</v>
      </c>
      <c r="C366" s="662"/>
      <c r="D366" s="660" t="s">
        <v>115</v>
      </c>
      <c r="K366" s="582" t="s">
        <v>155</v>
      </c>
      <c r="M366" s="587">
        <v>3.2</v>
      </c>
      <c r="N366" s="573" t="s">
        <v>209</v>
      </c>
      <c r="O366" s="573" t="s">
        <v>147</v>
      </c>
      <c r="P366" s="587">
        <f>(C13)</f>
        <v>412</v>
      </c>
      <c r="Q366" s="573" t="s">
        <v>209</v>
      </c>
      <c r="R366" s="587">
        <f t="shared" si="32"/>
        <v>1318.4</v>
      </c>
      <c r="X366" s="622" t="s">
        <v>748</v>
      </c>
      <c r="AB366" s="587">
        <v>3.5</v>
      </c>
      <c r="AC366" s="585" t="s">
        <v>209</v>
      </c>
      <c r="AD366" s="573" t="s">
        <v>144</v>
      </c>
      <c r="AE366" s="587">
        <f>V357</f>
        <v>769</v>
      </c>
      <c r="AF366" s="573" t="s">
        <v>209</v>
      </c>
      <c r="AG366" s="587">
        <f>(AB366*AE366)</f>
        <v>2691.5</v>
      </c>
    </row>
    <row r="367" spans="1:34" ht="24" customHeight="1">
      <c r="A367" s="594">
        <f t="shared" si="31"/>
        <v>202</v>
      </c>
      <c r="B367" s="595" t="s">
        <v>727</v>
      </c>
      <c r="C367" s="659">
        <v>20.329999999999998</v>
      </c>
      <c r="D367" s="660" t="s">
        <v>1</v>
      </c>
      <c r="H367" s="573" t="s">
        <v>482</v>
      </c>
      <c r="J367" s="578">
        <f>K367-K365</f>
        <v>59.199999999999818</v>
      </c>
      <c r="K367" s="587">
        <f>(K365+C19)</f>
        <v>5931.7079999999996</v>
      </c>
      <c r="M367" s="587">
        <v>9.8000000000000007</v>
      </c>
      <c r="N367" s="573" t="s">
        <v>148</v>
      </c>
      <c r="O367" s="573" t="s">
        <v>762</v>
      </c>
      <c r="P367" s="587">
        <f>(C148)</f>
        <v>142.4</v>
      </c>
      <c r="Q367" s="573" t="s">
        <v>148</v>
      </c>
      <c r="R367" s="587">
        <f t="shared" si="32"/>
        <v>1395.5200000000002</v>
      </c>
      <c r="U367" s="575" t="s">
        <v>482</v>
      </c>
      <c r="X367" s="575">
        <f>X365+C19</f>
        <v>6287.5712000000003</v>
      </c>
      <c r="Y367" s="575">
        <f>X365+X367+X368+X369+X370+X371</f>
        <v>38859.227200000001</v>
      </c>
      <c r="Z367" s="575">
        <f>Y367/6</f>
        <v>6476.5378666666666</v>
      </c>
      <c r="AB367" s="587">
        <v>10.6</v>
      </c>
      <c r="AC367" s="585" t="s">
        <v>209</v>
      </c>
      <c r="AD367" s="573" t="s">
        <v>145</v>
      </c>
      <c r="AE367" s="587">
        <f>V358</f>
        <v>718</v>
      </c>
      <c r="AF367" s="573" t="s">
        <v>209</v>
      </c>
      <c r="AG367" s="587">
        <f>(AB367*AE367)</f>
        <v>7610.8</v>
      </c>
    </row>
    <row r="368" spans="1:34" ht="24" customHeight="1">
      <c r="A368" s="594">
        <f t="shared" si="31"/>
        <v>203</v>
      </c>
      <c r="B368" s="595" t="s">
        <v>728</v>
      </c>
      <c r="C368" s="659">
        <v>26.6</v>
      </c>
      <c r="D368" s="660" t="s">
        <v>1</v>
      </c>
      <c r="H368" s="573" t="s">
        <v>486</v>
      </c>
      <c r="J368" s="578">
        <f>K368-K367</f>
        <v>119.30000000000018</v>
      </c>
      <c r="K368" s="587">
        <f>(K367+C20)</f>
        <v>6051.0079999999998</v>
      </c>
      <c r="L368" s="575">
        <f>(K367+K368)/2</f>
        <v>5991.3580000000002</v>
      </c>
      <c r="N368" s="573" t="s">
        <v>129</v>
      </c>
      <c r="O368" s="573" t="s">
        <v>130</v>
      </c>
      <c r="P368" s="573" t="s">
        <v>115</v>
      </c>
      <c r="Q368" s="573" t="s">
        <v>129</v>
      </c>
      <c r="R368" s="587">
        <v>0</v>
      </c>
      <c r="U368" s="575" t="s">
        <v>486</v>
      </c>
      <c r="X368" s="575">
        <f>X367+C20</f>
        <v>6406.8712000000005</v>
      </c>
      <c r="Y368" s="575">
        <f>SUM(X367:X368)/2</f>
        <v>6347.2212</v>
      </c>
      <c r="AB368" s="587">
        <v>7.1</v>
      </c>
      <c r="AC368" s="585" t="s">
        <v>209</v>
      </c>
      <c r="AD368" s="573" t="s">
        <v>146</v>
      </c>
      <c r="AE368" s="587">
        <f>V359</f>
        <v>502</v>
      </c>
      <c r="AF368" s="573" t="s">
        <v>209</v>
      </c>
      <c r="AG368" s="587">
        <f>(AB368*AE368)</f>
        <v>3564.2</v>
      </c>
      <c r="AH368" s="575">
        <f>(AG377+AG376)/2</f>
        <v>6009.4932800000006</v>
      </c>
    </row>
    <row r="369" spans="1:34" ht="24" customHeight="1">
      <c r="A369" s="594">
        <f t="shared" si="31"/>
        <v>204</v>
      </c>
      <c r="B369" s="595" t="s">
        <v>730</v>
      </c>
      <c r="C369" s="659">
        <v>33.89</v>
      </c>
      <c r="D369" s="660" t="s">
        <v>1</v>
      </c>
      <c r="H369" s="573" t="s">
        <v>489</v>
      </c>
      <c r="J369" s="578">
        <f>K369-K368</f>
        <v>119.30000000000018</v>
      </c>
      <c r="K369" s="587">
        <f>(K368+C21)</f>
        <v>6170.308</v>
      </c>
      <c r="L369" s="575">
        <f>SUM(K367:K369)/3</f>
        <v>6051.0080000000007</v>
      </c>
      <c r="R369" s="582" t="s">
        <v>117</v>
      </c>
      <c r="U369" s="575" t="s">
        <v>489</v>
      </c>
      <c r="X369" s="575">
        <f>X368+C20</f>
        <v>6526.1712000000007</v>
      </c>
      <c r="Y369" s="575">
        <f>SUM(X367:X369)/3</f>
        <v>6406.8712000000005</v>
      </c>
      <c r="AB369" s="587">
        <v>21.2</v>
      </c>
      <c r="AC369" s="585" t="s">
        <v>209</v>
      </c>
      <c r="AD369" s="573" t="s">
        <v>147</v>
      </c>
      <c r="AE369" s="587">
        <f>V360</f>
        <v>412</v>
      </c>
      <c r="AF369" s="573" t="s">
        <v>209</v>
      </c>
      <c r="AG369" s="587">
        <f>(AB369*AE369)</f>
        <v>8734.4</v>
      </c>
      <c r="AH369" s="575">
        <f>SUM(AG376:AG378)/3</f>
        <v>6069.1432800000002</v>
      </c>
    </row>
    <row r="370" spans="1:34" ht="24" customHeight="1">
      <c r="A370" s="594">
        <f t="shared" si="31"/>
        <v>205</v>
      </c>
      <c r="B370" s="595" t="s">
        <v>763</v>
      </c>
      <c r="C370" s="662"/>
      <c r="D370" s="662"/>
      <c r="H370" s="573" t="s">
        <v>491</v>
      </c>
      <c r="J370" s="578">
        <f>K370-K369</f>
        <v>119.30000000000018</v>
      </c>
      <c r="K370" s="587">
        <f>K369+C21</f>
        <v>6289.6080000000002</v>
      </c>
      <c r="O370" s="573" t="s">
        <v>153</v>
      </c>
      <c r="R370" s="587">
        <f>SUM(R362:R368)</f>
        <v>6272.1360000000004</v>
      </c>
      <c r="U370" s="575" t="s">
        <v>491</v>
      </c>
      <c r="X370" s="575">
        <f>X369+C20</f>
        <v>6645.4712000000009</v>
      </c>
      <c r="AC370" s="585" t="s">
        <v>129</v>
      </c>
      <c r="AD370" s="573" t="s">
        <v>130</v>
      </c>
      <c r="AF370" s="573" t="s">
        <v>129</v>
      </c>
      <c r="AG370" s="587">
        <v>0</v>
      </c>
    </row>
    <row r="371" spans="1:34" ht="24" customHeight="1">
      <c r="A371" s="594">
        <f t="shared" si="31"/>
        <v>206</v>
      </c>
      <c r="B371" s="595" t="s">
        <v>727</v>
      </c>
      <c r="C371" s="659">
        <v>13.29</v>
      </c>
      <c r="D371" s="660" t="s">
        <v>1</v>
      </c>
      <c r="H371" s="573" t="s">
        <v>496</v>
      </c>
      <c r="J371" s="578">
        <f>K371-K370</f>
        <v>119.30000000000018</v>
      </c>
      <c r="K371" s="587">
        <f>K370+C21</f>
        <v>6408.9080000000004</v>
      </c>
      <c r="R371" s="582" t="s">
        <v>117</v>
      </c>
      <c r="U371" s="575" t="s">
        <v>496</v>
      </c>
      <c r="X371" s="575">
        <f>X370+C20</f>
        <v>6764.771200000001</v>
      </c>
      <c r="AC371" s="576"/>
      <c r="AF371" s="578"/>
      <c r="AG371" s="582" t="s">
        <v>117</v>
      </c>
    </row>
    <row r="372" spans="1:34" ht="24" customHeight="1">
      <c r="A372" s="594">
        <f t="shared" si="31"/>
        <v>207</v>
      </c>
      <c r="B372" s="595" t="s">
        <v>728</v>
      </c>
      <c r="C372" s="659">
        <v>18.02</v>
      </c>
      <c r="D372" s="660" t="s">
        <v>1</v>
      </c>
      <c r="H372" s="573" t="s">
        <v>535</v>
      </c>
      <c r="J372" s="578">
        <f>SUM(K367+K368+K369)/3</f>
        <v>6051.0080000000007</v>
      </c>
      <c r="K372" s="587">
        <f>(K367+K368+K369+K370)/4</f>
        <v>6110.6580000000004</v>
      </c>
      <c r="O372" s="573" t="s">
        <v>154</v>
      </c>
      <c r="R372" s="587">
        <f>(R370/10)</f>
        <v>627.21360000000004</v>
      </c>
      <c r="U372" s="575" t="s">
        <v>535</v>
      </c>
      <c r="W372" s="575">
        <v>2171.31</v>
      </c>
      <c r="X372" s="575">
        <f>SUM(X367:X370)/4</f>
        <v>6466.5212000000001</v>
      </c>
      <c r="AC372" s="576"/>
      <c r="AD372" s="573" t="s">
        <v>455</v>
      </c>
      <c r="AF372" s="578"/>
      <c r="AG372" s="587">
        <f>SUM(AG364:AG370)</f>
        <v>58906.432800000002</v>
      </c>
    </row>
    <row r="373" spans="1:34" ht="24" customHeight="1">
      <c r="A373" s="594">
        <f t="shared" si="31"/>
        <v>208</v>
      </c>
      <c r="B373" s="595" t="s">
        <v>730</v>
      </c>
      <c r="C373" s="659">
        <v>23.17</v>
      </c>
      <c r="D373" s="660" t="s">
        <v>1</v>
      </c>
      <c r="R373" s="582" t="s">
        <v>155</v>
      </c>
      <c r="AC373" s="576"/>
      <c r="AF373" s="578"/>
      <c r="AG373" s="582" t="s">
        <v>117</v>
      </c>
    </row>
    <row r="374" spans="1:34" ht="24" customHeight="1">
      <c r="A374" s="594">
        <f t="shared" si="31"/>
        <v>209</v>
      </c>
      <c r="B374" s="595" t="s">
        <v>764</v>
      </c>
      <c r="C374" s="662"/>
      <c r="D374" s="660" t="s">
        <v>115</v>
      </c>
      <c r="H374" s="574" t="s">
        <v>537</v>
      </c>
      <c r="N374" s="573" t="s">
        <v>122</v>
      </c>
      <c r="O374" s="573" t="s">
        <v>765</v>
      </c>
      <c r="U374" s="575" t="s">
        <v>537</v>
      </c>
      <c r="AC374" s="576"/>
      <c r="AD374" s="573" t="s">
        <v>383</v>
      </c>
      <c r="AF374" s="578"/>
      <c r="AG374" s="587">
        <f>(AG372/10)</f>
        <v>5890.6432800000002</v>
      </c>
    </row>
    <row r="375" spans="1:34" ht="24" customHeight="1">
      <c r="A375" s="594">
        <f t="shared" si="31"/>
        <v>210</v>
      </c>
      <c r="B375" s="595" t="s">
        <v>727</v>
      </c>
      <c r="C375" s="659">
        <v>9</v>
      </c>
      <c r="D375" s="660" t="s">
        <v>1</v>
      </c>
      <c r="H375" s="582" t="s">
        <v>117</v>
      </c>
      <c r="O375" s="582" t="s">
        <v>117</v>
      </c>
      <c r="U375" s="575" t="s">
        <v>117</v>
      </c>
      <c r="AC375" s="576"/>
      <c r="AF375" s="578"/>
      <c r="AG375" s="582" t="s">
        <v>155</v>
      </c>
    </row>
    <row r="376" spans="1:34" ht="24" customHeight="1">
      <c r="A376" s="594">
        <f t="shared" si="31"/>
        <v>211</v>
      </c>
      <c r="B376" s="595" t="s">
        <v>728</v>
      </c>
      <c r="C376" s="659">
        <v>11.58</v>
      </c>
      <c r="D376" s="660" t="s">
        <v>1</v>
      </c>
      <c r="F376" s="607">
        <v>10</v>
      </c>
      <c r="G376" s="585" t="s">
        <v>122</v>
      </c>
      <c r="H376" s="573" t="s">
        <v>766</v>
      </c>
      <c r="M376" s="587">
        <v>0.05</v>
      </c>
      <c r="N376" s="573" t="s">
        <v>126</v>
      </c>
      <c r="O376" s="573" t="s">
        <v>508</v>
      </c>
      <c r="P376" s="587">
        <f>(C84)</f>
        <v>1346.98</v>
      </c>
      <c r="Q376" s="573" t="s">
        <v>126</v>
      </c>
      <c r="R376" s="587">
        <f>(M376*P376)</f>
        <v>67.349000000000004</v>
      </c>
      <c r="S376" s="579">
        <v>10</v>
      </c>
      <c r="T376" s="575" t="s">
        <v>122</v>
      </c>
      <c r="U376" s="575" t="s">
        <v>767</v>
      </c>
      <c r="AC376" s="576"/>
      <c r="AD376" s="573" t="s">
        <v>482</v>
      </c>
      <c r="AF376" s="578"/>
      <c r="AG376" s="587">
        <f>(AG374+C19)</f>
        <v>5949.84328</v>
      </c>
    </row>
    <row r="377" spans="1:34" ht="24" customHeight="1">
      <c r="A377" s="594">
        <f t="shared" si="31"/>
        <v>212</v>
      </c>
      <c r="B377" s="595" t="s">
        <v>730</v>
      </c>
      <c r="C377" s="659">
        <v>14.15</v>
      </c>
      <c r="D377" s="660" t="s">
        <v>1</v>
      </c>
      <c r="H377" s="587" t="str">
        <f>H309</f>
        <v>Bricks of size 22x11x7 cm</v>
      </c>
      <c r="M377" s="587">
        <v>1.1000000000000001</v>
      </c>
      <c r="N377" s="573" t="s">
        <v>209</v>
      </c>
      <c r="O377" s="573" t="s">
        <v>145</v>
      </c>
      <c r="P377" s="587">
        <f>(C11)</f>
        <v>718</v>
      </c>
      <c r="Q377" s="573" t="s">
        <v>209</v>
      </c>
      <c r="R377" s="587">
        <f>(M377*P377)</f>
        <v>789.80000000000007</v>
      </c>
      <c r="U377" s="575" t="s">
        <v>725</v>
      </c>
      <c r="AC377" s="576"/>
      <c r="AD377" s="573" t="s">
        <v>486</v>
      </c>
      <c r="AF377" s="578"/>
      <c r="AG377" s="587">
        <f>(AG376+C20)</f>
        <v>6069.1432800000002</v>
      </c>
    </row>
    <row r="378" spans="1:34" ht="24" customHeight="1">
      <c r="A378" s="594">
        <f t="shared" si="31"/>
        <v>213</v>
      </c>
      <c r="B378" s="595" t="s">
        <v>768</v>
      </c>
      <c r="C378" s="662"/>
      <c r="D378" s="662"/>
      <c r="H378" s="582" t="s">
        <v>117</v>
      </c>
      <c r="M378" s="587">
        <v>0.3</v>
      </c>
      <c r="N378" s="573" t="s">
        <v>209</v>
      </c>
      <c r="O378" s="573" t="s">
        <v>146</v>
      </c>
      <c r="P378" s="587">
        <f>(C12)</f>
        <v>502</v>
      </c>
      <c r="Q378" s="573" t="s">
        <v>209</v>
      </c>
      <c r="R378" s="587">
        <f>(M378*P378)</f>
        <v>150.6</v>
      </c>
      <c r="U378" s="575" t="s">
        <v>117</v>
      </c>
      <c r="AC378" s="576"/>
      <c r="AD378" s="573" t="s">
        <v>489</v>
      </c>
      <c r="AF378" s="578"/>
      <c r="AG378" s="587">
        <f>(AG377+C20)</f>
        <v>6188.4432800000004</v>
      </c>
    </row>
    <row r="379" spans="1:34" ht="24" customHeight="1">
      <c r="A379" s="594">
        <f t="shared" si="31"/>
        <v>214</v>
      </c>
      <c r="B379" s="595" t="s">
        <v>727</v>
      </c>
      <c r="C379" s="659">
        <v>4.29</v>
      </c>
      <c r="D379" s="660" t="s">
        <v>1</v>
      </c>
      <c r="F379" s="587">
        <f>F311</f>
        <v>4800</v>
      </c>
      <c r="G379" s="585" t="s">
        <v>467</v>
      </c>
      <c r="H379" s="587" t="str">
        <f>H309</f>
        <v>Bricks of size 22x11x7 cm</v>
      </c>
      <c r="I379" s="587">
        <f>(C80)</f>
        <v>5704.1</v>
      </c>
      <c r="J379" s="573" t="s">
        <v>468</v>
      </c>
      <c r="K379" s="587">
        <f>(F379*I379)/1000</f>
        <v>27379.68</v>
      </c>
      <c r="M379" s="587">
        <v>1.9</v>
      </c>
      <c r="N379" s="573" t="s">
        <v>209</v>
      </c>
      <c r="O379" s="573" t="s">
        <v>147</v>
      </c>
      <c r="P379" s="587">
        <f>(C13)</f>
        <v>412</v>
      </c>
      <c r="Q379" s="573" t="s">
        <v>209</v>
      </c>
      <c r="R379" s="587">
        <f>(M379*P379)</f>
        <v>782.8</v>
      </c>
      <c r="S379" s="579">
        <v>4600</v>
      </c>
      <c r="T379" s="575" t="s">
        <v>467</v>
      </c>
      <c r="U379" s="575" t="s">
        <v>725</v>
      </c>
      <c r="V379" s="575">
        <f>AC41</f>
        <v>6725.72</v>
      </c>
      <c r="W379" s="575" t="s">
        <v>468</v>
      </c>
      <c r="X379" s="575">
        <f>S379*V379/1000</f>
        <v>30938.312000000002</v>
      </c>
      <c r="AC379" s="576"/>
      <c r="AD379" s="573" t="s">
        <v>491</v>
      </c>
      <c r="AF379" s="578"/>
      <c r="AG379" s="587">
        <f>AG378+C20</f>
        <v>6307.7432800000006</v>
      </c>
    </row>
    <row r="380" spans="1:34" ht="24" customHeight="1">
      <c r="A380" s="594">
        <f t="shared" si="31"/>
        <v>215</v>
      </c>
      <c r="B380" s="595" t="s">
        <v>728</v>
      </c>
      <c r="C380" s="659">
        <v>6.01</v>
      </c>
      <c r="D380" s="660" t="s">
        <v>1</v>
      </c>
      <c r="F380" s="587">
        <v>1.59</v>
      </c>
      <c r="G380" s="585" t="s">
        <v>126</v>
      </c>
      <c r="H380" s="573" t="s">
        <v>134</v>
      </c>
      <c r="I380" s="587">
        <f>(K40)</f>
        <v>3497.8</v>
      </c>
      <c r="J380" s="573" t="s">
        <v>126</v>
      </c>
      <c r="K380" s="587">
        <f>(F380*I380)</f>
        <v>5561.5020000000004</v>
      </c>
      <c r="N380" s="573" t="s">
        <v>129</v>
      </c>
      <c r="O380" s="573" t="s">
        <v>769</v>
      </c>
      <c r="P380" s="573" t="s">
        <v>115</v>
      </c>
      <c r="Q380" s="573" t="s">
        <v>129</v>
      </c>
      <c r="R380" s="587">
        <v>1.46</v>
      </c>
      <c r="S380" s="579">
        <v>1.59</v>
      </c>
      <c r="T380" s="575" t="s">
        <v>126</v>
      </c>
      <c r="U380" s="575" t="s">
        <v>134</v>
      </c>
      <c r="V380" s="575">
        <f>I380</f>
        <v>3497.8</v>
      </c>
      <c r="W380" s="575" t="s">
        <v>126</v>
      </c>
      <c r="X380" s="575">
        <f>V380*S380</f>
        <v>5561.5020000000004</v>
      </c>
      <c r="AC380" s="576"/>
      <c r="AD380" s="573" t="s">
        <v>496</v>
      </c>
      <c r="AF380" s="578"/>
      <c r="AG380" s="587">
        <f>AG379+C20</f>
        <v>6427.0432800000008</v>
      </c>
    </row>
    <row r="381" spans="1:34" ht="24" customHeight="1">
      <c r="A381" s="594">
        <f t="shared" si="31"/>
        <v>216</v>
      </c>
      <c r="B381" s="595" t="s">
        <v>730</v>
      </c>
      <c r="C381" s="659">
        <v>6.86</v>
      </c>
      <c r="D381" s="660" t="s">
        <v>1</v>
      </c>
      <c r="F381" s="587">
        <v>7</v>
      </c>
      <c r="G381" s="585" t="s">
        <v>209</v>
      </c>
      <c r="H381" s="573" t="s">
        <v>144</v>
      </c>
      <c r="I381" s="587">
        <f>(C10)</f>
        <v>769</v>
      </c>
      <c r="J381" s="573" t="s">
        <v>209</v>
      </c>
      <c r="K381" s="587">
        <f>(F381*I381)</f>
        <v>5383</v>
      </c>
      <c r="R381" s="582" t="s">
        <v>117</v>
      </c>
      <c r="S381" s="579">
        <v>7</v>
      </c>
      <c r="T381" s="575" t="s">
        <v>209</v>
      </c>
      <c r="U381" s="575" t="s">
        <v>144</v>
      </c>
      <c r="V381" s="575">
        <f>I381</f>
        <v>769</v>
      </c>
      <c r="W381" s="575" t="s">
        <v>209</v>
      </c>
      <c r="X381" s="575">
        <f>V381*S381</f>
        <v>5383</v>
      </c>
      <c r="AC381" s="576"/>
      <c r="AD381" s="573" t="s">
        <v>535</v>
      </c>
      <c r="AF381" s="578"/>
      <c r="AG381" s="587">
        <f>(AG376+AG377+AG378+AG379)/4</f>
        <v>6128.7932799999999</v>
      </c>
    </row>
    <row r="382" spans="1:34" ht="24" customHeight="1">
      <c r="A382" s="594">
        <f t="shared" si="31"/>
        <v>217</v>
      </c>
      <c r="B382" s="595" t="s">
        <v>770</v>
      </c>
      <c r="C382" s="662"/>
      <c r="D382" s="660" t="s">
        <v>115</v>
      </c>
      <c r="F382" s="587">
        <v>7.1</v>
      </c>
      <c r="G382" s="585" t="s">
        <v>209</v>
      </c>
      <c r="H382" s="573" t="s">
        <v>145</v>
      </c>
      <c r="I382" s="587">
        <f>(C11)</f>
        <v>718</v>
      </c>
      <c r="J382" s="573" t="s">
        <v>209</v>
      </c>
      <c r="K382" s="587">
        <f>(F382*I382)</f>
        <v>5097.8</v>
      </c>
      <c r="O382" s="573" t="s">
        <v>771</v>
      </c>
      <c r="R382" s="587">
        <f>SUM(R375:R380)</f>
        <v>1792.009</v>
      </c>
      <c r="S382" s="579">
        <v>7.1</v>
      </c>
      <c r="T382" s="575" t="s">
        <v>209</v>
      </c>
      <c r="U382" s="575" t="s">
        <v>145</v>
      </c>
      <c r="V382" s="575">
        <f>I382</f>
        <v>718</v>
      </c>
      <c r="W382" s="575" t="s">
        <v>209</v>
      </c>
      <c r="X382" s="575">
        <f>V382*S382</f>
        <v>5097.8</v>
      </c>
      <c r="AC382" s="576"/>
      <c r="AF382" s="578"/>
    </row>
    <row r="383" spans="1:34" ht="24" customHeight="1">
      <c r="A383" s="594">
        <f t="shared" si="31"/>
        <v>218</v>
      </c>
      <c r="B383" s="595" t="s">
        <v>727</v>
      </c>
      <c r="C383" s="659">
        <v>14.91</v>
      </c>
      <c r="D383" s="660" t="s">
        <v>1</v>
      </c>
      <c r="F383" s="587">
        <v>7.1</v>
      </c>
      <c r="G383" s="585" t="s">
        <v>209</v>
      </c>
      <c r="H383" s="573" t="s">
        <v>146</v>
      </c>
      <c r="I383" s="587">
        <f>(C12)</f>
        <v>502</v>
      </c>
      <c r="J383" s="573" t="s">
        <v>209</v>
      </c>
      <c r="K383" s="587">
        <f>(F383*I383)</f>
        <v>3564.2</v>
      </c>
      <c r="R383" s="582" t="s">
        <v>117</v>
      </c>
      <c r="S383" s="579">
        <v>7.1</v>
      </c>
      <c r="T383" s="575" t="s">
        <v>209</v>
      </c>
      <c r="U383" s="575" t="s">
        <v>146</v>
      </c>
      <c r="V383" s="575">
        <f>I383</f>
        <v>502</v>
      </c>
      <c r="W383" s="575" t="s">
        <v>209</v>
      </c>
      <c r="X383" s="575">
        <f>V383*S383</f>
        <v>3564.2</v>
      </c>
      <c r="AC383" s="576"/>
      <c r="AD383" s="574" t="s">
        <v>537</v>
      </c>
      <c r="AF383" s="578"/>
    </row>
    <row r="384" spans="1:34" ht="24" customHeight="1">
      <c r="A384" s="594">
        <f t="shared" si="31"/>
        <v>219</v>
      </c>
      <c r="B384" s="595" t="s">
        <v>728</v>
      </c>
      <c r="C384" s="659">
        <v>17.579999999999998</v>
      </c>
      <c r="D384" s="660" t="s">
        <v>1</v>
      </c>
      <c r="F384" s="587">
        <v>21.2</v>
      </c>
      <c r="G384" s="585" t="s">
        <v>209</v>
      </c>
      <c r="H384" s="573" t="s">
        <v>147</v>
      </c>
      <c r="I384" s="587">
        <f>(C13)</f>
        <v>412</v>
      </c>
      <c r="J384" s="573" t="s">
        <v>209</v>
      </c>
      <c r="K384" s="587">
        <f>(F384*I384)</f>
        <v>8734.4</v>
      </c>
      <c r="O384" s="573" t="s">
        <v>154</v>
      </c>
      <c r="R384" s="587">
        <f>(R382/100)</f>
        <v>17.920090000000002</v>
      </c>
      <c r="S384" s="579">
        <v>21.2</v>
      </c>
      <c r="T384" s="575" t="s">
        <v>209</v>
      </c>
      <c r="U384" s="575" t="s">
        <v>147</v>
      </c>
      <c r="V384" s="575">
        <f>I384</f>
        <v>412</v>
      </c>
      <c r="W384" s="575" t="s">
        <v>209</v>
      </c>
      <c r="X384" s="575">
        <f>V384*S384</f>
        <v>8734.4</v>
      </c>
      <c r="AC384" s="576"/>
      <c r="AD384" s="582" t="s">
        <v>117</v>
      </c>
      <c r="AF384" s="578"/>
    </row>
    <row r="385" spans="1:33" ht="24" customHeight="1">
      <c r="A385" s="594">
        <f t="shared" si="31"/>
        <v>220</v>
      </c>
      <c r="B385" s="595" t="s">
        <v>730</v>
      </c>
      <c r="C385" s="659">
        <v>19.3</v>
      </c>
      <c r="D385" s="660" t="s">
        <v>1</v>
      </c>
      <c r="G385" s="585" t="s">
        <v>129</v>
      </c>
      <c r="H385" s="573" t="s">
        <v>130</v>
      </c>
      <c r="I385" s="573" t="s">
        <v>115</v>
      </c>
      <c r="J385" s="573" t="s">
        <v>129</v>
      </c>
      <c r="K385" s="587">
        <v>0</v>
      </c>
      <c r="R385" s="582" t="s">
        <v>155</v>
      </c>
      <c r="T385" s="575" t="s">
        <v>129</v>
      </c>
      <c r="U385" s="575" t="s">
        <v>130</v>
      </c>
      <c r="V385" s="575" t="s">
        <v>115</v>
      </c>
      <c r="W385" s="575" t="s">
        <v>129</v>
      </c>
      <c r="X385" s="575">
        <v>0</v>
      </c>
      <c r="AB385" s="607">
        <v>10</v>
      </c>
      <c r="AC385" s="585" t="s">
        <v>122</v>
      </c>
      <c r="AD385" s="573" t="s">
        <v>772</v>
      </c>
      <c r="AF385" s="578"/>
    </row>
    <row r="386" spans="1:33" ht="24" customHeight="1">
      <c r="A386" s="594">
        <f t="shared" si="31"/>
        <v>221</v>
      </c>
      <c r="B386" s="595" t="s">
        <v>773</v>
      </c>
      <c r="C386" s="662"/>
      <c r="D386" s="662"/>
      <c r="K386" s="582" t="s">
        <v>117</v>
      </c>
      <c r="X386" s="622" t="s">
        <v>774</v>
      </c>
      <c r="AC386" s="576"/>
      <c r="AD386" s="587" t="str">
        <f>AD309</f>
        <v>Bricks of size 23x11.4x7.5 cm</v>
      </c>
      <c r="AF386" s="578"/>
    </row>
    <row r="387" spans="1:33" ht="24" customHeight="1">
      <c r="A387" s="594">
        <f t="shared" si="31"/>
        <v>222</v>
      </c>
      <c r="B387" s="595" t="s">
        <v>727</v>
      </c>
      <c r="C387" s="659">
        <v>15.87</v>
      </c>
      <c r="D387" s="660" t="s">
        <v>1</v>
      </c>
      <c r="H387" s="573" t="s">
        <v>455</v>
      </c>
      <c r="K387" s="587">
        <f>SUM(K379:K385)</f>
        <v>55720.582000000002</v>
      </c>
      <c r="U387" s="575" t="s">
        <v>455</v>
      </c>
      <c r="X387" s="575">
        <f>SUM(X379:X386)</f>
        <v>59279.214</v>
      </c>
      <c r="AC387" s="576"/>
      <c r="AD387" s="582" t="s">
        <v>117</v>
      </c>
      <c r="AF387" s="578"/>
    </row>
    <row r="388" spans="1:33" ht="24" customHeight="1">
      <c r="A388" s="594">
        <f t="shared" si="31"/>
        <v>223</v>
      </c>
      <c r="B388" s="595" t="s">
        <v>728</v>
      </c>
      <c r="C388" s="659">
        <v>20.16</v>
      </c>
      <c r="D388" s="660" t="s">
        <v>1</v>
      </c>
      <c r="K388" s="582" t="s">
        <v>117</v>
      </c>
      <c r="N388" s="573" t="s">
        <v>558</v>
      </c>
      <c r="O388" s="573" t="s">
        <v>775</v>
      </c>
      <c r="X388" s="622" t="s">
        <v>774</v>
      </c>
      <c r="AB388" s="587">
        <f>AB311</f>
        <v>4240</v>
      </c>
      <c r="AC388" s="585" t="s">
        <v>467</v>
      </c>
      <c r="AD388" s="587" t="str">
        <f>AD309</f>
        <v>Bricks of size 23x11.4x7.5 cm</v>
      </c>
      <c r="AE388" s="587">
        <f>AC42</f>
        <v>6912.72</v>
      </c>
      <c r="AF388" s="573" t="s">
        <v>468</v>
      </c>
      <c r="AG388" s="587">
        <f>(AB388*AE388)/1000</f>
        <v>29309.932800000002</v>
      </c>
    </row>
    <row r="389" spans="1:33" ht="24" customHeight="1">
      <c r="A389" s="594">
        <f t="shared" si="31"/>
        <v>224</v>
      </c>
      <c r="B389" s="595" t="s">
        <v>730</v>
      </c>
      <c r="C389" s="659">
        <v>22.31</v>
      </c>
      <c r="D389" s="660" t="s">
        <v>1</v>
      </c>
      <c r="H389" s="573" t="s">
        <v>383</v>
      </c>
      <c r="K389" s="587">
        <f>(K387/10)</f>
        <v>5572.0582000000004</v>
      </c>
      <c r="O389" s="582" t="s">
        <v>117</v>
      </c>
      <c r="U389" s="575" t="s">
        <v>383</v>
      </c>
      <c r="X389" s="575">
        <f>X387/10</f>
        <v>5927.9214000000002</v>
      </c>
      <c r="AB389" s="587">
        <v>1.27</v>
      </c>
      <c r="AC389" s="585" t="s">
        <v>126</v>
      </c>
      <c r="AD389" s="573" t="s">
        <v>134</v>
      </c>
      <c r="AE389" s="587">
        <f>V380</f>
        <v>3497.8</v>
      </c>
      <c r="AF389" s="573" t="s">
        <v>126</v>
      </c>
      <c r="AG389" s="587">
        <f>(AB389*AE389)</f>
        <v>4442.2060000000001</v>
      </c>
    </row>
    <row r="390" spans="1:33" ht="24" customHeight="1">
      <c r="A390" s="594">
        <f t="shared" si="31"/>
        <v>225</v>
      </c>
      <c r="B390" s="664" t="s">
        <v>776</v>
      </c>
      <c r="C390" s="658"/>
      <c r="D390" s="613" t="s">
        <v>115</v>
      </c>
      <c r="K390" s="582" t="s">
        <v>155</v>
      </c>
      <c r="M390" s="587">
        <v>7.0000000000000007E-2</v>
      </c>
      <c r="N390" s="573" t="s">
        <v>126</v>
      </c>
      <c r="O390" s="573" t="s">
        <v>508</v>
      </c>
      <c r="P390" s="587">
        <f>(C84)</f>
        <v>1346.98</v>
      </c>
      <c r="Q390" s="573" t="s">
        <v>126</v>
      </c>
      <c r="R390" s="587">
        <f>(M390*P390)</f>
        <v>94.288600000000017</v>
      </c>
      <c r="X390" s="622" t="s">
        <v>777</v>
      </c>
      <c r="AB390" s="587">
        <v>7</v>
      </c>
      <c r="AC390" s="585" t="s">
        <v>209</v>
      </c>
      <c r="AD390" s="573" t="s">
        <v>144</v>
      </c>
      <c r="AE390" s="587">
        <f>V381</f>
        <v>769</v>
      </c>
      <c r="AF390" s="573" t="s">
        <v>209</v>
      </c>
      <c r="AG390" s="587">
        <f>(AB390*AE390)</f>
        <v>5383</v>
      </c>
    </row>
    <row r="391" spans="1:33" ht="24" customHeight="1">
      <c r="A391" s="594">
        <f t="shared" si="31"/>
        <v>226</v>
      </c>
      <c r="B391" s="595" t="s">
        <v>778</v>
      </c>
      <c r="C391" s="593">
        <v>69.8</v>
      </c>
      <c r="D391" s="595" t="s">
        <v>203</v>
      </c>
      <c r="M391" s="587">
        <v>1.6</v>
      </c>
      <c r="N391" s="573" t="s">
        <v>209</v>
      </c>
      <c r="O391" s="573" t="s">
        <v>145</v>
      </c>
      <c r="P391" s="587">
        <f>(C11)</f>
        <v>718</v>
      </c>
      <c r="Q391" s="573" t="s">
        <v>209</v>
      </c>
      <c r="R391" s="587">
        <f>(M391*P391)</f>
        <v>1148.8</v>
      </c>
      <c r="AB391" s="587">
        <v>7.1</v>
      </c>
      <c r="AC391" s="585" t="s">
        <v>209</v>
      </c>
      <c r="AD391" s="573" t="s">
        <v>145</v>
      </c>
      <c r="AE391" s="587">
        <f>V382</f>
        <v>718</v>
      </c>
      <c r="AF391" s="573" t="s">
        <v>209</v>
      </c>
      <c r="AG391" s="587">
        <f>(AB391*AE391)</f>
        <v>5097.8</v>
      </c>
    </row>
    <row r="392" spans="1:33" ht="24" customHeight="1">
      <c r="A392" s="594">
        <f t="shared" si="31"/>
        <v>227</v>
      </c>
      <c r="B392" s="595" t="s">
        <v>779</v>
      </c>
      <c r="C392" s="593">
        <v>98.6</v>
      </c>
      <c r="D392" s="595" t="s">
        <v>203</v>
      </c>
      <c r="G392" s="585" t="s">
        <v>558</v>
      </c>
      <c r="H392" s="573" t="s">
        <v>559</v>
      </c>
      <c r="M392" s="587">
        <v>0.5</v>
      </c>
      <c r="N392" s="573" t="s">
        <v>209</v>
      </c>
      <c r="O392" s="573" t="s">
        <v>146</v>
      </c>
      <c r="P392" s="587">
        <f>(C12)</f>
        <v>502</v>
      </c>
      <c r="Q392" s="573" t="s">
        <v>209</v>
      </c>
      <c r="R392" s="587">
        <f>(M392*P392)</f>
        <v>251</v>
      </c>
      <c r="T392" s="575" t="s">
        <v>558</v>
      </c>
      <c r="U392" s="575" t="s">
        <v>780</v>
      </c>
      <c r="AB392" s="587">
        <v>7.1</v>
      </c>
      <c r="AC392" s="585" t="s">
        <v>209</v>
      </c>
      <c r="AD392" s="573" t="s">
        <v>146</v>
      </c>
      <c r="AE392" s="587">
        <f>V383</f>
        <v>502</v>
      </c>
      <c r="AF392" s="573" t="s">
        <v>209</v>
      </c>
      <c r="AG392" s="587">
        <f>(AB392*AE392)</f>
        <v>3564.2</v>
      </c>
    </row>
    <row r="393" spans="1:33" ht="24" customHeight="1">
      <c r="A393" s="594">
        <f t="shared" si="31"/>
        <v>228</v>
      </c>
      <c r="B393" s="595" t="s">
        <v>781</v>
      </c>
      <c r="C393" s="593">
        <v>128</v>
      </c>
      <c r="D393" s="595" t="s">
        <v>203</v>
      </c>
      <c r="H393" s="582" t="s">
        <v>117</v>
      </c>
      <c r="M393" s="587">
        <v>2.7</v>
      </c>
      <c r="N393" s="573" t="s">
        <v>209</v>
      </c>
      <c r="O393" s="573" t="s">
        <v>147</v>
      </c>
      <c r="P393" s="587">
        <f>(C13)</f>
        <v>412</v>
      </c>
      <c r="Q393" s="573" t="s">
        <v>209</v>
      </c>
      <c r="R393" s="587">
        <f>(M393*P393)</f>
        <v>1112.4000000000001</v>
      </c>
      <c r="U393" s="575" t="s">
        <v>117</v>
      </c>
      <c r="AB393" s="587">
        <v>21.2</v>
      </c>
      <c r="AC393" s="585" t="s">
        <v>209</v>
      </c>
      <c r="AD393" s="573" t="s">
        <v>147</v>
      </c>
      <c r="AE393" s="587">
        <f>V384</f>
        <v>412</v>
      </c>
      <c r="AF393" s="573" t="s">
        <v>209</v>
      </c>
      <c r="AG393" s="587">
        <f>(AB393*AE393)</f>
        <v>8734.4</v>
      </c>
    </row>
    <row r="394" spans="1:33" ht="24" customHeight="1">
      <c r="A394" s="594">
        <f t="shared" si="31"/>
        <v>229</v>
      </c>
      <c r="B394" s="595" t="s">
        <v>782</v>
      </c>
      <c r="C394" s="593">
        <v>151.4</v>
      </c>
      <c r="D394" s="595" t="s">
        <v>203</v>
      </c>
      <c r="F394" s="587">
        <v>1.1000000000000001</v>
      </c>
      <c r="G394" s="585" t="s">
        <v>126</v>
      </c>
      <c r="H394" s="573" t="s">
        <v>565</v>
      </c>
      <c r="I394" s="587">
        <f>(K389)</f>
        <v>5572.0582000000004</v>
      </c>
      <c r="J394" s="573" t="s">
        <v>126</v>
      </c>
      <c r="K394" s="587">
        <f>(F394*I394)</f>
        <v>6129.2640200000005</v>
      </c>
      <c r="N394" s="573" t="s">
        <v>129</v>
      </c>
      <c r="O394" s="573" t="s">
        <v>769</v>
      </c>
      <c r="P394" s="573" t="s">
        <v>115</v>
      </c>
      <c r="Q394" s="573" t="s">
        <v>129</v>
      </c>
      <c r="R394" s="587">
        <v>2.09</v>
      </c>
      <c r="S394" s="579">
        <v>1.1200000000000001</v>
      </c>
      <c r="T394" s="575" t="s">
        <v>126</v>
      </c>
      <c r="U394" s="575" t="s">
        <v>565</v>
      </c>
      <c r="V394" s="575">
        <f>X389</f>
        <v>5927.9214000000002</v>
      </c>
      <c r="W394" s="575" t="s">
        <v>126</v>
      </c>
      <c r="X394" s="575">
        <f>V394*S394</f>
        <v>6639.2719680000009</v>
      </c>
      <c r="AC394" s="585" t="s">
        <v>129</v>
      </c>
      <c r="AD394" s="573" t="s">
        <v>130</v>
      </c>
      <c r="AE394" s="573" t="s">
        <v>115</v>
      </c>
      <c r="AF394" s="573" t="s">
        <v>129</v>
      </c>
      <c r="AG394" s="587">
        <v>0</v>
      </c>
    </row>
    <row r="395" spans="1:33" ht="24" customHeight="1">
      <c r="A395" s="594">
        <f t="shared" si="31"/>
        <v>230</v>
      </c>
      <c r="B395" s="595" t="s">
        <v>783</v>
      </c>
      <c r="C395" s="593">
        <v>163</v>
      </c>
      <c r="D395" s="595" t="s">
        <v>203</v>
      </c>
      <c r="F395" s="587">
        <v>1</v>
      </c>
      <c r="G395" s="585" t="s">
        <v>1</v>
      </c>
      <c r="H395" s="573" t="s">
        <v>144</v>
      </c>
      <c r="I395" s="587">
        <f>(C10)</f>
        <v>769</v>
      </c>
      <c r="J395" s="573" t="s">
        <v>209</v>
      </c>
      <c r="K395" s="587">
        <f>(F395*I395)</f>
        <v>769</v>
      </c>
      <c r="R395" s="582" t="s">
        <v>117</v>
      </c>
      <c r="S395" s="579">
        <v>1</v>
      </c>
      <c r="T395" s="575" t="s">
        <v>1</v>
      </c>
      <c r="U395" s="575" t="s">
        <v>144</v>
      </c>
      <c r="V395" s="575">
        <f>I395</f>
        <v>769</v>
      </c>
      <c r="W395" s="575" t="s">
        <v>209</v>
      </c>
      <c r="X395" s="575">
        <f>V395*S395</f>
        <v>769</v>
      </c>
      <c r="AC395" s="576"/>
      <c r="AF395" s="578"/>
      <c r="AG395" s="582" t="s">
        <v>117</v>
      </c>
    </row>
    <row r="396" spans="1:33" ht="24" customHeight="1">
      <c r="A396" s="594">
        <f t="shared" si="31"/>
        <v>231</v>
      </c>
      <c r="B396" s="595" t="s">
        <v>727</v>
      </c>
      <c r="C396" s="593">
        <v>209</v>
      </c>
      <c r="D396" s="595" t="s">
        <v>203</v>
      </c>
      <c r="G396" s="585" t="s">
        <v>129</v>
      </c>
      <c r="H396" s="573" t="s">
        <v>130</v>
      </c>
      <c r="I396" s="573" t="s">
        <v>115</v>
      </c>
      <c r="J396" s="573" t="s">
        <v>129</v>
      </c>
      <c r="K396" s="587">
        <v>0</v>
      </c>
      <c r="O396" s="573" t="s">
        <v>771</v>
      </c>
      <c r="R396" s="587">
        <f>SUM(R389:R394)</f>
        <v>2608.5786000000003</v>
      </c>
      <c r="T396" s="575" t="s">
        <v>129</v>
      </c>
      <c r="U396" s="575" t="s">
        <v>130</v>
      </c>
      <c r="V396" s="575" t="s">
        <v>115</v>
      </c>
      <c r="W396" s="575" t="s">
        <v>129</v>
      </c>
      <c r="X396" s="575">
        <v>0</v>
      </c>
      <c r="AC396" s="576"/>
      <c r="AD396" s="573" t="s">
        <v>455</v>
      </c>
      <c r="AF396" s="578"/>
      <c r="AG396" s="587">
        <f>SUM(AG388:AG394)</f>
        <v>56531.538800000002</v>
      </c>
    </row>
    <row r="397" spans="1:33" ht="24" customHeight="1">
      <c r="A397" s="594">
        <f t="shared" si="31"/>
        <v>232</v>
      </c>
      <c r="B397" s="595" t="s">
        <v>784</v>
      </c>
      <c r="C397" s="593">
        <v>244.4</v>
      </c>
      <c r="D397" s="595" t="s">
        <v>203</v>
      </c>
      <c r="K397" s="582" t="s">
        <v>117</v>
      </c>
      <c r="R397" s="582" t="s">
        <v>117</v>
      </c>
      <c r="X397" s="622" t="s">
        <v>774</v>
      </c>
      <c r="AC397" s="576"/>
      <c r="AF397" s="578"/>
      <c r="AG397" s="582" t="s">
        <v>117</v>
      </c>
    </row>
    <row r="398" spans="1:33" ht="24" customHeight="1">
      <c r="A398" s="594">
        <f t="shared" si="31"/>
        <v>233</v>
      </c>
      <c r="B398" s="664" t="s">
        <v>3055</v>
      </c>
      <c r="C398" s="608"/>
      <c r="D398" s="608"/>
      <c r="H398" s="573" t="s">
        <v>153</v>
      </c>
      <c r="K398" s="587">
        <f>SUM(K394:K396)</f>
        <v>6898.2640200000005</v>
      </c>
      <c r="O398" s="573" t="s">
        <v>154</v>
      </c>
      <c r="R398" s="587">
        <f>(R396/100)</f>
        <v>26.085786000000002</v>
      </c>
      <c r="U398" s="575" t="s">
        <v>153</v>
      </c>
      <c r="X398" s="575">
        <f>SUM(X394:X396)</f>
        <v>7408.2719680000009</v>
      </c>
      <c r="AC398" s="576"/>
      <c r="AD398" s="573" t="s">
        <v>383</v>
      </c>
      <c r="AF398" s="578"/>
      <c r="AG398" s="587">
        <f>(AG396/10)</f>
        <v>5653.1538799999998</v>
      </c>
    </row>
    <row r="399" spans="1:33" ht="24" customHeight="1">
      <c r="A399" s="594">
        <f t="shared" si="31"/>
        <v>234</v>
      </c>
      <c r="B399" s="595" t="s">
        <v>786</v>
      </c>
      <c r="C399" s="593">
        <v>13.6</v>
      </c>
      <c r="D399" s="595" t="s">
        <v>209</v>
      </c>
      <c r="K399" s="582" t="s">
        <v>117</v>
      </c>
      <c r="R399" s="582" t="s">
        <v>155</v>
      </c>
      <c r="X399" s="622" t="s">
        <v>774</v>
      </c>
      <c r="AC399" s="576"/>
      <c r="AF399" s="578"/>
      <c r="AG399" s="582" t="s">
        <v>155</v>
      </c>
    </row>
    <row r="400" spans="1:33" ht="24" customHeight="1">
      <c r="A400" s="594">
        <f t="shared" si="31"/>
        <v>235</v>
      </c>
      <c r="B400" s="595" t="s">
        <v>779</v>
      </c>
      <c r="C400" s="593">
        <v>23.2</v>
      </c>
      <c r="D400" s="595" t="s">
        <v>209</v>
      </c>
      <c r="H400" s="573" t="s">
        <v>154</v>
      </c>
      <c r="K400" s="586">
        <f>(K398/10)</f>
        <v>689.82640200000003</v>
      </c>
      <c r="N400" s="573" t="s">
        <v>558</v>
      </c>
      <c r="O400" s="573" t="s">
        <v>787</v>
      </c>
      <c r="U400" s="575" t="s">
        <v>154</v>
      </c>
      <c r="X400" s="575">
        <f>X398/10</f>
        <v>740.82719680000014</v>
      </c>
      <c r="AC400" s="576"/>
      <c r="AF400" s="578"/>
    </row>
    <row r="401" spans="1:33" ht="24" customHeight="1">
      <c r="A401" s="594">
        <f t="shared" si="31"/>
        <v>236</v>
      </c>
      <c r="B401" s="595" t="s">
        <v>781</v>
      </c>
      <c r="C401" s="593">
        <v>52</v>
      </c>
      <c r="D401" s="595" t="s">
        <v>209</v>
      </c>
      <c r="K401" s="582" t="s">
        <v>155</v>
      </c>
      <c r="O401" s="582" t="s">
        <v>117</v>
      </c>
      <c r="X401" s="622" t="s">
        <v>777</v>
      </c>
      <c r="AC401" s="585" t="s">
        <v>558</v>
      </c>
      <c r="AD401" s="573" t="s">
        <v>788</v>
      </c>
      <c r="AF401" s="578"/>
    </row>
    <row r="402" spans="1:33" ht="24" customHeight="1">
      <c r="A402" s="594">
        <f t="shared" si="31"/>
        <v>237</v>
      </c>
      <c r="B402" s="595" t="s">
        <v>782</v>
      </c>
      <c r="C402" s="593">
        <v>69.8</v>
      </c>
      <c r="D402" s="595" t="s">
        <v>209</v>
      </c>
      <c r="H402" s="573" t="s">
        <v>482</v>
      </c>
      <c r="J402" s="578">
        <f>K402-K400</f>
        <v>6.5120000000000573</v>
      </c>
      <c r="K402" s="586">
        <f>(K400+C19/10*F394)</f>
        <v>696.33840200000009</v>
      </c>
      <c r="M402" s="587">
        <v>10</v>
      </c>
      <c r="N402" s="573" t="s">
        <v>140</v>
      </c>
      <c r="O402" s="573" t="s">
        <v>775</v>
      </c>
      <c r="P402" s="587">
        <f>(R398)</f>
        <v>26.085786000000002</v>
      </c>
      <c r="Q402" s="573" t="s">
        <v>140</v>
      </c>
      <c r="R402" s="587">
        <f>(M402*P402)</f>
        <v>260.85786000000002</v>
      </c>
      <c r="U402" s="619" t="s">
        <v>482</v>
      </c>
      <c r="W402" s="575">
        <f>0.112*C19</f>
        <v>6.6304000000000007</v>
      </c>
      <c r="X402" s="619">
        <f>X400+W402</f>
        <v>747.45759680000015</v>
      </c>
      <c r="AC402" s="576"/>
      <c r="AD402" s="582" t="s">
        <v>117</v>
      </c>
      <c r="AF402" s="578"/>
    </row>
    <row r="403" spans="1:33" ht="24" customHeight="1">
      <c r="A403" s="594">
        <f t="shared" si="31"/>
        <v>238</v>
      </c>
      <c r="B403" s="595" t="s">
        <v>783</v>
      </c>
      <c r="C403" s="593">
        <v>87</v>
      </c>
      <c r="D403" s="595" t="s">
        <v>209</v>
      </c>
      <c r="H403" s="573" t="s">
        <v>486</v>
      </c>
      <c r="J403" s="578">
        <f>K403-K402</f>
        <v>13.123000000000047</v>
      </c>
      <c r="K403" s="586">
        <f>(K402+C20/10*F394)</f>
        <v>709.46140200000013</v>
      </c>
      <c r="M403" s="587">
        <v>10</v>
      </c>
      <c r="N403" s="573" t="s">
        <v>140</v>
      </c>
      <c r="O403" s="573" t="s">
        <v>789</v>
      </c>
      <c r="P403" s="587">
        <f>(R398/2)</f>
        <v>13.042893000000001</v>
      </c>
      <c r="Q403" s="573" t="s">
        <v>140</v>
      </c>
      <c r="R403" s="587">
        <f>(M403*P403)</f>
        <v>130.42893000000001</v>
      </c>
      <c r="U403" s="619" t="s">
        <v>486</v>
      </c>
      <c r="W403" s="575">
        <f>0.112*C20</f>
        <v>13.361599999999999</v>
      </c>
      <c r="X403" s="619">
        <f>X402+W403</f>
        <v>760.8191968000001</v>
      </c>
      <c r="AB403" s="587">
        <v>1.1399999999999999</v>
      </c>
      <c r="AC403" s="585" t="s">
        <v>126</v>
      </c>
      <c r="AD403" s="573" t="s">
        <v>565</v>
      </c>
      <c r="AE403" s="587">
        <f>(AG398)</f>
        <v>5653.1538799999998</v>
      </c>
      <c r="AF403" s="573" t="s">
        <v>126</v>
      </c>
      <c r="AG403" s="587">
        <f>(AB403*AE403)</f>
        <v>6444.5954231999995</v>
      </c>
    </row>
    <row r="404" spans="1:33" ht="24" customHeight="1">
      <c r="A404" s="594">
        <f t="shared" si="31"/>
        <v>239</v>
      </c>
      <c r="B404" s="595" t="s">
        <v>727</v>
      </c>
      <c r="C404" s="593">
        <v>116.3</v>
      </c>
      <c r="D404" s="595" t="s">
        <v>209</v>
      </c>
      <c r="H404" s="573" t="s">
        <v>489</v>
      </c>
      <c r="K404" s="586">
        <f>(K403+C21/10*F394)</f>
        <v>722.58440200000018</v>
      </c>
      <c r="O404" s="573" t="s">
        <v>790</v>
      </c>
      <c r="R404" s="582" t="s">
        <v>117</v>
      </c>
      <c r="U404" s="619" t="s">
        <v>489</v>
      </c>
      <c r="W404" s="575">
        <f>W403</f>
        <v>13.361599999999999</v>
      </c>
      <c r="X404" s="619">
        <f>X403+W404</f>
        <v>774.18079680000005</v>
      </c>
      <c r="AB404" s="587">
        <v>1</v>
      </c>
      <c r="AC404" s="585" t="s">
        <v>1</v>
      </c>
      <c r="AD404" s="573" t="s">
        <v>144</v>
      </c>
      <c r="AE404" s="587">
        <f>AE390</f>
        <v>769</v>
      </c>
      <c r="AF404" s="573" t="s">
        <v>209</v>
      </c>
      <c r="AG404" s="587">
        <f>(AB404*AE404)</f>
        <v>769</v>
      </c>
    </row>
    <row r="405" spans="1:33" ht="24" customHeight="1">
      <c r="A405" s="594">
        <f t="shared" si="31"/>
        <v>240</v>
      </c>
      <c r="B405" s="665" t="s">
        <v>791</v>
      </c>
      <c r="C405" s="666">
        <v>246</v>
      </c>
      <c r="D405" s="667" t="s">
        <v>209</v>
      </c>
      <c r="H405" s="573" t="s">
        <v>491</v>
      </c>
      <c r="K405" s="586">
        <f>(K404+C21/10*F394)</f>
        <v>735.70740200000023</v>
      </c>
      <c r="R405" s="587">
        <f>SUM(R402:R403)</f>
        <v>391.28679</v>
      </c>
      <c r="U405" s="619" t="s">
        <v>491</v>
      </c>
      <c r="W405" s="575">
        <f>W403</f>
        <v>13.361599999999999</v>
      </c>
      <c r="X405" s="619">
        <f>X404+W405</f>
        <v>787.54239680000001</v>
      </c>
      <c r="AC405" s="585" t="s">
        <v>129</v>
      </c>
      <c r="AD405" s="573" t="s">
        <v>130</v>
      </c>
      <c r="AE405" s="573" t="s">
        <v>115</v>
      </c>
      <c r="AF405" s="573" t="s">
        <v>129</v>
      </c>
      <c r="AG405" s="587">
        <v>0</v>
      </c>
    </row>
    <row r="406" spans="1:33" ht="24" customHeight="1">
      <c r="A406" s="594">
        <f t="shared" si="31"/>
        <v>241</v>
      </c>
      <c r="B406" s="664" t="s">
        <v>3056</v>
      </c>
      <c r="C406" s="608"/>
      <c r="D406" s="595" t="s">
        <v>115</v>
      </c>
      <c r="H406" s="573" t="s">
        <v>576</v>
      </c>
      <c r="K406" s="586">
        <f>(K405+C21/10*F394)</f>
        <v>748.83040200000028</v>
      </c>
      <c r="L406" s="575">
        <f>K406-K405</f>
        <v>13.123000000000047</v>
      </c>
      <c r="O406" s="573" t="s">
        <v>153</v>
      </c>
      <c r="R406" s="582" t="s">
        <v>117</v>
      </c>
      <c r="U406" s="619" t="s">
        <v>576</v>
      </c>
      <c r="W406" s="575">
        <f>W405</f>
        <v>13.361599999999999</v>
      </c>
      <c r="X406" s="619">
        <f>X405+W406</f>
        <v>800.90399679999996</v>
      </c>
      <c r="AC406" s="576"/>
      <c r="AF406" s="578"/>
      <c r="AG406" s="582" t="s">
        <v>117</v>
      </c>
    </row>
    <row r="407" spans="1:33" ht="24" customHeight="1">
      <c r="A407" s="594">
        <f t="shared" si="31"/>
        <v>242</v>
      </c>
      <c r="B407" s="595" t="s">
        <v>786</v>
      </c>
      <c r="C407" s="593">
        <v>13.6</v>
      </c>
      <c r="D407" s="595" t="s">
        <v>209</v>
      </c>
      <c r="F407" s="607">
        <v>11</v>
      </c>
      <c r="G407" s="585" t="s">
        <v>122</v>
      </c>
      <c r="H407" s="573" t="s">
        <v>793</v>
      </c>
      <c r="L407" s="575">
        <f>K406+L406</f>
        <v>761.95340200000032</v>
      </c>
      <c r="R407" s="587">
        <f>(R405/10)</f>
        <v>39.128678999999998</v>
      </c>
      <c r="S407" s="579">
        <v>11</v>
      </c>
      <c r="T407" s="575" t="s">
        <v>122</v>
      </c>
      <c r="U407" s="575" t="s">
        <v>793</v>
      </c>
      <c r="AC407" s="576"/>
      <c r="AD407" s="573" t="s">
        <v>153</v>
      </c>
      <c r="AF407" s="578"/>
      <c r="AG407" s="587">
        <f>SUM(AG403:AG405)</f>
        <v>7213.5954231999995</v>
      </c>
    </row>
    <row r="408" spans="1:33" ht="24" customHeight="1">
      <c r="A408" s="594">
        <f t="shared" si="31"/>
        <v>243</v>
      </c>
      <c r="B408" s="595" t="s">
        <v>779</v>
      </c>
      <c r="C408" s="593">
        <v>15.9</v>
      </c>
      <c r="D408" s="595" t="s">
        <v>209</v>
      </c>
      <c r="H408" s="587" t="str">
        <f>H309</f>
        <v>Bricks of size 22x11x7 cm</v>
      </c>
      <c r="O408" s="573" t="s">
        <v>154</v>
      </c>
      <c r="R408" s="582" t="s">
        <v>155</v>
      </c>
      <c r="U408" s="575" t="s">
        <v>725</v>
      </c>
      <c r="AC408" s="576"/>
      <c r="AF408" s="578"/>
      <c r="AG408" s="582" t="s">
        <v>117</v>
      </c>
    </row>
    <row r="409" spans="1:33" ht="24" customHeight="1">
      <c r="A409" s="594">
        <f t="shared" si="31"/>
        <v>244</v>
      </c>
      <c r="B409" s="595" t="s">
        <v>781</v>
      </c>
      <c r="C409" s="593">
        <v>28.6</v>
      </c>
      <c r="D409" s="595" t="s">
        <v>209</v>
      </c>
      <c r="H409" s="582" t="s">
        <v>117</v>
      </c>
      <c r="U409" s="575" t="s">
        <v>117</v>
      </c>
      <c r="AC409" s="576"/>
      <c r="AD409" s="573" t="s">
        <v>154</v>
      </c>
      <c r="AF409" s="578"/>
      <c r="AG409" s="586">
        <f>(AG407/10)</f>
        <v>721.35954231999995</v>
      </c>
    </row>
    <row r="410" spans="1:33" ht="24" customHeight="1">
      <c r="A410" s="594">
        <f t="shared" si="31"/>
        <v>245</v>
      </c>
      <c r="B410" s="595" t="s">
        <v>782</v>
      </c>
      <c r="C410" s="593">
        <v>46.5</v>
      </c>
      <c r="D410" s="595" t="s">
        <v>209</v>
      </c>
      <c r="F410" s="587">
        <f>F311</f>
        <v>4800</v>
      </c>
      <c r="G410" s="585" t="s">
        <v>467</v>
      </c>
      <c r="H410" s="587" t="str">
        <f>H309</f>
        <v>Bricks of size 22x11x7 cm</v>
      </c>
      <c r="I410" s="587">
        <f>(C80)</f>
        <v>5704.1</v>
      </c>
      <c r="J410" s="573" t="s">
        <v>582</v>
      </c>
      <c r="K410" s="587">
        <f>(F410*I410)/1000</f>
        <v>27379.68</v>
      </c>
      <c r="N410" s="573" t="s">
        <v>122</v>
      </c>
      <c r="O410" s="573" t="s">
        <v>794</v>
      </c>
      <c r="S410" s="579">
        <v>4600</v>
      </c>
      <c r="T410" s="575" t="s">
        <v>467</v>
      </c>
      <c r="U410" s="575" t="s">
        <v>725</v>
      </c>
      <c r="V410" s="575">
        <f t="shared" ref="V410:V415" si="33">V379</f>
        <v>6725.72</v>
      </c>
      <c r="W410" s="575" t="s">
        <v>582</v>
      </c>
      <c r="X410" s="575">
        <f>V410*S410/1000</f>
        <v>30938.312000000002</v>
      </c>
      <c r="AC410" s="576"/>
      <c r="AF410" s="578"/>
      <c r="AG410" s="582" t="s">
        <v>155</v>
      </c>
    </row>
    <row r="411" spans="1:33" ht="24" customHeight="1">
      <c r="A411" s="594">
        <f t="shared" ref="A411:A421" si="34">(A410+1)</f>
        <v>246</v>
      </c>
      <c r="B411" s="595" t="s">
        <v>783</v>
      </c>
      <c r="C411" s="593">
        <v>58.1</v>
      </c>
      <c r="D411" s="595" t="s">
        <v>209</v>
      </c>
      <c r="F411" s="587">
        <f>F380</f>
        <v>1.59</v>
      </c>
      <c r="G411" s="585" t="s">
        <v>126</v>
      </c>
      <c r="H411" s="573" t="s">
        <v>134</v>
      </c>
      <c r="I411" s="587">
        <f>(K40)</f>
        <v>3497.8</v>
      </c>
      <c r="J411" s="573" t="s">
        <v>126</v>
      </c>
      <c r="K411" s="587">
        <f>(F411*I411)</f>
        <v>5561.5020000000004</v>
      </c>
      <c r="O411" s="573" t="s">
        <v>795</v>
      </c>
      <c r="S411" s="579">
        <v>1.59</v>
      </c>
      <c r="T411" s="575" t="s">
        <v>126</v>
      </c>
      <c r="U411" s="575" t="s">
        <v>134</v>
      </c>
      <c r="V411" s="575">
        <f t="shared" si="33"/>
        <v>3497.8</v>
      </c>
      <c r="W411" s="575" t="s">
        <v>126</v>
      </c>
      <c r="X411" s="575">
        <f t="shared" ref="X411:X416" si="35">V411*S411</f>
        <v>5561.5020000000004</v>
      </c>
      <c r="AC411" s="576"/>
      <c r="AD411" s="573" t="s">
        <v>482</v>
      </c>
      <c r="AF411" s="578">
        <f>C19*0.114</f>
        <v>6.7488000000000001</v>
      </c>
      <c r="AG411" s="586">
        <f>AG409+AF411</f>
        <v>728.10834231999991</v>
      </c>
    </row>
    <row r="412" spans="1:33" ht="24" customHeight="1">
      <c r="A412" s="594">
        <f t="shared" si="34"/>
        <v>247</v>
      </c>
      <c r="B412" s="595" t="s">
        <v>727</v>
      </c>
      <c r="C412" s="593">
        <v>69.8</v>
      </c>
      <c r="D412" s="595" t="s">
        <v>209</v>
      </c>
      <c r="F412" s="587">
        <v>7</v>
      </c>
      <c r="G412" s="585" t="s">
        <v>209</v>
      </c>
      <c r="H412" s="573" t="s">
        <v>144</v>
      </c>
      <c r="I412" s="587">
        <f>(C10)</f>
        <v>769</v>
      </c>
      <c r="J412" s="573" t="s">
        <v>209</v>
      </c>
      <c r="K412" s="587">
        <f>(F412*I412)</f>
        <v>5383</v>
      </c>
      <c r="O412" s="582" t="s">
        <v>117</v>
      </c>
      <c r="S412" s="579">
        <v>7</v>
      </c>
      <c r="T412" s="575" t="s">
        <v>209</v>
      </c>
      <c r="U412" s="575" t="s">
        <v>144</v>
      </c>
      <c r="V412" s="575">
        <f t="shared" si="33"/>
        <v>769</v>
      </c>
      <c r="W412" s="575" t="s">
        <v>209</v>
      </c>
      <c r="X412" s="575">
        <f t="shared" si="35"/>
        <v>5383</v>
      </c>
      <c r="AC412" s="576"/>
      <c r="AD412" s="573" t="s">
        <v>486</v>
      </c>
      <c r="AF412" s="578">
        <f>C20*0.114</f>
        <v>13.600200000000001</v>
      </c>
      <c r="AG412" s="586">
        <f t="shared" ref="AG412:AG420" si="36">AG411+AF412</f>
        <v>741.70854231999988</v>
      </c>
    </row>
    <row r="413" spans="1:33" ht="24" customHeight="1">
      <c r="A413" s="594">
        <f t="shared" si="34"/>
        <v>248</v>
      </c>
      <c r="B413" s="665" t="s">
        <v>796</v>
      </c>
      <c r="C413" s="666">
        <v>212</v>
      </c>
      <c r="D413" s="667" t="s">
        <v>209</v>
      </c>
      <c r="F413" s="587">
        <v>7.1</v>
      </c>
      <c r="G413" s="585" t="s">
        <v>209</v>
      </c>
      <c r="H413" s="573" t="s">
        <v>145</v>
      </c>
      <c r="I413" s="587">
        <f>(C11)</f>
        <v>718</v>
      </c>
      <c r="J413" s="573" t="s">
        <v>209</v>
      </c>
      <c r="K413" s="587">
        <f>(F413*I413)</f>
        <v>5097.8</v>
      </c>
      <c r="M413" s="587">
        <v>10</v>
      </c>
      <c r="N413" s="573" t="s">
        <v>140</v>
      </c>
      <c r="O413" s="573" t="s">
        <v>765</v>
      </c>
      <c r="P413" s="587">
        <f>(R384)</f>
        <v>17.920090000000002</v>
      </c>
      <c r="Q413" s="573" t="s">
        <v>140</v>
      </c>
      <c r="R413" s="587">
        <f>(M413*P413)</f>
        <v>179.20090000000002</v>
      </c>
      <c r="S413" s="579">
        <v>7.1</v>
      </c>
      <c r="T413" s="575" t="s">
        <v>209</v>
      </c>
      <c r="U413" s="575" t="s">
        <v>145</v>
      </c>
      <c r="V413" s="575">
        <f t="shared" si="33"/>
        <v>718</v>
      </c>
      <c r="W413" s="575" t="s">
        <v>209</v>
      </c>
      <c r="X413" s="575">
        <f t="shared" si="35"/>
        <v>5097.8</v>
      </c>
      <c r="AC413" s="576"/>
      <c r="AD413" s="573" t="s">
        <v>489</v>
      </c>
      <c r="AF413" s="578">
        <f t="shared" ref="AF413:AF422" si="37">AF412</f>
        <v>13.600200000000001</v>
      </c>
      <c r="AG413" s="586">
        <f t="shared" si="36"/>
        <v>755.30874231999985</v>
      </c>
    </row>
    <row r="414" spans="1:33" ht="24" customHeight="1">
      <c r="A414" s="594">
        <f t="shared" si="34"/>
        <v>249</v>
      </c>
      <c r="B414" s="664" t="s">
        <v>3057</v>
      </c>
      <c r="C414" s="608"/>
      <c r="D414" s="595" t="s">
        <v>115</v>
      </c>
      <c r="F414" s="587">
        <v>7.1</v>
      </c>
      <c r="G414" s="585" t="s">
        <v>209</v>
      </c>
      <c r="H414" s="573" t="s">
        <v>146</v>
      </c>
      <c r="I414" s="587">
        <f>(C12)</f>
        <v>502</v>
      </c>
      <c r="J414" s="573" t="s">
        <v>209</v>
      </c>
      <c r="K414" s="587">
        <f>(F414*I414)</f>
        <v>3564.2</v>
      </c>
      <c r="M414" s="587">
        <v>10</v>
      </c>
      <c r="N414" s="573" t="s">
        <v>140</v>
      </c>
      <c r="O414" s="573" t="s">
        <v>787</v>
      </c>
      <c r="P414" s="587">
        <f>(R407)</f>
        <v>39.128678999999998</v>
      </c>
      <c r="Q414" s="573" t="s">
        <v>140</v>
      </c>
      <c r="R414" s="587">
        <f>(M414*P414)</f>
        <v>391.28679</v>
      </c>
      <c r="S414" s="579">
        <v>7.1</v>
      </c>
      <c r="T414" s="575" t="s">
        <v>209</v>
      </c>
      <c r="U414" s="575" t="s">
        <v>146</v>
      </c>
      <c r="V414" s="575">
        <f t="shared" si="33"/>
        <v>502</v>
      </c>
      <c r="W414" s="575" t="s">
        <v>209</v>
      </c>
      <c r="X414" s="575">
        <f t="shared" si="35"/>
        <v>3564.2</v>
      </c>
      <c r="AC414" s="576"/>
      <c r="AD414" s="573" t="s">
        <v>491</v>
      </c>
      <c r="AF414" s="578">
        <f t="shared" si="37"/>
        <v>13.600200000000001</v>
      </c>
      <c r="AG414" s="586">
        <f t="shared" si="36"/>
        <v>768.90894231999982</v>
      </c>
    </row>
    <row r="415" spans="1:33" ht="24" customHeight="1">
      <c r="A415" s="594">
        <f t="shared" si="34"/>
        <v>250</v>
      </c>
      <c r="B415" s="595" t="s">
        <v>786</v>
      </c>
      <c r="C415" s="593">
        <v>15.9</v>
      </c>
      <c r="D415" s="595" t="s">
        <v>209</v>
      </c>
      <c r="F415" s="587">
        <v>21.2</v>
      </c>
      <c r="G415" s="585" t="s">
        <v>209</v>
      </c>
      <c r="H415" s="573" t="s">
        <v>147</v>
      </c>
      <c r="I415" s="587">
        <f>(C13)</f>
        <v>412</v>
      </c>
      <c r="J415" s="573" t="s">
        <v>209</v>
      </c>
      <c r="K415" s="587">
        <f>(F415*I415)</f>
        <v>8734.4</v>
      </c>
      <c r="O415" s="573" t="s">
        <v>115</v>
      </c>
      <c r="R415" s="582" t="s">
        <v>117</v>
      </c>
      <c r="S415" s="579">
        <v>21.2</v>
      </c>
      <c r="T415" s="575" t="s">
        <v>209</v>
      </c>
      <c r="U415" s="575" t="s">
        <v>147</v>
      </c>
      <c r="V415" s="575">
        <f t="shared" si="33"/>
        <v>412</v>
      </c>
      <c r="W415" s="575" t="s">
        <v>209</v>
      </c>
      <c r="X415" s="575">
        <f t="shared" si="35"/>
        <v>8734.4</v>
      </c>
      <c r="AC415" s="576"/>
      <c r="AD415" s="573" t="s">
        <v>576</v>
      </c>
      <c r="AF415" s="578">
        <f t="shared" si="37"/>
        <v>13.600200000000001</v>
      </c>
      <c r="AG415" s="586">
        <f t="shared" si="36"/>
        <v>782.5091423199998</v>
      </c>
    </row>
    <row r="416" spans="1:33" ht="24" customHeight="1">
      <c r="A416" s="594">
        <f t="shared" si="34"/>
        <v>251</v>
      </c>
      <c r="B416" s="595" t="s">
        <v>779</v>
      </c>
      <c r="C416" s="593">
        <v>25.4</v>
      </c>
      <c r="D416" s="595" t="s">
        <v>209</v>
      </c>
      <c r="G416" s="585" t="s">
        <v>129</v>
      </c>
      <c r="H416" s="573" t="s">
        <v>130</v>
      </c>
      <c r="I416" s="573" t="s">
        <v>115</v>
      </c>
      <c r="J416" s="573" t="s">
        <v>129</v>
      </c>
      <c r="K416" s="587">
        <v>0</v>
      </c>
      <c r="R416" s="587">
        <f>SUM(R413:R414)</f>
        <v>570.48769000000004</v>
      </c>
      <c r="T416" s="575" t="s">
        <v>129</v>
      </c>
      <c r="U416" s="575" t="s">
        <v>130</v>
      </c>
      <c r="V416" s="575" t="s">
        <v>115</v>
      </c>
      <c r="W416" s="575" t="s">
        <v>129</v>
      </c>
      <c r="X416" s="575">
        <f t="shared" si="35"/>
        <v>0</v>
      </c>
      <c r="AC416" s="576"/>
      <c r="AD416" s="573" t="s">
        <v>798</v>
      </c>
      <c r="AF416" s="578">
        <f t="shared" si="37"/>
        <v>13.600200000000001</v>
      </c>
      <c r="AG416" s="586">
        <f t="shared" si="36"/>
        <v>796.10934231999977</v>
      </c>
    </row>
    <row r="417" spans="1:35" ht="24" customHeight="1">
      <c r="A417" s="594">
        <f t="shared" si="34"/>
        <v>252</v>
      </c>
      <c r="B417" s="595" t="s">
        <v>781</v>
      </c>
      <c r="C417" s="593">
        <v>58.1</v>
      </c>
      <c r="D417" s="595" t="s">
        <v>209</v>
      </c>
      <c r="K417" s="582" t="s">
        <v>117</v>
      </c>
      <c r="O417" s="573" t="s">
        <v>153</v>
      </c>
      <c r="R417" s="582" t="s">
        <v>117</v>
      </c>
      <c r="X417" s="622" t="s">
        <v>774</v>
      </c>
      <c r="AC417" s="576"/>
      <c r="AD417" s="573" t="s">
        <v>799</v>
      </c>
      <c r="AF417" s="578">
        <f t="shared" si="37"/>
        <v>13.600200000000001</v>
      </c>
      <c r="AG417" s="586">
        <f t="shared" si="36"/>
        <v>809.70954231999974</v>
      </c>
    </row>
    <row r="418" spans="1:35" ht="24" customHeight="1">
      <c r="A418" s="594">
        <f t="shared" si="34"/>
        <v>253</v>
      </c>
      <c r="B418" s="595" t="s">
        <v>782</v>
      </c>
      <c r="C418" s="593">
        <v>87</v>
      </c>
      <c r="D418" s="595" t="s">
        <v>209</v>
      </c>
      <c r="H418" s="573" t="s">
        <v>455</v>
      </c>
      <c r="K418" s="587">
        <f>SUM(K410:K416)</f>
        <v>55720.582000000002</v>
      </c>
      <c r="R418" s="587">
        <f>(R416/10)</f>
        <v>57.048769000000007</v>
      </c>
      <c r="U418" s="575" t="s">
        <v>455</v>
      </c>
      <c r="X418" s="575">
        <f>SUM(X410:X416)</f>
        <v>59279.214</v>
      </c>
      <c r="AC418" s="576"/>
      <c r="AD418" s="573" t="s">
        <v>800</v>
      </c>
      <c r="AF418" s="578">
        <f t="shared" si="37"/>
        <v>13.600200000000001</v>
      </c>
      <c r="AG418" s="586">
        <f t="shared" si="36"/>
        <v>823.30974231999971</v>
      </c>
    </row>
    <row r="419" spans="1:35" ht="24" customHeight="1">
      <c r="A419" s="594">
        <f t="shared" si="34"/>
        <v>254</v>
      </c>
      <c r="B419" s="595" t="s">
        <v>783</v>
      </c>
      <c r="C419" s="593">
        <v>98.6</v>
      </c>
      <c r="D419" s="595" t="s">
        <v>209</v>
      </c>
      <c r="K419" s="582" t="s">
        <v>117</v>
      </c>
      <c r="O419" s="573" t="s">
        <v>154</v>
      </c>
      <c r="R419" s="582" t="s">
        <v>155</v>
      </c>
      <c r="X419" s="622" t="s">
        <v>774</v>
      </c>
      <c r="AC419" s="576"/>
      <c r="AD419" s="573" t="s">
        <v>801</v>
      </c>
      <c r="AF419" s="578">
        <f t="shared" si="37"/>
        <v>13.600200000000001</v>
      </c>
      <c r="AG419" s="586">
        <f>AG418+AF419</f>
        <v>836.90994231999969</v>
      </c>
    </row>
    <row r="420" spans="1:35" ht="24" customHeight="1">
      <c r="A420" s="594">
        <f t="shared" si="34"/>
        <v>255</v>
      </c>
      <c r="B420" s="595" t="s">
        <v>727</v>
      </c>
      <c r="C420" s="593">
        <v>128</v>
      </c>
      <c r="D420" s="595" t="s">
        <v>209</v>
      </c>
      <c r="H420" s="573" t="s">
        <v>383</v>
      </c>
      <c r="K420" s="587">
        <f>(K418/10)</f>
        <v>5572.0582000000004</v>
      </c>
      <c r="U420" s="575" t="s">
        <v>383</v>
      </c>
      <c r="X420" s="575">
        <f>X418/10</f>
        <v>5927.9214000000002</v>
      </c>
      <c r="AC420" s="576"/>
      <c r="AD420" s="573" t="s">
        <v>802</v>
      </c>
      <c r="AF420" s="578">
        <f t="shared" si="37"/>
        <v>13.600200000000001</v>
      </c>
      <c r="AG420" s="586">
        <f t="shared" si="36"/>
        <v>850.51014231999966</v>
      </c>
    </row>
    <row r="421" spans="1:35" ht="24" customHeight="1">
      <c r="A421" s="594">
        <f t="shared" si="34"/>
        <v>256</v>
      </c>
      <c r="B421" s="667" t="s">
        <v>796</v>
      </c>
      <c r="C421" s="666">
        <v>283</v>
      </c>
      <c r="D421" s="667" t="s">
        <v>209</v>
      </c>
      <c r="K421" s="582" t="s">
        <v>155</v>
      </c>
      <c r="X421" s="622" t="s">
        <v>777</v>
      </c>
      <c r="AB421" s="607">
        <v>11</v>
      </c>
      <c r="AC421" s="585" t="s">
        <v>122</v>
      </c>
      <c r="AD421" s="573" t="s">
        <v>793</v>
      </c>
      <c r="AF421" s="578">
        <f t="shared" si="37"/>
        <v>13.600200000000001</v>
      </c>
      <c r="AG421" s="586">
        <f>AG420+AF421</f>
        <v>864.11034231999963</v>
      </c>
    </row>
    <row r="422" spans="1:35" ht="24" customHeight="1">
      <c r="A422" s="608"/>
      <c r="B422" s="608"/>
      <c r="C422" s="608"/>
      <c r="D422" s="608"/>
      <c r="F422" s="573" t="s">
        <v>251</v>
      </c>
      <c r="S422" s="579" t="s">
        <v>251</v>
      </c>
      <c r="AC422" s="576"/>
      <c r="AD422" s="587">
        <f>AD307</f>
        <v>0</v>
      </c>
      <c r="AF422" s="578">
        <f t="shared" si="37"/>
        <v>13.600200000000001</v>
      </c>
      <c r="AG422" s="586">
        <f>AG421+AF422</f>
        <v>877.7105423199996</v>
      </c>
      <c r="AH422" s="575" t="s">
        <v>803</v>
      </c>
      <c r="AI422" s="575">
        <f>AG422+AF422</f>
        <v>891.31074231999958</v>
      </c>
    </row>
    <row r="423" spans="1:35" ht="24" customHeight="1">
      <c r="A423" s="594">
        <f>(A421+1)</f>
        <v>257</v>
      </c>
      <c r="B423" s="664" t="s">
        <v>804</v>
      </c>
      <c r="C423" s="608"/>
      <c r="D423" s="595" t="s">
        <v>115</v>
      </c>
      <c r="O423" s="574" t="s">
        <v>805</v>
      </c>
      <c r="AC423" s="576"/>
      <c r="AD423" s="582" t="s">
        <v>117</v>
      </c>
      <c r="AF423" s="578"/>
      <c r="AH423" s="575" t="s">
        <v>806</v>
      </c>
      <c r="AI423" s="575">
        <f>AI422+AF422</f>
        <v>904.91094231999955</v>
      </c>
    </row>
    <row r="424" spans="1:35" ht="24" customHeight="1">
      <c r="A424" s="594">
        <f t="shared" ref="A424:A487" si="38">(A423+1)</f>
        <v>258</v>
      </c>
      <c r="B424" s="595" t="s">
        <v>786</v>
      </c>
      <c r="C424" s="593">
        <v>58.1</v>
      </c>
      <c r="D424" s="595" t="s">
        <v>209</v>
      </c>
      <c r="G424" s="585" t="s">
        <v>589</v>
      </c>
      <c r="H424" s="573" t="s">
        <v>590</v>
      </c>
      <c r="O424" s="582" t="s">
        <v>117</v>
      </c>
      <c r="T424" s="575" t="s">
        <v>589</v>
      </c>
      <c r="U424" s="575" t="s">
        <v>590</v>
      </c>
      <c r="AB424" s="587">
        <f>AB311</f>
        <v>4240</v>
      </c>
      <c r="AC424" s="585" t="s">
        <v>467</v>
      </c>
      <c r="AD424" s="587" t="str">
        <f>AD311</f>
        <v>Bricks of size 23x11.4x7.5 cm</v>
      </c>
      <c r="AE424" s="587">
        <f t="shared" ref="AE424:AE429" si="39">AE388</f>
        <v>6912.72</v>
      </c>
      <c r="AF424" s="573" t="s">
        <v>582</v>
      </c>
      <c r="AG424" s="587">
        <f>(AB424*AE424)/1000</f>
        <v>29309.932800000002</v>
      </c>
    </row>
    <row r="425" spans="1:35" ht="24" customHeight="1">
      <c r="A425" s="594">
        <f t="shared" si="38"/>
        <v>259</v>
      </c>
      <c r="B425" s="595" t="s">
        <v>779</v>
      </c>
      <c r="C425" s="593">
        <v>69.8</v>
      </c>
      <c r="D425" s="595" t="s">
        <v>209</v>
      </c>
      <c r="H425" s="582" t="s">
        <v>117</v>
      </c>
      <c r="N425" s="573" t="s">
        <v>122</v>
      </c>
      <c r="O425" s="573" t="s">
        <v>807</v>
      </c>
      <c r="U425" s="575" t="s">
        <v>117</v>
      </c>
      <c r="AB425" s="587">
        <v>1.27</v>
      </c>
      <c r="AC425" s="585" t="s">
        <v>126</v>
      </c>
      <c r="AD425" s="573" t="s">
        <v>134</v>
      </c>
      <c r="AE425" s="587">
        <f t="shared" si="39"/>
        <v>3497.8</v>
      </c>
      <c r="AF425" s="573" t="s">
        <v>126</v>
      </c>
      <c r="AG425" s="587">
        <f>(AB425*AE425)</f>
        <v>4442.2060000000001</v>
      </c>
    </row>
    <row r="426" spans="1:35" ht="24" customHeight="1">
      <c r="A426" s="594">
        <f t="shared" si="38"/>
        <v>260</v>
      </c>
      <c r="B426" s="595" t="s">
        <v>781</v>
      </c>
      <c r="C426" s="593">
        <v>98.6</v>
      </c>
      <c r="D426" s="595" t="s">
        <v>209</v>
      </c>
      <c r="F426" s="587">
        <v>0.7</v>
      </c>
      <c r="G426" s="585" t="s">
        <v>126</v>
      </c>
      <c r="H426" s="573" t="s">
        <v>591</v>
      </c>
      <c r="I426" s="587">
        <f>(K420)</f>
        <v>5572.0582000000004</v>
      </c>
      <c r="J426" s="573" t="s">
        <v>209</v>
      </c>
      <c r="K426" s="587">
        <f>(F426*I426)</f>
        <v>3900.44074</v>
      </c>
      <c r="O426" s="573" t="s">
        <v>808</v>
      </c>
      <c r="S426" s="579">
        <v>0.7</v>
      </c>
      <c r="T426" s="575" t="s">
        <v>126</v>
      </c>
      <c r="U426" s="575" t="s">
        <v>591</v>
      </c>
      <c r="V426" s="575">
        <f>X420</f>
        <v>5927.9214000000002</v>
      </c>
      <c r="W426" s="575" t="s">
        <v>209</v>
      </c>
      <c r="X426" s="575">
        <f>V426*S426</f>
        <v>4149.5449799999997</v>
      </c>
      <c r="AB426" s="587">
        <v>7</v>
      </c>
      <c r="AC426" s="585" t="s">
        <v>209</v>
      </c>
      <c r="AD426" s="573" t="s">
        <v>144</v>
      </c>
      <c r="AE426" s="587">
        <f t="shared" si="39"/>
        <v>769</v>
      </c>
      <c r="AF426" s="573" t="s">
        <v>209</v>
      </c>
      <c r="AG426" s="587">
        <f>(AB426*AE426)</f>
        <v>5383</v>
      </c>
    </row>
    <row r="427" spans="1:35" ht="24" customHeight="1">
      <c r="A427" s="594">
        <f t="shared" si="38"/>
        <v>261</v>
      </c>
      <c r="B427" s="595" t="s">
        <v>782</v>
      </c>
      <c r="C427" s="593">
        <v>127.5</v>
      </c>
      <c r="D427" s="595" t="s">
        <v>209</v>
      </c>
      <c r="F427" s="587">
        <v>1</v>
      </c>
      <c r="G427" s="585" t="s">
        <v>1</v>
      </c>
      <c r="H427" s="573" t="s">
        <v>144</v>
      </c>
      <c r="I427" s="587">
        <f>(C10)</f>
        <v>769</v>
      </c>
      <c r="J427" s="573" t="s">
        <v>209</v>
      </c>
      <c r="K427" s="587">
        <f>(F427*I427)</f>
        <v>769</v>
      </c>
      <c r="O427" s="573" t="s">
        <v>809</v>
      </c>
      <c r="S427" s="579">
        <v>1</v>
      </c>
      <c r="T427" s="575" t="s">
        <v>1</v>
      </c>
      <c r="U427" s="575" t="s">
        <v>144</v>
      </c>
      <c r="V427" s="575">
        <f>V395</f>
        <v>769</v>
      </c>
      <c r="W427" s="575" t="s">
        <v>209</v>
      </c>
      <c r="X427" s="575">
        <f>V427*S427</f>
        <v>769</v>
      </c>
      <c r="AB427" s="587">
        <v>7.1</v>
      </c>
      <c r="AC427" s="585" t="s">
        <v>209</v>
      </c>
      <c r="AD427" s="573" t="s">
        <v>145</v>
      </c>
      <c r="AE427" s="587">
        <f t="shared" si="39"/>
        <v>718</v>
      </c>
      <c r="AF427" s="573" t="s">
        <v>209</v>
      </c>
      <c r="AG427" s="587">
        <f>(AB427*AE427)</f>
        <v>5097.8</v>
      </c>
    </row>
    <row r="428" spans="1:35" ht="24" customHeight="1">
      <c r="A428" s="594">
        <f t="shared" si="38"/>
        <v>262</v>
      </c>
      <c r="B428" s="595" t="s">
        <v>783</v>
      </c>
      <c r="C428" s="593">
        <v>197.5</v>
      </c>
      <c r="D428" s="595" t="s">
        <v>209</v>
      </c>
      <c r="G428" s="585" t="s">
        <v>129</v>
      </c>
      <c r="H428" s="573" t="s">
        <v>130</v>
      </c>
      <c r="I428" s="573" t="s">
        <v>115</v>
      </c>
      <c r="J428" s="573" t="s">
        <v>129</v>
      </c>
      <c r="K428" s="587">
        <v>0</v>
      </c>
      <c r="O428" s="582" t="s">
        <v>117</v>
      </c>
      <c r="T428" s="575" t="s">
        <v>129</v>
      </c>
      <c r="U428" s="575" t="s">
        <v>130</v>
      </c>
      <c r="V428" s="575" t="s">
        <v>115</v>
      </c>
      <c r="W428" s="575" t="s">
        <v>129</v>
      </c>
      <c r="X428" s="575">
        <v>0</v>
      </c>
      <c r="AB428" s="587">
        <f>AB315</f>
        <v>7.1</v>
      </c>
      <c r="AC428" s="585" t="s">
        <v>209</v>
      </c>
      <c r="AD428" s="573" t="s">
        <v>146</v>
      </c>
      <c r="AE428" s="587">
        <f t="shared" si="39"/>
        <v>502</v>
      </c>
      <c r="AF428" s="573" t="s">
        <v>209</v>
      </c>
      <c r="AG428" s="587">
        <f>(AB428*AE428)</f>
        <v>3564.2</v>
      </c>
    </row>
    <row r="429" spans="1:35" ht="39" customHeight="1">
      <c r="A429" s="594">
        <f t="shared" si="38"/>
        <v>263</v>
      </c>
      <c r="B429" s="595" t="s">
        <v>727</v>
      </c>
      <c r="C429" s="593">
        <v>266.3</v>
      </c>
      <c r="D429" s="595" t="s">
        <v>209</v>
      </c>
      <c r="K429" s="582" t="s">
        <v>117</v>
      </c>
      <c r="N429" s="573" t="s">
        <v>810</v>
      </c>
      <c r="O429" s="574" t="s">
        <v>811</v>
      </c>
      <c r="X429" s="622" t="s">
        <v>774</v>
      </c>
      <c r="AB429" s="587">
        <f>AB316</f>
        <v>21.2</v>
      </c>
      <c r="AC429" s="585" t="s">
        <v>209</v>
      </c>
      <c r="AD429" s="573" t="s">
        <v>147</v>
      </c>
      <c r="AE429" s="587">
        <f t="shared" si="39"/>
        <v>412</v>
      </c>
      <c r="AF429" s="573" t="s">
        <v>209</v>
      </c>
      <c r="AG429" s="587">
        <f>(AB429*AE429)</f>
        <v>8734.4</v>
      </c>
    </row>
    <row r="430" spans="1:35" ht="34.5" customHeight="1">
      <c r="A430" s="594">
        <f t="shared" si="38"/>
        <v>264</v>
      </c>
      <c r="B430" s="667" t="s">
        <v>812</v>
      </c>
      <c r="C430" s="666">
        <v>558</v>
      </c>
      <c r="D430" s="667" t="s">
        <v>209</v>
      </c>
      <c r="H430" s="573" t="s">
        <v>153</v>
      </c>
      <c r="K430" s="587">
        <f>SUM(K426:K428)</f>
        <v>4669.44074</v>
      </c>
      <c r="O430" s="582" t="s">
        <v>117</v>
      </c>
      <c r="U430" s="575" t="s">
        <v>153</v>
      </c>
      <c r="X430" s="575">
        <f>SUM(X426:X428)</f>
        <v>4918.5449799999997</v>
      </c>
      <c r="AB430" s="587">
        <f>AB317</f>
        <v>0</v>
      </c>
      <c r="AC430" s="585" t="s">
        <v>129</v>
      </c>
      <c r="AD430" s="573" t="s">
        <v>130</v>
      </c>
      <c r="AE430" s="573" t="s">
        <v>115</v>
      </c>
      <c r="AF430" s="573" t="s">
        <v>129</v>
      </c>
      <c r="AG430" s="587">
        <v>0</v>
      </c>
    </row>
    <row r="431" spans="1:35" ht="24" customHeight="1">
      <c r="A431" s="594">
        <f t="shared" si="38"/>
        <v>265</v>
      </c>
      <c r="B431" s="664" t="s">
        <v>813</v>
      </c>
      <c r="C431" s="608"/>
      <c r="D431" s="595" t="s">
        <v>115</v>
      </c>
      <c r="K431" s="582" t="s">
        <v>117</v>
      </c>
      <c r="M431" s="587">
        <v>8.1</v>
      </c>
      <c r="N431" s="573" t="s">
        <v>126</v>
      </c>
      <c r="O431" s="573" t="s">
        <v>814</v>
      </c>
      <c r="P431" s="587">
        <f>(C61)*2</f>
        <v>168</v>
      </c>
      <c r="Q431" s="573" t="s">
        <v>126</v>
      </c>
      <c r="R431" s="587">
        <f>(M431*P431)</f>
        <v>1360.8</v>
      </c>
      <c r="X431" s="622" t="s">
        <v>774</v>
      </c>
      <c r="AB431" s="587">
        <f>AB318</f>
        <v>0</v>
      </c>
      <c r="AC431" s="576"/>
      <c r="AF431" s="578"/>
      <c r="AG431" s="582" t="s">
        <v>117</v>
      </c>
    </row>
    <row r="432" spans="1:35" ht="30.75" customHeight="1">
      <c r="A432" s="594">
        <f t="shared" si="38"/>
        <v>266</v>
      </c>
      <c r="B432" s="650" t="s">
        <v>786</v>
      </c>
      <c r="C432" s="596">
        <v>1.8</v>
      </c>
      <c r="D432" s="595" t="s">
        <v>209</v>
      </c>
      <c r="H432" s="573" t="s">
        <v>154</v>
      </c>
      <c r="K432" s="587">
        <f>(K430/10)</f>
        <v>466.944074</v>
      </c>
      <c r="M432" s="587">
        <v>8.1</v>
      </c>
      <c r="N432" s="573" t="s">
        <v>126</v>
      </c>
      <c r="O432" s="573" t="s">
        <v>815</v>
      </c>
      <c r="P432" s="587">
        <f>(C26)</f>
        <v>29.3</v>
      </c>
      <c r="Q432" s="573" t="s">
        <v>126</v>
      </c>
      <c r="R432" s="587">
        <f>(M432*P432)</f>
        <v>237.32999999999998</v>
      </c>
      <c r="U432" s="575" t="s">
        <v>154</v>
      </c>
      <c r="X432" s="575">
        <f>X430/10</f>
        <v>491.85449799999998</v>
      </c>
      <c r="AB432" s="587">
        <f>AB319</f>
        <v>0</v>
      </c>
      <c r="AC432" s="576"/>
      <c r="AD432" s="573" t="s">
        <v>455</v>
      </c>
      <c r="AF432" s="578"/>
      <c r="AG432" s="587">
        <f>SUM(AG424:AG431)</f>
        <v>56531.538800000002</v>
      </c>
    </row>
    <row r="433" spans="1:33" ht="42" customHeight="1">
      <c r="A433" s="594">
        <f t="shared" si="38"/>
        <v>267</v>
      </c>
      <c r="B433" s="650" t="s">
        <v>779</v>
      </c>
      <c r="C433" s="596">
        <v>2.9</v>
      </c>
      <c r="D433" s="595" t="s">
        <v>209</v>
      </c>
      <c r="K433" s="582" t="s">
        <v>155</v>
      </c>
      <c r="M433" s="587">
        <v>30</v>
      </c>
      <c r="N433" s="573" t="s">
        <v>203</v>
      </c>
      <c r="O433" s="573" t="s">
        <v>816</v>
      </c>
      <c r="P433" s="587">
        <f>(C42)</f>
        <v>15.53</v>
      </c>
      <c r="Q433" s="573" t="s">
        <v>203</v>
      </c>
      <c r="R433" s="587">
        <f>(M433*P433)</f>
        <v>465.9</v>
      </c>
      <c r="X433" s="622" t="s">
        <v>777</v>
      </c>
      <c r="AC433" s="576"/>
      <c r="AF433" s="578"/>
      <c r="AG433" s="582" t="s">
        <v>117</v>
      </c>
    </row>
    <row r="434" spans="1:33" ht="24" customHeight="1">
      <c r="A434" s="594">
        <f t="shared" si="38"/>
        <v>268</v>
      </c>
      <c r="B434" s="650" t="s">
        <v>781</v>
      </c>
      <c r="C434" s="596">
        <v>4</v>
      </c>
      <c r="D434" s="595" t="s">
        <v>209</v>
      </c>
      <c r="H434" s="573" t="s">
        <v>482</v>
      </c>
      <c r="K434" s="586">
        <f>(K432+C19/10*F426)</f>
        <v>471.08807400000001</v>
      </c>
      <c r="O434" s="573" t="s">
        <v>817</v>
      </c>
      <c r="U434" s="619" t="s">
        <v>482</v>
      </c>
      <c r="W434" s="575">
        <f>0.07*C19</f>
        <v>4.144000000000001</v>
      </c>
      <c r="X434" s="619">
        <f>X432+W434</f>
        <v>495.99849799999998</v>
      </c>
      <c r="AC434" s="576"/>
      <c r="AD434" s="573" t="s">
        <v>383</v>
      </c>
      <c r="AF434" s="578"/>
      <c r="AG434" s="587">
        <f>(AG432/10)</f>
        <v>5653.1538799999998</v>
      </c>
    </row>
    <row r="435" spans="1:33" ht="24" customHeight="1">
      <c r="A435" s="594">
        <f t="shared" si="38"/>
        <v>269</v>
      </c>
      <c r="B435" s="650" t="s">
        <v>782</v>
      </c>
      <c r="C435" s="596">
        <v>6.86</v>
      </c>
      <c r="D435" s="595" t="s">
        <v>209</v>
      </c>
      <c r="H435" s="573" t="s">
        <v>486</v>
      </c>
      <c r="K435" s="586">
        <f>(K434+C20/10*F426)</f>
        <v>479.43907400000001</v>
      </c>
      <c r="O435" s="573" t="s">
        <v>818</v>
      </c>
      <c r="U435" s="619" t="s">
        <v>486</v>
      </c>
      <c r="W435" s="575">
        <f>0.07*C20</f>
        <v>8.3510000000000009</v>
      </c>
      <c r="X435" s="619">
        <f>X434+W435</f>
        <v>504.34949799999998</v>
      </c>
      <c r="AC435" s="576"/>
      <c r="AF435" s="578"/>
      <c r="AG435" s="582" t="s">
        <v>155</v>
      </c>
    </row>
    <row r="436" spans="1:33" ht="24" customHeight="1">
      <c r="A436" s="594">
        <f t="shared" si="38"/>
        <v>270</v>
      </c>
      <c r="B436" s="650" t="s">
        <v>783</v>
      </c>
      <c r="C436" s="596">
        <v>9.15</v>
      </c>
      <c r="D436" s="595" t="s">
        <v>209</v>
      </c>
      <c r="H436" s="573" t="s">
        <v>489</v>
      </c>
      <c r="K436" s="586">
        <f>(K435+C21/10*F426)</f>
        <v>487.790074</v>
      </c>
      <c r="O436" s="573" t="s">
        <v>819</v>
      </c>
      <c r="U436" s="619" t="s">
        <v>489</v>
      </c>
      <c r="W436" s="575">
        <f>W435</f>
        <v>8.3510000000000009</v>
      </c>
      <c r="X436" s="619">
        <f>X435+W436</f>
        <v>512.70049800000004</v>
      </c>
      <c r="AB436" s="573" t="s">
        <v>251</v>
      </c>
      <c r="AC436" s="576"/>
      <c r="AF436" s="578"/>
    </row>
    <row r="437" spans="1:33" ht="24" customHeight="1">
      <c r="A437" s="594">
        <f t="shared" si="38"/>
        <v>271</v>
      </c>
      <c r="B437" s="650" t="s">
        <v>727</v>
      </c>
      <c r="C437" s="596">
        <v>14.59</v>
      </c>
      <c r="D437" s="595" t="s">
        <v>209</v>
      </c>
      <c r="H437" s="573" t="s">
        <v>491</v>
      </c>
      <c r="K437" s="586">
        <f>(K436+C21/10*F426)</f>
        <v>496.141074</v>
      </c>
      <c r="O437" s="573" t="s">
        <v>820</v>
      </c>
      <c r="U437" s="619" t="s">
        <v>491</v>
      </c>
      <c r="W437" s="575">
        <f>W436</f>
        <v>8.3510000000000009</v>
      </c>
      <c r="X437" s="619">
        <f>X436+W437</f>
        <v>521.05149800000004</v>
      </c>
      <c r="AC437" s="576"/>
      <c r="AF437" s="578"/>
    </row>
    <row r="438" spans="1:33" ht="24" customHeight="1">
      <c r="A438" s="594"/>
      <c r="B438" s="650"/>
      <c r="C438" s="596"/>
      <c r="D438" s="595"/>
      <c r="H438" s="573" t="s">
        <v>595</v>
      </c>
      <c r="K438" s="586">
        <f>(K437+C20/10*F426)</f>
        <v>504.492074</v>
      </c>
      <c r="O438" s="573"/>
      <c r="U438" s="619" t="s">
        <v>595</v>
      </c>
      <c r="W438" s="575">
        <f>W437</f>
        <v>8.3510000000000009</v>
      </c>
      <c r="X438" s="619">
        <f>X437+W438</f>
        <v>529.40249800000004</v>
      </c>
      <c r="AC438" s="585" t="s">
        <v>589</v>
      </c>
      <c r="AD438" s="573" t="s">
        <v>821</v>
      </c>
      <c r="AF438" s="578"/>
    </row>
    <row r="439" spans="1:33" ht="24" customHeight="1">
      <c r="A439" s="594">
        <f>(A437+1)</f>
        <v>272</v>
      </c>
      <c r="B439" s="650" t="s">
        <v>812</v>
      </c>
      <c r="C439" s="596">
        <v>21.74</v>
      </c>
      <c r="D439" s="595" t="s">
        <v>209</v>
      </c>
      <c r="H439" s="574" t="s">
        <v>822</v>
      </c>
      <c r="M439" s="587">
        <v>8</v>
      </c>
      <c r="N439" s="573" t="s">
        <v>1</v>
      </c>
      <c r="O439" s="573" t="s">
        <v>823</v>
      </c>
      <c r="P439" s="587">
        <f>(C43)</f>
        <v>7.1</v>
      </c>
      <c r="Q439" s="573" t="s">
        <v>1</v>
      </c>
      <c r="R439" s="587">
        <f>(M439*P439)</f>
        <v>56.8</v>
      </c>
      <c r="AC439" s="576"/>
      <c r="AD439" s="582" t="s">
        <v>117</v>
      </c>
      <c r="AF439" s="578"/>
    </row>
    <row r="440" spans="1:33" ht="24" customHeight="1">
      <c r="A440" s="594">
        <f t="shared" si="38"/>
        <v>273</v>
      </c>
      <c r="B440" s="664" t="s">
        <v>824</v>
      </c>
      <c r="C440" s="608"/>
      <c r="D440" s="595" t="s">
        <v>115</v>
      </c>
      <c r="H440" s="574" t="s">
        <v>825</v>
      </c>
      <c r="M440" s="587">
        <v>8</v>
      </c>
      <c r="N440" s="573" t="s">
        <v>1</v>
      </c>
      <c r="O440" s="573" t="s">
        <v>826</v>
      </c>
      <c r="P440" s="587">
        <f>(C50)</f>
        <v>10</v>
      </c>
      <c r="Q440" s="573" t="s">
        <v>1</v>
      </c>
      <c r="R440" s="587">
        <f>(M440*P440)</f>
        <v>80</v>
      </c>
      <c r="AB440" s="587">
        <v>0.75</v>
      </c>
      <c r="AC440" s="585" t="s">
        <v>126</v>
      </c>
      <c r="AD440" s="573" t="s">
        <v>591</v>
      </c>
      <c r="AE440" s="587">
        <f>AG434</f>
        <v>5653.1538799999998</v>
      </c>
      <c r="AF440" s="573" t="s">
        <v>209</v>
      </c>
      <c r="AG440" s="587">
        <f>(AB440*AE440)</f>
        <v>4239.8654100000003</v>
      </c>
    </row>
    <row r="441" spans="1:33" ht="38.25" customHeight="1">
      <c r="A441" s="594">
        <f t="shared" si="38"/>
        <v>274</v>
      </c>
      <c r="B441" s="595" t="s">
        <v>786</v>
      </c>
      <c r="C441" s="593">
        <v>28.6</v>
      </c>
      <c r="D441" s="595" t="s">
        <v>209</v>
      </c>
      <c r="F441" s="607">
        <v>12</v>
      </c>
      <c r="G441" s="585" t="s">
        <v>122</v>
      </c>
      <c r="H441" s="573" t="s">
        <v>827</v>
      </c>
      <c r="M441" s="587">
        <v>1</v>
      </c>
      <c r="N441" s="573" t="s">
        <v>129</v>
      </c>
      <c r="O441" s="573" t="s">
        <v>828</v>
      </c>
      <c r="P441" s="587">
        <f>(C56)</f>
        <v>12.1</v>
      </c>
      <c r="Q441" s="573" t="s">
        <v>129</v>
      </c>
      <c r="R441" s="587">
        <f>(M441*P441)</f>
        <v>12.1</v>
      </c>
      <c r="AB441" s="587">
        <v>1</v>
      </c>
      <c r="AC441" s="585" t="s">
        <v>1</v>
      </c>
      <c r="AD441" s="573" t="s">
        <v>144</v>
      </c>
      <c r="AE441" s="587">
        <f>AE426</f>
        <v>769</v>
      </c>
      <c r="AF441" s="573" t="s">
        <v>209</v>
      </c>
      <c r="AG441" s="587">
        <f>(AB441*AE441)</f>
        <v>769</v>
      </c>
    </row>
    <row r="442" spans="1:33" ht="24" customHeight="1">
      <c r="A442" s="594">
        <f t="shared" si="38"/>
        <v>275</v>
      </c>
      <c r="B442" s="595" t="s">
        <v>779</v>
      </c>
      <c r="C442" s="593">
        <v>34.700000000000003</v>
      </c>
      <c r="D442" s="595" t="s">
        <v>209</v>
      </c>
      <c r="H442" s="573" t="s">
        <v>494</v>
      </c>
      <c r="M442" s="587">
        <v>1</v>
      </c>
      <c r="N442" s="573" t="s">
        <v>129</v>
      </c>
      <c r="O442" s="573" t="s">
        <v>130</v>
      </c>
      <c r="Q442" s="573" t="s">
        <v>129</v>
      </c>
      <c r="R442" s="587">
        <v>0</v>
      </c>
      <c r="AC442" s="585" t="s">
        <v>129</v>
      </c>
      <c r="AD442" s="573" t="s">
        <v>130</v>
      </c>
      <c r="AE442" s="573" t="s">
        <v>115</v>
      </c>
      <c r="AF442" s="573" t="s">
        <v>129</v>
      </c>
      <c r="AG442" s="587">
        <v>0</v>
      </c>
    </row>
    <row r="443" spans="1:33" ht="24" customHeight="1">
      <c r="A443" s="594">
        <f t="shared" si="38"/>
        <v>276</v>
      </c>
      <c r="B443" s="595" t="s">
        <v>781</v>
      </c>
      <c r="C443" s="593">
        <v>81.400000000000006</v>
      </c>
      <c r="D443" s="595" t="s">
        <v>209</v>
      </c>
      <c r="H443" s="582" t="s">
        <v>117</v>
      </c>
      <c r="R443" s="582" t="s">
        <v>117</v>
      </c>
      <c r="AC443" s="576"/>
      <c r="AF443" s="578"/>
      <c r="AG443" s="582" t="s">
        <v>117</v>
      </c>
    </row>
    <row r="444" spans="1:33" ht="24" customHeight="1">
      <c r="A444" s="594">
        <f t="shared" si="38"/>
        <v>277</v>
      </c>
      <c r="B444" s="595" t="s">
        <v>782</v>
      </c>
      <c r="C444" s="593">
        <v>98.6</v>
      </c>
      <c r="D444" s="595" t="s">
        <v>209</v>
      </c>
      <c r="F444" s="587">
        <v>6570</v>
      </c>
      <c r="G444" s="585" t="s">
        <v>467</v>
      </c>
      <c r="H444" s="573" t="s">
        <v>829</v>
      </c>
      <c r="I444" s="587">
        <f>(C77)</f>
        <v>4361.1000000000004</v>
      </c>
      <c r="J444" s="573" t="s">
        <v>468</v>
      </c>
      <c r="K444" s="587">
        <f>(F444*I444)/1000</f>
        <v>28652.427000000003</v>
      </c>
      <c r="O444" s="573" t="s">
        <v>830</v>
      </c>
      <c r="R444" s="587">
        <f>SUM(R431:R442)</f>
        <v>2212.9299999999998</v>
      </c>
      <c r="AC444" s="576"/>
      <c r="AD444" s="573" t="s">
        <v>153</v>
      </c>
      <c r="AF444" s="578"/>
      <c r="AG444" s="587">
        <f>SUM(AG440:AG442)</f>
        <v>5008.8654100000003</v>
      </c>
    </row>
    <row r="445" spans="1:33" ht="24" customHeight="1">
      <c r="A445" s="594">
        <f t="shared" si="38"/>
        <v>278</v>
      </c>
      <c r="B445" s="595" t="s">
        <v>783</v>
      </c>
      <c r="C445" s="593">
        <v>110.2</v>
      </c>
      <c r="D445" s="595" t="s">
        <v>209</v>
      </c>
      <c r="F445" s="587">
        <v>1.91</v>
      </c>
      <c r="G445" s="585" t="s">
        <v>126</v>
      </c>
      <c r="H445" s="573" t="s">
        <v>134</v>
      </c>
      <c r="I445" s="587">
        <f>(K40)</f>
        <v>3497.8</v>
      </c>
      <c r="J445" s="573" t="s">
        <v>126</v>
      </c>
      <c r="K445" s="587">
        <f>(F445*I445)</f>
        <v>6680.7979999999998</v>
      </c>
      <c r="R445" s="582" t="s">
        <v>117</v>
      </c>
      <c r="AC445" s="576"/>
      <c r="AF445" s="578"/>
      <c r="AG445" s="582" t="s">
        <v>117</v>
      </c>
    </row>
    <row r="446" spans="1:33" ht="24" customHeight="1">
      <c r="A446" s="594">
        <f t="shared" si="38"/>
        <v>279</v>
      </c>
      <c r="B446" s="595" t="s">
        <v>727</v>
      </c>
      <c r="C446" s="593">
        <v>139.80000000000001</v>
      </c>
      <c r="D446" s="595" t="s">
        <v>209</v>
      </c>
      <c r="F446" s="587">
        <v>7</v>
      </c>
      <c r="G446" s="585" t="s">
        <v>209</v>
      </c>
      <c r="H446" s="573" t="s">
        <v>144</v>
      </c>
      <c r="I446" s="587">
        <f>(C10)</f>
        <v>769</v>
      </c>
      <c r="J446" s="573" t="s">
        <v>209</v>
      </c>
      <c r="K446" s="587">
        <f>(F446*I446)</f>
        <v>5383</v>
      </c>
      <c r="O446" s="573" t="s">
        <v>216</v>
      </c>
      <c r="R446" s="587">
        <f>(R444/30)</f>
        <v>73.764333333333326</v>
      </c>
      <c r="AC446" s="576"/>
      <c r="AD446" s="573" t="s">
        <v>154</v>
      </c>
      <c r="AF446" s="578"/>
      <c r="AG446" s="587">
        <f>(AG444/10)</f>
        <v>500.88654100000002</v>
      </c>
    </row>
    <row r="447" spans="1:33" ht="24" customHeight="1">
      <c r="A447" s="594">
        <f t="shared" si="38"/>
        <v>280</v>
      </c>
      <c r="B447" s="667" t="s">
        <v>831</v>
      </c>
      <c r="C447" s="666">
        <v>368</v>
      </c>
      <c r="D447" s="667" t="s">
        <v>209</v>
      </c>
      <c r="F447" s="587">
        <v>3.6</v>
      </c>
      <c r="G447" s="585" t="s">
        <v>209</v>
      </c>
      <c r="H447" s="573" t="s">
        <v>145</v>
      </c>
      <c r="I447" s="587">
        <f>(C11)</f>
        <v>718</v>
      </c>
      <c r="J447" s="573" t="s">
        <v>209</v>
      </c>
      <c r="K447" s="587">
        <f>(F447*I447)</f>
        <v>2584.8000000000002</v>
      </c>
      <c r="R447" s="582" t="s">
        <v>117</v>
      </c>
      <c r="AC447" s="576"/>
      <c r="AF447" s="578"/>
      <c r="AG447" s="582" t="s">
        <v>155</v>
      </c>
    </row>
    <row r="448" spans="1:33" ht="24" customHeight="1">
      <c r="A448" s="594">
        <f t="shared" si="38"/>
        <v>281</v>
      </c>
      <c r="B448" s="664" t="s">
        <v>832</v>
      </c>
      <c r="C448" s="608"/>
      <c r="D448" s="595" t="s">
        <v>115</v>
      </c>
      <c r="F448" s="587">
        <v>7.1</v>
      </c>
      <c r="G448" s="585" t="s">
        <v>209</v>
      </c>
      <c r="H448" s="573" t="s">
        <v>146</v>
      </c>
      <c r="I448" s="587">
        <f>(C12)</f>
        <v>502</v>
      </c>
      <c r="J448" s="573" t="s">
        <v>209</v>
      </c>
      <c r="K448" s="587">
        <f>(F448*I448)</f>
        <v>3564.2</v>
      </c>
      <c r="N448" s="573" t="s">
        <v>2</v>
      </c>
      <c r="O448" s="574" t="s">
        <v>833</v>
      </c>
      <c r="AC448" s="576"/>
      <c r="AD448" s="573" t="s">
        <v>482</v>
      </c>
      <c r="AF448" s="578">
        <f>C19*0.075</f>
        <v>4.4400000000000004</v>
      </c>
      <c r="AG448" s="586">
        <f>AG446+AF448</f>
        <v>505.32654100000002</v>
      </c>
    </row>
    <row r="449" spans="1:36" ht="24" customHeight="1">
      <c r="A449" s="594">
        <f t="shared" si="38"/>
        <v>282</v>
      </c>
      <c r="B449" s="595" t="s">
        <v>786</v>
      </c>
      <c r="C449" s="593">
        <v>23.2</v>
      </c>
      <c r="D449" s="595" t="s">
        <v>209</v>
      </c>
      <c r="F449" s="587">
        <v>14.1</v>
      </c>
      <c r="G449" s="585" t="s">
        <v>209</v>
      </c>
      <c r="H449" s="573" t="s">
        <v>147</v>
      </c>
      <c r="I449" s="587">
        <f>(C13)</f>
        <v>412</v>
      </c>
      <c r="J449" s="573" t="s">
        <v>209</v>
      </c>
      <c r="K449" s="587">
        <f>(F449*I449)</f>
        <v>5809.2</v>
      </c>
      <c r="O449" s="582" t="s">
        <v>117</v>
      </c>
      <c r="AC449" s="576"/>
      <c r="AD449" s="573" t="s">
        <v>486</v>
      </c>
      <c r="AF449" s="578">
        <f>C20*0.075</f>
        <v>8.9474999999999998</v>
      </c>
      <c r="AG449" s="586">
        <f t="shared" ref="AG449:AG458" si="40">AG448+AF449</f>
        <v>514.27404100000001</v>
      </c>
    </row>
    <row r="450" spans="1:36" ht="39" customHeight="1">
      <c r="A450" s="594">
        <f t="shared" si="38"/>
        <v>283</v>
      </c>
      <c r="B450" s="595" t="s">
        <v>779</v>
      </c>
      <c r="C450" s="593">
        <v>34.700000000000003</v>
      </c>
      <c r="D450" s="595" t="s">
        <v>209</v>
      </c>
      <c r="G450" s="585" t="s">
        <v>129</v>
      </c>
      <c r="H450" s="573" t="s">
        <v>130</v>
      </c>
      <c r="I450" s="573" t="s">
        <v>115</v>
      </c>
      <c r="J450" s="573" t="s">
        <v>129</v>
      </c>
      <c r="K450" s="587">
        <v>0</v>
      </c>
      <c r="M450" s="587">
        <v>8.1</v>
      </c>
      <c r="N450" s="573" t="s">
        <v>126</v>
      </c>
      <c r="O450" s="573" t="s">
        <v>814</v>
      </c>
      <c r="P450" s="587">
        <f>(C61)*2</f>
        <v>168</v>
      </c>
      <c r="Q450" s="573" t="s">
        <v>126</v>
      </c>
      <c r="R450" s="587">
        <f>(M450*P450)</f>
        <v>1360.8</v>
      </c>
      <c r="AC450" s="576"/>
      <c r="AD450" s="573" t="s">
        <v>489</v>
      </c>
      <c r="AF450" s="578">
        <f>C21*0.075</f>
        <v>8.9474999999999998</v>
      </c>
      <c r="AG450" s="586">
        <f t="shared" si="40"/>
        <v>523.221541</v>
      </c>
    </row>
    <row r="451" spans="1:36" ht="24" customHeight="1">
      <c r="A451" s="594">
        <f t="shared" si="38"/>
        <v>284</v>
      </c>
      <c r="B451" s="595" t="s">
        <v>781</v>
      </c>
      <c r="C451" s="593">
        <v>43.7</v>
      </c>
      <c r="D451" s="595" t="s">
        <v>209</v>
      </c>
      <c r="K451" s="582" t="s">
        <v>117</v>
      </c>
      <c r="M451" s="587">
        <v>8.1</v>
      </c>
      <c r="N451" s="573" t="s">
        <v>126</v>
      </c>
      <c r="O451" s="573" t="s">
        <v>815</v>
      </c>
      <c r="P451" s="587">
        <f>(C26)</f>
        <v>29.3</v>
      </c>
      <c r="Q451" s="573" t="s">
        <v>126</v>
      </c>
      <c r="R451" s="587">
        <f>(M451*P451)</f>
        <v>237.32999999999998</v>
      </c>
      <c r="AC451" s="576"/>
      <c r="AD451" s="573" t="s">
        <v>491</v>
      </c>
      <c r="AF451" s="578">
        <f t="shared" ref="AF451:AF458" si="41">AF450</f>
        <v>8.9474999999999998</v>
      </c>
      <c r="AG451" s="586">
        <f t="shared" si="40"/>
        <v>532.16904099999999</v>
      </c>
    </row>
    <row r="452" spans="1:36" ht="24" customHeight="1">
      <c r="A452" s="594">
        <f t="shared" si="38"/>
        <v>285</v>
      </c>
      <c r="B452" s="595" t="s">
        <v>782</v>
      </c>
      <c r="C452" s="593">
        <v>58.1</v>
      </c>
      <c r="D452" s="595" t="s">
        <v>209</v>
      </c>
      <c r="H452" s="573" t="s">
        <v>455</v>
      </c>
      <c r="K452" s="587">
        <f>SUM(K444:K450)</f>
        <v>52674.425000000003</v>
      </c>
      <c r="M452" s="587">
        <v>30</v>
      </c>
      <c r="N452" s="573" t="s">
        <v>203</v>
      </c>
      <c r="O452" s="573" t="s">
        <v>816</v>
      </c>
      <c r="P452" s="587">
        <f>(C42)</f>
        <v>15.53</v>
      </c>
      <c r="Q452" s="573" t="s">
        <v>203</v>
      </c>
      <c r="R452" s="587">
        <f>(M452*P452)</f>
        <v>465.9</v>
      </c>
      <c r="AC452" s="576"/>
      <c r="AD452" s="573" t="s">
        <v>595</v>
      </c>
      <c r="AF452" s="578">
        <f t="shared" si="41"/>
        <v>8.9474999999999998</v>
      </c>
      <c r="AG452" s="586">
        <f t="shared" si="40"/>
        <v>541.11654099999998</v>
      </c>
      <c r="AJ452" s="575">
        <f>40.81*0.075</f>
        <v>3.0607500000000001</v>
      </c>
    </row>
    <row r="453" spans="1:36" ht="24" customHeight="1">
      <c r="A453" s="594">
        <f t="shared" si="38"/>
        <v>286</v>
      </c>
      <c r="B453" s="595" t="s">
        <v>783</v>
      </c>
      <c r="C453" s="593">
        <v>69.8</v>
      </c>
      <c r="D453" s="595" t="s">
        <v>209</v>
      </c>
      <c r="K453" s="582" t="s">
        <v>117</v>
      </c>
      <c r="O453" s="573" t="s">
        <v>817</v>
      </c>
      <c r="AD453" s="573" t="s">
        <v>798</v>
      </c>
      <c r="AE453" s="592">
        <f t="shared" ref="AE453:AE458" si="42">AG453</f>
        <v>550.06404099999997</v>
      </c>
      <c r="AF453" s="578">
        <f t="shared" si="41"/>
        <v>8.9474999999999998</v>
      </c>
      <c r="AG453" s="586">
        <f t="shared" si="40"/>
        <v>550.06404099999997</v>
      </c>
    </row>
    <row r="454" spans="1:36" ht="24" customHeight="1">
      <c r="A454" s="594">
        <f t="shared" si="38"/>
        <v>287</v>
      </c>
      <c r="B454" s="595" t="s">
        <v>727</v>
      </c>
      <c r="C454" s="593">
        <v>87</v>
      </c>
      <c r="D454" s="595" t="s">
        <v>209</v>
      </c>
      <c r="H454" s="573" t="s">
        <v>383</v>
      </c>
      <c r="K454" s="587">
        <f>(K452/10)</f>
        <v>5267.4425000000001</v>
      </c>
      <c r="O454" s="573" t="s">
        <v>818</v>
      </c>
      <c r="AD454" s="573" t="s">
        <v>799</v>
      </c>
      <c r="AE454" s="592">
        <f t="shared" si="42"/>
        <v>559.01154099999997</v>
      </c>
      <c r="AF454" s="578">
        <f t="shared" si="41"/>
        <v>8.9474999999999998</v>
      </c>
      <c r="AG454" s="586">
        <f t="shared" si="40"/>
        <v>559.01154099999997</v>
      </c>
    </row>
    <row r="455" spans="1:36" ht="24" customHeight="1">
      <c r="A455" s="594">
        <f t="shared" si="38"/>
        <v>288</v>
      </c>
      <c r="B455" s="667" t="s">
        <v>831</v>
      </c>
      <c r="C455" s="666">
        <v>183</v>
      </c>
      <c r="D455" s="667" t="s">
        <v>209</v>
      </c>
      <c r="K455" s="582" t="s">
        <v>155</v>
      </c>
      <c r="O455" s="573" t="s">
        <v>819</v>
      </c>
      <c r="AD455" s="573" t="s">
        <v>800</v>
      </c>
      <c r="AE455" s="592">
        <f t="shared" si="42"/>
        <v>567.95904099999996</v>
      </c>
      <c r="AF455" s="578">
        <f t="shared" si="41"/>
        <v>8.9474999999999998</v>
      </c>
      <c r="AG455" s="586">
        <f t="shared" si="40"/>
        <v>567.95904099999996</v>
      </c>
    </row>
    <row r="456" spans="1:36" ht="24" customHeight="1">
      <c r="A456" s="594">
        <f t="shared" si="38"/>
        <v>289</v>
      </c>
      <c r="B456" s="664" t="s">
        <v>834</v>
      </c>
      <c r="C456" s="608"/>
      <c r="D456" s="595" t="s">
        <v>115</v>
      </c>
      <c r="O456" s="573" t="s">
        <v>820</v>
      </c>
      <c r="AD456" s="573" t="s">
        <v>801</v>
      </c>
      <c r="AE456" s="592">
        <f t="shared" si="42"/>
        <v>576.90654099999995</v>
      </c>
      <c r="AF456" s="578">
        <f t="shared" si="41"/>
        <v>8.9474999999999998</v>
      </c>
      <c r="AG456" s="586">
        <f t="shared" si="40"/>
        <v>576.90654099999995</v>
      </c>
    </row>
    <row r="457" spans="1:36" ht="24" customHeight="1">
      <c r="A457" s="594">
        <f t="shared" si="38"/>
        <v>290</v>
      </c>
      <c r="B457" s="650" t="s">
        <v>786</v>
      </c>
      <c r="C457" s="596">
        <v>158.91999999999999</v>
      </c>
      <c r="D457" s="595" t="s">
        <v>209</v>
      </c>
      <c r="G457" s="585" t="s">
        <v>122</v>
      </c>
      <c r="H457" s="573" t="s">
        <v>835</v>
      </c>
      <c r="M457" s="587">
        <v>8</v>
      </c>
      <c r="N457" s="573" t="s">
        <v>1</v>
      </c>
      <c r="O457" s="573" t="s">
        <v>823</v>
      </c>
      <c r="P457" s="587">
        <f>(C44)</f>
        <v>7.1</v>
      </c>
      <c r="Q457" s="573" t="s">
        <v>1</v>
      </c>
      <c r="R457" s="587">
        <f>(M457*P457)</f>
        <v>56.8</v>
      </c>
      <c r="AD457" s="573" t="s">
        <v>802</v>
      </c>
      <c r="AE457" s="592">
        <f t="shared" si="42"/>
        <v>585.85404099999994</v>
      </c>
      <c r="AF457" s="578">
        <f t="shared" si="41"/>
        <v>8.9474999999999998</v>
      </c>
      <c r="AG457" s="586">
        <f t="shared" si="40"/>
        <v>585.85404099999994</v>
      </c>
    </row>
    <row r="458" spans="1:36" ht="24" customHeight="1">
      <c r="A458" s="594">
        <f t="shared" si="38"/>
        <v>291</v>
      </c>
      <c r="B458" s="650" t="s">
        <v>779</v>
      </c>
      <c r="C458" s="596">
        <v>263.04000000000002</v>
      </c>
      <c r="D458" s="595" t="s">
        <v>209</v>
      </c>
      <c r="H458" s="582" t="s">
        <v>117</v>
      </c>
      <c r="M458" s="587">
        <v>8</v>
      </c>
      <c r="N458" s="573" t="s">
        <v>1</v>
      </c>
      <c r="O458" s="573" t="s">
        <v>826</v>
      </c>
      <c r="P458" s="587">
        <f>(C51)</f>
        <v>10.199999999999999</v>
      </c>
      <c r="Q458" s="573" t="s">
        <v>1</v>
      </c>
      <c r="R458" s="587">
        <f>(M458*P458)</f>
        <v>81.599999999999994</v>
      </c>
      <c r="AE458" s="592">
        <f t="shared" si="42"/>
        <v>594.80154099999993</v>
      </c>
      <c r="AF458" s="578">
        <f t="shared" si="41"/>
        <v>8.9474999999999998</v>
      </c>
      <c r="AG458" s="586">
        <f t="shared" si="40"/>
        <v>594.80154099999993</v>
      </c>
    </row>
    <row r="459" spans="1:36" ht="24" customHeight="1">
      <c r="A459" s="594">
        <f t="shared" si="38"/>
        <v>292</v>
      </c>
      <c r="B459" s="650" t="s">
        <v>781</v>
      </c>
      <c r="C459" s="608"/>
      <c r="D459" s="595" t="s">
        <v>115</v>
      </c>
      <c r="F459" s="587">
        <v>0.5</v>
      </c>
      <c r="G459" s="585" t="s">
        <v>126</v>
      </c>
      <c r="H459" s="573" t="s">
        <v>591</v>
      </c>
      <c r="I459" s="587">
        <f>(K454)</f>
        <v>5267.4425000000001</v>
      </c>
      <c r="J459" s="573" t="s">
        <v>209</v>
      </c>
      <c r="K459" s="587">
        <f>(F459*I459)</f>
        <v>2633.7212500000001</v>
      </c>
      <c r="M459" s="587">
        <v>1</v>
      </c>
      <c r="N459" s="573" t="s">
        <v>129</v>
      </c>
      <c r="O459" s="573" t="s">
        <v>828</v>
      </c>
      <c r="P459" s="587">
        <f>(C56)</f>
        <v>12.1</v>
      </c>
      <c r="Q459" s="573" t="s">
        <v>129</v>
      </c>
      <c r="R459" s="587">
        <f>(M459*P459)</f>
        <v>12.1</v>
      </c>
      <c r="U459" s="668" t="s">
        <v>836</v>
      </c>
      <c r="Y459" s="579"/>
      <c r="AA459" s="668" t="s">
        <v>837</v>
      </c>
      <c r="AE459" s="592">
        <f>AG459</f>
        <v>603.74904099999992</v>
      </c>
      <c r="AF459" s="578">
        <f>AF458</f>
        <v>8.9474999999999998</v>
      </c>
      <c r="AG459" s="586">
        <f>AG458+AF459</f>
        <v>603.74904099999992</v>
      </c>
    </row>
    <row r="460" spans="1:36" ht="24" customHeight="1">
      <c r="A460" s="594">
        <f t="shared" si="38"/>
        <v>293</v>
      </c>
      <c r="B460" s="595" t="s">
        <v>838</v>
      </c>
      <c r="C460" s="592">
        <f>AE51</f>
        <v>3.2</v>
      </c>
      <c r="D460" s="595" t="s">
        <v>209</v>
      </c>
      <c r="F460" s="587">
        <v>1</v>
      </c>
      <c r="G460" s="585" t="s">
        <v>1</v>
      </c>
      <c r="H460" s="573" t="s">
        <v>144</v>
      </c>
      <c r="I460" s="587">
        <f>(C10)</f>
        <v>769</v>
      </c>
      <c r="J460" s="573" t="s">
        <v>209</v>
      </c>
      <c r="K460" s="587">
        <f>(F460*I460)</f>
        <v>769</v>
      </c>
      <c r="M460" s="587">
        <v>1</v>
      </c>
      <c r="N460" s="573" t="s">
        <v>129</v>
      </c>
      <c r="O460" s="573" t="s">
        <v>130</v>
      </c>
      <c r="Q460" s="573" t="s">
        <v>129</v>
      </c>
      <c r="R460" s="587">
        <v>0</v>
      </c>
      <c r="S460" s="574" t="s">
        <v>839</v>
      </c>
      <c r="T460" s="585" t="s">
        <v>122</v>
      </c>
      <c r="U460" s="573" t="s">
        <v>840</v>
      </c>
      <c r="W460" s="578"/>
      <c r="Y460" s="574" t="s">
        <v>839</v>
      </c>
      <c r="Z460" s="585" t="s">
        <v>122</v>
      </c>
      <c r="AA460" s="573" t="s">
        <v>840</v>
      </c>
      <c r="AC460" s="578"/>
      <c r="AE460" s="592">
        <f>AG460</f>
        <v>612.69654099999991</v>
      </c>
      <c r="AF460" s="578">
        <f>AF459</f>
        <v>8.9474999999999998</v>
      </c>
      <c r="AG460" s="586">
        <f>AG459+AF460</f>
        <v>612.69654099999991</v>
      </c>
    </row>
    <row r="461" spans="1:36" ht="24" customHeight="1">
      <c r="A461" s="594">
        <f t="shared" si="38"/>
        <v>294</v>
      </c>
      <c r="B461" s="595" t="s">
        <v>841</v>
      </c>
      <c r="C461" s="592">
        <f>AG52</f>
        <v>4.4000000000000004</v>
      </c>
      <c r="D461" s="595" t="s">
        <v>209</v>
      </c>
      <c r="G461" s="585" t="s">
        <v>129</v>
      </c>
      <c r="H461" s="573" t="s">
        <v>130</v>
      </c>
      <c r="I461" s="573" t="s">
        <v>115</v>
      </c>
      <c r="J461" s="573" t="s">
        <v>129</v>
      </c>
      <c r="K461" s="587">
        <v>0</v>
      </c>
      <c r="R461" s="582" t="s">
        <v>117</v>
      </c>
      <c r="S461" s="575"/>
      <c r="T461" s="576"/>
      <c r="U461" s="573" t="s">
        <v>842</v>
      </c>
      <c r="W461" s="578"/>
      <c r="Z461" s="576"/>
      <c r="AA461" s="573" t="s">
        <v>842</v>
      </c>
      <c r="AC461" s="578"/>
      <c r="AE461" s="592">
        <f t="shared" ref="AE461:AE524" si="43">AG461</f>
        <v>621.6440409999999</v>
      </c>
      <c r="AF461" s="578">
        <f>AF460</f>
        <v>8.9474999999999998</v>
      </c>
      <c r="AG461" s="586">
        <f>AG460+AF461</f>
        <v>621.6440409999999</v>
      </c>
    </row>
    <row r="462" spans="1:36" ht="24" customHeight="1">
      <c r="A462" s="594">
        <f t="shared" si="38"/>
        <v>295</v>
      </c>
      <c r="B462" s="650" t="s">
        <v>843</v>
      </c>
      <c r="C462" s="596">
        <v>350</v>
      </c>
      <c r="D462" s="596">
        <v>375</v>
      </c>
      <c r="K462" s="582" t="s">
        <v>117</v>
      </c>
      <c r="O462" s="573" t="s">
        <v>830</v>
      </c>
      <c r="R462" s="587">
        <f>SUM(R450:R460)</f>
        <v>2214.5299999999997</v>
      </c>
      <c r="S462" s="575"/>
      <c r="T462" s="576"/>
      <c r="U462" s="573" t="s">
        <v>844</v>
      </c>
      <c r="W462" s="578"/>
      <c r="Z462" s="576"/>
      <c r="AA462" s="573" t="s">
        <v>844</v>
      </c>
      <c r="AC462" s="578"/>
      <c r="AE462" s="592">
        <f t="shared" si="43"/>
        <v>630.59154099999989</v>
      </c>
      <c r="AF462" s="578">
        <f>AF461</f>
        <v>8.9474999999999998</v>
      </c>
      <c r="AG462" s="586">
        <f>AG461+AF462</f>
        <v>630.59154099999989</v>
      </c>
    </row>
    <row r="463" spans="1:36" ht="24" customHeight="1">
      <c r="A463" s="594">
        <f t="shared" si="38"/>
        <v>296</v>
      </c>
      <c r="B463" s="650" t="s">
        <v>845</v>
      </c>
      <c r="C463" s="596">
        <v>400</v>
      </c>
      <c r="D463" s="596">
        <v>425</v>
      </c>
      <c r="H463" s="573" t="s">
        <v>153</v>
      </c>
      <c r="K463" s="587">
        <f>SUM(K459:K461)</f>
        <v>3402.7212500000001</v>
      </c>
      <c r="R463" s="582" t="s">
        <v>117</v>
      </c>
      <c r="S463" s="575"/>
      <c r="T463" s="576"/>
      <c r="U463" s="582" t="s">
        <v>117</v>
      </c>
      <c r="W463" s="578"/>
      <c r="Z463" s="576"/>
      <c r="AA463" s="582" t="s">
        <v>117</v>
      </c>
      <c r="AC463" s="578"/>
      <c r="AE463" s="592">
        <f t="shared" si="43"/>
        <v>639.53904099999988</v>
      </c>
      <c r="AF463" s="578">
        <f>AF462</f>
        <v>8.9474999999999998</v>
      </c>
      <c r="AG463" s="586">
        <f>AG462+AF463</f>
        <v>639.53904099999988</v>
      </c>
    </row>
    <row r="464" spans="1:36" ht="60.75" customHeight="1">
      <c r="A464" s="669">
        <f t="shared" si="38"/>
        <v>297</v>
      </c>
      <c r="B464" s="670" t="s">
        <v>846</v>
      </c>
      <c r="C464" s="671">
        <v>450</v>
      </c>
      <c r="D464" s="671">
        <v>500</v>
      </c>
      <c r="K464" s="582" t="s">
        <v>117</v>
      </c>
      <c r="O464" s="573" t="s">
        <v>216</v>
      </c>
      <c r="R464" s="587">
        <f>(R462/30)</f>
        <v>73.817666666666653</v>
      </c>
      <c r="S464" s="587">
        <v>0.01</v>
      </c>
      <c r="T464" s="585" t="s">
        <v>126</v>
      </c>
      <c r="U464" s="633" t="s">
        <v>847</v>
      </c>
      <c r="V464" s="587">
        <f>Z718</f>
        <v>6679.6007444999996</v>
      </c>
      <c r="W464" s="573" t="s">
        <v>126</v>
      </c>
      <c r="X464" s="587">
        <f>(S464*V464)</f>
        <v>66.796007445000001</v>
      </c>
      <c r="Y464" s="587">
        <v>0.01</v>
      </c>
      <c r="Z464" s="585" t="s">
        <v>126</v>
      </c>
      <c r="AA464" s="633" t="s">
        <v>848</v>
      </c>
      <c r="AB464" s="587">
        <f>Y688</f>
        <v>7204.1303444999994</v>
      </c>
      <c r="AC464" s="573" t="s">
        <v>126</v>
      </c>
      <c r="AD464" s="587">
        <f>(Y464*AB464)</f>
        <v>72.041303444999997</v>
      </c>
      <c r="AE464" s="592" t="str">
        <f t="shared" si="43"/>
        <v>|</v>
      </c>
      <c r="AG464" s="573" t="s">
        <v>849</v>
      </c>
    </row>
    <row r="465" spans="1:33" ht="24" customHeight="1">
      <c r="A465" s="594">
        <f t="shared" si="38"/>
        <v>298</v>
      </c>
      <c r="B465" s="650" t="s">
        <v>850</v>
      </c>
      <c r="C465" s="596">
        <v>77.819999999999993</v>
      </c>
      <c r="D465" s="595" t="s">
        <v>209</v>
      </c>
      <c r="H465" s="573" t="s">
        <v>154</v>
      </c>
      <c r="K465" s="587">
        <f>(K463/10)</f>
        <v>340.27212500000002</v>
      </c>
      <c r="R465" s="582" t="s">
        <v>117</v>
      </c>
      <c r="S465" s="587">
        <v>0.01</v>
      </c>
      <c r="T465" s="585" t="s">
        <v>126</v>
      </c>
      <c r="U465" s="573" t="s">
        <v>851</v>
      </c>
      <c r="V465" s="587"/>
      <c r="W465" s="573" t="s">
        <v>129</v>
      </c>
      <c r="X465" s="587">
        <v>1.1499999999999999</v>
      </c>
      <c r="Y465" s="587">
        <v>0.01</v>
      </c>
      <c r="Z465" s="585" t="s">
        <v>126</v>
      </c>
      <c r="AA465" s="573" t="s">
        <v>851</v>
      </c>
      <c r="AB465" s="587"/>
      <c r="AC465" s="573" t="s">
        <v>129</v>
      </c>
      <c r="AD465" s="587">
        <v>1.1499999999999999</v>
      </c>
      <c r="AE465" s="592" t="str">
        <f t="shared" si="43"/>
        <v>|</v>
      </c>
      <c r="AG465" s="573" t="s">
        <v>849</v>
      </c>
    </row>
    <row r="466" spans="1:33" ht="24" customHeight="1">
      <c r="A466" s="594">
        <f t="shared" si="38"/>
        <v>299</v>
      </c>
      <c r="B466" s="650" t="s">
        <v>852</v>
      </c>
      <c r="C466" s="596">
        <v>99.74</v>
      </c>
      <c r="D466" s="595" t="s">
        <v>209</v>
      </c>
      <c r="K466" s="582" t="s">
        <v>155</v>
      </c>
      <c r="N466" s="573" t="s">
        <v>853</v>
      </c>
      <c r="O466" s="574" t="s">
        <v>854</v>
      </c>
      <c r="S466" s="575"/>
      <c r="T466" s="576"/>
      <c r="U466" s="573" t="s">
        <v>855</v>
      </c>
      <c r="V466" s="587"/>
      <c r="W466" s="578"/>
      <c r="Z466" s="576"/>
      <c r="AA466" s="573" t="s">
        <v>855</v>
      </c>
      <c r="AB466" s="587"/>
      <c r="AC466" s="578"/>
      <c r="AE466" s="592" t="str">
        <f t="shared" si="43"/>
        <v>|</v>
      </c>
      <c r="AG466" s="573" t="s">
        <v>849</v>
      </c>
    </row>
    <row r="467" spans="1:33" ht="24" customHeight="1">
      <c r="A467" s="594">
        <f t="shared" si="38"/>
        <v>300</v>
      </c>
      <c r="B467" s="650" t="s">
        <v>781</v>
      </c>
      <c r="C467" s="596">
        <v>165</v>
      </c>
      <c r="D467" s="595" t="s">
        <v>209</v>
      </c>
      <c r="H467" s="573" t="s">
        <v>482</v>
      </c>
      <c r="K467" s="586">
        <f>(K465+C19/10*F459)</f>
        <v>343.232125</v>
      </c>
      <c r="O467" s="582" t="s">
        <v>117</v>
      </c>
      <c r="S467" s="575"/>
      <c r="T467" s="576"/>
      <c r="V467" s="587"/>
      <c r="W467" s="578"/>
      <c r="X467" s="582" t="s">
        <v>117</v>
      </c>
      <c r="Z467" s="576"/>
      <c r="AB467" s="587"/>
      <c r="AC467" s="578"/>
      <c r="AD467" s="582" t="s">
        <v>117</v>
      </c>
      <c r="AE467" s="592" t="str">
        <f t="shared" si="43"/>
        <v>|</v>
      </c>
      <c r="AG467" s="573" t="s">
        <v>849</v>
      </c>
    </row>
    <row r="468" spans="1:33" ht="24" customHeight="1">
      <c r="A468" s="594">
        <f t="shared" si="38"/>
        <v>301</v>
      </c>
      <c r="B468" s="650" t="s">
        <v>782</v>
      </c>
      <c r="C468" s="596">
        <v>258</v>
      </c>
      <c r="D468" s="595" t="s">
        <v>209</v>
      </c>
      <c r="H468" s="573" t="s">
        <v>486</v>
      </c>
      <c r="K468" s="586">
        <f>(K467+C20/10*F459)</f>
        <v>349.19712499999997</v>
      </c>
      <c r="M468" s="587">
        <v>8.1</v>
      </c>
      <c r="N468" s="573" t="s">
        <v>126</v>
      </c>
      <c r="O468" s="573" t="s">
        <v>814</v>
      </c>
      <c r="P468" s="587">
        <f>(C61)*2</f>
        <v>168</v>
      </c>
      <c r="Q468" s="573" t="s">
        <v>126</v>
      </c>
      <c r="R468" s="587">
        <f>(M468*P468)</f>
        <v>1360.8</v>
      </c>
      <c r="S468" s="575"/>
      <c r="T468" s="576"/>
      <c r="U468" s="573" t="s">
        <v>856</v>
      </c>
      <c r="V468" s="587"/>
      <c r="W468" s="578"/>
      <c r="X468" s="587">
        <f>SUM(X464:X466)</f>
        <v>67.946007445000006</v>
      </c>
      <c r="Z468" s="576"/>
      <c r="AA468" s="573" t="s">
        <v>856</v>
      </c>
      <c r="AB468" s="587"/>
      <c r="AC468" s="578"/>
      <c r="AD468" s="587">
        <f>SUM(AD464:AD466)</f>
        <v>73.191303445000003</v>
      </c>
      <c r="AE468" s="592" t="str">
        <f t="shared" si="43"/>
        <v>|</v>
      </c>
      <c r="AG468" s="573" t="s">
        <v>849</v>
      </c>
    </row>
    <row r="469" spans="1:33" ht="24" customHeight="1">
      <c r="A469" s="594">
        <f t="shared" si="38"/>
        <v>302</v>
      </c>
      <c r="B469" s="650" t="s">
        <v>783</v>
      </c>
      <c r="C469" s="596">
        <v>298</v>
      </c>
      <c r="D469" s="595" t="s">
        <v>209</v>
      </c>
      <c r="H469" s="573" t="s">
        <v>489</v>
      </c>
      <c r="K469" s="586">
        <f>(K468+C21/10*F459)</f>
        <v>355.16212499999995</v>
      </c>
      <c r="M469" s="587">
        <v>8.1</v>
      </c>
      <c r="N469" s="573" t="s">
        <v>126</v>
      </c>
      <c r="O469" s="573" t="s">
        <v>815</v>
      </c>
      <c r="P469" s="587">
        <f>(C26)</f>
        <v>29.3</v>
      </c>
      <c r="Q469" s="573" t="s">
        <v>126</v>
      </c>
      <c r="R469" s="587">
        <f>(M469*P469)</f>
        <v>237.32999999999998</v>
      </c>
      <c r="S469" s="575"/>
      <c r="T469" s="576"/>
      <c r="V469" s="587"/>
      <c r="W469" s="578"/>
      <c r="X469" s="582" t="s">
        <v>117</v>
      </c>
      <c r="Z469" s="576"/>
      <c r="AB469" s="587"/>
      <c r="AC469" s="578"/>
      <c r="AD469" s="582" t="s">
        <v>117</v>
      </c>
      <c r="AE469" s="592" t="str">
        <f t="shared" si="43"/>
        <v>|</v>
      </c>
      <c r="AG469" s="573" t="s">
        <v>849</v>
      </c>
    </row>
    <row r="470" spans="1:33" ht="24" customHeight="1">
      <c r="A470" s="594">
        <f t="shared" si="38"/>
        <v>303</v>
      </c>
      <c r="B470" s="650" t="s">
        <v>727</v>
      </c>
      <c r="C470" s="596">
        <v>398</v>
      </c>
      <c r="D470" s="595" t="s">
        <v>209</v>
      </c>
      <c r="H470" s="573" t="s">
        <v>491</v>
      </c>
      <c r="K470" s="586">
        <f>(K469+C21/10*F459)</f>
        <v>361.12712499999992</v>
      </c>
      <c r="L470" s="575">
        <f t="shared" ref="L470:L476" si="44">K470-K469</f>
        <v>5.964999999999975</v>
      </c>
      <c r="M470" s="587">
        <v>30</v>
      </c>
      <c r="N470" s="573" t="s">
        <v>203</v>
      </c>
      <c r="O470" s="573" t="s">
        <v>816</v>
      </c>
      <c r="P470" s="587">
        <f>(C42)</f>
        <v>15.53</v>
      </c>
      <c r="Q470" s="573" t="s">
        <v>203</v>
      </c>
      <c r="R470" s="587">
        <f>(M470*P470)</f>
        <v>465.9</v>
      </c>
      <c r="S470" s="575"/>
      <c r="T470" s="576"/>
      <c r="U470" s="573" t="s">
        <v>383</v>
      </c>
      <c r="V470" s="587"/>
      <c r="W470" s="578"/>
      <c r="X470" s="587">
        <f>ROUND(X468*100,0)</f>
        <v>6795</v>
      </c>
      <c r="Z470" s="576"/>
      <c r="AA470" s="573" t="s">
        <v>383</v>
      </c>
      <c r="AB470" s="587"/>
      <c r="AC470" s="578"/>
      <c r="AD470" s="587">
        <f>ROUND(AD468*100,0)</f>
        <v>7319</v>
      </c>
      <c r="AE470" s="592" t="str">
        <f t="shared" si="43"/>
        <v>|</v>
      </c>
      <c r="AG470" s="573" t="s">
        <v>849</v>
      </c>
    </row>
    <row r="471" spans="1:33" ht="15.75">
      <c r="A471" s="594">
        <f t="shared" si="38"/>
        <v>304</v>
      </c>
      <c r="B471" s="650" t="s">
        <v>812</v>
      </c>
      <c r="C471" s="608"/>
      <c r="D471" s="595" t="s">
        <v>209</v>
      </c>
      <c r="H471" s="573" t="s">
        <v>576</v>
      </c>
      <c r="K471" s="586">
        <f>(K470+C21/10*F459)</f>
        <v>367.0921249999999</v>
      </c>
      <c r="L471" s="575">
        <f t="shared" si="44"/>
        <v>5.964999999999975</v>
      </c>
      <c r="O471" s="573" t="s">
        <v>817</v>
      </c>
      <c r="S471" s="573" t="s">
        <v>115</v>
      </c>
      <c r="T471" s="576"/>
      <c r="V471" s="587"/>
      <c r="W471" s="578"/>
      <c r="Y471" s="573" t="s">
        <v>115</v>
      </c>
      <c r="Z471" s="576"/>
      <c r="AB471" s="587"/>
      <c r="AC471" s="578"/>
      <c r="AE471" s="592" t="str">
        <f t="shared" si="43"/>
        <v>|</v>
      </c>
      <c r="AG471" s="573" t="s">
        <v>849</v>
      </c>
    </row>
    <row r="472" spans="1:33" ht="15.75">
      <c r="A472" s="594"/>
      <c r="B472" s="595"/>
      <c r="C472" s="608"/>
      <c r="D472" s="595"/>
      <c r="H472" s="573">
        <v>5</v>
      </c>
      <c r="K472" s="586">
        <f>(K471+C21/10*F459)</f>
        <v>373.05712499999987</v>
      </c>
      <c r="L472" s="575">
        <f t="shared" si="44"/>
        <v>5.964999999999975</v>
      </c>
      <c r="O472" s="573"/>
      <c r="S472" s="575"/>
      <c r="T472" s="576"/>
      <c r="V472" s="587"/>
      <c r="W472" s="578"/>
      <c r="X472" s="582" t="s">
        <v>155</v>
      </c>
      <c r="Z472" s="576"/>
      <c r="AB472" s="587"/>
      <c r="AC472" s="578"/>
      <c r="AD472" s="582" t="s">
        <v>155</v>
      </c>
      <c r="AE472" s="592"/>
      <c r="AG472" s="573"/>
    </row>
    <row r="473" spans="1:33" ht="15.75">
      <c r="A473" s="594"/>
      <c r="B473" s="595"/>
      <c r="C473" s="608"/>
      <c r="D473" s="595"/>
      <c r="H473" s="573">
        <v>6</v>
      </c>
      <c r="K473" s="586">
        <f>(K472+C21/10*F459)</f>
        <v>379.02212499999985</v>
      </c>
      <c r="L473" s="575">
        <f t="shared" si="44"/>
        <v>5.964999999999975</v>
      </c>
      <c r="O473" s="573"/>
      <c r="S473" s="575"/>
      <c r="T473" s="585" t="s">
        <v>558</v>
      </c>
      <c r="U473" s="573" t="s">
        <v>857</v>
      </c>
      <c r="V473" s="587"/>
      <c r="W473" s="578"/>
      <c r="Z473" s="585" t="s">
        <v>558</v>
      </c>
      <c r="AA473" s="573" t="s">
        <v>857</v>
      </c>
      <c r="AB473" s="587"/>
      <c r="AC473" s="578"/>
      <c r="AE473" s="592"/>
      <c r="AG473" s="573"/>
    </row>
    <row r="474" spans="1:33" ht="15.75">
      <c r="A474" s="594"/>
      <c r="B474" s="595"/>
      <c r="C474" s="608"/>
      <c r="D474" s="595"/>
      <c r="H474" s="573">
        <v>7</v>
      </c>
      <c r="K474" s="586">
        <f>(K473+C21/10*F459)</f>
        <v>384.98712499999982</v>
      </c>
      <c r="L474" s="575">
        <f t="shared" si="44"/>
        <v>5.964999999999975</v>
      </c>
      <c r="O474" s="573"/>
      <c r="S474" s="575"/>
      <c r="T474" s="576"/>
      <c r="U474" s="573" t="s">
        <v>858</v>
      </c>
      <c r="V474" s="587"/>
      <c r="W474" s="578"/>
      <c r="Z474" s="576"/>
      <c r="AA474" s="573" t="s">
        <v>858</v>
      </c>
      <c r="AB474" s="587"/>
      <c r="AC474" s="578"/>
      <c r="AE474" s="592"/>
      <c r="AG474" s="573"/>
    </row>
    <row r="475" spans="1:33" ht="15.75">
      <c r="A475" s="594"/>
      <c r="B475" s="595"/>
      <c r="C475" s="608"/>
      <c r="D475" s="595"/>
      <c r="H475" s="573">
        <v>8</v>
      </c>
      <c r="K475" s="586">
        <f>(K474+C21/10*F459)</f>
        <v>390.9521249999998</v>
      </c>
      <c r="L475" s="575">
        <f t="shared" si="44"/>
        <v>5.964999999999975</v>
      </c>
      <c r="O475" s="573"/>
      <c r="S475" s="575"/>
      <c r="T475" s="576"/>
      <c r="U475" s="582" t="s">
        <v>117</v>
      </c>
      <c r="V475" s="587"/>
      <c r="W475" s="578"/>
      <c r="Z475" s="576"/>
      <c r="AA475" s="582" t="s">
        <v>117</v>
      </c>
      <c r="AB475" s="587"/>
      <c r="AC475" s="578"/>
      <c r="AE475" s="592"/>
      <c r="AG475" s="573"/>
    </row>
    <row r="476" spans="1:33" ht="15.75">
      <c r="A476" s="594"/>
      <c r="B476" s="595"/>
      <c r="C476" s="608"/>
      <c r="D476" s="595"/>
      <c r="H476" s="573">
        <v>9</v>
      </c>
      <c r="K476" s="586">
        <f>(K475+C21/10*F459)</f>
        <v>396.91712499999977</v>
      </c>
      <c r="L476" s="575">
        <f t="shared" si="44"/>
        <v>5.964999999999975</v>
      </c>
      <c r="O476" s="573"/>
      <c r="S476" s="617">
        <v>1.4E-2</v>
      </c>
      <c r="T476" s="585" t="s">
        <v>126</v>
      </c>
      <c r="U476" s="573" t="s">
        <v>859</v>
      </c>
      <c r="V476" s="587">
        <f>X470</f>
        <v>6795</v>
      </c>
      <c r="W476" s="573" t="s">
        <v>126</v>
      </c>
      <c r="X476" s="587">
        <f>(S476*V476)</f>
        <v>95.13</v>
      </c>
      <c r="Y476" s="617">
        <v>1.4E-2</v>
      </c>
      <c r="Z476" s="585" t="s">
        <v>126</v>
      </c>
      <c r="AA476" s="573" t="s">
        <v>859</v>
      </c>
      <c r="AB476" s="587">
        <f>AD470</f>
        <v>7319</v>
      </c>
      <c r="AC476" s="573" t="s">
        <v>126</v>
      </c>
      <c r="AD476" s="587">
        <f>(Y476*AB476)</f>
        <v>102.46600000000001</v>
      </c>
      <c r="AE476" s="592"/>
      <c r="AG476" s="573"/>
    </row>
    <row r="477" spans="1:33" ht="15.75">
      <c r="A477" s="594"/>
      <c r="B477" s="595"/>
      <c r="C477" s="608"/>
      <c r="D477" s="595"/>
      <c r="H477" s="573">
        <v>10</v>
      </c>
      <c r="K477" s="586">
        <f>(K476+C21/10*F459)</f>
        <v>402.88212499999975</v>
      </c>
      <c r="L477" s="575">
        <f>K477-K476</f>
        <v>5.964999999999975</v>
      </c>
      <c r="O477" s="573"/>
      <c r="S477" s="617"/>
      <c r="T477" s="576"/>
      <c r="U477" s="573" t="s">
        <v>860</v>
      </c>
      <c r="V477" s="587"/>
      <c r="W477" s="578"/>
      <c r="X477" s="573" t="s">
        <v>115</v>
      </c>
      <c r="Y477" s="617"/>
      <c r="Z477" s="576"/>
      <c r="AA477" s="573" t="s">
        <v>860</v>
      </c>
      <c r="AB477" s="587"/>
      <c r="AC477" s="578"/>
      <c r="AD477" s="573" t="s">
        <v>115</v>
      </c>
      <c r="AE477" s="592"/>
      <c r="AG477" s="573"/>
    </row>
    <row r="478" spans="1:33" ht="15.75">
      <c r="A478" s="594"/>
      <c r="B478" s="595"/>
      <c r="C478" s="608"/>
      <c r="D478" s="595"/>
      <c r="H478" s="573"/>
      <c r="K478" s="586">
        <f>(K477+C21/10*F459)</f>
        <v>408.84712499999972</v>
      </c>
      <c r="L478" s="575">
        <f>K478-K477</f>
        <v>5.964999999999975</v>
      </c>
      <c r="O478" s="573"/>
      <c r="S478" s="587">
        <v>0.5</v>
      </c>
      <c r="T478" s="585" t="s">
        <v>1</v>
      </c>
      <c r="U478" s="573" t="s">
        <v>144</v>
      </c>
      <c r="V478" s="587">
        <f>C10</f>
        <v>769</v>
      </c>
      <c r="W478" s="573" t="s">
        <v>1</v>
      </c>
      <c r="X478" s="587">
        <f>(S478*V478)</f>
        <v>384.5</v>
      </c>
      <c r="Y478" s="587">
        <v>0.5</v>
      </c>
      <c r="Z478" s="585" t="s">
        <v>1</v>
      </c>
      <c r="AA478" s="573" t="s">
        <v>144</v>
      </c>
      <c r="AB478" s="587">
        <f>V478</f>
        <v>769</v>
      </c>
      <c r="AC478" s="573" t="s">
        <v>1</v>
      </c>
      <c r="AD478" s="587">
        <f>(Y478*AB478)</f>
        <v>384.5</v>
      </c>
      <c r="AE478" s="592"/>
      <c r="AG478" s="573"/>
    </row>
    <row r="479" spans="1:33" ht="15.75">
      <c r="A479" s="594">
        <f>(A471+1)</f>
        <v>305</v>
      </c>
      <c r="B479" s="664" t="s">
        <v>3058</v>
      </c>
      <c r="C479" s="608"/>
      <c r="D479" s="595" t="s">
        <v>209</v>
      </c>
      <c r="F479" s="574" t="s">
        <v>862</v>
      </c>
      <c r="G479" s="585" t="s">
        <v>122</v>
      </c>
      <c r="H479" s="573" t="s">
        <v>863</v>
      </c>
      <c r="K479" s="586">
        <f>(K478+C21/10*F459)</f>
        <v>414.8121249999997</v>
      </c>
      <c r="L479" s="575">
        <f>K479-K478</f>
        <v>5.964999999999975</v>
      </c>
      <c r="O479" s="573" t="s">
        <v>818</v>
      </c>
      <c r="S479" s="587">
        <v>0.75</v>
      </c>
      <c r="T479" s="585" t="s">
        <v>1</v>
      </c>
      <c r="U479" s="573" t="s">
        <v>146</v>
      </c>
      <c r="V479" s="587">
        <f>C12</f>
        <v>502</v>
      </c>
      <c r="W479" s="573" t="s">
        <v>1</v>
      </c>
      <c r="X479" s="587">
        <f>(S479*V479)</f>
        <v>376.5</v>
      </c>
      <c r="Y479" s="587">
        <v>0.75</v>
      </c>
      <c r="Z479" s="585" t="s">
        <v>1</v>
      </c>
      <c r="AA479" s="573" t="s">
        <v>146</v>
      </c>
      <c r="AB479" s="587">
        <f>V479</f>
        <v>502</v>
      </c>
      <c r="AC479" s="573" t="s">
        <v>1</v>
      </c>
      <c r="AD479" s="587">
        <f>(Y479*AB479)</f>
        <v>376.5</v>
      </c>
      <c r="AE479" s="592" t="str">
        <f t="shared" si="43"/>
        <v>|</v>
      </c>
      <c r="AG479" s="573" t="s">
        <v>849</v>
      </c>
    </row>
    <row r="480" spans="1:33" ht="50.25" customHeight="1">
      <c r="A480" s="594">
        <f t="shared" si="38"/>
        <v>306</v>
      </c>
      <c r="B480" s="595" t="s">
        <v>786</v>
      </c>
      <c r="C480" s="596">
        <v>130</v>
      </c>
      <c r="D480" s="595" t="s">
        <v>209</v>
      </c>
      <c r="H480" s="573" t="s">
        <v>864</v>
      </c>
      <c r="O480" s="573" t="s">
        <v>819</v>
      </c>
      <c r="S480" s="575"/>
      <c r="T480" s="585" t="s">
        <v>129</v>
      </c>
      <c r="U480" s="573" t="s">
        <v>130</v>
      </c>
      <c r="V480" s="587"/>
      <c r="W480" s="573" t="s">
        <v>129</v>
      </c>
      <c r="X480" s="587">
        <v>0</v>
      </c>
      <c r="Z480" s="585" t="s">
        <v>129</v>
      </c>
      <c r="AA480" s="573" t="s">
        <v>130</v>
      </c>
      <c r="AB480" s="587">
        <f>V480</f>
        <v>0</v>
      </c>
      <c r="AC480" s="573" t="s">
        <v>129</v>
      </c>
      <c r="AD480" s="587">
        <v>0</v>
      </c>
      <c r="AE480" s="592" t="str">
        <f t="shared" si="43"/>
        <v>|</v>
      </c>
      <c r="AG480" s="573" t="s">
        <v>849</v>
      </c>
    </row>
    <row r="481" spans="1:33" ht="30.75" customHeight="1">
      <c r="A481" s="594">
        <f t="shared" si="38"/>
        <v>307</v>
      </c>
      <c r="B481" s="595" t="s">
        <v>779</v>
      </c>
      <c r="C481" s="593">
        <v>344</v>
      </c>
      <c r="D481" s="595" t="s">
        <v>209</v>
      </c>
      <c r="H481" s="582" t="s">
        <v>117</v>
      </c>
      <c r="O481" s="573" t="s">
        <v>820</v>
      </c>
      <c r="S481" s="575"/>
      <c r="T481" s="576"/>
      <c r="V481" s="587"/>
      <c r="W481" s="578"/>
      <c r="X481" s="582" t="s">
        <v>117</v>
      </c>
      <c r="Z481" s="576"/>
      <c r="AB481" s="587"/>
      <c r="AC481" s="578"/>
      <c r="AD481" s="582" t="s">
        <v>117</v>
      </c>
      <c r="AE481" s="592" t="str">
        <f t="shared" si="43"/>
        <v>|</v>
      </c>
      <c r="AG481" s="573" t="s">
        <v>849</v>
      </c>
    </row>
    <row r="482" spans="1:33" ht="24" customHeight="1">
      <c r="A482" s="594">
        <f t="shared" si="38"/>
        <v>308</v>
      </c>
      <c r="B482" s="595" t="s">
        <v>781</v>
      </c>
      <c r="C482" s="593">
        <v>582</v>
      </c>
      <c r="D482" s="595" t="s">
        <v>209</v>
      </c>
      <c r="F482" s="587">
        <v>1</v>
      </c>
      <c r="G482" s="585" t="s">
        <v>126</v>
      </c>
      <c r="H482" s="573" t="s">
        <v>865</v>
      </c>
      <c r="I482" s="587">
        <f>(C26)</f>
        <v>29.3</v>
      </c>
      <c r="J482" s="573" t="s">
        <v>126</v>
      </c>
      <c r="K482" s="586">
        <f>(F482*I482)</f>
        <v>29.3</v>
      </c>
      <c r="M482" s="587">
        <v>8</v>
      </c>
      <c r="N482" s="573" t="s">
        <v>1</v>
      </c>
      <c r="O482" s="573" t="s">
        <v>823</v>
      </c>
      <c r="P482" s="587">
        <f>(C45)</f>
        <v>8.5</v>
      </c>
      <c r="Q482" s="573" t="s">
        <v>1</v>
      </c>
      <c r="R482" s="587">
        <f>(M482*P482)</f>
        <v>68</v>
      </c>
      <c r="S482" s="575"/>
      <c r="T482" s="576"/>
      <c r="U482" s="573" t="s">
        <v>866</v>
      </c>
      <c r="V482" s="587"/>
      <c r="W482" s="578"/>
      <c r="X482" s="587">
        <f>SUM(X476:X480)</f>
        <v>856.13</v>
      </c>
      <c r="Z482" s="576"/>
      <c r="AA482" s="573" t="s">
        <v>866</v>
      </c>
      <c r="AB482" s="587"/>
      <c r="AC482" s="578"/>
      <c r="AD482" s="587">
        <f>SUM(AD476:AD480)</f>
        <v>863.46600000000001</v>
      </c>
      <c r="AE482" s="592" t="str">
        <f t="shared" si="43"/>
        <v>|</v>
      </c>
      <c r="AG482" s="573" t="s">
        <v>849</v>
      </c>
    </row>
    <row r="483" spans="1:33" ht="24" customHeight="1">
      <c r="A483" s="594">
        <f t="shared" si="38"/>
        <v>309</v>
      </c>
      <c r="B483" s="595" t="s">
        <v>782</v>
      </c>
      <c r="C483" s="593">
        <v>746</v>
      </c>
      <c r="D483" s="595" t="s">
        <v>209</v>
      </c>
      <c r="K483" s="582" t="s">
        <v>155</v>
      </c>
      <c r="M483" s="587">
        <v>8</v>
      </c>
      <c r="N483" s="573" t="s">
        <v>1</v>
      </c>
      <c r="O483" s="573" t="s">
        <v>826</v>
      </c>
      <c r="P483" s="587">
        <f>(C52)</f>
        <v>21.1</v>
      </c>
      <c r="Q483" s="573" t="s">
        <v>1</v>
      </c>
      <c r="R483" s="587">
        <f>(M483*P483)</f>
        <v>168.8</v>
      </c>
      <c r="S483" s="575"/>
      <c r="T483" s="576"/>
      <c r="V483" s="587"/>
      <c r="W483" s="578"/>
      <c r="X483" s="582" t="s">
        <v>117</v>
      </c>
      <c r="Z483" s="576"/>
      <c r="AB483" s="587"/>
      <c r="AC483" s="578"/>
      <c r="AD483" s="582" t="s">
        <v>117</v>
      </c>
      <c r="AE483" s="592" t="str">
        <f t="shared" si="43"/>
        <v>|</v>
      </c>
      <c r="AG483" s="573" t="s">
        <v>849</v>
      </c>
    </row>
    <row r="484" spans="1:33" ht="24" customHeight="1">
      <c r="A484" s="594">
        <f t="shared" si="38"/>
        <v>310</v>
      </c>
      <c r="B484" s="595" t="s">
        <v>783</v>
      </c>
      <c r="C484" s="593">
        <v>959</v>
      </c>
      <c r="D484" s="595" t="s">
        <v>209</v>
      </c>
      <c r="F484" s="620">
        <v>7.3</v>
      </c>
      <c r="G484" s="585" t="s">
        <v>122</v>
      </c>
      <c r="H484" s="573" t="s">
        <v>867</v>
      </c>
      <c r="M484" s="587">
        <v>1</v>
      </c>
      <c r="N484" s="573" t="s">
        <v>129</v>
      </c>
      <c r="O484" s="573" t="s">
        <v>828</v>
      </c>
      <c r="P484" s="587">
        <f>(C56)</f>
        <v>12.1</v>
      </c>
      <c r="Q484" s="573" t="s">
        <v>129</v>
      </c>
      <c r="R484" s="587">
        <f>(M484*P484)</f>
        <v>12.1</v>
      </c>
      <c r="S484" s="575"/>
      <c r="T484" s="576"/>
      <c r="U484" s="573" t="s">
        <v>154</v>
      </c>
      <c r="W484" s="578"/>
      <c r="X484" s="587">
        <f>(X482/0.372)</f>
        <v>2301.4247311827958</v>
      </c>
      <c r="Z484" s="576"/>
      <c r="AA484" s="573" t="s">
        <v>154</v>
      </c>
      <c r="AC484" s="578"/>
      <c r="AD484" s="587">
        <f>(AD482/0.372)</f>
        <v>2321.1451612903224</v>
      </c>
      <c r="AE484" s="592" t="str">
        <f t="shared" si="43"/>
        <v>|</v>
      </c>
      <c r="AG484" s="573" t="s">
        <v>849</v>
      </c>
    </row>
    <row r="485" spans="1:33" ht="24" customHeight="1">
      <c r="A485" s="594">
        <f t="shared" si="38"/>
        <v>311</v>
      </c>
      <c r="B485" s="595" t="s">
        <v>727</v>
      </c>
      <c r="C485" s="593">
        <v>1217</v>
      </c>
      <c r="D485" s="595" t="s">
        <v>209</v>
      </c>
      <c r="F485" s="573" t="s">
        <v>115</v>
      </c>
      <c r="H485" s="573" t="s">
        <v>868</v>
      </c>
      <c r="M485" s="587">
        <v>1</v>
      </c>
      <c r="N485" s="573" t="s">
        <v>129</v>
      </c>
      <c r="O485" s="573" t="s">
        <v>130</v>
      </c>
      <c r="Q485" s="573" t="s">
        <v>129</v>
      </c>
      <c r="R485" s="587">
        <v>0</v>
      </c>
      <c r="S485" s="575"/>
      <c r="T485" s="576"/>
      <c r="W485" s="578"/>
      <c r="X485" s="582" t="s">
        <v>155</v>
      </c>
      <c r="Z485" s="576"/>
      <c r="AC485" s="578"/>
      <c r="AD485" s="582" t="s">
        <v>155</v>
      </c>
      <c r="AE485" s="592" t="str">
        <f t="shared" si="43"/>
        <v>|</v>
      </c>
      <c r="AG485" s="573" t="s">
        <v>849</v>
      </c>
    </row>
    <row r="486" spans="1:33" ht="24" customHeight="1">
      <c r="A486" s="594">
        <f t="shared" si="38"/>
        <v>312</v>
      </c>
      <c r="B486" s="595" t="s">
        <v>812</v>
      </c>
      <c r="C486" s="618">
        <v>1494</v>
      </c>
      <c r="D486" s="595" t="s">
        <v>209</v>
      </c>
      <c r="F486" s="573" t="s">
        <v>115</v>
      </c>
      <c r="H486" s="582" t="s">
        <v>869</v>
      </c>
      <c r="R486" s="582" t="s">
        <v>117</v>
      </c>
      <c r="S486" s="575"/>
      <c r="T486" s="576"/>
      <c r="U486" s="573" t="s">
        <v>482</v>
      </c>
      <c r="V486" s="575">
        <f>X484</f>
        <v>2301.4247311827958</v>
      </c>
      <c r="W486" s="578">
        <f>J659</f>
        <v>3.3833333333333337</v>
      </c>
      <c r="X486" s="586">
        <f>V486+W486</f>
        <v>2304.808064516129</v>
      </c>
      <c r="Z486" s="576"/>
      <c r="AA486" s="573" t="s">
        <v>482</v>
      </c>
      <c r="AB486" s="575">
        <f>AD484</f>
        <v>2321.1451612903224</v>
      </c>
      <c r="AC486" s="578">
        <f t="shared" ref="AC486:AC491" si="45">W486</f>
        <v>3.3833333333333337</v>
      </c>
      <c r="AD486" s="586">
        <f>AB486+AC486</f>
        <v>2324.5284946236557</v>
      </c>
      <c r="AE486" s="592" t="str">
        <f t="shared" si="43"/>
        <v>|</v>
      </c>
      <c r="AG486" s="573" t="s">
        <v>849</v>
      </c>
    </row>
    <row r="487" spans="1:33" ht="24" customHeight="1">
      <c r="A487" s="594">
        <f t="shared" si="38"/>
        <v>313</v>
      </c>
      <c r="B487" s="664" t="s">
        <v>3059</v>
      </c>
      <c r="C487" s="608"/>
      <c r="D487" s="595"/>
      <c r="F487" s="587">
        <v>0.13</v>
      </c>
      <c r="G487" s="585" t="s">
        <v>126</v>
      </c>
      <c r="H487" s="573" t="s">
        <v>134</v>
      </c>
      <c r="I487" s="587">
        <f>(K40)</f>
        <v>3497.8</v>
      </c>
      <c r="J487" s="573" t="s">
        <v>126</v>
      </c>
      <c r="K487" s="587">
        <f t="shared" ref="K487:K492" si="46">(F487*I487)</f>
        <v>454.71400000000006</v>
      </c>
      <c r="O487" s="573" t="s">
        <v>830</v>
      </c>
      <c r="R487" s="587">
        <f>SUM(R468:R485)</f>
        <v>2312.9299999999998</v>
      </c>
      <c r="S487" s="575"/>
      <c r="T487" s="576"/>
      <c r="U487" s="573" t="s">
        <v>486</v>
      </c>
      <c r="V487" s="575">
        <f>X486</f>
        <v>2304.808064516129</v>
      </c>
      <c r="W487" s="578">
        <f>J662</f>
        <v>6.6612903225806459</v>
      </c>
      <c r="X487" s="586">
        <f>V487+W487</f>
        <v>2311.4693548387095</v>
      </c>
      <c r="Z487" s="576"/>
      <c r="AA487" s="573" t="s">
        <v>486</v>
      </c>
      <c r="AB487" s="575">
        <f>AD486</f>
        <v>2324.5284946236557</v>
      </c>
      <c r="AC487" s="578">
        <f t="shared" si="45"/>
        <v>6.6612903225806459</v>
      </c>
      <c r="AD487" s="586">
        <f>AB487+AC487</f>
        <v>2331.1897849462362</v>
      </c>
      <c r="AE487" s="592" t="str">
        <f t="shared" si="43"/>
        <v>|</v>
      </c>
      <c r="AG487" s="573" t="s">
        <v>849</v>
      </c>
    </row>
    <row r="488" spans="1:33" ht="24" customHeight="1">
      <c r="A488" s="594">
        <f t="shared" ref="A488:A494" si="47">(A487+1)</f>
        <v>314</v>
      </c>
      <c r="B488" s="595" t="s">
        <v>786</v>
      </c>
      <c r="C488" s="593">
        <v>167</v>
      </c>
      <c r="D488" s="595" t="s">
        <v>209</v>
      </c>
      <c r="F488" s="587">
        <v>0.7</v>
      </c>
      <c r="G488" s="585" t="s">
        <v>1</v>
      </c>
      <c r="H488" s="573" t="s">
        <v>144</v>
      </c>
      <c r="I488" s="587">
        <f>(C10)</f>
        <v>769</v>
      </c>
      <c r="J488" s="573" t="s">
        <v>1</v>
      </c>
      <c r="K488" s="587">
        <f t="shared" si="46"/>
        <v>538.29999999999995</v>
      </c>
      <c r="R488" s="582" t="s">
        <v>117</v>
      </c>
      <c r="S488" s="575"/>
      <c r="T488" s="576"/>
      <c r="U488" s="573" t="s">
        <v>489</v>
      </c>
      <c r="V488" s="575">
        <f>X487</f>
        <v>2311.4693548387095</v>
      </c>
      <c r="W488" s="578">
        <f>J663</f>
        <v>6.6612903225806459</v>
      </c>
      <c r="X488" s="586">
        <f>V488+W488</f>
        <v>2318.13064516129</v>
      </c>
      <c r="Z488" s="576"/>
      <c r="AA488" s="573" t="s">
        <v>489</v>
      </c>
      <c r="AB488" s="575">
        <f>AD487</f>
        <v>2331.1897849462362</v>
      </c>
      <c r="AC488" s="578">
        <f t="shared" si="45"/>
        <v>6.6612903225806459</v>
      </c>
      <c r="AD488" s="586">
        <f>AB488+AC488</f>
        <v>2337.8510752688167</v>
      </c>
      <c r="AE488" s="592" t="str">
        <f t="shared" si="43"/>
        <v>|</v>
      </c>
      <c r="AG488" s="573" t="s">
        <v>849</v>
      </c>
    </row>
    <row r="489" spans="1:33" ht="33.75" customHeight="1">
      <c r="A489" s="594">
        <f t="shared" si="47"/>
        <v>315</v>
      </c>
      <c r="B489" s="595" t="s">
        <v>779</v>
      </c>
      <c r="C489" s="593">
        <v>237</v>
      </c>
      <c r="D489" s="595" t="s">
        <v>209</v>
      </c>
      <c r="F489" s="587">
        <v>0.7</v>
      </c>
      <c r="G489" s="585" t="s">
        <v>1</v>
      </c>
      <c r="H489" s="573" t="s">
        <v>145</v>
      </c>
      <c r="I489" s="587">
        <f>(C11)</f>
        <v>718</v>
      </c>
      <c r="J489" s="573" t="s">
        <v>1</v>
      </c>
      <c r="K489" s="587">
        <f t="shared" si="46"/>
        <v>502.59999999999997</v>
      </c>
      <c r="O489" s="573" t="s">
        <v>216</v>
      </c>
      <c r="R489" s="587">
        <f>R487/30</f>
        <v>77.097666666666655</v>
      </c>
      <c r="S489" s="575"/>
      <c r="T489" s="576"/>
      <c r="U489" s="573" t="s">
        <v>491</v>
      </c>
      <c r="V489" s="575">
        <f>X488</f>
        <v>2318.13064516129</v>
      </c>
      <c r="W489" s="578">
        <f>J664</f>
        <v>6.6612903225806459</v>
      </c>
      <c r="X489" s="586">
        <f>V489+W489</f>
        <v>2324.7919354838705</v>
      </c>
      <c r="Z489" s="576"/>
      <c r="AA489" s="573" t="s">
        <v>491</v>
      </c>
      <c r="AB489" s="575">
        <f>AD488</f>
        <v>2337.8510752688167</v>
      </c>
      <c r="AC489" s="578">
        <f t="shared" si="45"/>
        <v>6.6612903225806459</v>
      </c>
      <c r="AD489" s="586">
        <f>AB489+AC489</f>
        <v>2344.5123655913972</v>
      </c>
      <c r="AE489" s="592" t="str">
        <f t="shared" si="43"/>
        <v>|</v>
      </c>
      <c r="AG489" s="573" t="s">
        <v>849</v>
      </c>
    </row>
    <row r="490" spans="1:33" ht="24" customHeight="1">
      <c r="A490" s="594">
        <f t="shared" si="47"/>
        <v>316</v>
      </c>
      <c r="B490" s="595" t="s">
        <v>781</v>
      </c>
      <c r="C490" s="593">
        <v>345</v>
      </c>
      <c r="D490" s="595" t="s">
        <v>209</v>
      </c>
      <c r="F490" s="587">
        <v>1.5</v>
      </c>
      <c r="G490" s="585" t="s">
        <v>1</v>
      </c>
      <c r="H490" s="573" t="s">
        <v>146</v>
      </c>
      <c r="I490" s="587">
        <f>(C12)</f>
        <v>502</v>
      </c>
      <c r="J490" s="573" t="s">
        <v>1</v>
      </c>
      <c r="K490" s="587">
        <f t="shared" si="46"/>
        <v>753</v>
      </c>
      <c r="R490" s="582" t="s">
        <v>117</v>
      </c>
      <c r="S490" s="575"/>
      <c r="T490" s="576"/>
      <c r="U490" s="573" t="s">
        <v>871</v>
      </c>
      <c r="V490" s="575">
        <f>X489</f>
        <v>2324.7919354838705</v>
      </c>
      <c r="W490" s="578">
        <f>J665</f>
        <v>6.6612903225806459</v>
      </c>
      <c r="X490" s="586">
        <f>V490+W490</f>
        <v>2331.453225806451</v>
      </c>
      <c r="Z490" s="576"/>
      <c r="AA490" s="573" t="s">
        <v>871</v>
      </c>
      <c r="AB490" s="575">
        <f>AD489</f>
        <v>2344.5123655913972</v>
      </c>
      <c r="AC490" s="578">
        <f t="shared" si="45"/>
        <v>6.6612903225806459</v>
      </c>
      <c r="AD490" s="586">
        <f>AB490+AC490</f>
        <v>2351.1736559139777</v>
      </c>
      <c r="AE490" s="592" t="str">
        <f t="shared" si="43"/>
        <v>|</v>
      </c>
      <c r="AG490" s="573" t="s">
        <v>849</v>
      </c>
    </row>
    <row r="491" spans="1:33" ht="24" customHeight="1">
      <c r="A491" s="594">
        <f t="shared" si="47"/>
        <v>317</v>
      </c>
      <c r="B491" s="595" t="s">
        <v>782</v>
      </c>
      <c r="C491" s="593">
        <v>503</v>
      </c>
      <c r="D491" s="595" t="s">
        <v>209</v>
      </c>
      <c r="F491" s="587">
        <v>0.5</v>
      </c>
      <c r="G491" s="585" t="s">
        <v>1</v>
      </c>
      <c r="H491" s="573" t="s">
        <v>147</v>
      </c>
      <c r="I491" s="587">
        <f>(C13)</f>
        <v>412</v>
      </c>
      <c r="J491" s="573" t="s">
        <v>1</v>
      </c>
      <c r="K491" s="587">
        <f t="shared" si="46"/>
        <v>206</v>
      </c>
      <c r="M491" s="573" t="s">
        <v>115</v>
      </c>
      <c r="Y491" s="579"/>
      <c r="AC491" s="578">
        <f t="shared" si="45"/>
        <v>0</v>
      </c>
      <c r="AE491" s="592" t="str">
        <f t="shared" si="43"/>
        <v>|</v>
      </c>
      <c r="AG491" s="573" t="s">
        <v>849</v>
      </c>
    </row>
    <row r="492" spans="1:33" ht="24" customHeight="1">
      <c r="A492" s="594">
        <f t="shared" si="47"/>
        <v>318</v>
      </c>
      <c r="B492" s="595" t="s">
        <v>783</v>
      </c>
      <c r="C492" s="593">
        <v>640</v>
      </c>
      <c r="D492" s="595" t="s">
        <v>209</v>
      </c>
      <c r="F492" s="587">
        <v>0.94</v>
      </c>
      <c r="G492" s="585" t="s">
        <v>148</v>
      </c>
      <c r="H492" s="573" t="s">
        <v>872</v>
      </c>
      <c r="I492" s="587">
        <f>C653</f>
        <v>41.9</v>
      </c>
      <c r="J492" s="573" t="s">
        <v>148</v>
      </c>
      <c r="K492" s="587">
        <f t="shared" si="46"/>
        <v>39.385999999999996</v>
      </c>
      <c r="N492" s="573" t="s">
        <v>122</v>
      </c>
      <c r="O492" s="573" t="s">
        <v>807</v>
      </c>
      <c r="Y492" s="579"/>
      <c r="AE492" s="592" t="str">
        <f t="shared" si="43"/>
        <v>|</v>
      </c>
      <c r="AG492" s="573" t="s">
        <v>849</v>
      </c>
    </row>
    <row r="493" spans="1:33" ht="24" customHeight="1">
      <c r="A493" s="594">
        <f t="shared" si="47"/>
        <v>319</v>
      </c>
      <c r="B493" s="650" t="s">
        <v>727</v>
      </c>
      <c r="C493" s="596">
        <v>584</v>
      </c>
      <c r="D493" s="595" t="s">
        <v>209</v>
      </c>
      <c r="H493" s="573" t="s">
        <v>130</v>
      </c>
      <c r="I493" s="573" t="s">
        <v>115</v>
      </c>
      <c r="J493" s="573" t="s">
        <v>129</v>
      </c>
      <c r="K493" s="587">
        <v>0</v>
      </c>
      <c r="O493" s="573" t="s">
        <v>808</v>
      </c>
      <c r="Y493" s="579"/>
      <c r="AE493" s="592" t="str">
        <f t="shared" si="43"/>
        <v>|</v>
      </c>
      <c r="AG493" s="573" t="s">
        <v>849</v>
      </c>
    </row>
    <row r="494" spans="1:33" ht="24" customHeight="1">
      <c r="A494" s="594">
        <f t="shared" si="47"/>
        <v>320</v>
      </c>
      <c r="B494" s="595" t="s">
        <v>812</v>
      </c>
      <c r="C494" s="608"/>
      <c r="D494" s="595" t="s">
        <v>209</v>
      </c>
      <c r="K494" s="582" t="s">
        <v>117</v>
      </c>
      <c r="O494" s="573" t="s">
        <v>873</v>
      </c>
      <c r="Y494" s="579"/>
      <c r="AE494" s="592" t="str">
        <f t="shared" si="43"/>
        <v>|</v>
      </c>
      <c r="AG494" s="573" t="s">
        <v>849</v>
      </c>
    </row>
    <row r="495" spans="1:33" ht="24" customHeight="1">
      <c r="A495" s="594">
        <f>(A494+1)</f>
        <v>321</v>
      </c>
      <c r="B495" s="664" t="s">
        <v>874</v>
      </c>
      <c r="C495" s="608"/>
      <c r="D495" s="595" t="s">
        <v>209</v>
      </c>
      <c r="H495" s="573" t="s">
        <v>153</v>
      </c>
      <c r="K495" s="587">
        <f>SUM(K486:K493)</f>
        <v>2494</v>
      </c>
      <c r="O495" s="582" t="s">
        <v>117</v>
      </c>
      <c r="Y495" s="579"/>
      <c r="AE495" s="592" t="str">
        <f t="shared" si="43"/>
        <v>|</v>
      </c>
      <c r="AG495" s="573" t="s">
        <v>849</v>
      </c>
    </row>
    <row r="496" spans="1:33" ht="24" customHeight="1">
      <c r="A496" s="594">
        <f>(A495+1)</f>
        <v>322</v>
      </c>
      <c r="B496" s="595" t="s">
        <v>875</v>
      </c>
      <c r="C496" s="593">
        <v>20.3</v>
      </c>
      <c r="D496" s="595" t="s">
        <v>209</v>
      </c>
      <c r="K496" s="582" t="s">
        <v>117</v>
      </c>
      <c r="N496" s="573" t="s">
        <v>810</v>
      </c>
      <c r="O496" s="574" t="s">
        <v>876</v>
      </c>
      <c r="Y496" s="579"/>
      <c r="AE496" s="592" t="str">
        <f t="shared" si="43"/>
        <v>|</v>
      </c>
      <c r="AG496" s="573" t="s">
        <v>849</v>
      </c>
    </row>
    <row r="497" spans="1:33" ht="33.75" customHeight="1">
      <c r="A497" s="594">
        <f>(A496+1)</f>
        <v>323</v>
      </c>
      <c r="B497" s="650" t="s">
        <v>877</v>
      </c>
      <c r="C497" s="596">
        <v>11.5</v>
      </c>
      <c r="D497" s="595" t="s">
        <v>209</v>
      </c>
      <c r="H497" s="589" t="s">
        <v>154</v>
      </c>
      <c r="K497" s="586">
        <f>(K495/10)</f>
        <v>249.4</v>
      </c>
      <c r="O497" s="582" t="s">
        <v>117</v>
      </c>
      <c r="Y497" s="579"/>
      <c r="AE497" s="592" t="str">
        <f t="shared" si="43"/>
        <v>|</v>
      </c>
      <c r="AG497" s="573" t="s">
        <v>849</v>
      </c>
    </row>
    <row r="498" spans="1:33" ht="36" customHeight="1">
      <c r="A498" s="608"/>
      <c r="B498" s="608"/>
      <c r="C498" s="608"/>
      <c r="D498" s="608"/>
      <c r="F498" s="573" t="s">
        <v>115</v>
      </c>
      <c r="AE498" s="592" t="str">
        <f t="shared" si="43"/>
        <v>|</v>
      </c>
      <c r="AG498" s="573" t="s">
        <v>849</v>
      </c>
    </row>
    <row r="499" spans="1:33" ht="24" customHeight="1">
      <c r="A499" s="594">
        <f>(A497+1)</f>
        <v>324</v>
      </c>
      <c r="B499" s="595" t="s">
        <v>878</v>
      </c>
      <c r="C499" s="593">
        <v>28.6</v>
      </c>
      <c r="D499" s="595" t="s">
        <v>209</v>
      </c>
      <c r="K499" s="582" t="s">
        <v>155</v>
      </c>
      <c r="M499" s="587">
        <v>30</v>
      </c>
      <c r="N499" s="573" t="s">
        <v>203</v>
      </c>
      <c r="O499" s="573" t="s">
        <v>879</v>
      </c>
      <c r="P499" s="587">
        <f>(C42)</f>
        <v>15.53</v>
      </c>
      <c r="Q499" s="573" t="s">
        <v>203</v>
      </c>
      <c r="R499" s="587">
        <f>(M499*P499)</f>
        <v>465.9</v>
      </c>
      <c r="AE499" s="592" t="str">
        <f t="shared" si="43"/>
        <v>|</v>
      </c>
      <c r="AG499" s="573" t="s">
        <v>849</v>
      </c>
    </row>
    <row r="500" spans="1:33" ht="24" customHeight="1">
      <c r="A500" s="594">
        <f t="shared" ref="A500:A562" si="48">(A499+1)</f>
        <v>325</v>
      </c>
      <c r="B500" s="650" t="s">
        <v>880</v>
      </c>
      <c r="C500" s="596">
        <v>56.74</v>
      </c>
      <c r="D500" s="595" t="s">
        <v>209</v>
      </c>
      <c r="F500" s="574"/>
      <c r="G500" s="585" t="s">
        <v>122</v>
      </c>
      <c r="H500" s="573" t="s">
        <v>881</v>
      </c>
      <c r="M500" s="573" t="s">
        <v>115</v>
      </c>
      <c r="O500" s="573" t="s">
        <v>882</v>
      </c>
      <c r="P500" s="573" t="s">
        <v>115</v>
      </c>
      <c r="R500" s="573" t="s">
        <v>115</v>
      </c>
      <c r="AE500" s="592" t="str">
        <f t="shared" si="43"/>
        <v>|</v>
      </c>
      <c r="AG500" s="573" t="s">
        <v>849</v>
      </c>
    </row>
    <row r="501" spans="1:33" ht="24" customHeight="1">
      <c r="A501" s="594">
        <f t="shared" si="48"/>
        <v>326</v>
      </c>
      <c r="B501" s="650" t="s">
        <v>883</v>
      </c>
      <c r="C501" s="596">
        <v>56.74</v>
      </c>
      <c r="D501" s="595" t="s">
        <v>209</v>
      </c>
      <c r="H501" s="573" t="s">
        <v>666</v>
      </c>
      <c r="M501" s="587">
        <v>8</v>
      </c>
      <c r="N501" s="573" t="s">
        <v>209</v>
      </c>
      <c r="O501" s="573" t="s">
        <v>823</v>
      </c>
      <c r="P501" s="587">
        <f>(C43)</f>
        <v>7.1</v>
      </c>
      <c r="Q501" s="573" t="s">
        <v>209</v>
      </c>
      <c r="R501" s="587">
        <f t="shared" ref="R501:R506" si="49">(M501*P501)</f>
        <v>56.8</v>
      </c>
      <c r="AE501" s="592" t="str">
        <f t="shared" si="43"/>
        <v>|</v>
      </c>
      <c r="AG501" s="573" t="s">
        <v>849</v>
      </c>
    </row>
    <row r="502" spans="1:33" ht="45.75" customHeight="1">
      <c r="A502" s="594">
        <f t="shared" si="48"/>
        <v>327</v>
      </c>
      <c r="B502" s="664" t="s">
        <v>884</v>
      </c>
      <c r="C502" s="608"/>
      <c r="D502" s="595" t="s">
        <v>115</v>
      </c>
      <c r="H502" s="582" t="s">
        <v>117</v>
      </c>
      <c r="M502" s="587">
        <v>8</v>
      </c>
      <c r="N502" s="573" t="s">
        <v>209</v>
      </c>
      <c r="O502" s="573" t="s">
        <v>826</v>
      </c>
      <c r="P502" s="587">
        <f>(C50)</f>
        <v>10</v>
      </c>
      <c r="Q502" s="573" t="s">
        <v>209</v>
      </c>
      <c r="R502" s="587">
        <f t="shared" si="49"/>
        <v>80</v>
      </c>
      <c r="AE502" s="592" t="str">
        <f t="shared" si="43"/>
        <v>|</v>
      </c>
      <c r="AG502" s="573" t="s">
        <v>849</v>
      </c>
    </row>
    <row r="503" spans="1:33" ht="24" customHeight="1">
      <c r="A503" s="594">
        <f t="shared" si="48"/>
        <v>328</v>
      </c>
      <c r="B503" s="606" t="s">
        <v>885</v>
      </c>
      <c r="C503" s="593">
        <v>69.8</v>
      </c>
      <c r="D503" s="595" t="s">
        <v>209</v>
      </c>
      <c r="F503" s="587">
        <v>9</v>
      </c>
      <c r="G503" s="585" t="s">
        <v>126</v>
      </c>
      <c r="H503" s="573" t="s">
        <v>886</v>
      </c>
      <c r="I503" s="587">
        <f>(C70)</f>
        <v>973.3599999999999</v>
      </c>
      <c r="J503" s="573" t="s">
        <v>126</v>
      </c>
      <c r="K503" s="587">
        <f t="shared" ref="K503:K508" si="50">(F503*I503)</f>
        <v>8760.24</v>
      </c>
      <c r="M503" s="587">
        <v>3</v>
      </c>
      <c r="N503" s="573" t="s">
        <v>209</v>
      </c>
      <c r="O503" s="573" t="s">
        <v>887</v>
      </c>
      <c r="P503" s="587">
        <f>(C41)</f>
        <v>569</v>
      </c>
      <c r="Q503" s="573" t="s">
        <v>209</v>
      </c>
      <c r="R503" s="587">
        <f t="shared" si="49"/>
        <v>1707</v>
      </c>
      <c r="AE503" s="592" t="str">
        <f t="shared" si="43"/>
        <v>|</v>
      </c>
      <c r="AG503" s="573" t="s">
        <v>849</v>
      </c>
    </row>
    <row r="504" spans="1:33" ht="24" customHeight="1">
      <c r="A504" s="594">
        <f t="shared" si="48"/>
        <v>329</v>
      </c>
      <c r="B504" s="650" t="s">
        <v>877</v>
      </c>
      <c r="C504" s="596">
        <v>15.6</v>
      </c>
      <c r="D504" s="595" t="s">
        <v>209</v>
      </c>
      <c r="F504" s="617">
        <v>3.2309999999999999</v>
      </c>
      <c r="G504" s="585" t="s">
        <v>124</v>
      </c>
      <c r="H504" s="573" t="s">
        <v>125</v>
      </c>
      <c r="I504" s="587">
        <f>(C67)</f>
        <v>5800</v>
      </c>
      <c r="J504" s="573" t="s">
        <v>124</v>
      </c>
      <c r="K504" s="587">
        <f t="shared" si="50"/>
        <v>18739.8</v>
      </c>
      <c r="M504" s="587">
        <v>1</v>
      </c>
      <c r="N504" s="573" t="s">
        <v>209</v>
      </c>
      <c r="O504" s="573" t="s">
        <v>888</v>
      </c>
      <c r="P504" s="587">
        <f>(C10)</f>
        <v>769</v>
      </c>
      <c r="Q504" s="573" t="s">
        <v>209</v>
      </c>
      <c r="R504" s="587">
        <f t="shared" si="49"/>
        <v>769</v>
      </c>
      <c r="AE504" s="592" t="str">
        <f t="shared" si="43"/>
        <v>|</v>
      </c>
      <c r="AG504" s="573" t="s">
        <v>849</v>
      </c>
    </row>
    <row r="505" spans="1:33" ht="24" customHeight="1">
      <c r="A505" s="594">
        <f t="shared" si="48"/>
        <v>330</v>
      </c>
      <c r="B505" s="595" t="s">
        <v>889</v>
      </c>
      <c r="C505" s="593">
        <v>75.3</v>
      </c>
      <c r="D505" s="595" t="s">
        <v>209</v>
      </c>
      <c r="F505" s="587">
        <v>4.5</v>
      </c>
      <c r="G505" s="585" t="s">
        <v>126</v>
      </c>
      <c r="H505" s="573" t="s">
        <v>127</v>
      </c>
      <c r="I505" s="587">
        <f>(C78)</f>
        <v>1322.8</v>
      </c>
      <c r="J505" s="573" t="s">
        <v>126</v>
      </c>
      <c r="K505" s="587">
        <f t="shared" si="50"/>
        <v>5952.5999999999995</v>
      </c>
      <c r="M505" s="587">
        <v>2</v>
      </c>
      <c r="N505" s="573" t="s">
        <v>209</v>
      </c>
      <c r="O505" s="573" t="s">
        <v>146</v>
      </c>
      <c r="P505" s="587">
        <f>(C12)</f>
        <v>502</v>
      </c>
      <c r="Q505" s="573" t="s">
        <v>209</v>
      </c>
      <c r="R505" s="587">
        <f t="shared" si="49"/>
        <v>1004</v>
      </c>
      <c r="AE505" s="592" t="str">
        <f t="shared" si="43"/>
        <v>|</v>
      </c>
      <c r="AG505" s="573" t="s">
        <v>849</v>
      </c>
    </row>
    <row r="506" spans="1:33" ht="24" customHeight="1">
      <c r="A506" s="594">
        <f t="shared" si="48"/>
        <v>331</v>
      </c>
      <c r="B506" s="650" t="s">
        <v>880</v>
      </c>
      <c r="C506" s="596">
        <v>100.3</v>
      </c>
      <c r="D506" s="595" t="s">
        <v>209</v>
      </c>
      <c r="F506" s="587">
        <v>3.5</v>
      </c>
      <c r="G506" s="585" t="s">
        <v>209</v>
      </c>
      <c r="H506" s="573" t="s">
        <v>145</v>
      </c>
      <c r="I506" s="587">
        <f>(C11)</f>
        <v>718</v>
      </c>
      <c r="J506" s="573" t="s">
        <v>209</v>
      </c>
      <c r="K506" s="587">
        <f t="shared" si="50"/>
        <v>2513</v>
      </c>
      <c r="M506" s="587">
        <v>1</v>
      </c>
      <c r="N506" s="573" t="s">
        <v>209</v>
      </c>
      <c r="O506" s="573" t="s">
        <v>147</v>
      </c>
      <c r="P506" s="587">
        <f>(C13)</f>
        <v>412</v>
      </c>
      <c r="Q506" s="573" t="s">
        <v>209</v>
      </c>
      <c r="R506" s="587">
        <f t="shared" si="49"/>
        <v>412</v>
      </c>
      <c r="AE506" s="592" t="str">
        <f t="shared" si="43"/>
        <v>|</v>
      </c>
      <c r="AG506" s="573" t="s">
        <v>849</v>
      </c>
    </row>
    <row r="507" spans="1:33" ht="24" customHeight="1">
      <c r="A507" s="594">
        <f t="shared" si="48"/>
        <v>332</v>
      </c>
      <c r="B507" s="650" t="s">
        <v>883</v>
      </c>
      <c r="C507" s="596">
        <v>100.3</v>
      </c>
      <c r="D507" s="595" t="s">
        <v>209</v>
      </c>
      <c r="F507" s="587">
        <v>21.2</v>
      </c>
      <c r="G507" s="585" t="s">
        <v>209</v>
      </c>
      <c r="H507" s="573" t="s">
        <v>146</v>
      </c>
      <c r="I507" s="587">
        <f>(C12)</f>
        <v>502</v>
      </c>
      <c r="J507" s="573" t="s">
        <v>209</v>
      </c>
      <c r="K507" s="587">
        <f t="shared" si="50"/>
        <v>10642.4</v>
      </c>
      <c r="N507" s="573" t="s">
        <v>129</v>
      </c>
      <c r="O507" s="573" t="s">
        <v>890</v>
      </c>
      <c r="P507" s="573" t="s">
        <v>115</v>
      </c>
      <c r="Q507" s="573" t="s">
        <v>129</v>
      </c>
      <c r="R507" s="587">
        <f>(C56)</f>
        <v>12.1</v>
      </c>
      <c r="AE507" s="592" t="str">
        <f t="shared" si="43"/>
        <v>|</v>
      </c>
      <c r="AG507" s="573" t="s">
        <v>849</v>
      </c>
    </row>
    <row r="508" spans="1:33" ht="24" customHeight="1">
      <c r="A508" s="594">
        <f t="shared" si="48"/>
        <v>333</v>
      </c>
      <c r="B508" s="664" t="s">
        <v>3060</v>
      </c>
      <c r="C508" s="608"/>
      <c r="D508" s="595" t="s">
        <v>115</v>
      </c>
      <c r="F508" s="587">
        <v>35.299999999999997</v>
      </c>
      <c r="G508" s="585" t="s">
        <v>209</v>
      </c>
      <c r="H508" s="573" t="s">
        <v>147</v>
      </c>
      <c r="I508" s="587">
        <f>(C13)</f>
        <v>412</v>
      </c>
      <c r="J508" s="573" t="s">
        <v>209</v>
      </c>
      <c r="K508" s="587">
        <f t="shared" si="50"/>
        <v>14543.599999999999</v>
      </c>
      <c r="O508" s="573" t="s">
        <v>892</v>
      </c>
      <c r="P508" s="573" t="s">
        <v>115</v>
      </c>
      <c r="R508" s="573" t="s">
        <v>115</v>
      </c>
      <c r="AE508" s="592" t="str">
        <f t="shared" si="43"/>
        <v>|</v>
      </c>
      <c r="AG508" s="573" t="s">
        <v>849</v>
      </c>
    </row>
    <row r="509" spans="1:33" ht="24" customHeight="1">
      <c r="A509" s="594">
        <f t="shared" si="48"/>
        <v>334</v>
      </c>
      <c r="B509" s="595" t="s">
        <v>885</v>
      </c>
      <c r="C509" s="593">
        <v>40.4</v>
      </c>
      <c r="D509" s="595" t="s">
        <v>209</v>
      </c>
      <c r="G509" s="585" t="s">
        <v>129</v>
      </c>
      <c r="H509" s="573" t="s">
        <v>130</v>
      </c>
      <c r="I509" s="573" t="s">
        <v>115</v>
      </c>
      <c r="J509" s="573" t="s">
        <v>129</v>
      </c>
      <c r="K509" s="587">
        <v>0</v>
      </c>
      <c r="N509" s="573" t="s">
        <v>129</v>
      </c>
      <c r="O509" s="573" t="s">
        <v>130</v>
      </c>
      <c r="Q509" s="573" t="s">
        <v>129</v>
      </c>
      <c r="R509" s="587">
        <v>0</v>
      </c>
      <c r="AE509" s="592" t="str">
        <f t="shared" si="43"/>
        <v>|</v>
      </c>
      <c r="AG509" s="573" t="s">
        <v>849</v>
      </c>
    </row>
    <row r="510" spans="1:33" ht="24" customHeight="1">
      <c r="A510" s="594">
        <f t="shared" si="48"/>
        <v>335</v>
      </c>
      <c r="B510" s="595" t="s">
        <v>877</v>
      </c>
      <c r="C510" s="672">
        <v>47</v>
      </c>
      <c r="D510" s="595" t="s">
        <v>209</v>
      </c>
      <c r="K510" s="582" t="s">
        <v>117</v>
      </c>
      <c r="R510" s="582" t="s">
        <v>117</v>
      </c>
      <c r="AE510" s="592" t="str">
        <f t="shared" si="43"/>
        <v>|</v>
      </c>
      <c r="AG510" s="573" t="s">
        <v>849</v>
      </c>
    </row>
    <row r="511" spans="1:33" ht="24" customHeight="1">
      <c r="A511" s="594">
        <f t="shared" si="48"/>
        <v>336</v>
      </c>
      <c r="B511" s="595" t="s">
        <v>889</v>
      </c>
      <c r="C511" s="593">
        <v>52</v>
      </c>
      <c r="D511" s="595" t="s">
        <v>209</v>
      </c>
      <c r="H511" s="573" t="s">
        <v>681</v>
      </c>
      <c r="K511" s="587">
        <f>SUM(K503:K509)</f>
        <v>61151.64</v>
      </c>
      <c r="O511" s="573" t="s">
        <v>893</v>
      </c>
      <c r="R511" s="587">
        <f>SUM(R499:R509)</f>
        <v>4506.8</v>
      </c>
      <c r="AE511" s="592" t="str">
        <f t="shared" si="43"/>
        <v>|</v>
      </c>
      <c r="AG511" s="573" t="s">
        <v>849</v>
      </c>
    </row>
    <row r="512" spans="1:33" ht="24" customHeight="1">
      <c r="A512" s="594">
        <f t="shared" si="48"/>
        <v>337</v>
      </c>
      <c r="B512" s="650" t="s">
        <v>894</v>
      </c>
      <c r="C512" s="596">
        <v>36.61</v>
      </c>
      <c r="D512" s="595" t="s">
        <v>209</v>
      </c>
      <c r="K512" s="582" t="s">
        <v>117</v>
      </c>
      <c r="R512" s="582" t="s">
        <v>117</v>
      </c>
      <c r="AE512" s="592" t="str">
        <f t="shared" si="43"/>
        <v>|</v>
      </c>
      <c r="AG512" s="573" t="s">
        <v>849</v>
      </c>
    </row>
    <row r="513" spans="1:33" ht="24" customHeight="1">
      <c r="A513" s="594">
        <f t="shared" si="48"/>
        <v>338</v>
      </c>
      <c r="B513" s="650" t="s">
        <v>880</v>
      </c>
      <c r="C513" s="596">
        <v>78.709999999999994</v>
      </c>
      <c r="D513" s="595" t="s">
        <v>209</v>
      </c>
      <c r="H513" s="573" t="s">
        <v>383</v>
      </c>
      <c r="K513" s="587">
        <f>(K511/10)+0.01</f>
        <v>6115.174</v>
      </c>
      <c r="O513" s="573" t="s">
        <v>216</v>
      </c>
      <c r="R513" s="587">
        <f>(R511/30)</f>
        <v>150.22666666666666</v>
      </c>
      <c r="AE513" s="592" t="str">
        <f t="shared" si="43"/>
        <v>|</v>
      </c>
      <c r="AG513" s="573" t="s">
        <v>849</v>
      </c>
    </row>
    <row r="514" spans="1:33" ht="24" customHeight="1">
      <c r="A514" s="594">
        <f t="shared" si="48"/>
        <v>339</v>
      </c>
      <c r="B514" s="650" t="s">
        <v>883</v>
      </c>
      <c r="C514" s="596">
        <v>78.709999999999994</v>
      </c>
      <c r="D514" s="595" t="s">
        <v>209</v>
      </c>
      <c r="R514" s="582" t="s">
        <v>117</v>
      </c>
      <c r="AE514" s="592">
        <f t="shared" si="43"/>
        <v>0</v>
      </c>
    </row>
    <row r="515" spans="1:33" ht="24" customHeight="1">
      <c r="A515" s="594">
        <f t="shared" si="48"/>
        <v>340</v>
      </c>
      <c r="B515" s="664" t="s">
        <v>895</v>
      </c>
      <c r="C515" s="608"/>
      <c r="D515" s="595" t="s">
        <v>896</v>
      </c>
      <c r="F515" s="587">
        <v>1</v>
      </c>
      <c r="G515" s="585" t="s">
        <v>126</v>
      </c>
      <c r="H515" s="573" t="s">
        <v>689</v>
      </c>
      <c r="K515" s="587">
        <f>C25</f>
        <v>70.7</v>
      </c>
      <c r="N515" s="573" t="s">
        <v>2</v>
      </c>
      <c r="O515" s="574" t="s">
        <v>897</v>
      </c>
      <c r="AE515" s="592" t="str">
        <f t="shared" si="43"/>
        <v>|</v>
      </c>
      <c r="AG515" s="573" t="s">
        <v>849</v>
      </c>
    </row>
    <row r="516" spans="1:33" ht="24" customHeight="1">
      <c r="A516" s="594">
        <f t="shared" si="48"/>
        <v>341</v>
      </c>
      <c r="B516" s="654" t="s">
        <v>898</v>
      </c>
      <c r="C516" s="615">
        <v>20.55</v>
      </c>
      <c r="D516" s="595" t="s">
        <v>203</v>
      </c>
      <c r="K516" s="582" t="s">
        <v>117</v>
      </c>
      <c r="O516" s="582" t="s">
        <v>117</v>
      </c>
      <c r="AE516" s="592" t="str">
        <f t="shared" si="43"/>
        <v>|</v>
      </c>
      <c r="AG516" s="573" t="s">
        <v>849</v>
      </c>
    </row>
    <row r="517" spans="1:33" ht="24" customHeight="1">
      <c r="A517" s="594">
        <f t="shared" si="48"/>
        <v>342</v>
      </c>
      <c r="B517" s="595" t="s">
        <v>899</v>
      </c>
      <c r="C517" s="615">
        <v>26</v>
      </c>
      <c r="D517" s="595" t="s">
        <v>203</v>
      </c>
      <c r="E517" s="618">
        <v>97.7</v>
      </c>
      <c r="H517" s="573" t="s">
        <v>900</v>
      </c>
      <c r="K517" s="587">
        <f>SUM(K513:K515)</f>
        <v>6185.8739999999998</v>
      </c>
      <c r="M517" s="587">
        <v>30</v>
      </c>
      <c r="N517" s="573" t="s">
        <v>203</v>
      </c>
      <c r="O517" s="573" t="s">
        <v>879</v>
      </c>
      <c r="P517" s="587">
        <f>(C42)</f>
        <v>15.53</v>
      </c>
      <c r="Q517" s="573" t="s">
        <v>203</v>
      </c>
      <c r="R517" s="587">
        <f>(M517*P517)</f>
        <v>465.9</v>
      </c>
      <c r="AE517" s="592" t="str">
        <f t="shared" si="43"/>
        <v>|</v>
      </c>
      <c r="AG517" s="573" t="s">
        <v>849</v>
      </c>
    </row>
    <row r="518" spans="1:33" ht="24" customHeight="1">
      <c r="A518" s="594">
        <f t="shared" si="48"/>
        <v>343</v>
      </c>
      <c r="B518" s="595" t="s">
        <v>901</v>
      </c>
      <c r="C518" s="615">
        <v>35</v>
      </c>
      <c r="D518" s="595" t="s">
        <v>203</v>
      </c>
      <c r="K518" s="582" t="s">
        <v>117</v>
      </c>
      <c r="M518" s="573" t="s">
        <v>115</v>
      </c>
      <c r="O518" s="573" t="s">
        <v>882</v>
      </c>
      <c r="P518" s="573" t="s">
        <v>115</v>
      </c>
      <c r="R518" s="573" t="s">
        <v>115</v>
      </c>
      <c r="AE518" s="592" t="str">
        <f t="shared" si="43"/>
        <v>|</v>
      </c>
      <c r="AG518" s="573" t="s">
        <v>849</v>
      </c>
    </row>
    <row r="519" spans="1:33" ht="24" customHeight="1">
      <c r="A519" s="594">
        <f t="shared" si="48"/>
        <v>344</v>
      </c>
      <c r="B519" s="595" t="s">
        <v>902</v>
      </c>
      <c r="C519" s="615">
        <v>52</v>
      </c>
      <c r="D519" s="595" t="s">
        <v>203</v>
      </c>
      <c r="G519" s="585" t="s">
        <v>903</v>
      </c>
      <c r="H519" s="573" t="s">
        <v>482</v>
      </c>
      <c r="K519" s="587">
        <f>(K517+C22)</f>
        <v>6275.7739999999994</v>
      </c>
      <c r="L519" s="575">
        <f>K519-K517</f>
        <v>89.899999999999636</v>
      </c>
      <c r="M519" s="587">
        <v>8</v>
      </c>
      <c r="N519" s="573" t="s">
        <v>209</v>
      </c>
      <c r="O519" s="573" t="s">
        <v>823</v>
      </c>
      <c r="P519" s="587">
        <f>(C44)</f>
        <v>7.1</v>
      </c>
      <c r="Q519" s="573" t="s">
        <v>209</v>
      </c>
      <c r="R519" s="587">
        <f t="shared" ref="R519:R524" si="51">(M519*P519)</f>
        <v>56.8</v>
      </c>
      <c r="AE519" s="592" t="str">
        <f t="shared" si="43"/>
        <v>|</v>
      </c>
      <c r="AG519" s="573" t="s">
        <v>849</v>
      </c>
    </row>
    <row r="520" spans="1:33" ht="24" customHeight="1">
      <c r="A520" s="594">
        <f t="shared" si="48"/>
        <v>345</v>
      </c>
      <c r="B520" s="595" t="s">
        <v>904</v>
      </c>
      <c r="C520" s="615">
        <v>65</v>
      </c>
      <c r="D520" s="596">
        <v>21</v>
      </c>
      <c r="G520" s="585" t="s">
        <v>905</v>
      </c>
      <c r="H520" s="573" t="s">
        <v>486</v>
      </c>
      <c r="K520" s="587">
        <f>(K519+C23)</f>
        <v>6452.7739999999994</v>
      </c>
      <c r="M520" s="587">
        <v>8</v>
      </c>
      <c r="N520" s="573" t="s">
        <v>209</v>
      </c>
      <c r="O520" s="573" t="s">
        <v>826</v>
      </c>
      <c r="P520" s="587">
        <f>(C51)</f>
        <v>10.199999999999999</v>
      </c>
      <c r="Q520" s="573" t="s">
        <v>209</v>
      </c>
      <c r="R520" s="587">
        <f t="shared" si="51"/>
        <v>81.599999999999994</v>
      </c>
      <c r="AE520" s="592" t="str">
        <f t="shared" si="43"/>
        <v>|</v>
      </c>
      <c r="AG520" s="573" t="s">
        <v>849</v>
      </c>
    </row>
    <row r="521" spans="1:33" ht="24" customHeight="1">
      <c r="A521" s="594">
        <f t="shared" si="48"/>
        <v>346</v>
      </c>
      <c r="B521" s="595" t="s">
        <v>906</v>
      </c>
      <c r="C521" s="615">
        <v>82</v>
      </c>
      <c r="D521" s="596">
        <v>37.15</v>
      </c>
      <c r="G521" s="585" t="s">
        <v>907</v>
      </c>
      <c r="H521" s="573" t="s">
        <v>489</v>
      </c>
      <c r="K521" s="587">
        <f>(K520+C24)</f>
        <v>6629.7739999999994</v>
      </c>
      <c r="M521" s="587">
        <v>3</v>
      </c>
      <c r="N521" s="573" t="s">
        <v>209</v>
      </c>
      <c r="O521" s="573" t="s">
        <v>887</v>
      </c>
      <c r="P521" s="587">
        <f>(C41)</f>
        <v>569</v>
      </c>
      <c r="Q521" s="573" t="s">
        <v>209</v>
      </c>
      <c r="R521" s="587">
        <f t="shared" si="51"/>
        <v>1707</v>
      </c>
      <c r="AE521" s="592" t="str">
        <f t="shared" si="43"/>
        <v>|</v>
      </c>
      <c r="AG521" s="573" t="s">
        <v>849</v>
      </c>
    </row>
    <row r="522" spans="1:33" ht="24" customHeight="1">
      <c r="A522" s="594">
        <f t="shared" si="48"/>
        <v>347</v>
      </c>
      <c r="B522" s="664" t="s">
        <v>908</v>
      </c>
      <c r="C522" s="608"/>
      <c r="D522" s="595" t="s">
        <v>115</v>
      </c>
      <c r="G522" s="585" t="s">
        <v>909</v>
      </c>
      <c r="H522" s="573" t="s">
        <v>491</v>
      </c>
      <c r="K522" s="587">
        <f>(K521+C24)</f>
        <v>6806.7739999999994</v>
      </c>
      <c r="M522" s="587">
        <v>1</v>
      </c>
      <c r="N522" s="573" t="s">
        <v>209</v>
      </c>
      <c r="O522" s="573" t="s">
        <v>888</v>
      </c>
      <c r="P522" s="587">
        <f>(C10)</f>
        <v>769</v>
      </c>
      <c r="Q522" s="573" t="s">
        <v>209</v>
      </c>
      <c r="R522" s="587">
        <f t="shared" si="51"/>
        <v>769</v>
      </c>
      <c r="AE522" s="592" t="str">
        <f t="shared" si="43"/>
        <v>|::</v>
      </c>
      <c r="AG522" s="573" t="s">
        <v>636</v>
      </c>
    </row>
    <row r="523" spans="1:33" ht="24" customHeight="1">
      <c r="A523" s="594">
        <f t="shared" si="48"/>
        <v>348</v>
      </c>
      <c r="B523" s="595" t="s">
        <v>786</v>
      </c>
      <c r="C523" s="596">
        <v>4.1900000000000004</v>
      </c>
      <c r="D523" s="595" t="s">
        <v>209</v>
      </c>
      <c r="M523" s="587">
        <v>2</v>
      </c>
      <c r="N523" s="573" t="s">
        <v>209</v>
      </c>
      <c r="O523" s="573" t="s">
        <v>146</v>
      </c>
      <c r="P523" s="587">
        <f>(C12)</f>
        <v>502</v>
      </c>
      <c r="Q523" s="573" t="s">
        <v>209</v>
      </c>
      <c r="R523" s="587">
        <f t="shared" si="51"/>
        <v>1004</v>
      </c>
      <c r="AE523" s="592">
        <f t="shared" si="43"/>
        <v>0</v>
      </c>
    </row>
    <row r="524" spans="1:33" ht="24" customHeight="1">
      <c r="A524" s="594">
        <f t="shared" si="48"/>
        <v>349</v>
      </c>
      <c r="B524" s="595" t="s">
        <v>779</v>
      </c>
      <c r="C524" s="596">
        <v>5</v>
      </c>
      <c r="D524" s="595" t="s">
        <v>209</v>
      </c>
      <c r="F524" s="574" t="s">
        <v>910</v>
      </c>
      <c r="G524" s="585" t="s">
        <v>122</v>
      </c>
      <c r="H524" s="573" t="s">
        <v>911</v>
      </c>
      <c r="M524" s="587">
        <v>1</v>
      </c>
      <c r="N524" s="573" t="s">
        <v>209</v>
      </c>
      <c r="O524" s="573" t="s">
        <v>147</v>
      </c>
      <c r="P524" s="587">
        <f>(C13)</f>
        <v>412</v>
      </c>
      <c r="Q524" s="573" t="s">
        <v>209</v>
      </c>
      <c r="R524" s="587">
        <f t="shared" si="51"/>
        <v>412</v>
      </c>
      <c r="AE524" s="592">
        <f t="shared" si="43"/>
        <v>0</v>
      </c>
    </row>
    <row r="525" spans="1:33" ht="24" customHeight="1">
      <c r="A525" s="594">
        <f t="shared" si="48"/>
        <v>350</v>
      </c>
      <c r="B525" s="595" t="s">
        <v>781</v>
      </c>
      <c r="C525" s="596">
        <v>8.06</v>
      </c>
      <c r="D525" s="595" t="s">
        <v>209</v>
      </c>
      <c r="H525" s="582" t="s">
        <v>117</v>
      </c>
      <c r="N525" s="573" t="s">
        <v>129</v>
      </c>
      <c r="O525" s="573" t="s">
        <v>890</v>
      </c>
      <c r="P525" s="573" t="s">
        <v>115</v>
      </c>
      <c r="Q525" s="573" t="s">
        <v>129</v>
      </c>
      <c r="R525" s="587">
        <f>(C56)</f>
        <v>12.1</v>
      </c>
      <c r="U525" s="673" t="s">
        <v>912</v>
      </c>
      <c r="AA525" s="673" t="s">
        <v>913</v>
      </c>
      <c r="AE525" s="592" t="str">
        <f t="shared" ref="AE525:AE596" si="52">AG525</f>
        <v>|</v>
      </c>
      <c r="AG525" s="573" t="s">
        <v>849</v>
      </c>
    </row>
    <row r="526" spans="1:33" ht="24" customHeight="1">
      <c r="A526" s="594">
        <f t="shared" si="48"/>
        <v>351</v>
      </c>
      <c r="B526" s="595" t="s">
        <v>782</v>
      </c>
      <c r="C526" s="596">
        <v>11.86</v>
      </c>
      <c r="D526" s="595" t="s">
        <v>209</v>
      </c>
      <c r="F526" s="617">
        <v>1.4999999999999999E-2</v>
      </c>
      <c r="G526" s="585" t="s">
        <v>126</v>
      </c>
      <c r="H526" s="573" t="s">
        <v>914</v>
      </c>
      <c r="I526" s="587">
        <f>(K513)</f>
        <v>6115.174</v>
      </c>
      <c r="J526" s="573" t="s">
        <v>126</v>
      </c>
      <c r="K526" s="587">
        <f>(F526*I526)</f>
        <v>91.727609999999999</v>
      </c>
      <c r="O526" s="573" t="s">
        <v>892</v>
      </c>
      <c r="P526" s="573" t="s">
        <v>115</v>
      </c>
      <c r="R526" s="573" t="s">
        <v>115</v>
      </c>
      <c r="S526" s="574" t="s">
        <v>910</v>
      </c>
      <c r="T526" s="585" t="s">
        <v>122</v>
      </c>
      <c r="U526" s="573" t="s">
        <v>915</v>
      </c>
      <c r="W526" s="578"/>
      <c r="Y526" s="574" t="s">
        <v>910</v>
      </c>
      <c r="Z526" s="585" t="s">
        <v>122</v>
      </c>
      <c r="AA526" s="573" t="s">
        <v>916</v>
      </c>
      <c r="AC526" s="578"/>
      <c r="AE526" s="592" t="str">
        <f t="shared" si="52"/>
        <v>|</v>
      </c>
      <c r="AG526" s="573" t="s">
        <v>849</v>
      </c>
    </row>
    <row r="527" spans="1:33" ht="24" customHeight="1">
      <c r="A527" s="594">
        <f t="shared" si="48"/>
        <v>352</v>
      </c>
      <c r="B527" s="595" t="s">
        <v>783</v>
      </c>
      <c r="C527" s="596">
        <v>18.88</v>
      </c>
      <c r="D527" s="595" t="s">
        <v>209</v>
      </c>
      <c r="F527" s="587">
        <v>0.5</v>
      </c>
      <c r="G527" s="585" t="s">
        <v>1</v>
      </c>
      <c r="H527" s="573" t="s">
        <v>144</v>
      </c>
      <c r="I527" s="587">
        <f>(C10)</f>
        <v>769</v>
      </c>
      <c r="J527" s="573" t="s">
        <v>1</v>
      </c>
      <c r="K527" s="587">
        <f>(F527*I527)</f>
        <v>384.5</v>
      </c>
      <c r="N527" s="573" t="s">
        <v>129</v>
      </c>
      <c r="O527" s="573" t="s">
        <v>130</v>
      </c>
      <c r="Q527" s="573" t="s">
        <v>129</v>
      </c>
      <c r="R527" s="587">
        <v>0</v>
      </c>
      <c r="S527" s="575"/>
      <c r="T527" s="576"/>
      <c r="U527" s="582" t="s">
        <v>117</v>
      </c>
      <c r="W527" s="578"/>
      <c r="Z527" s="576"/>
      <c r="AA527" s="582" t="s">
        <v>117</v>
      </c>
      <c r="AC527" s="578"/>
      <c r="AE527" s="592" t="str">
        <f t="shared" si="52"/>
        <v>|</v>
      </c>
      <c r="AG527" s="573" t="s">
        <v>849</v>
      </c>
    </row>
    <row r="528" spans="1:33" ht="24" customHeight="1">
      <c r="A528" s="594">
        <f t="shared" si="48"/>
        <v>353</v>
      </c>
      <c r="B528" s="595" t="s">
        <v>727</v>
      </c>
      <c r="C528" s="596">
        <v>26</v>
      </c>
      <c r="D528" s="595" t="s">
        <v>209</v>
      </c>
      <c r="F528" s="587">
        <v>0.75</v>
      </c>
      <c r="G528" s="585" t="s">
        <v>1</v>
      </c>
      <c r="H528" s="573" t="s">
        <v>146</v>
      </c>
      <c r="I528" s="587">
        <f>(C12)</f>
        <v>502</v>
      </c>
      <c r="J528" s="573" t="s">
        <v>1</v>
      </c>
      <c r="K528" s="587">
        <f>(F528*I528)</f>
        <v>376.5</v>
      </c>
      <c r="R528" s="582" t="s">
        <v>117</v>
      </c>
      <c r="S528" s="617">
        <v>1.4999999999999999E-2</v>
      </c>
      <c r="T528" s="585" t="s">
        <v>126</v>
      </c>
      <c r="U528" s="573" t="s">
        <v>914</v>
      </c>
      <c r="V528" s="587">
        <f>X657</f>
        <v>6209.9854500000001</v>
      </c>
      <c r="W528" s="573" t="s">
        <v>126</v>
      </c>
      <c r="X528" s="587">
        <f>(S528*V528)</f>
        <v>93.149781750000002</v>
      </c>
      <c r="Y528" s="617">
        <v>1.4999999999999999E-2</v>
      </c>
      <c r="Z528" s="585" t="s">
        <v>126</v>
      </c>
      <c r="AA528" s="573" t="s">
        <v>914</v>
      </c>
      <c r="AB528" s="587">
        <f>AF657</f>
        <v>6734.51505</v>
      </c>
      <c r="AC528" s="573" t="s">
        <v>126</v>
      </c>
      <c r="AD528" s="587">
        <f>(Y528*AB528)</f>
        <v>101.01772575</v>
      </c>
      <c r="AE528" s="592" t="str">
        <f t="shared" si="52"/>
        <v>|</v>
      </c>
      <c r="AG528" s="573" t="s">
        <v>849</v>
      </c>
    </row>
    <row r="529" spans="1:33" ht="24" customHeight="1">
      <c r="A529" s="594">
        <f t="shared" si="48"/>
        <v>354</v>
      </c>
      <c r="B529" s="664" t="s">
        <v>3061</v>
      </c>
      <c r="C529" s="608"/>
      <c r="D529" s="595" t="s">
        <v>115</v>
      </c>
      <c r="G529" s="585" t="s">
        <v>129</v>
      </c>
      <c r="H529" s="573" t="s">
        <v>130</v>
      </c>
      <c r="J529" s="573" t="s">
        <v>129</v>
      </c>
      <c r="K529" s="587">
        <v>0</v>
      </c>
      <c r="O529" s="573" t="s">
        <v>893</v>
      </c>
      <c r="R529" s="587">
        <f>SUM(R517:R527)</f>
        <v>4508.4000000000005</v>
      </c>
      <c r="S529" s="587">
        <v>0.5</v>
      </c>
      <c r="T529" s="585" t="s">
        <v>1</v>
      </c>
      <c r="U529" s="573" t="s">
        <v>144</v>
      </c>
      <c r="V529" s="587">
        <f>C10</f>
        <v>769</v>
      </c>
      <c r="W529" s="573" t="s">
        <v>1</v>
      </c>
      <c r="X529" s="587">
        <f>(S529*V529)</f>
        <v>384.5</v>
      </c>
      <c r="Y529" s="587">
        <v>0.5</v>
      </c>
      <c r="Z529" s="585" t="s">
        <v>1</v>
      </c>
      <c r="AA529" s="573" t="s">
        <v>144</v>
      </c>
      <c r="AB529" s="587">
        <f>V529</f>
        <v>769</v>
      </c>
      <c r="AC529" s="573" t="s">
        <v>1</v>
      </c>
      <c r="AD529" s="587">
        <f>(Y529*AB529)</f>
        <v>384.5</v>
      </c>
      <c r="AE529" s="592" t="str">
        <f t="shared" si="52"/>
        <v>|</v>
      </c>
      <c r="AG529" s="573" t="s">
        <v>849</v>
      </c>
    </row>
    <row r="530" spans="1:33" ht="24" customHeight="1">
      <c r="A530" s="594">
        <f t="shared" si="48"/>
        <v>355</v>
      </c>
      <c r="B530" s="595" t="s">
        <v>786</v>
      </c>
      <c r="C530" s="593">
        <v>5.3</v>
      </c>
      <c r="D530" s="595" t="s">
        <v>209</v>
      </c>
      <c r="K530" s="582" t="s">
        <v>117</v>
      </c>
      <c r="R530" s="582" t="s">
        <v>117</v>
      </c>
      <c r="S530" s="587">
        <v>0.75</v>
      </c>
      <c r="T530" s="585" t="s">
        <v>1</v>
      </c>
      <c r="U530" s="573" t="s">
        <v>146</v>
      </c>
      <c r="V530" s="587">
        <f>C12</f>
        <v>502</v>
      </c>
      <c r="W530" s="573" t="s">
        <v>1</v>
      </c>
      <c r="X530" s="587">
        <f>(S530*V530)</f>
        <v>376.5</v>
      </c>
      <c r="Y530" s="587">
        <v>0.75</v>
      </c>
      <c r="Z530" s="585" t="s">
        <v>1</v>
      </c>
      <c r="AA530" s="573" t="s">
        <v>146</v>
      </c>
      <c r="AB530" s="587">
        <f>V530</f>
        <v>502</v>
      </c>
      <c r="AC530" s="573" t="s">
        <v>1</v>
      </c>
      <c r="AD530" s="587">
        <f>(Y530*AB530)</f>
        <v>376.5</v>
      </c>
      <c r="AE530" s="592" t="str">
        <f t="shared" si="52"/>
        <v>|</v>
      </c>
      <c r="AG530" s="573" t="s">
        <v>849</v>
      </c>
    </row>
    <row r="531" spans="1:33" ht="24" customHeight="1">
      <c r="A531" s="594">
        <f t="shared" si="48"/>
        <v>356</v>
      </c>
      <c r="B531" s="595" t="s">
        <v>779</v>
      </c>
      <c r="C531" s="593">
        <v>6</v>
      </c>
      <c r="D531" s="595" t="s">
        <v>209</v>
      </c>
      <c r="H531" s="573" t="s">
        <v>918</v>
      </c>
      <c r="K531" s="587">
        <f>SUM(K526:K529)</f>
        <v>852.72761000000003</v>
      </c>
      <c r="O531" s="573" t="s">
        <v>216</v>
      </c>
      <c r="R531" s="587">
        <f>(R529/30)</f>
        <v>150.28000000000003</v>
      </c>
      <c r="S531" s="575"/>
      <c r="T531" s="585" t="s">
        <v>129</v>
      </c>
      <c r="U531" s="573" t="s">
        <v>130</v>
      </c>
      <c r="W531" s="573" t="s">
        <v>129</v>
      </c>
      <c r="X531" s="587">
        <v>0</v>
      </c>
      <c r="Z531" s="585" t="s">
        <v>129</v>
      </c>
      <c r="AA531" s="573" t="s">
        <v>130</v>
      </c>
      <c r="AB531" s="587">
        <f>V531</f>
        <v>0</v>
      </c>
      <c r="AC531" s="573" t="s">
        <v>129</v>
      </c>
      <c r="AD531" s="587">
        <v>0</v>
      </c>
      <c r="AE531" s="592" t="str">
        <f t="shared" si="52"/>
        <v>|</v>
      </c>
      <c r="AG531" s="573" t="s">
        <v>849</v>
      </c>
    </row>
    <row r="532" spans="1:33" ht="24" customHeight="1">
      <c r="A532" s="594">
        <f t="shared" si="48"/>
        <v>357</v>
      </c>
      <c r="B532" s="595" t="s">
        <v>781</v>
      </c>
      <c r="C532" s="593">
        <v>8.5</v>
      </c>
      <c r="D532" s="595" t="s">
        <v>209</v>
      </c>
      <c r="K532" s="582" t="s">
        <v>117</v>
      </c>
      <c r="R532" s="582" t="s">
        <v>117</v>
      </c>
      <c r="S532" s="575"/>
      <c r="T532" s="576"/>
      <c r="W532" s="578"/>
      <c r="X532" s="582" t="s">
        <v>117</v>
      </c>
      <c r="Z532" s="576"/>
      <c r="AC532" s="578"/>
      <c r="AD532" s="582" t="s">
        <v>117</v>
      </c>
      <c r="AE532" s="592" t="str">
        <f t="shared" si="52"/>
        <v>|</v>
      </c>
      <c r="AG532" s="573" t="s">
        <v>849</v>
      </c>
    </row>
    <row r="533" spans="1:33" ht="24" customHeight="1">
      <c r="A533" s="594">
        <f t="shared" si="48"/>
        <v>358</v>
      </c>
      <c r="B533" s="595" t="s">
        <v>782</v>
      </c>
      <c r="C533" s="593">
        <v>12.2</v>
      </c>
      <c r="D533" s="595" t="s">
        <v>209</v>
      </c>
      <c r="H533" s="573" t="s">
        <v>154</v>
      </c>
      <c r="K533" s="587">
        <f>(K531/0.743)</f>
        <v>1147.6818438761777</v>
      </c>
      <c r="S533" s="575"/>
      <c r="T533" s="576"/>
      <c r="U533" s="573" t="s">
        <v>918</v>
      </c>
      <c r="W533" s="578"/>
      <c r="X533" s="587">
        <f>SUM(X528:X531)</f>
        <v>854.14978174999999</v>
      </c>
      <c r="Z533" s="576"/>
      <c r="AA533" s="573" t="s">
        <v>918</v>
      </c>
      <c r="AC533" s="578"/>
      <c r="AD533" s="587">
        <f>SUM(AD528:AD531)</f>
        <v>862.01772574999995</v>
      </c>
      <c r="AE533" s="592" t="str">
        <f t="shared" si="52"/>
        <v>|</v>
      </c>
      <c r="AG533" s="573" t="s">
        <v>849</v>
      </c>
    </row>
    <row r="534" spans="1:33" ht="24" customHeight="1">
      <c r="A534" s="594">
        <f t="shared" si="48"/>
        <v>359</v>
      </c>
      <c r="B534" s="595" t="s">
        <v>783</v>
      </c>
      <c r="C534" s="593">
        <v>17.2</v>
      </c>
      <c r="D534" s="595" t="s">
        <v>209</v>
      </c>
      <c r="K534" s="582" t="s">
        <v>155</v>
      </c>
      <c r="S534" s="575"/>
      <c r="T534" s="576"/>
      <c r="W534" s="578"/>
      <c r="X534" s="582" t="s">
        <v>117</v>
      </c>
      <c r="Z534" s="576"/>
      <c r="AC534" s="578"/>
      <c r="AD534" s="582" t="s">
        <v>117</v>
      </c>
      <c r="AE534" s="592" t="str">
        <f t="shared" si="52"/>
        <v>|</v>
      </c>
      <c r="AG534" s="573" t="s">
        <v>849</v>
      </c>
    </row>
    <row r="535" spans="1:33" ht="24" customHeight="1">
      <c r="A535" s="594">
        <f t="shared" si="48"/>
        <v>360</v>
      </c>
      <c r="B535" s="595" t="s">
        <v>727</v>
      </c>
      <c r="C535" s="593">
        <v>24.5</v>
      </c>
      <c r="D535" s="595" t="s">
        <v>209</v>
      </c>
      <c r="H535" s="573" t="s">
        <v>482</v>
      </c>
      <c r="I535" s="587">
        <f>K533</f>
        <v>1147.6818438761777</v>
      </c>
      <c r="J535" s="573">
        <f>C22*0.015/0.743</f>
        <v>1.8149394347240915</v>
      </c>
      <c r="K535" s="586">
        <f>I535+J535</f>
        <v>1149.4967833109017</v>
      </c>
      <c r="N535" s="573" t="s">
        <v>853</v>
      </c>
      <c r="O535" s="574" t="s">
        <v>919</v>
      </c>
      <c r="S535" s="575"/>
      <c r="T535" s="576"/>
      <c r="U535" s="573" t="s">
        <v>154</v>
      </c>
      <c r="W535" s="578"/>
      <c r="X535" s="587">
        <f>(X533/0.743)</f>
        <v>1149.5959377523552</v>
      </c>
      <c r="Z535" s="576"/>
      <c r="AA535" s="573" t="s">
        <v>154</v>
      </c>
      <c r="AC535" s="578"/>
      <c r="AD535" s="587">
        <f>(AD533/0.743)</f>
        <v>1160.1853644010766</v>
      </c>
      <c r="AE535" s="592" t="str">
        <f t="shared" si="52"/>
        <v>|</v>
      </c>
      <c r="AG535" s="573" t="s">
        <v>849</v>
      </c>
    </row>
    <row r="536" spans="1:33" ht="24" customHeight="1">
      <c r="A536" s="594">
        <f t="shared" si="48"/>
        <v>361</v>
      </c>
      <c r="B536" s="664" t="s">
        <v>920</v>
      </c>
      <c r="C536" s="608"/>
      <c r="D536" s="595" t="s">
        <v>115</v>
      </c>
      <c r="H536" s="573" t="s">
        <v>486</v>
      </c>
      <c r="I536" s="587">
        <f>K535</f>
        <v>1149.4967833109017</v>
      </c>
      <c r="J536" s="573">
        <f>C23*0.015/0.743</f>
        <v>3.5733512786002688</v>
      </c>
      <c r="K536" s="586">
        <f>I536+J536</f>
        <v>1153.070134589502</v>
      </c>
      <c r="O536" s="582" t="s">
        <v>117</v>
      </c>
      <c r="S536" s="575"/>
      <c r="T536" s="576"/>
      <c r="W536" s="578"/>
      <c r="X536" s="582" t="s">
        <v>155</v>
      </c>
      <c r="Z536" s="576"/>
      <c r="AC536" s="578"/>
      <c r="AD536" s="582" t="s">
        <v>155</v>
      </c>
      <c r="AE536" s="592" t="str">
        <f t="shared" si="52"/>
        <v>|</v>
      </c>
      <c r="AG536" s="573" t="s">
        <v>849</v>
      </c>
    </row>
    <row r="537" spans="1:33" ht="24" customHeight="1">
      <c r="A537" s="594">
        <f t="shared" si="48"/>
        <v>362</v>
      </c>
      <c r="B537" s="595" t="s">
        <v>786</v>
      </c>
      <c r="C537" s="593">
        <v>7.3</v>
      </c>
      <c r="D537" s="595" t="s">
        <v>209</v>
      </c>
      <c r="H537" s="573" t="s">
        <v>489</v>
      </c>
      <c r="I537" s="587">
        <f>K536</f>
        <v>1153.070134589502</v>
      </c>
      <c r="J537" s="573">
        <f>J536</f>
        <v>3.5733512786002688</v>
      </c>
      <c r="K537" s="586">
        <f>I537+J537</f>
        <v>1156.6434858681023</v>
      </c>
      <c r="M537" s="587">
        <v>30</v>
      </c>
      <c r="N537" s="573" t="s">
        <v>203</v>
      </c>
      <c r="O537" s="573" t="s">
        <v>879</v>
      </c>
      <c r="P537" s="587">
        <f>(C42)</f>
        <v>15.53</v>
      </c>
      <c r="Q537" s="573" t="s">
        <v>203</v>
      </c>
      <c r="R537" s="587">
        <f>(M537*P537)</f>
        <v>465.9</v>
      </c>
      <c r="S537" s="575"/>
      <c r="T537" s="576"/>
      <c r="U537" s="573" t="s">
        <v>482</v>
      </c>
      <c r="V537" s="587">
        <f>X535</f>
        <v>1149.5959377523552</v>
      </c>
      <c r="W537" s="573">
        <f>J535</f>
        <v>1.8149394347240915</v>
      </c>
      <c r="X537" s="586">
        <f>V537+W537</f>
        <v>1151.4108771870792</v>
      </c>
      <c r="Z537" s="576"/>
      <c r="AA537" s="573" t="s">
        <v>482</v>
      </c>
      <c r="AB537" s="587">
        <f>AD535</f>
        <v>1160.1853644010766</v>
      </c>
      <c r="AC537" s="573">
        <f>W537</f>
        <v>1.8149394347240915</v>
      </c>
      <c r="AD537" s="586">
        <f>AB537+AC537</f>
        <v>1162.0003038358007</v>
      </c>
      <c r="AE537" s="592" t="str">
        <f t="shared" si="52"/>
        <v>|</v>
      </c>
      <c r="AG537" s="573" t="s">
        <v>849</v>
      </c>
    </row>
    <row r="538" spans="1:33" ht="24" customHeight="1">
      <c r="A538" s="594">
        <f t="shared" si="48"/>
        <v>363</v>
      </c>
      <c r="B538" s="595" t="s">
        <v>779</v>
      </c>
      <c r="C538" s="593">
        <v>8.5</v>
      </c>
      <c r="D538" s="595" t="s">
        <v>209</v>
      </c>
      <c r="H538" s="573" t="s">
        <v>491</v>
      </c>
      <c r="I538" s="587">
        <f>K537</f>
        <v>1156.6434858681023</v>
      </c>
      <c r="J538" s="573">
        <f>J537</f>
        <v>3.5733512786002688</v>
      </c>
      <c r="K538" s="586">
        <f>I538+J538</f>
        <v>1160.2168371467026</v>
      </c>
      <c r="M538" s="573" t="s">
        <v>115</v>
      </c>
      <c r="O538" s="573" t="s">
        <v>882</v>
      </c>
      <c r="P538" s="573" t="s">
        <v>115</v>
      </c>
      <c r="R538" s="573" t="s">
        <v>115</v>
      </c>
      <c r="S538" s="575"/>
      <c r="T538" s="576"/>
      <c r="U538" s="573" t="s">
        <v>486</v>
      </c>
      <c r="V538" s="587">
        <f>X537</f>
        <v>1151.4108771870792</v>
      </c>
      <c r="W538" s="573">
        <f t="shared" ref="W538:W549" si="53">J538</f>
        <v>3.5733512786002688</v>
      </c>
      <c r="X538" s="586">
        <f>V538+W538</f>
        <v>1154.9842284656795</v>
      </c>
      <c r="Z538" s="576"/>
      <c r="AA538" s="573" t="s">
        <v>486</v>
      </c>
      <c r="AB538" s="587">
        <f>AD537</f>
        <v>1162.0003038358007</v>
      </c>
      <c r="AC538" s="573">
        <f t="shared" ref="AC538:AC549" si="54">W538</f>
        <v>3.5733512786002688</v>
      </c>
      <c r="AD538" s="586">
        <f>AB538+AC538</f>
        <v>1165.5736551144009</v>
      </c>
      <c r="AE538" s="592" t="str">
        <f t="shared" si="52"/>
        <v>|</v>
      </c>
      <c r="AG538" s="573" t="s">
        <v>849</v>
      </c>
    </row>
    <row r="539" spans="1:33" ht="24" customHeight="1">
      <c r="A539" s="594">
        <f t="shared" si="48"/>
        <v>364</v>
      </c>
      <c r="B539" s="595" t="s">
        <v>781</v>
      </c>
      <c r="C539" s="593">
        <v>12.2</v>
      </c>
      <c r="D539" s="595" t="s">
        <v>209</v>
      </c>
      <c r="H539" s="573" t="s">
        <v>486</v>
      </c>
      <c r="I539" s="587">
        <f>K538</f>
        <v>1160.2168371467026</v>
      </c>
      <c r="J539" s="573">
        <f>J538</f>
        <v>3.5733512786002688</v>
      </c>
      <c r="K539" s="586">
        <f>I539+J539</f>
        <v>1163.7901884253029</v>
      </c>
      <c r="M539" s="587">
        <v>8</v>
      </c>
      <c r="N539" s="573" t="s">
        <v>209</v>
      </c>
      <c r="O539" s="573" t="s">
        <v>823</v>
      </c>
      <c r="P539" s="587">
        <f>(C45)</f>
        <v>8.5</v>
      </c>
      <c r="Q539" s="573" t="s">
        <v>209</v>
      </c>
      <c r="R539" s="587">
        <f>(M539*P539)</f>
        <v>68</v>
      </c>
      <c r="S539" s="575"/>
      <c r="T539" s="576"/>
      <c r="U539" s="573" t="s">
        <v>489</v>
      </c>
      <c r="V539" s="587">
        <f>X538</f>
        <v>1154.9842284656795</v>
      </c>
      <c r="W539" s="573">
        <f t="shared" si="53"/>
        <v>3.5733512786002688</v>
      </c>
      <c r="X539" s="586">
        <f>V539+W539</f>
        <v>1158.5575797442798</v>
      </c>
      <c r="Z539" s="576"/>
      <c r="AA539" s="573" t="s">
        <v>489</v>
      </c>
      <c r="AB539" s="587">
        <f>AD538</f>
        <v>1165.5736551144009</v>
      </c>
      <c r="AC539" s="573">
        <f t="shared" si="54"/>
        <v>3.5733512786002688</v>
      </c>
      <c r="AD539" s="586">
        <f>AB539+AC539</f>
        <v>1169.1470063930012</v>
      </c>
      <c r="AE539" s="592" t="str">
        <f t="shared" si="52"/>
        <v>|</v>
      </c>
      <c r="AG539" s="573" t="s">
        <v>849</v>
      </c>
    </row>
    <row r="540" spans="1:33" ht="24" customHeight="1">
      <c r="A540" s="594"/>
      <c r="B540" s="595"/>
      <c r="C540" s="593"/>
      <c r="D540" s="595"/>
      <c r="H540" s="573">
        <v>5</v>
      </c>
      <c r="I540" s="587">
        <f t="shared" ref="I540:I545" si="55">K539</f>
        <v>1163.7901884253029</v>
      </c>
      <c r="J540" s="573">
        <f t="shared" ref="J540:J547" si="56">J539</f>
        <v>3.5733512786002688</v>
      </c>
      <c r="K540" s="586">
        <f t="shared" ref="K540:K545" si="57">I540+J540</f>
        <v>1167.3635397039031</v>
      </c>
      <c r="M540" s="587"/>
      <c r="N540" s="573"/>
      <c r="O540" s="573"/>
      <c r="P540" s="587"/>
      <c r="Q540" s="573"/>
      <c r="R540" s="587"/>
      <c r="S540" s="575"/>
      <c r="T540" s="576"/>
      <c r="U540" s="573" t="s">
        <v>491</v>
      </c>
      <c r="V540" s="587">
        <f>X539</f>
        <v>1158.5575797442798</v>
      </c>
      <c r="W540" s="573">
        <f t="shared" si="53"/>
        <v>3.5733512786002688</v>
      </c>
      <c r="X540" s="586">
        <f>V540+W540</f>
        <v>1162.1309310228801</v>
      </c>
      <c r="Z540" s="576"/>
      <c r="AA540" s="573" t="s">
        <v>491</v>
      </c>
      <c r="AB540" s="587">
        <f>AD539</f>
        <v>1169.1470063930012</v>
      </c>
      <c r="AC540" s="573">
        <f t="shared" si="54"/>
        <v>3.5733512786002688</v>
      </c>
      <c r="AD540" s="586">
        <f>AB540+AC540</f>
        <v>1172.7203576716015</v>
      </c>
      <c r="AE540" s="592"/>
      <c r="AG540" s="573"/>
    </row>
    <row r="541" spans="1:33" ht="24" customHeight="1">
      <c r="A541" s="594"/>
      <c r="B541" s="595"/>
      <c r="C541" s="593"/>
      <c r="D541" s="595"/>
      <c r="H541" s="573">
        <v>6</v>
      </c>
      <c r="I541" s="587">
        <f t="shared" si="55"/>
        <v>1167.3635397039031</v>
      </c>
      <c r="J541" s="573">
        <f t="shared" si="56"/>
        <v>3.5733512786002688</v>
      </c>
      <c r="K541" s="586">
        <f t="shared" si="57"/>
        <v>1170.9368909825034</v>
      </c>
      <c r="M541" s="587"/>
      <c r="N541" s="573"/>
      <c r="O541" s="573"/>
      <c r="P541" s="587"/>
      <c r="Q541" s="573"/>
      <c r="R541" s="587"/>
      <c r="S541" s="575"/>
      <c r="T541" s="576"/>
      <c r="U541" s="573" t="s">
        <v>486</v>
      </c>
      <c r="V541" s="587">
        <f>X540</f>
        <v>1162.1309310228801</v>
      </c>
      <c r="W541" s="573">
        <f t="shared" si="53"/>
        <v>3.5733512786002688</v>
      </c>
      <c r="X541" s="586">
        <f>V541+W541</f>
        <v>1165.7042823014804</v>
      </c>
      <c r="Z541" s="576"/>
      <c r="AA541" s="573" t="s">
        <v>486</v>
      </c>
      <c r="AB541" s="587">
        <f>AD540</f>
        <v>1172.7203576716015</v>
      </c>
      <c r="AC541" s="573">
        <f t="shared" si="54"/>
        <v>3.5733512786002688</v>
      </c>
      <c r="AD541" s="586">
        <f>AB541+AC541</f>
        <v>1176.2937089502018</v>
      </c>
      <c r="AE541" s="592"/>
      <c r="AG541" s="573"/>
    </row>
    <row r="542" spans="1:33" ht="24" customHeight="1">
      <c r="A542" s="594"/>
      <c r="B542" s="595"/>
      <c r="C542" s="593"/>
      <c r="D542" s="595"/>
      <c r="H542" s="573">
        <v>7</v>
      </c>
      <c r="I542" s="587">
        <f t="shared" si="55"/>
        <v>1170.9368909825034</v>
      </c>
      <c r="J542" s="573">
        <f t="shared" si="56"/>
        <v>3.5733512786002688</v>
      </c>
      <c r="K542" s="586">
        <f t="shared" si="57"/>
        <v>1174.5102422611037</v>
      </c>
      <c r="M542" s="587"/>
      <c r="N542" s="573"/>
      <c r="O542" s="573"/>
      <c r="P542" s="587"/>
      <c r="Q542" s="573"/>
      <c r="R542" s="587"/>
      <c r="S542" s="575"/>
      <c r="T542" s="576"/>
      <c r="U542" s="573">
        <v>5</v>
      </c>
      <c r="V542" s="587">
        <f t="shared" ref="V542:V547" si="58">X541</f>
        <v>1165.7042823014804</v>
      </c>
      <c r="W542" s="573">
        <f t="shared" si="53"/>
        <v>3.5733512786002688</v>
      </c>
      <c r="X542" s="586">
        <f t="shared" ref="X542:X547" si="59">V542+W542</f>
        <v>1169.2776335800806</v>
      </c>
      <c r="Z542" s="576"/>
      <c r="AA542" s="573">
        <v>5</v>
      </c>
      <c r="AB542" s="587">
        <f t="shared" ref="AB542:AB547" si="60">AD541</f>
        <v>1176.2937089502018</v>
      </c>
      <c r="AC542" s="573">
        <f t="shared" si="54"/>
        <v>3.5733512786002688</v>
      </c>
      <c r="AD542" s="586">
        <f t="shared" ref="AD542:AD547" si="61">AB542+AC542</f>
        <v>1179.8670602288021</v>
      </c>
      <c r="AE542" s="592"/>
      <c r="AG542" s="573"/>
    </row>
    <row r="543" spans="1:33" ht="24" customHeight="1">
      <c r="A543" s="594"/>
      <c r="B543" s="595"/>
      <c r="C543" s="593"/>
      <c r="D543" s="595"/>
      <c r="H543" s="573">
        <v>8</v>
      </c>
      <c r="I543" s="587">
        <f t="shared" si="55"/>
        <v>1174.5102422611037</v>
      </c>
      <c r="J543" s="573">
        <f t="shared" si="56"/>
        <v>3.5733512786002688</v>
      </c>
      <c r="K543" s="586">
        <f t="shared" si="57"/>
        <v>1178.083593539704</v>
      </c>
      <c r="M543" s="587"/>
      <c r="N543" s="573"/>
      <c r="O543" s="573"/>
      <c r="P543" s="587"/>
      <c r="Q543" s="573"/>
      <c r="R543" s="587"/>
      <c r="S543" s="575"/>
      <c r="T543" s="576"/>
      <c r="U543" s="573">
        <v>6</v>
      </c>
      <c r="V543" s="587">
        <f t="shared" si="58"/>
        <v>1169.2776335800806</v>
      </c>
      <c r="W543" s="573">
        <f t="shared" si="53"/>
        <v>3.5733512786002688</v>
      </c>
      <c r="X543" s="586">
        <f t="shared" si="59"/>
        <v>1172.8509848586809</v>
      </c>
      <c r="Z543" s="576"/>
      <c r="AA543" s="573">
        <v>6</v>
      </c>
      <c r="AB543" s="587">
        <f t="shared" si="60"/>
        <v>1179.8670602288021</v>
      </c>
      <c r="AC543" s="573">
        <f t="shared" si="54"/>
        <v>3.5733512786002688</v>
      </c>
      <c r="AD543" s="586">
        <f t="shared" si="61"/>
        <v>1183.4404115074024</v>
      </c>
      <c r="AE543" s="592"/>
      <c r="AG543" s="573"/>
    </row>
    <row r="544" spans="1:33" ht="24" customHeight="1">
      <c r="A544" s="594"/>
      <c r="B544" s="595"/>
      <c r="C544" s="593"/>
      <c r="D544" s="595"/>
      <c r="H544" s="573">
        <v>9</v>
      </c>
      <c r="I544" s="587">
        <f t="shared" si="55"/>
        <v>1178.083593539704</v>
      </c>
      <c r="J544" s="573">
        <f t="shared" si="56"/>
        <v>3.5733512786002688</v>
      </c>
      <c r="K544" s="586">
        <f t="shared" si="57"/>
        <v>1181.6569448183043</v>
      </c>
      <c r="M544" s="587"/>
      <c r="N544" s="573"/>
      <c r="O544" s="573"/>
      <c r="P544" s="587"/>
      <c r="Q544" s="573"/>
      <c r="R544" s="587"/>
      <c r="S544" s="575"/>
      <c r="T544" s="576"/>
      <c r="U544" s="573">
        <v>7</v>
      </c>
      <c r="V544" s="587">
        <f t="shared" si="58"/>
        <v>1172.8509848586809</v>
      </c>
      <c r="W544" s="573">
        <f t="shared" si="53"/>
        <v>3.5733512786002688</v>
      </c>
      <c r="X544" s="586">
        <f t="shared" si="59"/>
        <v>1176.4243361372812</v>
      </c>
      <c r="Z544" s="576"/>
      <c r="AA544" s="573">
        <v>7</v>
      </c>
      <c r="AB544" s="587">
        <f t="shared" si="60"/>
        <v>1183.4404115074024</v>
      </c>
      <c r="AC544" s="573">
        <f t="shared" si="54"/>
        <v>3.5733512786002688</v>
      </c>
      <c r="AD544" s="586">
        <f t="shared" si="61"/>
        <v>1187.0137627860026</v>
      </c>
      <c r="AE544" s="592"/>
      <c r="AG544" s="573"/>
    </row>
    <row r="545" spans="1:33" ht="24" customHeight="1">
      <c r="A545" s="594"/>
      <c r="B545" s="595"/>
      <c r="C545" s="593"/>
      <c r="D545" s="595"/>
      <c r="H545" s="573">
        <v>10</v>
      </c>
      <c r="I545" s="587">
        <f t="shared" si="55"/>
        <v>1181.6569448183043</v>
      </c>
      <c r="J545" s="573">
        <f t="shared" si="56"/>
        <v>3.5733512786002688</v>
      </c>
      <c r="K545" s="586">
        <f t="shared" si="57"/>
        <v>1185.2302960969046</v>
      </c>
      <c r="M545" s="587"/>
      <c r="N545" s="573"/>
      <c r="O545" s="573"/>
      <c r="P545" s="587"/>
      <c r="Q545" s="573"/>
      <c r="R545" s="587"/>
      <c r="S545" s="575"/>
      <c r="T545" s="576"/>
      <c r="U545" s="573">
        <v>8</v>
      </c>
      <c r="V545" s="587">
        <f t="shared" si="58"/>
        <v>1176.4243361372812</v>
      </c>
      <c r="W545" s="573">
        <f t="shared" si="53"/>
        <v>3.5733512786002688</v>
      </c>
      <c r="X545" s="586">
        <f t="shared" si="59"/>
        <v>1179.9976874158815</v>
      </c>
      <c r="Z545" s="576"/>
      <c r="AA545" s="573">
        <v>8</v>
      </c>
      <c r="AB545" s="587">
        <f t="shared" si="60"/>
        <v>1187.0137627860026</v>
      </c>
      <c r="AC545" s="573">
        <f t="shared" si="54"/>
        <v>3.5733512786002688</v>
      </c>
      <c r="AD545" s="586">
        <f t="shared" si="61"/>
        <v>1190.5871140646029</v>
      </c>
      <c r="AE545" s="592"/>
      <c r="AG545" s="573"/>
    </row>
    <row r="546" spans="1:33" ht="24" customHeight="1">
      <c r="A546" s="594"/>
      <c r="B546" s="595"/>
      <c r="C546" s="593"/>
      <c r="D546" s="595"/>
      <c r="H546" s="573">
        <v>11</v>
      </c>
      <c r="I546" s="587">
        <f>K545</f>
        <v>1185.2302960969046</v>
      </c>
      <c r="J546" s="573">
        <f t="shared" si="56"/>
        <v>3.5733512786002688</v>
      </c>
      <c r="K546" s="586">
        <f>I546+J546</f>
        <v>1188.8036473755049</v>
      </c>
      <c r="M546" s="587"/>
      <c r="N546" s="573"/>
      <c r="O546" s="573"/>
      <c r="P546" s="587"/>
      <c r="Q546" s="573"/>
      <c r="R546" s="587"/>
      <c r="S546" s="575"/>
      <c r="T546" s="576"/>
      <c r="U546" s="573">
        <v>9</v>
      </c>
      <c r="V546" s="587">
        <f t="shared" si="58"/>
        <v>1179.9976874158815</v>
      </c>
      <c r="W546" s="573">
        <f t="shared" si="53"/>
        <v>3.5733512786002688</v>
      </c>
      <c r="X546" s="586">
        <f t="shared" si="59"/>
        <v>1183.5710386944818</v>
      </c>
      <c r="Z546" s="576"/>
      <c r="AA546" s="573">
        <v>9</v>
      </c>
      <c r="AB546" s="587">
        <f t="shared" si="60"/>
        <v>1190.5871140646029</v>
      </c>
      <c r="AC546" s="573">
        <f t="shared" si="54"/>
        <v>3.5733512786002688</v>
      </c>
      <c r="AD546" s="586">
        <f t="shared" si="61"/>
        <v>1194.1604653432032</v>
      </c>
      <c r="AE546" s="592"/>
      <c r="AG546" s="573"/>
    </row>
    <row r="547" spans="1:33" ht="24" customHeight="1">
      <c r="A547" s="594"/>
      <c r="B547" s="595"/>
      <c r="C547" s="593"/>
      <c r="D547" s="595"/>
      <c r="H547" s="573">
        <v>12</v>
      </c>
      <c r="I547" s="587">
        <f>K546</f>
        <v>1188.8036473755049</v>
      </c>
      <c r="J547" s="573">
        <f t="shared" si="56"/>
        <v>3.5733512786002688</v>
      </c>
      <c r="K547" s="586">
        <f>I547+J547</f>
        <v>1192.3769986541051</v>
      </c>
      <c r="M547" s="587"/>
      <c r="N547" s="573"/>
      <c r="O547" s="573"/>
      <c r="P547" s="587"/>
      <c r="Q547" s="573"/>
      <c r="R547" s="587"/>
      <c r="S547" s="575"/>
      <c r="T547" s="576"/>
      <c r="U547" s="573">
        <v>10</v>
      </c>
      <c r="V547" s="587">
        <f t="shared" si="58"/>
        <v>1183.5710386944818</v>
      </c>
      <c r="W547" s="573">
        <f t="shared" si="53"/>
        <v>3.5733512786002688</v>
      </c>
      <c r="X547" s="586">
        <f t="shared" si="59"/>
        <v>1187.1443899730821</v>
      </c>
      <c r="Z547" s="576"/>
      <c r="AA547" s="573">
        <v>10</v>
      </c>
      <c r="AB547" s="587">
        <f t="shared" si="60"/>
        <v>1194.1604653432032</v>
      </c>
      <c r="AC547" s="573">
        <f t="shared" si="54"/>
        <v>3.5733512786002688</v>
      </c>
      <c r="AD547" s="586">
        <f t="shared" si="61"/>
        <v>1197.7338166218035</v>
      </c>
      <c r="AE547" s="592"/>
      <c r="AG547" s="573"/>
    </row>
    <row r="548" spans="1:33" ht="24" customHeight="1">
      <c r="A548" s="594">
        <f>(A539+1)</f>
        <v>365</v>
      </c>
      <c r="B548" s="595" t="s">
        <v>782</v>
      </c>
      <c r="C548" s="593">
        <v>14.7</v>
      </c>
      <c r="D548" s="595" t="s">
        <v>209</v>
      </c>
      <c r="F548" s="574" t="s">
        <v>921</v>
      </c>
      <c r="G548" s="585" t="s">
        <v>122</v>
      </c>
      <c r="H548" s="573" t="s">
        <v>922</v>
      </c>
      <c r="M548" s="587">
        <v>8</v>
      </c>
      <c r="N548" s="573" t="s">
        <v>209</v>
      </c>
      <c r="O548" s="573" t="s">
        <v>826</v>
      </c>
      <c r="P548" s="587">
        <f>(C52)</f>
        <v>21.1</v>
      </c>
      <c r="Q548" s="573" t="s">
        <v>209</v>
      </c>
      <c r="R548" s="587">
        <f>(M548*P548)</f>
        <v>168.8</v>
      </c>
      <c r="S548" s="575"/>
      <c r="T548" s="576"/>
      <c r="U548" s="573">
        <v>11</v>
      </c>
      <c r="V548" s="587">
        <f>X547</f>
        <v>1187.1443899730821</v>
      </c>
      <c r="W548" s="573">
        <f t="shared" si="53"/>
        <v>0</v>
      </c>
      <c r="X548" s="586">
        <f>V548+W548</f>
        <v>1187.1443899730821</v>
      </c>
      <c r="Z548" s="576"/>
      <c r="AA548" s="573">
        <v>11</v>
      </c>
      <c r="AB548" s="587">
        <f>AD547</f>
        <v>1197.7338166218035</v>
      </c>
      <c r="AC548" s="573">
        <f t="shared" si="54"/>
        <v>0</v>
      </c>
      <c r="AD548" s="586">
        <f>AB548+AC548</f>
        <v>1197.7338166218035</v>
      </c>
      <c r="AE548" s="592" t="str">
        <f t="shared" si="52"/>
        <v>|</v>
      </c>
      <c r="AG548" s="573" t="s">
        <v>849</v>
      </c>
    </row>
    <row r="549" spans="1:33" ht="45.75" customHeight="1">
      <c r="A549" s="594">
        <f t="shared" si="48"/>
        <v>366</v>
      </c>
      <c r="B549" s="595" t="s">
        <v>783</v>
      </c>
      <c r="C549" s="593">
        <v>24.5</v>
      </c>
      <c r="D549" s="595" t="s">
        <v>209</v>
      </c>
      <c r="H549" s="582" t="s">
        <v>117</v>
      </c>
      <c r="M549" s="587">
        <v>3</v>
      </c>
      <c r="N549" s="573" t="s">
        <v>209</v>
      </c>
      <c r="O549" s="573" t="s">
        <v>887</v>
      </c>
      <c r="P549" s="587">
        <f>(C41)</f>
        <v>569</v>
      </c>
      <c r="Q549" s="573" t="s">
        <v>209</v>
      </c>
      <c r="R549" s="587">
        <f>(M549*P549)</f>
        <v>1707</v>
      </c>
      <c r="S549" s="575"/>
      <c r="T549" s="576"/>
      <c r="U549" s="573">
        <v>12</v>
      </c>
      <c r="V549" s="587">
        <f>X548</f>
        <v>1187.1443899730821</v>
      </c>
      <c r="W549" s="573">
        <f t="shared" si="53"/>
        <v>0</v>
      </c>
      <c r="X549" s="586">
        <f>V549+W549</f>
        <v>1187.1443899730821</v>
      </c>
      <c r="Z549" s="576"/>
      <c r="AA549" s="573">
        <v>12</v>
      </c>
      <c r="AB549" s="587">
        <f>AD548</f>
        <v>1197.7338166218035</v>
      </c>
      <c r="AC549" s="573">
        <f t="shared" si="54"/>
        <v>0</v>
      </c>
      <c r="AD549" s="586">
        <f>AB549+AC549</f>
        <v>1197.7338166218035</v>
      </c>
      <c r="AE549" s="592" t="str">
        <f t="shared" si="52"/>
        <v>|</v>
      </c>
      <c r="AG549" s="573" t="s">
        <v>849</v>
      </c>
    </row>
    <row r="550" spans="1:33" ht="52.5" customHeight="1">
      <c r="A550" s="594">
        <f t="shared" si="48"/>
        <v>367</v>
      </c>
      <c r="B550" s="595" t="s">
        <v>727</v>
      </c>
      <c r="C550" s="593">
        <v>36.799999999999997</v>
      </c>
      <c r="D550" s="595" t="s">
        <v>209</v>
      </c>
      <c r="F550" s="587">
        <v>0.03</v>
      </c>
      <c r="G550" s="585" t="s">
        <v>126</v>
      </c>
      <c r="H550" s="573" t="s">
        <v>914</v>
      </c>
      <c r="I550" s="587">
        <f>(K513)</f>
        <v>6115.174</v>
      </c>
      <c r="J550" s="573" t="s">
        <v>126</v>
      </c>
      <c r="K550" s="587">
        <f>(F550*I550)</f>
        <v>183.45522</v>
      </c>
      <c r="M550" s="587">
        <v>1</v>
      </c>
      <c r="N550" s="573" t="s">
        <v>209</v>
      </c>
      <c r="O550" s="573" t="s">
        <v>888</v>
      </c>
      <c r="P550" s="587">
        <f>(C10)</f>
        <v>769</v>
      </c>
      <c r="Q550" s="573" t="s">
        <v>209</v>
      </c>
      <c r="R550" s="587">
        <f>(M550*P550)</f>
        <v>769</v>
      </c>
      <c r="S550" s="574" t="s">
        <v>921</v>
      </c>
      <c r="T550" s="585" t="s">
        <v>122</v>
      </c>
      <c r="U550" s="633" t="s">
        <v>923</v>
      </c>
      <c r="W550" s="573"/>
      <c r="Y550" s="574" t="s">
        <v>921</v>
      </c>
      <c r="Z550" s="585" t="s">
        <v>122</v>
      </c>
      <c r="AA550" s="1462" t="s">
        <v>923</v>
      </c>
      <c r="AB550" s="1462"/>
      <c r="AC550" s="573"/>
      <c r="AE550" s="592" t="str">
        <f t="shared" si="52"/>
        <v>|</v>
      </c>
      <c r="AG550" s="573" t="s">
        <v>849</v>
      </c>
    </row>
    <row r="551" spans="1:33" ht="24" customHeight="1">
      <c r="A551" s="594">
        <f t="shared" si="48"/>
        <v>368</v>
      </c>
      <c r="B551" s="595" t="s">
        <v>924</v>
      </c>
      <c r="C551" s="608"/>
      <c r="D551" s="595" t="s">
        <v>115</v>
      </c>
      <c r="F551" s="587">
        <v>0.5</v>
      </c>
      <c r="G551" s="585" t="s">
        <v>1</v>
      </c>
      <c r="H551" s="573" t="s">
        <v>144</v>
      </c>
      <c r="I551" s="587">
        <f>(C10)</f>
        <v>769</v>
      </c>
      <c r="J551" s="573" t="s">
        <v>1</v>
      </c>
      <c r="K551" s="587">
        <f>(F551*I551)</f>
        <v>384.5</v>
      </c>
      <c r="M551" s="587">
        <v>2</v>
      </c>
      <c r="N551" s="573" t="s">
        <v>209</v>
      </c>
      <c r="O551" s="573" t="s">
        <v>146</v>
      </c>
      <c r="P551" s="587">
        <f>(C12)</f>
        <v>502</v>
      </c>
      <c r="Q551" s="573" t="s">
        <v>209</v>
      </c>
      <c r="R551" s="587">
        <f>(M551*P551)</f>
        <v>1004</v>
      </c>
      <c r="S551" s="575"/>
      <c r="T551" s="576"/>
      <c r="U551" s="582" t="s">
        <v>117</v>
      </c>
      <c r="W551" s="578"/>
      <c r="Z551" s="576"/>
      <c r="AA551" s="582" t="s">
        <v>117</v>
      </c>
      <c r="AC551" s="578"/>
      <c r="AE551" s="592" t="str">
        <f t="shared" si="52"/>
        <v>|</v>
      </c>
      <c r="AG551" s="573" t="s">
        <v>849</v>
      </c>
    </row>
    <row r="552" spans="1:33" ht="24" customHeight="1">
      <c r="A552" s="594">
        <f t="shared" si="48"/>
        <v>369</v>
      </c>
      <c r="B552" s="595" t="s">
        <v>885</v>
      </c>
      <c r="C552" s="596">
        <v>4.75</v>
      </c>
      <c r="D552" s="595" t="s">
        <v>209</v>
      </c>
      <c r="F552" s="587">
        <v>0.75</v>
      </c>
      <c r="G552" s="585" t="s">
        <v>1</v>
      </c>
      <c r="H552" s="573" t="s">
        <v>146</v>
      </c>
      <c r="I552" s="587">
        <f>(C12)</f>
        <v>502</v>
      </c>
      <c r="J552" s="573" t="s">
        <v>1</v>
      </c>
      <c r="K552" s="587">
        <f>(F552*I552)</f>
        <v>376.5</v>
      </c>
      <c r="M552" s="587">
        <v>1</v>
      </c>
      <c r="N552" s="573" t="s">
        <v>209</v>
      </c>
      <c r="O552" s="573" t="s">
        <v>147</v>
      </c>
      <c r="P552" s="587">
        <f>(C13)</f>
        <v>412</v>
      </c>
      <c r="Q552" s="573" t="s">
        <v>209</v>
      </c>
      <c r="R552" s="587">
        <f>(M552*P552)</f>
        <v>412</v>
      </c>
      <c r="S552" s="587">
        <v>0.03</v>
      </c>
      <c r="T552" s="585" t="s">
        <v>126</v>
      </c>
      <c r="U552" s="573" t="s">
        <v>925</v>
      </c>
      <c r="V552" s="587">
        <f>V528</f>
        <v>6209.9854500000001</v>
      </c>
      <c r="W552" s="573" t="s">
        <v>126</v>
      </c>
      <c r="X552" s="587">
        <f>(S552*V552)</f>
        <v>186.2995635</v>
      </c>
      <c r="Y552" s="587">
        <v>0.03</v>
      </c>
      <c r="Z552" s="585" t="s">
        <v>126</v>
      </c>
      <c r="AA552" s="573" t="s">
        <v>925</v>
      </c>
      <c r="AB552" s="587">
        <f>AB528</f>
        <v>6734.51505</v>
      </c>
      <c r="AC552" s="573" t="s">
        <v>126</v>
      </c>
      <c r="AD552" s="587">
        <f>(Y552*AB552)</f>
        <v>202.03545149999999</v>
      </c>
      <c r="AE552" s="592" t="str">
        <f t="shared" si="52"/>
        <v>|</v>
      </c>
      <c r="AG552" s="573" t="s">
        <v>849</v>
      </c>
    </row>
    <row r="553" spans="1:33" ht="24" customHeight="1">
      <c r="A553" s="594">
        <f t="shared" si="48"/>
        <v>370</v>
      </c>
      <c r="B553" s="595" t="s">
        <v>877</v>
      </c>
      <c r="C553" s="596">
        <v>6.89</v>
      </c>
      <c r="D553" s="595" t="s">
        <v>209</v>
      </c>
      <c r="E553" s="674">
        <f>0.03/40*75</f>
        <v>5.6250000000000001E-2</v>
      </c>
      <c r="G553" s="585" t="s">
        <v>129</v>
      </c>
      <c r="H553" s="573" t="s">
        <v>130</v>
      </c>
      <c r="J553" s="573" t="s">
        <v>129</v>
      </c>
      <c r="K553" s="587">
        <v>0</v>
      </c>
      <c r="N553" s="573" t="s">
        <v>129</v>
      </c>
      <c r="O553" s="573" t="s">
        <v>890</v>
      </c>
      <c r="P553" s="573" t="s">
        <v>115</v>
      </c>
      <c r="Q553" s="573" t="s">
        <v>129</v>
      </c>
      <c r="R553" s="587">
        <v>3</v>
      </c>
      <c r="S553" s="587">
        <v>0.5</v>
      </c>
      <c r="T553" s="585" t="s">
        <v>1</v>
      </c>
      <c r="U553" s="573" t="s">
        <v>144</v>
      </c>
      <c r="V553" s="587">
        <f>V529</f>
        <v>769</v>
      </c>
      <c r="W553" s="573" t="s">
        <v>1</v>
      </c>
      <c r="X553" s="587">
        <f>(S553*V553)</f>
        <v>384.5</v>
      </c>
      <c r="Y553" s="587">
        <v>0.5</v>
      </c>
      <c r="Z553" s="585" t="s">
        <v>1</v>
      </c>
      <c r="AA553" s="573" t="s">
        <v>144</v>
      </c>
      <c r="AB553" s="587">
        <f>AB529</f>
        <v>769</v>
      </c>
      <c r="AC553" s="573" t="s">
        <v>1</v>
      </c>
      <c r="AD553" s="587">
        <f>(Y553*AB553)</f>
        <v>384.5</v>
      </c>
      <c r="AE553" s="592" t="str">
        <f t="shared" si="52"/>
        <v>|</v>
      </c>
      <c r="AG553" s="573" t="s">
        <v>849</v>
      </c>
    </row>
    <row r="554" spans="1:33" ht="24" customHeight="1">
      <c r="A554" s="594">
        <f t="shared" si="48"/>
        <v>371</v>
      </c>
      <c r="B554" s="595" t="s">
        <v>889</v>
      </c>
      <c r="C554" s="596">
        <v>6.18</v>
      </c>
      <c r="D554" s="595" t="s">
        <v>209</v>
      </c>
      <c r="K554" s="582" t="s">
        <v>117</v>
      </c>
      <c r="O554" s="573" t="s">
        <v>892</v>
      </c>
      <c r="P554" s="573" t="s">
        <v>115</v>
      </c>
      <c r="R554" s="573" t="s">
        <v>115</v>
      </c>
      <c r="S554" s="587">
        <v>0.75</v>
      </c>
      <c r="T554" s="585" t="s">
        <v>1</v>
      </c>
      <c r="U554" s="573" t="s">
        <v>146</v>
      </c>
      <c r="V554" s="587">
        <f>V530</f>
        <v>502</v>
      </c>
      <c r="W554" s="573" t="s">
        <v>1</v>
      </c>
      <c r="X554" s="587">
        <f>(S554*V554)</f>
        <v>376.5</v>
      </c>
      <c r="Y554" s="587">
        <v>0.75</v>
      </c>
      <c r="Z554" s="585" t="s">
        <v>1</v>
      </c>
      <c r="AA554" s="573" t="s">
        <v>146</v>
      </c>
      <c r="AB554" s="587">
        <f>AB530</f>
        <v>502</v>
      </c>
      <c r="AC554" s="573" t="s">
        <v>1</v>
      </c>
      <c r="AD554" s="587">
        <f>(Y554*AB554)</f>
        <v>376.5</v>
      </c>
      <c r="AE554" s="592" t="str">
        <f t="shared" si="52"/>
        <v>|</v>
      </c>
      <c r="AG554" s="573" t="s">
        <v>849</v>
      </c>
    </row>
    <row r="555" spans="1:33" ht="24" customHeight="1">
      <c r="A555" s="594">
        <f t="shared" si="48"/>
        <v>372</v>
      </c>
      <c r="B555" s="595" t="s">
        <v>926</v>
      </c>
      <c r="C555" s="596">
        <v>13.29</v>
      </c>
      <c r="D555" s="595" t="s">
        <v>209</v>
      </c>
      <c r="H555" s="573" t="s">
        <v>918</v>
      </c>
      <c r="K555" s="587">
        <f>SUM(K550:K553)</f>
        <v>944.45522000000005</v>
      </c>
      <c r="N555" s="573" t="s">
        <v>129</v>
      </c>
      <c r="O555" s="573" t="s">
        <v>130</v>
      </c>
      <c r="Q555" s="573" t="s">
        <v>129</v>
      </c>
      <c r="R555" s="587">
        <v>0</v>
      </c>
      <c r="S555" s="575"/>
      <c r="T555" s="585" t="s">
        <v>129</v>
      </c>
      <c r="U555" s="573" t="s">
        <v>130</v>
      </c>
      <c r="V555" s="587">
        <f>V531</f>
        <v>0</v>
      </c>
      <c r="W555" s="573" t="s">
        <v>129</v>
      </c>
      <c r="X555" s="587">
        <v>0</v>
      </c>
      <c r="Z555" s="585" t="s">
        <v>129</v>
      </c>
      <c r="AA555" s="573" t="s">
        <v>130</v>
      </c>
      <c r="AB555" s="587">
        <f>AB531</f>
        <v>0</v>
      </c>
      <c r="AC555" s="573" t="s">
        <v>129</v>
      </c>
      <c r="AD555" s="587">
        <v>0</v>
      </c>
      <c r="AE555" s="592" t="str">
        <f t="shared" si="52"/>
        <v>|</v>
      </c>
      <c r="AG555" s="573" t="s">
        <v>849</v>
      </c>
    </row>
    <row r="556" spans="1:33" ht="24" customHeight="1">
      <c r="A556" s="594">
        <f t="shared" si="48"/>
        <v>373</v>
      </c>
      <c r="B556" s="595" t="s">
        <v>927</v>
      </c>
      <c r="C556" s="596">
        <v>14.11</v>
      </c>
      <c r="D556" s="595" t="s">
        <v>209</v>
      </c>
      <c r="K556" s="582" t="s">
        <v>117</v>
      </c>
      <c r="R556" s="582" t="s">
        <v>117</v>
      </c>
      <c r="S556" s="575"/>
      <c r="T556" s="576"/>
      <c r="W556" s="578"/>
      <c r="X556" s="582" t="s">
        <v>117</v>
      </c>
      <c r="Z556" s="576"/>
      <c r="AC556" s="578"/>
      <c r="AD556" s="582" t="s">
        <v>117</v>
      </c>
      <c r="AE556" s="592" t="str">
        <f t="shared" si="52"/>
        <v>|</v>
      </c>
      <c r="AG556" s="573" t="s">
        <v>849</v>
      </c>
    </row>
    <row r="557" spans="1:33" ht="24" customHeight="1">
      <c r="A557" s="594">
        <f t="shared" si="48"/>
        <v>374</v>
      </c>
      <c r="B557" s="595" t="s">
        <v>928</v>
      </c>
      <c r="C557" s="596">
        <v>14.69</v>
      </c>
      <c r="D557" s="595" t="s">
        <v>209</v>
      </c>
      <c r="H557" s="573" t="s">
        <v>154</v>
      </c>
      <c r="K557" s="587">
        <f>(K555/0.743)</f>
        <v>1271.1375773889638</v>
      </c>
      <c r="O557" s="573" t="s">
        <v>893</v>
      </c>
      <c r="R557" s="587">
        <f>SUM(R537:R555)</f>
        <v>4597.7</v>
      </c>
      <c r="S557" s="575"/>
      <c r="T557" s="576"/>
      <c r="U557" s="573" t="s">
        <v>918</v>
      </c>
      <c r="W557" s="578"/>
      <c r="X557" s="587">
        <f>SUM(X552:X555)</f>
        <v>947.29956349999998</v>
      </c>
      <c r="Z557" s="576"/>
      <c r="AA557" s="573" t="s">
        <v>918</v>
      </c>
      <c r="AC557" s="578"/>
      <c r="AD557" s="587">
        <f>SUM(AD552:AD555)</f>
        <v>963.03545150000002</v>
      </c>
      <c r="AE557" s="592" t="str">
        <f t="shared" si="52"/>
        <v>|</v>
      </c>
      <c r="AG557" s="573" t="s">
        <v>849</v>
      </c>
    </row>
    <row r="558" spans="1:33" ht="24" customHeight="1">
      <c r="A558" s="594">
        <f t="shared" si="48"/>
        <v>375</v>
      </c>
      <c r="B558" s="664" t="s">
        <v>929</v>
      </c>
      <c r="C558" s="608"/>
      <c r="D558" s="595" t="s">
        <v>115</v>
      </c>
      <c r="K558" s="582" t="s">
        <v>155</v>
      </c>
      <c r="R558" s="582" t="s">
        <v>117</v>
      </c>
      <c r="S558" s="575"/>
      <c r="T558" s="576"/>
      <c r="W558" s="578"/>
      <c r="X558" s="582" t="s">
        <v>117</v>
      </c>
      <c r="Z558" s="576"/>
      <c r="AC558" s="578"/>
      <c r="AD558" s="582" t="s">
        <v>117</v>
      </c>
      <c r="AE558" s="592" t="str">
        <f t="shared" si="52"/>
        <v>|</v>
      </c>
      <c r="AG558" s="573" t="s">
        <v>849</v>
      </c>
    </row>
    <row r="559" spans="1:33" ht="24" customHeight="1">
      <c r="A559" s="594">
        <f t="shared" si="48"/>
        <v>376</v>
      </c>
      <c r="B559" s="595" t="s">
        <v>885</v>
      </c>
      <c r="C559" s="593">
        <v>7.3</v>
      </c>
      <c r="D559" s="595" t="s">
        <v>209</v>
      </c>
      <c r="H559" s="573" t="s">
        <v>482</v>
      </c>
      <c r="I559" s="587">
        <f>K557</f>
        <v>1271.1375773889638</v>
      </c>
      <c r="J559" s="573">
        <f>C22*0.03/0.743</f>
        <v>3.6298788694481829</v>
      </c>
      <c r="K559" s="586">
        <f>I559+J559</f>
        <v>1274.767456258412</v>
      </c>
      <c r="M559" s="575">
        <f>0.47*38.5</f>
        <v>18.094999999999999</v>
      </c>
      <c r="O559" s="573" t="s">
        <v>216</v>
      </c>
      <c r="R559" s="587">
        <f>(R557/30)</f>
        <v>153.25666666666666</v>
      </c>
      <c r="S559" s="575"/>
      <c r="T559" s="576"/>
      <c r="U559" s="573" t="s">
        <v>930</v>
      </c>
      <c r="W559" s="578"/>
      <c r="X559" s="586">
        <f>(X557/0.743)</f>
        <v>1274.965765141319</v>
      </c>
      <c r="Z559" s="576"/>
      <c r="AA559" s="573" t="s">
        <v>930</v>
      </c>
      <c r="AC559" s="578"/>
      <c r="AD559" s="586">
        <f>(AD557/0.743)</f>
        <v>1296.1446184387619</v>
      </c>
      <c r="AE559" s="592" t="str">
        <f t="shared" si="52"/>
        <v>|</v>
      </c>
      <c r="AG559" s="573" t="s">
        <v>849</v>
      </c>
    </row>
    <row r="560" spans="1:33" ht="24" customHeight="1">
      <c r="A560" s="594">
        <f t="shared" si="48"/>
        <v>377</v>
      </c>
      <c r="B560" s="595" t="s">
        <v>877</v>
      </c>
      <c r="C560" s="596">
        <v>19.05</v>
      </c>
      <c r="D560" s="595" t="s">
        <v>209</v>
      </c>
      <c r="H560" s="573" t="s">
        <v>486</v>
      </c>
      <c r="I560" s="587">
        <f>K559</f>
        <v>1274.767456258412</v>
      </c>
      <c r="J560" s="573">
        <f>C23*0.03/0.743</f>
        <v>7.1467025572005376</v>
      </c>
      <c r="K560" s="586">
        <f>I560+J560</f>
        <v>1281.9141588156126</v>
      </c>
      <c r="M560" s="575">
        <f>0.24*546</f>
        <v>131.04</v>
      </c>
      <c r="R560" s="582" t="s">
        <v>117</v>
      </c>
      <c r="S560" s="575"/>
      <c r="T560" s="576"/>
      <c r="W560" s="578"/>
      <c r="X560" s="582" t="s">
        <v>155</v>
      </c>
      <c r="Z560" s="576"/>
      <c r="AC560" s="578"/>
      <c r="AD560" s="582" t="s">
        <v>155</v>
      </c>
      <c r="AE560" s="592" t="str">
        <f t="shared" si="52"/>
        <v>|</v>
      </c>
      <c r="AG560" s="573" t="s">
        <v>849</v>
      </c>
    </row>
    <row r="561" spans="1:33" ht="24" customHeight="1">
      <c r="A561" s="594">
        <f t="shared" si="48"/>
        <v>378</v>
      </c>
      <c r="B561" s="595" t="s">
        <v>889</v>
      </c>
      <c r="C561" s="593">
        <v>8.5</v>
      </c>
      <c r="D561" s="595" t="s">
        <v>209</v>
      </c>
      <c r="H561" s="573" t="s">
        <v>489</v>
      </c>
      <c r="I561" s="587">
        <f>K560</f>
        <v>1281.9141588156126</v>
      </c>
      <c r="J561" s="573">
        <f>J560</f>
        <v>7.1467025572005376</v>
      </c>
      <c r="K561" s="586">
        <f>I561+J561</f>
        <v>1289.0608613728132</v>
      </c>
      <c r="M561" s="575">
        <f>0.24*143.6</f>
        <v>34.463999999999999</v>
      </c>
      <c r="N561" s="573" t="s">
        <v>122</v>
      </c>
      <c r="O561" s="573" t="s">
        <v>807</v>
      </c>
      <c r="S561" s="575"/>
      <c r="T561" s="576"/>
      <c r="U561" s="573" t="s">
        <v>482</v>
      </c>
      <c r="V561" s="587">
        <f>X559</f>
        <v>1274.965765141319</v>
      </c>
      <c r="W561" s="573">
        <f>J559</f>
        <v>3.6298788694481829</v>
      </c>
      <c r="X561" s="586">
        <f>V561+W561</f>
        <v>1278.5956440107673</v>
      </c>
      <c r="Z561" s="576"/>
      <c r="AA561" s="573" t="s">
        <v>482</v>
      </c>
      <c r="AB561" s="587">
        <f>AD559</f>
        <v>1296.1446184387619</v>
      </c>
      <c r="AC561" s="573">
        <f t="shared" ref="AC561:AC566" si="62">W561</f>
        <v>3.6298788694481829</v>
      </c>
      <c r="AD561" s="586">
        <f t="shared" ref="AD561:AD566" si="63">AB561+AC561</f>
        <v>1299.7744973082101</v>
      </c>
      <c r="AE561" s="592" t="str">
        <f t="shared" si="52"/>
        <v>|</v>
      </c>
      <c r="AG561" s="573" t="s">
        <v>849</v>
      </c>
    </row>
    <row r="562" spans="1:33" ht="24" customHeight="1">
      <c r="A562" s="594">
        <f t="shared" si="48"/>
        <v>379</v>
      </c>
      <c r="B562" s="595" t="s">
        <v>931</v>
      </c>
      <c r="C562" s="593">
        <v>12.2</v>
      </c>
      <c r="D562" s="595" t="s">
        <v>209</v>
      </c>
      <c r="H562" s="573" t="s">
        <v>491</v>
      </c>
      <c r="I562" s="587">
        <f>K561</f>
        <v>1289.0608613728132</v>
      </c>
      <c r="J562" s="573">
        <f>J561</f>
        <v>7.1467025572005376</v>
      </c>
      <c r="K562" s="586">
        <f>I562+J562</f>
        <v>1296.2075639300137</v>
      </c>
      <c r="M562" s="575">
        <f>0.79*328.9</f>
        <v>259.83100000000002</v>
      </c>
      <c r="O562" s="573" t="s">
        <v>932</v>
      </c>
      <c r="S562" s="575"/>
      <c r="T562" s="576"/>
      <c r="U562" s="573" t="s">
        <v>486</v>
      </c>
      <c r="V562" s="587">
        <f>X561</f>
        <v>1278.5956440107673</v>
      </c>
      <c r="W562" s="573">
        <f>J560</f>
        <v>7.1467025572005376</v>
      </c>
      <c r="X562" s="586">
        <f>V562+W562</f>
        <v>1285.7423465679678</v>
      </c>
      <c r="Z562" s="576"/>
      <c r="AA562" s="573" t="s">
        <v>486</v>
      </c>
      <c r="AB562" s="587">
        <f>AD561</f>
        <v>1299.7744973082101</v>
      </c>
      <c r="AC562" s="573">
        <f t="shared" si="62"/>
        <v>7.1467025572005376</v>
      </c>
      <c r="AD562" s="586">
        <f t="shared" si="63"/>
        <v>1306.9211998654107</v>
      </c>
      <c r="AE562" s="592" t="str">
        <f t="shared" si="52"/>
        <v>|</v>
      </c>
      <c r="AG562" s="573" t="s">
        <v>849</v>
      </c>
    </row>
    <row r="563" spans="1:33" ht="24" customHeight="1">
      <c r="A563" s="608"/>
      <c r="B563" s="608"/>
      <c r="C563" s="608"/>
      <c r="D563" s="608"/>
      <c r="F563" s="573" t="s">
        <v>115</v>
      </c>
      <c r="H563" s="573" t="s">
        <v>486</v>
      </c>
      <c r="I563" s="587">
        <f>K562</f>
        <v>1296.2075639300137</v>
      </c>
      <c r="J563" s="573">
        <f>J562</f>
        <v>7.1467025572005376</v>
      </c>
      <c r="K563" s="586">
        <f>I563+J563</f>
        <v>1303.3542664872143</v>
      </c>
      <c r="M563" s="575">
        <f>SUM(M559:M562)</f>
        <v>443.43</v>
      </c>
      <c r="S563" s="575"/>
      <c r="T563" s="576"/>
      <c r="U563" s="573" t="s">
        <v>489</v>
      </c>
      <c r="V563" s="587">
        <f>X562</f>
        <v>1285.7423465679678</v>
      </c>
      <c r="W563" s="573">
        <f>J561</f>
        <v>7.1467025572005376</v>
      </c>
      <c r="X563" s="586">
        <f>V563+W563</f>
        <v>1292.8890491251684</v>
      </c>
      <c r="Z563" s="576"/>
      <c r="AA563" s="573" t="s">
        <v>489</v>
      </c>
      <c r="AB563" s="587">
        <f>AD562</f>
        <v>1306.9211998654107</v>
      </c>
      <c r="AC563" s="573">
        <f t="shared" si="62"/>
        <v>7.1467025572005376</v>
      </c>
      <c r="AD563" s="586">
        <f t="shared" si="63"/>
        <v>1314.0679024226113</v>
      </c>
      <c r="AE563" s="592" t="str">
        <f t="shared" si="52"/>
        <v>|</v>
      </c>
      <c r="AG563" s="573" t="s">
        <v>849</v>
      </c>
    </row>
    <row r="564" spans="1:33" ht="15.75">
      <c r="A564" s="594">
        <f>(A562+1)</f>
        <v>380</v>
      </c>
      <c r="B564" s="595" t="s">
        <v>927</v>
      </c>
      <c r="C564" s="596">
        <v>38.35</v>
      </c>
      <c r="D564" s="595" t="s">
        <v>209</v>
      </c>
      <c r="H564" s="573">
        <v>5</v>
      </c>
      <c r="I564" s="587">
        <f t="shared" ref="I564:I569" si="64">K563</f>
        <v>1303.3542664872143</v>
      </c>
      <c r="J564" s="573">
        <f t="shared" ref="J564:J571" si="65">J563</f>
        <v>7.1467025572005376</v>
      </c>
      <c r="K564" s="586">
        <f t="shared" ref="K564:K569" si="66">I564+J564</f>
        <v>1310.5009690444149</v>
      </c>
      <c r="O564" s="573" t="s">
        <v>809</v>
      </c>
      <c r="S564" s="575"/>
      <c r="T564" s="576"/>
      <c r="U564" s="573" t="s">
        <v>491</v>
      </c>
      <c r="V564" s="587">
        <f>X563</f>
        <v>1292.8890491251684</v>
      </c>
      <c r="W564" s="573">
        <f>J562</f>
        <v>7.1467025572005376</v>
      </c>
      <c r="X564" s="586">
        <f>V564+W564</f>
        <v>1300.035751682369</v>
      </c>
      <c r="Z564" s="576"/>
      <c r="AA564" s="573" t="s">
        <v>491</v>
      </c>
      <c r="AB564" s="587">
        <f>AD563</f>
        <v>1314.0679024226113</v>
      </c>
      <c r="AC564" s="573">
        <f t="shared" si="62"/>
        <v>7.1467025572005376</v>
      </c>
      <c r="AD564" s="586">
        <f t="shared" si="63"/>
        <v>1321.2146049798118</v>
      </c>
      <c r="AE564" s="592" t="str">
        <f t="shared" si="52"/>
        <v>|</v>
      </c>
      <c r="AG564" s="573" t="s">
        <v>849</v>
      </c>
    </row>
    <row r="565" spans="1:33" ht="15.75">
      <c r="A565" s="594"/>
      <c r="B565" s="595"/>
      <c r="C565" s="596"/>
      <c r="D565" s="595"/>
      <c r="H565" s="573">
        <v>6</v>
      </c>
      <c r="I565" s="587">
        <f t="shared" si="64"/>
        <v>1310.5009690444149</v>
      </c>
      <c r="J565" s="573">
        <f t="shared" si="65"/>
        <v>7.1467025572005376</v>
      </c>
      <c r="K565" s="586">
        <f t="shared" si="66"/>
        <v>1317.6476716016155</v>
      </c>
      <c r="O565" s="573"/>
      <c r="S565" s="573" t="s">
        <v>115</v>
      </c>
      <c r="T565" s="576"/>
      <c r="U565" s="573" t="s">
        <v>933</v>
      </c>
      <c r="V565" s="587">
        <f>X564</f>
        <v>1300.035751682369</v>
      </c>
      <c r="W565" s="573">
        <f>J563</f>
        <v>7.1467025572005376</v>
      </c>
      <c r="X565" s="586">
        <f>V565+W565</f>
        <v>1307.1824542395696</v>
      </c>
      <c r="AA565" s="573" t="s">
        <v>486</v>
      </c>
      <c r="AB565" s="587">
        <f>AD564</f>
        <v>1321.2146049798118</v>
      </c>
      <c r="AC565" s="573">
        <f t="shared" si="62"/>
        <v>7.1467025572005376</v>
      </c>
      <c r="AD565" s="586">
        <f t="shared" si="63"/>
        <v>1328.3613075370124</v>
      </c>
      <c r="AE565" s="592"/>
      <c r="AG565" s="573"/>
    </row>
    <row r="566" spans="1:33" ht="15.75">
      <c r="A566" s="594"/>
      <c r="B566" s="595"/>
      <c r="C566" s="596"/>
      <c r="D566" s="595"/>
      <c r="H566" s="573">
        <v>7</v>
      </c>
      <c r="I566" s="587">
        <f t="shared" si="64"/>
        <v>1317.6476716016155</v>
      </c>
      <c r="J566" s="573">
        <f t="shared" si="65"/>
        <v>7.1467025572005376</v>
      </c>
      <c r="K566" s="586">
        <f t="shared" si="66"/>
        <v>1324.794374158816</v>
      </c>
      <c r="O566" s="573"/>
      <c r="AA566" s="573" t="s">
        <v>489</v>
      </c>
      <c r="AB566" s="587">
        <f>AD565</f>
        <v>1328.3613075370124</v>
      </c>
      <c r="AC566" s="573">
        <f t="shared" si="62"/>
        <v>0</v>
      </c>
      <c r="AD566" s="586">
        <f t="shared" si="63"/>
        <v>1328.3613075370124</v>
      </c>
      <c r="AE566" s="592"/>
      <c r="AG566" s="573"/>
    </row>
    <row r="567" spans="1:33" ht="15.75">
      <c r="A567" s="594"/>
      <c r="B567" s="595"/>
      <c r="C567" s="596"/>
      <c r="D567" s="595"/>
      <c r="H567" s="573">
        <v>8</v>
      </c>
      <c r="I567" s="587">
        <f t="shared" si="64"/>
        <v>1324.794374158816</v>
      </c>
      <c r="J567" s="573">
        <f t="shared" si="65"/>
        <v>7.1467025572005376</v>
      </c>
      <c r="K567" s="586">
        <f t="shared" si="66"/>
        <v>1331.9410767160166</v>
      </c>
      <c r="O567" s="573"/>
      <c r="AE567" s="592"/>
      <c r="AG567" s="573"/>
    </row>
    <row r="568" spans="1:33" ht="15.75">
      <c r="A568" s="594"/>
      <c r="B568" s="595"/>
      <c r="C568" s="596"/>
      <c r="D568" s="595"/>
      <c r="H568" s="573">
        <v>9</v>
      </c>
      <c r="I568" s="587">
        <f t="shared" si="64"/>
        <v>1331.9410767160166</v>
      </c>
      <c r="J568" s="573">
        <f t="shared" si="65"/>
        <v>7.1467025572005376</v>
      </c>
      <c r="K568" s="586">
        <f t="shared" si="66"/>
        <v>1339.0877792732172</v>
      </c>
      <c r="O568" s="573"/>
      <c r="AE568" s="592"/>
      <c r="AG568" s="573"/>
    </row>
    <row r="569" spans="1:33" ht="15.75">
      <c r="A569" s="594"/>
      <c r="B569" s="595"/>
      <c r="C569" s="596"/>
      <c r="D569" s="595"/>
      <c r="H569" s="573">
        <v>10</v>
      </c>
      <c r="I569" s="587">
        <f t="shared" si="64"/>
        <v>1339.0877792732172</v>
      </c>
      <c r="J569" s="573">
        <f t="shared" si="65"/>
        <v>7.1467025572005376</v>
      </c>
      <c r="K569" s="586">
        <f t="shared" si="66"/>
        <v>1346.2344818304177</v>
      </c>
      <c r="O569" s="573"/>
      <c r="AE569" s="592"/>
      <c r="AG569" s="573"/>
    </row>
    <row r="570" spans="1:33" ht="15.75">
      <c r="A570" s="594"/>
      <c r="B570" s="595"/>
      <c r="C570" s="596"/>
      <c r="D570" s="595"/>
      <c r="H570" s="573">
        <v>11</v>
      </c>
      <c r="I570" s="587">
        <f>K569</f>
        <v>1346.2344818304177</v>
      </c>
      <c r="J570" s="573">
        <f t="shared" si="65"/>
        <v>7.1467025572005376</v>
      </c>
      <c r="K570" s="586">
        <f>I570+J570</f>
        <v>1353.3811843876183</v>
      </c>
      <c r="O570" s="573"/>
      <c r="AE570" s="592"/>
      <c r="AG570" s="573"/>
    </row>
    <row r="571" spans="1:33" ht="15.75">
      <c r="A571" s="594"/>
      <c r="B571" s="595"/>
      <c r="C571" s="596"/>
      <c r="D571" s="595"/>
      <c r="H571" s="573">
        <v>12</v>
      </c>
      <c r="I571" s="587">
        <f>K570</f>
        <v>1353.3811843876183</v>
      </c>
      <c r="J571" s="573">
        <f t="shared" si="65"/>
        <v>7.1467025572005376</v>
      </c>
      <c r="K571" s="586">
        <f>I571+J571</f>
        <v>1360.5278869448189</v>
      </c>
      <c r="O571" s="573"/>
      <c r="AE571" s="592"/>
      <c r="AG571" s="573"/>
    </row>
    <row r="572" spans="1:33" ht="15.75">
      <c r="A572" s="594">
        <f>(A564+1)</f>
        <v>381</v>
      </c>
      <c r="B572" s="595" t="s">
        <v>928</v>
      </c>
      <c r="C572" s="593">
        <v>14.7</v>
      </c>
      <c r="D572" s="595" t="s">
        <v>209</v>
      </c>
      <c r="F572" s="620"/>
      <c r="G572" s="585" t="s">
        <v>115</v>
      </c>
      <c r="H572" s="573" t="s">
        <v>934</v>
      </c>
      <c r="O572" s="582" t="s">
        <v>117</v>
      </c>
      <c r="S572" s="626"/>
      <c r="T572" s="585" t="s">
        <v>115</v>
      </c>
      <c r="U572" s="573" t="s">
        <v>934</v>
      </c>
      <c r="W572" s="578"/>
      <c r="AA572" s="573" t="s">
        <v>491</v>
      </c>
      <c r="AB572" s="587">
        <f>AD571</f>
        <v>0</v>
      </c>
      <c r="AC572" s="573">
        <f>W572</f>
        <v>0</v>
      </c>
      <c r="AD572" s="586">
        <f>AB572+AC572</f>
        <v>0</v>
      </c>
      <c r="AE572" s="592" t="str">
        <f t="shared" si="52"/>
        <v>|</v>
      </c>
      <c r="AG572" s="573" t="s">
        <v>849</v>
      </c>
    </row>
    <row r="573" spans="1:33" ht="24" customHeight="1">
      <c r="A573" s="594">
        <f t="shared" ref="A573:A587" si="67">(A572+1)</f>
        <v>382</v>
      </c>
      <c r="B573" s="664" t="s">
        <v>935</v>
      </c>
      <c r="C573" s="608"/>
      <c r="D573" s="595" t="s">
        <v>115</v>
      </c>
      <c r="H573" s="573" t="s">
        <v>936</v>
      </c>
      <c r="T573" s="576"/>
      <c r="U573" s="573" t="s">
        <v>936</v>
      </c>
      <c r="W573" s="578"/>
      <c r="AE573" s="592" t="str">
        <f t="shared" si="52"/>
        <v>|</v>
      </c>
      <c r="AG573" s="573" t="s">
        <v>849</v>
      </c>
    </row>
    <row r="574" spans="1:33" ht="24" customHeight="1">
      <c r="A574" s="594">
        <f t="shared" si="67"/>
        <v>383</v>
      </c>
      <c r="B574" s="595" t="s">
        <v>885</v>
      </c>
      <c r="C574" s="597">
        <v>6</v>
      </c>
      <c r="D574" s="595" t="s">
        <v>209</v>
      </c>
      <c r="H574" s="573" t="s">
        <v>937</v>
      </c>
      <c r="N574" s="573" t="s">
        <v>810</v>
      </c>
      <c r="O574" s="573" t="s">
        <v>938</v>
      </c>
      <c r="T574" s="576"/>
      <c r="U574" s="573" t="s">
        <v>937</v>
      </c>
      <c r="W574" s="578"/>
      <c r="AE574" s="592" t="str">
        <f t="shared" si="52"/>
        <v>|</v>
      </c>
      <c r="AG574" s="573" t="s">
        <v>849</v>
      </c>
    </row>
    <row r="575" spans="1:33" ht="24" customHeight="1">
      <c r="A575" s="594">
        <f t="shared" si="67"/>
        <v>384</v>
      </c>
      <c r="B575" s="595" t="s">
        <v>877</v>
      </c>
      <c r="C575" s="596">
        <v>9.4499999999999993</v>
      </c>
      <c r="D575" s="595" t="s">
        <v>209</v>
      </c>
      <c r="H575" s="573" t="s">
        <v>939</v>
      </c>
      <c r="O575" s="582" t="s">
        <v>117</v>
      </c>
      <c r="T575" s="576"/>
      <c r="U575" s="573" t="s">
        <v>939</v>
      </c>
      <c r="W575" s="578"/>
      <c r="AE575" s="592" t="str">
        <f t="shared" si="52"/>
        <v>|</v>
      </c>
      <c r="AG575" s="573" t="s">
        <v>849</v>
      </c>
    </row>
    <row r="576" spans="1:33" ht="24" customHeight="1">
      <c r="A576" s="594">
        <f t="shared" si="67"/>
        <v>385</v>
      </c>
      <c r="B576" s="595" t="s">
        <v>889</v>
      </c>
      <c r="C576" s="593">
        <v>7.3</v>
      </c>
      <c r="D576" s="595" t="s">
        <v>209</v>
      </c>
      <c r="H576" s="573" t="s">
        <v>940</v>
      </c>
      <c r="M576" s="587">
        <v>8.1</v>
      </c>
      <c r="N576" s="573" t="s">
        <v>126</v>
      </c>
      <c r="O576" s="573" t="s">
        <v>814</v>
      </c>
      <c r="P576" s="587">
        <f>(C61)*2</f>
        <v>168</v>
      </c>
      <c r="Q576" s="573" t="s">
        <v>126</v>
      </c>
      <c r="R576" s="587">
        <f>(M576*P576)</f>
        <v>1360.8</v>
      </c>
      <c r="T576" s="576"/>
      <c r="U576" s="573" t="s">
        <v>940</v>
      </c>
      <c r="W576" s="578"/>
      <c r="AE576" s="592" t="str">
        <f t="shared" si="52"/>
        <v>|</v>
      </c>
      <c r="AG576" s="573" t="s">
        <v>849</v>
      </c>
    </row>
    <row r="577" spans="1:33" ht="24" customHeight="1">
      <c r="A577" s="594">
        <f t="shared" si="67"/>
        <v>386</v>
      </c>
      <c r="B577" s="595" t="s">
        <v>931</v>
      </c>
      <c r="C577" s="593">
        <v>9.6999999999999993</v>
      </c>
      <c r="D577" s="595" t="s">
        <v>209</v>
      </c>
      <c r="H577" s="573" t="s">
        <v>941</v>
      </c>
      <c r="M577" s="587">
        <v>8.1</v>
      </c>
      <c r="N577" s="573" t="s">
        <v>126</v>
      </c>
      <c r="O577" s="573" t="s">
        <v>815</v>
      </c>
      <c r="P577" s="587">
        <f>(C26)</f>
        <v>29.3</v>
      </c>
      <c r="Q577" s="573" t="s">
        <v>126</v>
      </c>
      <c r="R577" s="587">
        <f>(M577*P577)</f>
        <v>237.32999999999998</v>
      </c>
      <c r="T577" s="576"/>
      <c r="U577" s="573" t="s">
        <v>941</v>
      </c>
      <c r="W577" s="578"/>
      <c r="AE577" s="592" t="str">
        <f t="shared" si="52"/>
        <v>|</v>
      </c>
      <c r="AG577" s="573" t="s">
        <v>849</v>
      </c>
    </row>
    <row r="578" spans="1:33" ht="24" customHeight="1">
      <c r="A578" s="594">
        <f t="shared" si="67"/>
        <v>387</v>
      </c>
      <c r="B578" s="595" t="s">
        <v>942</v>
      </c>
      <c r="C578" s="593">
        <v>12.2</v>
      </c>
      <c r="D578" s="595" t="s">
        <v>209</v>
      </c>
      <c r="H578" s="573" t="s">
        <v>943</v>
      </c>
      <c r="M578" s="587">
        <v>30</v>
      </c>
      <c r="N578" s="573" t="s">
        <v>203</v>
      </c>
      <c r="O578" s="573" t="s">
        <v>816</v>
      </c>
      <c r="P578" s="587">
        <f>(C661)</f>
        <v>9.1199999999999992</v>
      </c>
      <c r="Q578" s="573" t="s">
        <v>203</v>
      </c>
      <c r="R578" s="587">
        <f>(M578*P578)</f>
        <v>273.59999999999997</v>
      </c>
      <c r="T578" s="576"/>
      <c r="U578" s="573" t="s">
        <v>943</v>
      </c>
      <c r="W578" s="578"/>
      <c r="AE578" s="592" t="str">
        <f t="shared" si="52"/>
        <v>|</v>
      </c>
      <c r="AG578" s="573" t="s">
        <v>849</v>
      </c>
    </row>
    <row r="579" spans="1:33" ht="24" customHeight="1">
      <c r="A579" s="594">
        <f t="shared" si="67"/>
        <v>388</v>
      </c>
      <c r="B579" s="595" t="s">
        <v>944</v>
      </c>
      <c r="C579" s="593">
        <v>18.3</v>
      </c>
      <c r="D579" s="595" t="s">
        <v>209</v>
      </c>
      <c r="H579" s="582" t="s">
        <v>117</v>
      </c>
      <c r="I579" s="582" t="s">
        <v>117</v>
      </c>
      <c r="O579" s="573" t="s">
        <v>945</v>
      </c>
      <c r="T579" s="576"/>
      <c r="U579" s="582" t="s">
        <v>117</v>
      </c>
      <c r="V579" s="582" t="s">
        <v>117</v>
      </c>
      <c r="W579" s="578"/>
      <c r="AE579" s="592" t="str">
        <f t="shared" si="52"/>
        <v>|</v>
      </c>
      <c r="AG579" s="573" t="s">
        <v>849</v>
      </c>
    </row>
    <row r="580" spans="1:33" ht="24" customHeight="1">
      <c r="A580" s="594">
        <f t="shared" si="67"/>
        <v>389</v>
      </c>
      <c r="B580" s="595" t="s">
        <v>946</v>
      </c>
      <c r="C580" s="596">
        <v>538</v>
      </c>
      <c r="D580" s="595" t="s">
        <v>209</v>
      </c>
      <c r="G580" s="585" t="s">
        <v>196</v>
      </c>
      <c r="H580" s="573" t="s">
        <v>947</v>
      </c>
      <c r="O580" s="573" t="s">
        <v>818</v>
      </c>
      <c r="T580" s="585" t="s">
        <v>196</v>
      </c>
      <c r="U580" s="573" t="s">
        <v>948</v>
      </c>
      <c r="W580" s="578"/>
      <c r="AE580" s="592" t="str">
        <f t="shared" si="52"/>
        <v>|</v>
      </c>
      <c r="AG580" s="573" t="s">
        <v>849</v>
      </c>
    </row>
    <row r="581" spans="1:33" ht="24" customHeight="1">
      <c r="A581" s="594">
        <f t="shared" si="67"/>
        <v>390</v>
      </c>
      <c r="B581" s="595" t="s">
        <v>949</v>
      </c>
      <c r="C581" s="596">
        <v>340</v>
      </c>
      <c r="D581" s="595" t="s">
        <v>209</v>
      </c>
      <c r="H581" s="573" t="s">
        <v>950</v>
      </c>
      <c r="O581" s="573" t="s">
        <v>819</v>
      </c>
      <c r="T581" s="576"/>
      <c r="U581" s="573" t="s">
        <v>950</v>
      </c>
      <c r="W581" s="578"/>
      <c r="AE581" s="592" t="str">
        <f t="shared" si="52"/>
        <v>|</v>
      </c>
      <c r="AG581" s="573" t="s">
        <v>849</v>
      </c>
    </row>
    <row r="582" spans="1:33" ht="24" customHeight="1">
      <c r="A582" s="594">
        <f t="shared" si="67"/>
        <v>391</v>
      </c>
      <c r="B582" s="595" t="s">
        <v>951</v>
      </c>
      <c r="C582" s="596">
        <v>1039</v>
      </c>
      <c r="D582" s="595" t="s">
        <v>209</v>
      </c>
      <c r="F582" s="587">
        <v>10</v>
      </c>
      <c r="G582" s="585" t="s">
        <v>174</v>
      </c>
      <c r="H582" s="573" t="s">
        <v>952</v>
      </c>
      <c r="I582" s="629">
        <f>C751</f>
        <v>366</v>
      </c>
      <c r="J582" s="573" t="s">
        <v>174</v>
      </c>
      <c r="K582" s="587">
        <f>(F582*I582)</f>
        <v>3660</v>
      </c>
      <c r="O582" s="573" t="s">
        <v>820</v>
      </c>
      <c r="S582" s="617">
        <v>10</v>
      </c>
      <c r="T582" s="585" t="s">
        <v>174</v>
      </c>
      <c r="U582" s="573" t="s">
        <v>952</v>
      </c>
      <c r="V582" s="629">
        <f>I604</f>
        <v>397</v>
      </c>
      <c r="W582" s="573" t="s">
        <v>174</v>
      </c>
      <c r="X582" s="587">
        <f>(S582*V582)</f>
        <v>3970</v>
      </c>
      <c r="AE582" s="592" t="str">
        <f t="shared" si="52"/>
        <v>|</v>
      </c>
      <c r="AG582" s="573" t="s">
        <v>849</v>
      </c>
    </row>
    <row r="583" spans="1:33" ht="24" customHeight="1">
      <c r="A583" s="594">
        <f t="shared" si="67"/>
        <v>392</v>
      </c>
      <c r="B583" s="595" t="s">
        <v>953</v>
      </c>
      <c r="C583" s="596">
        <v>226</v>
      </c>
      <c r="D583" s="595" t="s">
        <v>209</v>
      </c>
      <c r="F583" s="587">
        <v>1</v>
      </c>
      <c r="G583" s="585" t="s">
        <v>233</v>
      </c>
      <c r="H583" s="573" t="s">
        <v>954</v>
      </c>
      <c r="I583" s="587">
        <f>C10</f>
        <v>769</v>
      </c>
      <c r="J583" s="573" t="s">
        <v>227</v>
      </c>
      <c r="K583" s="587">
        <f>(F583*I583)</f>
        <v>769</v>
      </c>
      <c r="M583" s="587">
        <v>8</v>
      </c>
      <c r="N583" s="573" t="s">
        <v>1</v>
      </c>
      <c r="O583" s="573" t="s">
        <v>823</v>
      </c>
      <c r="P583" s="587">
        <v>10.199999999999999</v>
      </c>
      <c r="Q583" s="573" t="s">
        <v>1</v>
      </c>
      <c r="R583" s="587">
        <f>(M583*P583)</f>
        <v>81.599999999999994</v>
      </c>
      <c r="S583" s="617">
        <v>1</v>
      </c>
      <c r="T583" s="585" t="s">
        <v>233</v>
      </c>
      <c r="U583" s="573" t="s">
        <v>954</v>
      </c>
      <c r="V583" s="587">
        <f>I583</f>
        <v>769</v>
      </c>
      <c r="W583" s="573" t="s">
        <v>227</v>
      </c>
      <c r="X583" s="587">
        <f>(S583*V583)</f>
        <v>769</v>
      </c>
      <c r="AE583" s="592" t="str">
        <f t="shared" si="52"/>
        <v>|</v>
      </c>
      <c r="AG583" s="573" t="s">
        <v>849</v>
      </c>
    </row>
    <row r="584" spans="1:33" ht="24" customHeight="1">
      <c r="A584" s="594">
        <f t="shared" si="67"/>
        <v>393</v>
      </c>
      <c r="B584" s="595" t="s">
        <v>955</v>
      </c>
      <c r="C584" s="596">
        <v>31</v>
      </c>
      <c r="D584" s="595" t="s">
        <v>699</v>
      </c>
      <c r="F584" s="587">
        <v>1</v>
      </c>
      <c r="G584" s="585" t="s">
        <v>233</v>
      </c>
      <c r="H584" s="573" t="s">
        <v>956</v>
      </c>
      <c r="I584" s="587">
        <f>C12</f>
        <v>502</v>
      </c>
      <c r="J584" s="573" t="s">
        <v>227</v>
      </c>
      <c r="K584" s="587">
        <f>(F584*I584)</f>
        <v>502</v>
      </c>
      <c r="M584" s="587">
        <v>8</v>
      </c>
      <c r="N584" s="573" t="s">
        <v>1</v>
      </c>
      <c r="O584" s="573" t="s">
        <v>826</v>
      </c>
      <c r="P584" s="587">
        <v>28.5</v>
      </c>
      <c r="Q584" s="573" t="s">
        <v>1</v>
      </c>
      <c r="R584" s="587">
        <f>(M584*P584)</f>
        <v>228</v>
      </c>
      <c r="S584" s="617">
        <v>1</v>
      </c>
      <c r="T584" s="585" t="s">
        <v>233</v>
      </c>
      <c r="U584" s="573" t="s">
        <v>956</v>
      </c>
      <c r="V584" s="587">
        <f>I584</f>
        <v>502</v>
      </c>
      <c r="W584" s="573" t="s">
        <v>227</v>
      </c>
      <c r="X584" s="587">
        <f>(S584*V584)</f>
        <v>502</v>
      </c>
      <c r="AE584" s="592" t="str">
        <f t="shared" si="52"/>
        <v>|</v>
      </c>
      <c r="AG584" s="573" t="s">
        <v>849</v>
      </c>
    </row>
    <row r="585" spans="1:33" ht="24" customHeight="1">
      <c r="A585" s="594">
        <f t="shared" si="67"/>
        <v>394</v>
      </c>
      <c r="B585" s="595" t="s">
        <v>3062</v>
      </c>
      <c r="C585" s="593">
        <v>202</v>
      </c>
      <c r="D585" s="595" t="s">
        <v>209</v>
      </c>
      <c r="G585" s="585" t="s">
        <v>129</v>
      </c>
      <c r="H585" s="573" t="s">
        <v>958</v>
      </c>
      <c r="J585" s="573" t="s">
        <v>129</v>
      </c>
      <c r="K585" s="587">
        <v>120</v>
      </c>
      <c r="M585" s="587">
        <v>1</v>
      </c>
      <c r="N585" s="573" t="s">
        <v>129</v>
      </c>
      <c r="O585" s="573" t="s">
        <v>828</v>
      </c>
      <c r="P585" s="587">
        <f>(C673)</f>
        <v>4</v>
      </c>
      <c r="Q585" s="573" t="s">
        <v>129</v>
      </c>
      <c r="R585" s="587">
        <f>(M585*P585)</f>
        <v>4</v>
      </c>
      <c r="T585" s="585" t="s">
        <v>129</v>
      </c>
      <c r="U585" s="573" t="s">
        <v>958</v>
      </c>
      <c r="V585" s="587">
        <f>I585</f>
        <v>0</v>
      </c>
      <c r="W585" s="573" t="s">
        <v>129</v>
      </c>
      <c r="X585" s="587">
        <v>120</v>
      </c>
      <c r="AE585" s="592" t="str">
        <f t="shared" si="52"/>
        <v>|</v>
      </c>
      <c r="AG585" s="573" t="s">
        <v>849</v>
      </c>
    </row>
    <row r="586" spans="1:33" ht="24" customHeight="1">
      <c r="A586" s="594">
        <f t="shared" si="67"/>
        <v>395</v>
      </c>
      <c r="B586" s="650" t="s">
        <v>959</v>
      </c>
      <c r="C586" s="596">
        <v>82.2</v>
      </c>
      <c r="D586" s="595" t="s">
        <v>209</v>
      </c>
      <c r="H586" s="573" t="s">
        <v>960</v>
      </c>
      <c r="K586" s="582" t="s">
        <v>117</v>
      </c>
      <c r="M586" s="587">
        <v>1</v>
      </c>
      <c r="N586" s="573" t="s">
        <v>129</v>
      </c>
      <c r="O586" s="573" t="s">
        <v>130</v>
      </c>
      <c r="Q586" s="573" t="s">
        <v>129</v>
      </c>
      <c r="R586" s="587">
        <v>0</v>
      </c>
      <c r="T586" s="576"/>
      <c r="U586" s="573" t="s">
        <v>960</v>
      </c>
      <c r="W586" s="578"/>
      <c r="X586" s="582" t="s">
        <v>117</v>
      </c>
      <c r="AE586" s="592">
        <f t="shared" si="52"/>
        <v>0</v>
      </c>
    </row>
    <row r="587" spans="1:33" ht="24" customHeight="1">
      <c r="A587" s="594">
        <f t="shared" si="67"/>
        <v>396</v>
      </c>
      <c r="B587" s="650" t="s">
        <v>961</v>
      </c>
      <c r="C587" s="596">
        <v>57.51</v>
      </c>
      <c r="D587" s="595" t="s">
        <v>209</v>
      </c>
      <c r="H587" s="574" t="s">
        <v>962</v>
      </c>
      <c r="K587" s="587">
        <f>SUM(K582:K585)</f>
        <v>5051</v>
      </c>
      <c r="R587" s="582" t="s">
        <v>117</v>
      </c>
      <c r="T587" s="576"/>
      <c r="U587" s="574" t="s">
        <v>962</v>
      </c>
      <c r="W587" s="578"/>
      <c r="X587" s="587">
        <f>SUM(X582:X585)</f>
        <v>5361</v>
      </c>
      <c r="AE587" s="592" t="str">
        <f t="shared" si="52"/>
        <v>|</v>
      </c>
      <c r="AG587" s="573" t="s">
        <v>849</v>
      </c>
    </row>
    <row r="588" spans="1:33" ht="24" customHeight="1">
      <c r="A588" s="594">
        <f>(A587+1)</f>
        <v>397</v>
      </c>
      <c r="B588" s="595" t="s">
        <v>963</v>
      </c>
      <c r="C588" s="615">
        <v>30</v>
      </c>
      <c r="D588" s="595" t="s">
        <v>209</v>
      </c>
      <c r="K588" s="582" t="s">
        <v>117</v>
      </c>
      <c r="O588" s="573" t="s">
        <v>830</v>
      </c>
      <c r="R588" s="587">
        <f>SUM(R576:R586)</f>
        <v>2185.33</v>
      </c>
      <c r="T588" s="576"/>
      <c r="W588" s="578"/>
      <c r="X588" s="582" t="s">
        <v>117</v>
      </c>
      <c r="AE588" s="592" t="str">
        <f t="shared" si="52"/>
        <v>|</v>
      </c>
      <c r="AG588" s="573" t="s">
        <v>849</v>
      </c>
    </row>
    <row r="589" spans="1:33" ht="24" customHeight="1">
      <c r="A589" s="594">
        <f t="shared" ref="A589:A636" si="68">(A588+1)</f>
        <v>398</v>
      </c>
      <c r="B589" s="650" t="s">
        <v>964</v>
      </c>
      <c r="C589" s="596">
        <v>57.51</v>
      </c>
      <c r="D589" s="595" t="s">
        <v>209</v>
      </c>
      <c r="H589" s="574" t="s">
        <v>965</v>
      </c>
      <c r="K589" s="587">
        <f>K587/10</f>
        <v>505.1</v>
      </c>
      <c r="R589" s="582" t="s">
        <v>117</v>
      </c>
      <c r="T589" s="576"/>
      <c r="U589" s="574" t="s">
        <v>965</v>
      </c>
      <c r="W589" s="578"/>
      <c r="X589" s="587">
        <f>X587/10</f>
        <v>536.1</v>
      </c>
      <c r="AE589" s="592" t="str">
        <f t="shared" si="52"/>
        <v>|</v>
      </c>
      <c r="AG589" s="573" t="s">
        <v>849</v>
      </c>
    </row>
    <row r="590" spans="1:33" ht="24" customHeight="1">
      <c r="A590" s="594">
        <f t="shared" si="68"/>
        <v>399</v>
      </c>
      <c r="B590" s="650" t="s">
        <v>966</v>
      </c>
      <c r="C590" s="596">
        <v>20</v>
      </c>
      <c r="D590" s="595" t="s">
        <v>209</v>
      </c>
      <c r="H590" s="573" t="s">
        <v>482</v>
      </c>
      <c r="I590" s="587">
        <f t="shared" ref="I590:I599" si="69">K589</f>
        <v>505.1</v>
      </c>
      <c r="J590" s="573">
        <f>C22*0.02</f>
        <v>1.798</v>
      </c>
      <c r="K590" s="586">
        <f>I590+J590</f>
        <v>506.89800000000002</v>
      </c>
      <c r="O590" s="573" t="s">
        <v>216</v>
      </c>
      <c r="R590" s="587">
        <f>(R588/30)</f>
        <v>72.844333333333324</v>
      </c>
      <c r="T590" s="576"/>
      <c r="U590" s="573" t="s">
        <v>482</v>
      </c>
      <c r="V590" s="587">
        <f>J612</f>
        <v>3.5960000000000001</v>
      </c>
      <c r="W590" s="573">
        <f>P22*0.02</f>
        <v>26.456</v>
      </c>
      <c r="X590" s="586">
        <f>X589+V590</f>
        <v>539.69600000000003</v>
      </c>
      <c r="AE590" s="592" t="str">
        <f t="shared" si="52"/>
        <v>|</v>
      </c>
      <c r="AG590" s="573" t="s">
        <v>849</v>
      </c>
    </row>
    <row r="591" spans="1:33" ht="24" customHeight="1">
      <c r="A591" s="594">
        <f t="shared" si="68"/>
        <v>400</v>
      </c>
      <c r="B591" s="650" t="s">
        <v>967</v>
      </c>
      <c r="C591" s="596">
        <v>21.92</v>
      </c>
      <c r="D591" s="595" t="s">
        <v>209</v>
      </c>
      <c r="H591" s="573" t="s">
        <v>486</v>
      </c>
      <c r="I591" s="587">
        <f t="shared" si="69"/>
        <v>506.89800000000002</v>
      </c>
      <c r="J591" s="573">
        <f>C23*0.02</f>
        <v>3.54</v>
      </c>
      <c r="K591" s="586">
        <f>I591+J591</f>
        <v>510.43800000000005</v>
      </c>
      <c r="N591" s="573" t="s">
        <v>122</v>
      </c>
      <c r="O591" s="573" t="s">
        <v>968</v>
      </c>
      <c r="T591" s="576"/>
      <c r="U591" s="573" t="s">
        <v>486</v>
      </c>
      <c r="V591" s="587">
        <f>J613</f>
        <v>7.08</v>
      </c>
      <c r="W591" s="573">
        <f>P23*0.02</f>
        <v>20.099600000000002</v>
      </c>
      <c r="X591" s="586">
        <f>X590+V591</f>
        <v>546.77600000000007</v>
      </c>
      <c r="AE591" s="592" t="str">
        <f t="shared" si="52"/>
        <v>|</v>
      </c>
      <c r="AG591" s="573" t="s">
        <v>849</v>
      </c>
    </row>
    <row r="592" spans="1:33" ht="24" customHeight="1">
      <c r="A592" s="594">
        <f t="shared" si="68"/>
        <v>401</v>
      </c>
      <c r="B592" s="650" t="s">
        <v>969</v>
      </c>
      <c r="C592" s="596">
        <v>128</v>
      </c>
      <c r="D592" s="595" t="s">
        <v>209</v>
      </c>
      <c r="H592" s="573" t="s">
        <v>489</v>
      </c>
      <c r="I592" s="587">
        <f t="shared" si="69"/>
        <v>510.43800000000005</v>
      </c>
      <c r="J592" s="573">
        <f>C23*0.02</f>
        <v>3.54</v>
      </c>
      <c r="K592" s="586">
        <f>I592+J592</f>
        <v>513.97800000000007</v>
      </c>
      <c r="O592" s="573" t="s">
        <v>970</v>
      </c>
      <c r="T592" s="576"/>
      <c r="U592" s="573" t="s">
        <v>489</v>
      </c>
      <c r="V592" s="587">
        <f>J614</f>
        <v>7.08</v>
      </c>
      <c r="W592" s="573">
        <f>P23*0.02</f>
        <v>20.099600000000002</v>
      </c>
      <c r="X592" s="586">
        <f>X591+V592</f>
        <v>553.85600000000011</v>
      </c>
      <c r="AE592" s="592" t="str">
        <f t="shared" si="52"/>
        <v>|</v>
      </c>
      <c r="AG592" s="573" t="s">
        <v>849</v>
      </c>
    </row>
    <row r="593" spans="1:33" ht="24" customHeight="1">
      <c r="A593" s="594">
        <f t="shared" si="68"/>
        <v>402</v>
      </c>
      <c r="B593" s="595" t="s">
        <v>3063</v>
      </c>
      <c r="C593" s="593">
        <v>847</v>
      </c>
      <c r="D593" s="595" t="s">
        <v>209</v>
      </c>
      <c r="H593" s="573" t="s">
        <v>491</v>
      </c>
      <c r="I593" s="587">
        <f t="shared" si="69"/>
        <v>513.97800000000007</v>
      </c>
      <c r="J593" s="573">
        <f>C23*0.02</f>
        <v>3.54</v>
      </c>
      <c r="K593" s="586">
        <f>I593+J593</f>
        <v>517.51800000000003</v>
      </c>
      <c r="O593" s="582" t="s">
        <v>117</v>
      </c>
      <c r="T593" s="576"/>
      <c r="U593" s="573" t="s">
        <v>491</v>
      </c>
      <c r="V593" s="587">
        <f>J615</f>
        <v>7.08</v>
      </c>
      <c r="W593" s="573">
        <f>P23*0.02</f>
        <v>20.099600000000002</v>
      </c>
      <c r="X593" s="586">
        <f>X592+V593</f>
        <v>560.93600000000015</v>
      </c>
      <c r="AE593" s="592" t="str">
        <f t="shared" si="52"/>
        <v>|</v>
      </c>
      <c r="AG593" s="573" t="s">
        <v>849</v>
      </c>
    </row>
    <row r="594" spans="1:33" ht="24" customHeight="1">
      <c r="A594" s="594"/>
      <c r="B594" s="595"/>
      <c r="C594" s="596"/>
      <c r="D594" s="595"/>
      <c r="H594" s="573" t="s">
        <v>871</v>
      </c>
      <c r="I594" s="587">
        <f t="shared" si="69"/>
        <v>517.51800000000003</v>
      </c>
      <c r="J594" s="573">
        <f>C23*0.02</f>
        <v>3.54</v>
      </c>
      <c r="K594" s="586">
        <f t="shared" ref="K594:K599" si="70">I594+J594</f>
        <v>521.05799999999999</v>
      </c>
      <c r="O594" s="582"/>
      <c r="T594" s="576"/>
      <c r="U594" s="573" t="s">
        <v>871</v>
      </c>
      <c r="V594" s="587">
        <f>J616</f>
        <v>7.08</v>
      </c>
      <c r="W594" s="573">
        <f>P24*0.02</f>
        <v>1.74</v>
      </c>
      <c r="X594" s="586">
        <f>X593+V594</f>
        <v>568.01600000000019</v>
      </c>
      <c r="AE594" s="592" t="str">
        <f t="shared" si="52"/>
        <v>|::</v>
      </c>
      <c r="AG594" s="573" t="s">
        <v>636</v>
      </c>
    </row>
    <row r="595" spans="1:33" ht="24" customHeight="1">
      <c r="A595" s="594">
        <f>(A593+1)</f>
        <v>403</v>
      </c>
      <c r="B595" s="595" t="s">
        <v>972</v>
      </c>
      <c r="C595" s="596">
        <v>21</v>
      </c>
      <c r="D595" s="595" t="s">
        <v>209</v>
      </c>
      <c r="H595" s="573" t="s">
        <v>798</v>
      </c>
      <c r="I595" s="587">
        <f t="shared" si="69"/>
        <v>521.05799999999999</v>
      </c>
      <c r="J595" s="573">
        <f>C23*0.02</f>
        <v>3.54</v>
      </c>
      <c r="K595" s="586">
        <f t="shared" si="70"/>
        <v>524.59799999999996</v>
      </c>
      <c r="M595" s="587">
        <v>1.08</v>
      </c>
      <c r="N595" s="573" t="s">
        <v>126</v>
      </c>
      <c r="O595" s="573" t="s">
        <v>973</v>
      </c>
      <c r="P595" s="587">
        <f>(K88)</f>
        <v>177.76666666666668</v>
      </c>
      <c r="Q595" s="573" t="s">
        <v>126</v>
      </c>
      <c r="R595" s="587">
        <f>(M595*P595)</f>
        <v>191.98800000000003</v>
      </c>
      <c r="S595" s="626">
        <v>15.2</v>
      </c>
      <c r="T595" s="585" t="s">
        <v>196</v>
      </c>
      <c r="U595" s="573" t="s">
        <v>974</v>
      </c>
      <c r="W595" s="578"/>
      <c r="X595" s="586">
        <f>X594+V594</f>
        <v>575.09600000000023</v>
      </c>
      <c r="AE595" s="592">
        <f t="shared" si="52"/>
        <v>0</v>
      </c>
    </row>
    <row r="596" spans="1:33" ht="24" customHeight="1">
      <c r="A596" s="594">
        <f t="shared" si="68"/>
        <v>404</v>
      </c>
      <c r="B596" s="595" t="s">
        <v>975</v>
      </c>
      <c r="C596" s="596">
        <v>150</v>
      </c>
      <c r="D596" s="595" t="s">
        <v>209</v>
      </c>
      <c r="H596" s="573" t="s">
        <v>799</v>
      </c>
      <c r="I596" s="587">
        <f t="shared" si="69"/>
        <v>524.59799999999996</v>
      </c>
      <c r="J596" s="573">
        <f>C23*0.02</f>
        <v>3.54</v>
      </c>
      <c r="K596" s="586">
        <f t="shared" si="70"/>
        <v>528.13799999999992</v>
      </c>
      <c r="M596" s="617">
        <v>0.216</v>
      </c>
      <c r="N596" s="573" t="s">
        <v>126</v>
      </c>
      <c r="O596" s="573" t="s">
        <v>976</v>
      </c>
      <c r="P596" s="587">
        <f>(R60)</f>
        <v>3502.9379999999996</v>
      </c>
      <c r="Q596" s="573" t="s">
        <v>126</v>
      </c>
      <c r="R596" s="587">
        <f>(M596*P596)</f>
        <v>756.63460799999996</v>
      </c>
      <c r="AE596" s="592">
        <f t="shared" si="52"/>
        <v>0</v>
      </c>
    </row>
    <row r="597" spans="1:33" ht="24" customHeight="1">
      <c r="A597" s="594">
        <f t="shared" si="68"/>
        <v>405</v>
      </c>
      <c r="B597" s="595" t="s">
        <v>3064</v>
      </c>
      <c r="C597" s="593">
        <v>21.2</v>
      </c>
      <c r="D597" s="595" t="s">
        <v>209</v>
      </c>
      <c r="H597" s="573" t="s">
        <v>800</v>
      </c>
      <c r="I597" s="587">
        <f t="shared" si="69"/>
        <v>528.13799999999992</v>
      </c>
      <c r="J597" s="573">
        <f>C23*0.02</f>
        <v>3.54</v>
      </c>
      <c r="K597" s="586">
        <f t="shared" si="70"/>
        <v>531.67799999999988</v>
      </c>
      <c r="M597" s="617">
        <v>0.48699999999999999</v>
      </c>
      <c r="N597" s="573" t="s">
        <v>126</v>
      </c>
      <c r="O597" s="573" t="s">
        <v>978</v>
      </c>
      <c r="P597" s="587">
        <f>(R89)</f>
        <v>6123.9712000000009</v>
      </c>
      <c r="Q597" s="573" t="s">
        <v>126</v>
      </c>
      <c r="R597" s="587">
        <f>(M597*P597)</f>
        <v>2982.3739744000004</v>
      </c>
      <c r="AE597" s="592" t="str">
        <f t="shared" ref="AE597:AE637" si="71">AG597</f>
        <v>|</v>
      </c>
      <c r="AG597" s="573" t="s">
        <v>849</v>
      </c>
    </row>
    <row r="598" spans="1:33" ht="33.75" customHeight="1">
      <c r="A598" s="594">
        <f t="shared" si="68"/>
        <v>406</v>
      </c>
      <c r="B598" s="656" t="s">
        <v>979</v>
      </c>
      <c r="C598" s="593">
        <v>50.9</v>
      </c>
      <c r="D598" s="593">
        <v>43.8</v>
      </c>
      <c r="E598" s="575" t="s">
        <v>3065</v>
      </c>
      <c r="H598" s="573" t="s">
        <v>981</v>
      </c>
      <c r="I598" s="587">
        <f t="shared" si="69"/>
        <v>531.67799999999988</v>
      </c>
      <c r="J598" s="573">
        <f>C23*0.02</f>
        <v>3.54</v>
      </c>
      <c r="K598" s="586">
        <f t="shared" si="70"/>
        <v>535.21799999999985</v>
      </c>
      <c r="M598" s="617">
        <v>5.36</v>
      </c>
      <c r="N598" s="573" t="s">
        <v>140</v>
      </c>
      <c r="O598" s="573" t="s">
        <v>982</v>
      </c>
      <c r="P598" s="587">
        <f>(R304)</f>
        <v>214.22319999999999</v>
      </c>
      <c r="Q598" s="573" t="s">
        <v>140</v>
      </c>
      <c r="R598" s="587">
        <f>(M598*P598)</f>
        <v>1148.2363520000001</v>
      </c>
      <c r="AE598" s="592" t="str">
        <f t="shared" si="71"/>
        <v>|</v>
      </c>
      <c r="AG598" s="573" t="s">
        <v>849</v>
      </c>
    </row>
    <row r="599" spans="1:33" ht="24" customHeight="1">
      <c r="A599" s="594">
        <f t="shared" si="68"/>
        <v>407</v>
      </c>
      <c r="B599" s="595" t="s">
        <v>983</v>
      </c>
      <c r="C599" s="596">
        <v>208.5</v>
      </c>
      <c r="D599" s="595" t="s">
        <v>209</v>
      </c>
      <c r="H599" s="573">
        <v>9</v>
      </c>
      <c r="I599" s="587">
        <f t="shared" si="69"/>
        <v>535.21799999999985</v>
      </c>
      <c r="J599" s="573">
        <f>C23*0.02</f>
        <v>3.54</v>
      </c>
      <c r="K599" s="586">
        <f t="shared" si="70"/>
        <v>538.75799999999981</v>
      </c>
      <c r="M599" s="617">
        <v>3.2000000000000001E-2</v>
      </c>
      <c r="N599" s="573" t="s">
        <v>126</v>
      </c>
      <c r="O599" s="573" t="s">
        <v>984</v>
      </c>
      <c r="P599" s="587">
        <f>(K643)</f>
        <v>6834</v>
      </c>
      <c r="Q599" s="573" t="s">
        <v>126</v>
      </c>
      <c r="R599" s="587">
        <f>(M599*P599)</f>
        <v>218.68800000000002</v>
      </c>
      <c r="AE599" s="592" t="str">
        <f t="shared" si="71"/>
        <v>|</v>
      </c>
      <c r="AG599" s="573" t="s">
        <v>849</v>
      </c>
    </row>
    <row r="600" spans="1:33" ht="24" customHeight="1">
      <c r="A600" s="594">
        <f t="shared" si="68"/>
        <v>408</v>
      </c>
      <c r="B600" s="654" t="s">
        <v>985</v>
      </c>
      <c r="C600" s="675">
        <v>148.4</v>
      </c>
      <c r="D600" s="595" t="s">
        <v>209</v>
      </c>
      <c r="H600" s="573"/>
      <c r="I600" s="587"/>
      <c r="J600" s="573"/>
      <c r="K600" s="586"/>
      <c r="O600" s="573" t="s">
        <v>986</v>
      </c>
      <c r="R600" s="573" t="s">
        <v>115</v>
      </c>
      <c r="AE600" s="592" t="str">
        <f t="shared" si="71"/>
        <v>|</v>
      </c>
      <c r="AG600" s="573" t="s">
        <v>849</v>
      </c>
    </row>
    <row r="601" spans="1:33" ht="47.25" customHeight="1">
      <c r="A601" s="594">
        <f t="shared" si="68"/>
        <v>409</v>
      </c>
      <c r="B601" s="676" t="s">
        <v>987</v>
      </c>
      <c r="C601" s="677">
        <v>346.14</v>
      </c>
      <c r="D601" s="595" t="s">
        <v>140</v>
      </c>
      <c r="H601" s="573"/>
      <c r="I601" s="587"/>
      <c r="J601" s="573"/>
      <c r="K601" s="586"/>
      <c r="N601" s="573" t="s">
        <v>129</v>
      </c>
      <c r="O601" s="573" t="s">
        <v>988</v>
      </c>
      <c r="Q601" s="573" t="s">
        <v>129</v>
      </c>
      <c r="R601" s="587">
        <v>2.92</v>
      </c>
      <c r="AE601" s="592" t="str">
        <f t="shared" si="71"/>
        <v>|</v>
      </c>
      <c r="AG601" s="573" t="s">
        <v>849</v>
      </c>
    </row>
    <row r="602" spans="1:33" ht="31.5">
      <c r="A602" s="594">
        <f t="shared" si="68"/>
        <v>410</v>
      </c>
      <c r="B602" s="656" t="s">
        <v>3066</v>
      </c>
      <c r="C602" s="593">
        <v>385</v>
      </c>
      <c r="D602" s="595" t="s">
        <v>140</v>
      </c>
      <c r="E602" s="573">
        <f>7.7/0.02</f>
        <v>385</v>
      </c>
      <c r="F602" s="620">
        <v>15.2</v>
      </c>
      <c r="G602" s="585" t="s">
        <v>196</v>
      </c>
      <c r="H602" s="573" t="s">
        <v>974</v>
      </c>
      <c r="K602" s="678">
        <f>K594+J594</f>
        <v>524.59799999999996</v>
      </c>
      <c r="R602" s="582" t="s">
        <v>117</v>
      </c>
      <c r="AE602" s="592" t="str">
        <f t="shared" si="71"/>
        <v>|</v>
      </c>
      <c r="AG602" s="573" t="s">
        <v>849</v>
      </c>
    </row>
    <row r="603" spans="1:33" ht="24" customHeight="1">
      <c r="A603" s="594">
        <f t="shared" si="68"/>
        <v>411</v>
      </c>
      <c r="B603" s="650" t="s">
        <v>990</v>
      </c>
      <c r="C603" s="596">
        <v>75</v>
      </c>
      <c r="D603" s="595" t="s">
        <v>209</v>
      </c>
      <c r="H603" s="573" t="s">
        <v>950</v>
      </c>
      <c r="O603" s="573" t="s">
        <v>991</v>
      </c>
      <c r="R603" s="587">
        <f>SUM(R595:R601)</f>
        <v>5300.8409344000011</v>
      </c>
      <c r="AE603" s="592" t="str">
        <f t="shared" si="71"/>
        <v>|</v>
      </c>
      <c r="AG603" s="573" t="s">
        <v>849</v>
      </c>
    </row>
    <row r="604" spans="1:33" ht="24" customHeight="1">
      <c r="A604" s="594">
        <f t="shared" si="68"/>
        <v>412</v>
      </c>
      <c r="B604" s="650" t="s">
        <v>992</v>
      </c>
      <c r="C604" s="596">
        <v>125</v>
      </c>
      <c r="D604" s="595" t="s">
        <v>209</v>
      </c>
      <c r="F604" s="587">
        <v>1</v>
      </c>
      <c r="G604" s="585" t="s">
        <v>174</v>
      </c>
      <c r="H604" s="573" t="s">
        <v>952</v>
      </c>
      <c r="I604" s="587">
        <f>D751</f>
        <v>397</v>
      </c>
      <c r="J604" s="573" t="s">
        <v>174</v>
      </c>
      <c r="K604" s="587">
        <f>(F604*I604)</f>
        <v>397</v>
      </c>
      <c r="R604" s="582" t="s">
        <v>117</v>
      </c>
      <c r="AE604" s="592" t="str">
        <f t="shared" si="71"/>
        <v>|</v>
      </c>
      <c r="AG604" s="573" t="s">
        <v>849</v>
      </c>
    </row>
    <row r="605" spans="1:33" ht="24" customHeight="1">
      <c r="A605" s="594">
        <f t="shared" si="68"/>
        <v>413</v>
      </c>
      <c r="B605" s="650" t="s">
        <v>993</v>
      </c>
      <c r="C605" s="596">
        <v>190</v>
      </c>
      <c r="D605" s="595" t="s">
        <v>209</v>
      </c>
      <c r="F605" s="587">
        <v>0.75</v>
      </c>
      <c r="G605" s="585" t="s">
        <v>233</v>
      </c>
      <c r="H605" s="573" t="s">
        <v>954</v>
      </c>
      <c r="I605" s="587">
        <f>C10</f>
        <v>769</v>
      </c>
      <c r="J605" s="573" t="s">
        <v>227</v>
      </c>
      <c r="K605" s="587">
        <f>(F605*I605)</f>
        <v>576.75</v>
      </c>
      <c r="N605" s="573" t="s">
        <v>122</v>
      </c>
      <c r="O605" s="573" t="s">
        <v>968</v>
      </c>
      <c r="AE605" s="592" t="str">
        <f t="shared" si="71"/>
        <v>|</v>
      </c>
      <c r="AG605" s="573" t="s">
        <v>849</v>
      </c>
    </row>
    <row r="606" spans="1:33" ht="24" customHeight="1">
      <c r="A606" s="594">
        <f t="shared" si="68"/>
        <v>414</v>
      </c>
      <c r="B606" s="650" t="s">
        <v>994</v>
      </c>
      <c r="C606" s="596">
        <v>16</v>
      </c>
      <c r="D606" s="595" t="s">
        <v>209</v>
      </c>
      <c r="F606" s="587">
        <v>0.75</v>
      </c>
      <c r="G606" s="585" t="s">
        <v>233</v>
      </c>
      <c r="H606" s="573" t="s">
        <v>956</v>
      </c>
      <c r="I606" s="587">
        <f>C12</f>
        <v>502</v>
      </c>
      <c r="J606" s="573" t="s">
        <v>227</v>
      </c>
      <c r="K606" s="587">
        <f>(F606*I606)</f>
        <v>376.5</v>
      </c>
      <c r="O606" s="573" t="s">
        <v>995</v>
      </c>
      <c r="AE606" s="592" t="str">
        <f t="shared" si="71"/>
        <v>|</v>
      </c>
      <c r="AG606" s="573" t="s">
        <v>849</v>
      </c>
    </row>
    <row r="607" spans="1:33" ht="24" customHeight="1">
      <c r="A607" s="594">
        <f t="shared" si="68"/>
        <v>415</v>
      </c>
      <c r="B607" s="595" t="s">
        <v>3067</v>
      </c>
      <c r="C607" s="593">
        <v>11.6</v>
      </c>
      <c r="D607" s="595" t="s">
        <v>148</v>
      </c>
      <c r="F607" s="587">
        <v>0.5</v>
      </c>
      <c r="G607" s="585" t="s">
        <v>233</v>
      </c>
      <c r="H607" s="573" t="s">
        <v>997</v>
      </c>
      <c r="I607" s="587">
        <f>C41</f>
        <v>569</v>
      </c>
      <c r="J607" s="573" t="s">
        <v>227</v>
      </c>
      <c r="K607" s="587">
        <f>(F607*I607)</f>
        <v>284.5</v>
      </c>
      <c r="O607" s="582" t="s">
        <v>117</v>
      </c>
      <c r="AE607" s="592" t="str">
        <f t="shared" si="71"/>
        <v>|</v>
      </c>
      <c r="AG607" s="573" t="s">
        <v>849</v>
      </c>
    </row>
    <row r="608" spans="1:33" ht="24" customHeight="1">
      <c r="A608" s="594">
        <f t="shared" si="68"/>
        <v>416</v>
      </c>
      <c r="B608" s="595" t="s">
        <v>998</v>
      </c>
      <c r="C608" s="593">
        <v>24.5</v>
      </c>
      <c r="D608" s="595" t="s">
        <v>148</v>
      </c>
      <c r="E608" s="575">
        <f>22.2+26.8</f>
        <v>49</v>
      </c>
      <c r="G608" s="585" t="s">
        <v>129</v>
      </c>
      <c r="H608" s="573" t="s">
        <v>958</v>
      </c>
      <c r="J608" s="573" t="s">
        <v>129</v>
      </c>
      <c r="K608" s="587">
        <v>53.5</v>
      </c>
      <c r="M608" s="587">
        <v>1.3</v>
      </c>
      <c r="N608" s="573" t="s">
        <v>126</v>
      </c>
      <c r="O608" s="573" t="s">
        <v>973</v>
      </c>
      <c r="P608" s="587">
        <f>(K88)</f>
        <v>177.76666666666668</v>
      </c>
      <c r="Q608" s="573" t="s">
        <v>126</v>
      </c>
      <c r="R608" s="587">
        <f>(M608*P608)</f>
        <v>231.09666666666669</v>
      </c>
      <c r="AE608" s="592" t="str">
        <f t="shared" si="71"/>
        <v>|</v>
      </c>
      <c r="AG608" s="573" t="s">
        <v>849</v>
      </c>
    </row>
    <row r="609" spans="1:33" ht="24" customHeight="1">
      <c r="A609" s="594"/>
      <c r="B609" s="595" t="s">
        <v>3068</v>
      </c>
      <c r="C609" s="593">
        <v>22.2</v>
      </c>
      <c r="D609" s="595" t="s">
        <v>148</v>
      </c>
      <c r="E609" s="575">
        <f>E608/2</f>
        <v>24.5</v>
      </c>
      <c r="H609" s="573" t="s">
        <v>960</v>
      </c>
      <c r="K609" s="582" t="s">
        <v>117</v>
      </c>
      <c r="M609" s="587"/>
      <c r="N609" s="573"/>
      <c r="O609" s="573"/>
      <c r="P609" s="587"/>
      <c r="Q609" s="573"/>
      <c r="R609" s="587"/>
      <c r="AE609" s="592" t="str">
        <f t="shared" si="71"/>
        <v>|</v>
      </c>
      <c r="AG609" s="573" t="s">
        <v>849</v>
      </c>
    </row>
    <row r="610" spans="1:33" ht="24" customHeight="1">
      <c r="A610" s="594">
        <f>(A608+1)</f>
        <v>417</v>
      </c>
      <c r="B610" s="595" t="s">
        <v>3069</v>
      </c>
      <c r="C610" s="593">
        <v>26.8</v>
      </c>
      <c r="D610" s="595" t="s">
        <v>148</v>
      </c>
      <c r="H610" s="574" t="s">
        <v>1001</v>
      </c>
      <c r="K610" s="587">
        <f>SUM(K604:K608)</f>
        <v>1688.25</v>
      </c>
      <c r="M610" s="617">
        <v>0.216</v>
      </c>
      <c r="N610" s="573" t="s">
        <v>126</v>
      </c>
      <c r="O610" s="573" t="s">
        <v>976</v>
      </c>
      <c r="P610" s="587">
        <f>(R60)</f>
        <v>3502.9379999999996</v>
      </c>
      <c r="Q610" s="573" t="s">
        <v>126</v>
      </c>
      <c r="R610" s="587">
        <f>(M610*P610)</f>
        <v>756.63460799999996</v>
      </c>
      <c r="AE610" s="592">
        <f t="shared" si="71"/>
        <v>0</v>
      </c>
      <c r="AG610" s="573"/>
    </row>
    <row r="611" spans="1:33" ht="24" customHeight="1">
      <c r="A611" s="594">
        <f t="shared" si="68"/>
        <v>418</v>
      </c>
      <c r="B611" s="650" t="s">
        <v>1002</v>
      </c>
      <c r="C611" s="596">
        <v>7.5</v>
      </c>
      <c r="D611" s="595" t="s">
        <v>1</v>
      </c>
      <c r="K611" s="582" t="s">
        <v>117</v>
      </c>
      <c r="M611" s="617">
        <v>0.60099999999999998</v>
      </c>
      <c r="N611" s="573" t="s">
        <v>126</v>
      </c>
      <c r="O611" s="573" t="s">
        <v>978</v>
      </c>
      <c r="P611" s="587">
        <f>(R89)</f>
        <v>6123.9712000000009</v>
      </c>
      <c r="Q611" s="573" t="s">
        <v>126</v>
      </c>
      <c r="R611" s="587">
        <f>(M611*P611)</f>
        <v>3680.5066912000002</v>
      </c>
      <c r="AE611" s="592" t="str">
        <f t="shared" si="71"/>
        <v>|</v>
      </c>
      <c r="AG611" s="573" t="s">
        <v>849</v>
      </c>
    </row>
    <row r="612" spans="1:33" ht="24" customHeight="1">
      <c r="A612" s="594">
        <f t="shared" si="68"/>
        <v>419</v>
      </c>
      <c r="B612" s="650" t="s">
        <v>1003</v>
      </c>
      <c r="C612" s="596">
        <v>16</v>
      </c>
      <c r="D612" s="595" t="s">
        <v>1</v>
      </c>
      <c r="E612" s="575" t="s">
        <v>1004</v>
      </c>
      <c r="H612" s="573" t="s">
        <v>482</v>
      </c>
      <c r="I612" s="587">
        <f>K610</f>
        <v>1688.25</v>
      </c>
      <c r="J612" s="573">
        <f>C22*0.04</f>
        <v>3.5960000000000001</v>
      </c>
      <c r="K612" s="586">
        <f>(K610+C22*0.04)</f>
        <v>1691.846</v>
      </c>
      <c r="M612" s="617">
        <v>6.35</v>
      </c>
      <c r="N612" s="573" t="s">
        <v>140</v>
      </c>
      <c r="O612" s="573" t="s">
        <v>982</v>
      </c>
      <c r="P612" s="587">
        <f>(R304)</f>
        <v>214.22319999999999</v>
      </c>
      <c r="Q612" s="573" t="s">
        <v>140</v>
      </c>
      <c r="R612" s="587">
        <f>(M612*P612)</f>
        <v>1360.3173199999999</v>
      </c>
      <c r="AE612" s="592" t="str">
        <f t="shared" si="71"/>
        <v>|</v>
      </c>
      <c r="AG612" s="573" t="s">
        <v>849</v>
      </c>
    </row>
    <row r="613" spans="1:33" ht="24" customHeight="1">
      <c r="A613" s="594">
        <f t="shared" si="68"/>
        <v>420</v>
      </c>
      <c r="B613" s="595" t="s">
        <v>3070</v>
      </c>
      <c r="C613" s="593">
        <v>3030</v>
      </c>
      <c r="D613" s="595" t="s">
        <v>1006</v>
      </c>
      <c r="E613" s="618">
        <v>3420</v>
      </c>
      <c r="H613" s="573" t="s">
        <v>486</v>
      </c>
      <c r="I613" s="587">
        <f>K612</f>
        <v>1691.846</v>
      </c>
      <c r="J613" s="573">
        <f>C23*0.04</f>
        <v>7.08</v>
      </c>
      <c r="K613" s="586">
        <f>(K612+C23*0.04)</f>
        <v>1698.9259999999999</v>
      </c>
      <c r="M613" s="617">
        <v>3.2000000000000001E-2</v>
      </c>
      <c r="N613" s="573" t="s">
        <v>126</v>
      </c>
      <c r="O613" s="573" t="s">
        <v>984</v>
      </c>
      <c r="P613" s="587">
        <f>(K643)</f>
        <v>6834</v>
      </c>
      <c r="Q613" s="573" t="s">
        <v>126</v>
      </c>
      <c r="R613" s="587">
        <f>(M613*P613)</f>
        <v>218.68800000000002</v>
      </c>
      <c r="AE613" s="592" t="str">
        <f t="shared" si="71"/>
        <v>|</v>
      </c>
      <c r="AG613" s="573" t="s">
        <v>849</v>
      </c>
    </row>
    <row r="614" spans="1:33" ht="24" customHeight="1">
      <c r="A614" s="594">
        <f t="shared" si="68"/>
        <v>421</v>
      </c>
      <c r="B614" s="650" t="s">
        <v>1007</v>
      </c>
      <c r="C614" s="596">
        <v>805</v>
      </c>
      <c r="D614" s="595" t="s">
        <v>1006</v>
      </c>
      <c r="H614" s="573" t="s">
        <v>489</v>
      </c>
      <c r="I614" s="587">
        <f>K613</f>
        <v>1698.9259999999999</v>
      </c>
      <c r="J614" s="573">
        <f>C23*0.04</f>
        <v>7.08</v>
      </c>
      <c r="K614" s="586">
        <f>(K613+C24*0.04)</f>
        <v>1706.0059999999999</v>
      </c>
      <c r="O614" s="573" t="s">
        <v>986</v>
      </c>
      <c r="R614" s="573" t="s">
        <v>115</v>
      </c>
      <c r="AE614" s="592" t="str">
        <f t="shared" si="71"/>
        <v>|</v>
      </c>
      <c r="AG614" s="573" t="s">
        <v>849</v>
      </c>
    </row>
    <row r="615" spans="1:33" ht="24" customHeight="1">
      <c r="A615" s="594">
        <f t="shared" si="68"/>
        <v>422</v>
      </c>
      <c r="B615" s="650" t="s">
        <v>1008</v>
      </c>
      <c r="C615" s="596">
        <f>204+53</f>
        <v>257</v>
      </c>
      <c r="D615" s="595" t="s">
        <v>1006</v>
      </c>
      <c r="H615" s="573" t="s">
        <v>491</v>
      </c>
      <c r="I615" s="587">
        <f>K614</f>
        <v>1706.0059999999999</v>
      </c>
      <c r="J615" s="573">
        <f>C23*0.04</f>
        <v>7.08</v>
      </c>
      <c r="K615" s="586">
        <f>(K614+C24*0.04)</f>
        <v>1713.0859999999998</v>
      </c>
      <c r="N615" s="573" t="s">
        <v>129</v>
      </c>
      <c r="O615" s="573" t="s">
        <v>988</v>
      </c>
      <c r="Q615" s="573" t="s">
        <v>129</v>
      </c>
      <c r="R615" s="587">
        <v>2.1</v>
      </c>
      <c r="AE615" s="592" t="str">
        <f t="shared" si="71"/>
        <v>|</v>
      </c>
      <c r="AG615" s="573" t="s">
        <v>849</v>
      </c>
    </row>
    <row r="616" spans="1:33" ht="24" customHeight="1">
      <c r="A616" s="594">
        <f t="shared" si="68"/>
        <v>423</v>
      </c>
      <c r="B616" s="650" t="s">
        <v>1009</v>
      </c>
      <c r="C616" s="596">
        <v>53</v>
      </c>
      <c r="D616" s="595" t="s">
        <v>1</v>
      </c>
      <c r="H616" s="573" t="s">
        <v>871</v>
      </c>
      <c r="I616" s="587">
        <f>K615</f>
        <v>1713.0859999999998</v>
      </c>
      <c r="J616" s="573">
        <f>C24*0.04</f>
        <v>7.08</v>
      </c>
      <c r="K616" s="586">
        <f>(K615+C24*0.04)</f>
        <v>1720.1659999999997</v>
      </c>
      <c r="R616" s="582" t="s">
        <v>117</v>
      </c>
      <c r="AE616" s="592" t="str">
        <f t="shared" si="71"/>
        <v>|</v>
      </c>
      <c r="AG616" s="573" t="s">
        <v>849</v>
      </c>
    </row>
    <row r="617" spans="1:33" ht="24" customHeight="1">
      <c r="A617" s="594">
        <f t="shared" si="68"/>
        <v>424</v>
      </c>
      <c r="B617" s="595" t="s">
        <v>3071</v>
      </c>
      <c r="C617" s="593">
        <v>1640</v>
      </c>
      <c r="D617" s="595" t="s">
        <v>1</v>
      </c>
      <c r="F617" s="679">
        <v>15.1</v>
      </c>
      <c r="G617" s="585" t="s">
        <v>1011</v>
      </c>
      <c r="H617" s="573" t="s">
        <v>1012</v>
      </c>
      <c r="O617" s="573" t="s">
        <v>991</v>
      </c>
      <c r="R617" s="587">
        <f>SUM(R608:R615)</f>
        <v>6249.3432858666674</v>
      </c>
      <c r="AE617" s="592" t="str">
        <f t="shared" si="71"/>
        <v>|</v>
      </c>
      <c r="AG617" s="573" t="s">
        <v>849</v>
      </c>
    </row>
    <row r="618" spans="1:33" ht="24" customHeight="1">
      <c r="A618" s="594">
        <f t="shared" si="68"/>
        <v>425</v>
      </c>
      <c r="B618" s="595" t="s">
        <v>1013</v>
      </c>
      <c r="C618" s="596">
        <v>196</v>
      </c>
      <c r="D618" s="595" t="s">
        <v>1</v>
      </c>
      <c r="H618" s="573" t="s">
        <v>950</v>
      </c>
      <c r="R618" s="582" t="s">
        <v>117</v>
      </c>
      <c r="AE618" s="592" t="str">
        <f t="shared" si="71"/>
        <v>|</v>
      </c>
      <c r="AG618" s="573" t="s">
        <v>849</v>
      </c>
    </row>
    <row r="619" spans="1:33" ht="24" customHeight="1">
      <c r="A619" s="594">
        <f t="shared" si="68"/>
        <v>426</v>
      </c>
      <c r="B619" s="595" t="s">
        <v>3072</v>
      </c>
      <c r="C619" s="593">
        <v>922</v>
      </c>
      <c r="D619" s="595" t="s">
        <v>1</v>
      </c>
      <c r="F619" s="587">
        <v>10</v>
      </c>
      <c r="G619" s="585" t="s">
        <v>174</v>
      </c>
      <c r="H619" s="573" t="s">
        <v>1015</v>
      </c>
      <c r="I619" s="629">
        <f>C751</f>
        <v>366</v>
      </c>
      <c r="J619" s="573" t="s">
        <v>174</v>
      </c>
      <c r="K619" s="587">
        <f>(F619*I619)</f>
        <v>3660</v>
      </c>
      <c r="N619" s="573" t="s">
        <v>122</v>
      </c>
      <c r="O619" s="573" t="s">
        <v>1016</v>
      </c>
      <c r="AE619" s="592" t="str">
        <f t="shared" si="71"/>
        <v>|</v>
      </c>
      <c r="AG619" s="573" t="s">
        <v>849</v>
      </c>
    </row>
    <row r="620" spans="1:33" ht="24" customHeight="1">
      <c r="A620" s="594">
        <f t="shared" si="68"/>
        <v>427</v>
      </c>
      <c r="B620" s="595" t="s">
        <v>1017</v>
      </c>
      <c r="C620" s="615">
        <v>193.05</v>
      </c>
      <c r="D620" s="654">
        <v>120.54</v>
      </c>
      <c r="F620" s="587">
        <v>0.12</v>
      </c>
      <c r="G620" s="585" t="s">
        <v>126</v>
      </c>
      <c r="H620" s="573" t="s">
        <v>1018</v>
      </c>
      <c r="I620" s="587">
        <f>K32</f>
        <v>4193.8</v>
      </c>
      <c r="J620" s="573" t="s">
        <v>126</v>
      </c>
      <c r="K620" s="587">
        <f>(F620*I620)</f>
        <v>503.25600000000003</v>
      </c>
      <c r="O620" s="573" t="s">
        <v>1019</v>
      </c>
      <c r="AE620" s="592" t="str">
        <f t="shared" si="71"/>
        <v>|</v>
      </c>
      <c r="AG620" s="573" t="s">
        <v>849</v>
      </c>
    </row>
    <row r="621" spans="1:33" ht="24" customHeight="1">
      <c r="A621" s="594">
        <f t="shared" si="68"/>
        <v>428</v>
      </c>
      <c r="B621" s="595" t="s">
        <v>1020</v>
      </c>
      <c r="C621" s="680">
        <v>115.85</v>
      </c>
      <c r="D621" s="681" t="s">
        <v>203</v>
      </c>
      <c r="E621" s="682"/>
      <c r="F621" s="587">
        <v>1</v>
      </c>
      <c r="G621" s="585" t="s">
        <v>233</v>
      </c>
      <c r="H621" s="573" t="s">
        <v>954</v>
      </c>
      <c r="I621" s="587">
        <f>C10</f>
        <v>769</v>
      </c>
      <c r="J621" s="573" t="s">
        <v>227</v>
      </c>
      <c r="K621" s="587">
        <f>(F621*I621)</f>
        <v>769</v>
      </c>
      <c r="O621" s="582" t="s">
        <v>117</v>
      </c>
      <c r="AE621" s="592" t="str">
        <f t="shared" si="71"/>
        <v>|</v>
      </c>
      <c r="AG621" s="573" t="s">
        <v>849</v>
      </c>
    </row>
    <row r="622" spans="1:33" ht="24" customHeight="1">
      <c r="A622" s="594">
        <f t="shared" si="68"/>
        <v>429</v>
      </c>
      <c r="B622" s="595" t="s">
        <v>1021</v>
      </c>
      <c r="C622" s="683"/>
      <c r="D622" s="681" t="s">
        <v>203</v>
      </c>
      <c r="E622" s="682"/>
      <c r="F622" s="587">
        <v>1</v>
      </c>
      <c r="G622" s="585" t="s">
        <v>233</v>
      </c>
      <c r="H622" s="573" t="s">
        <v>956</v>
      </c>
      <c r="I622" s="587">
        <f>C12</f>
        <v>502</v>
      </c>
      <c r="J622" s="573" t="s">
        <v>227</v>
      </c>
      <c r="K622" s="587">
        <f>(F622*I622)</f>
        <v>502</v>
      </c>
      <c r="M622" s="587">
        <v>10.37</v>
      </c>
      <c r="N622" s="573" t="s">
        <v>126</v>
      </c>
      <c r="O622" s="573" t="s">
        <v>1022</v>
      </c>
      <c r="P622" s="587">
        <f>(C61*2)</f>
        <v>168</v>
      </c>
      <c r="Q622" s="573" t="s">
        <v>126</v>
      </c>
      <c r="R622" s="587">
        <f t="shared" ref="R622:R630" si="72">(M622*P622)</f>
        <v>1742.1599999999999</v>
      </c>
      <c r="AE622" s="592" t="str">
        <f t="shared" si="71"/>
        <v>|</v>
      </c>
      <c r="AG622" s="573" t="s">
        <v>849</v>
      </c>
    </row>
    <row r="623" spans="1:33" ht="24" customHeight="1">
      <c r="A623" s="594">
        <f t="shared" si="68"/>
        <v>430</v>
      </c>
      <c r="B623" s="595" t="s">
        <v>1023</v>
      </c>
      <c r="C623" s="680">
        <v>76</v>
      </c>
      <c r="D623" s="681" t="s">
        <v>209</v>
      </c>
      <c r="E623" s="682"/>
      <c r="G623" s="585" t="s">
        <v>129</v>
      </c>
      <c r="H623" s="573" t="s">
        <v>958</v>
      </c>
      <c r="J623" s="573" t="s">
        <v>129</v>
      </c>
      <c r="K623" s="587">
        <v>0.33</v>
      </c>
      <c r="M623" s="587">
        <v>0.65</v>
      </c>
      <c r="N623" s="573" t="s">
        <v>126</v>
      </c>
      <c r="O623" s="573" t="s">
        <v>1024</v>
      </c>
      <c r="P623" s="587">
        <f>R60</f>
        <v>3502.9379999999996</v>
      </c>
      <c r="Q623" s="573" t="s">
        <v>126</v>
      </c>
      <c r="R623" s="587">
        <f t="shared" si="72"/>
        <v>2276.9096999999997</v>
      </c>
      <c r="AE623" s="592" t="str">
        <f t="shared" si="71"/>
        <v>|</v>
      </c>
      <c r="AG623" s="573" t="s">
        <v>849</v>
      </c>
    </row>
    <row r="624" spans="1:33" ht="24" customHeight="1">
      <c r="A624" s="594">
        <f t="shared" si="68"/>
        <v>431</v>
      </c>
      <c r="B624" s="595" t="s">
        <v>1025</v>
      </c>
      <c r="C624" s="680">
        <v>45</v>
      </c>
      <c r="D624" s="681" t="s">
        <v>209</v>
      </c>
      <c r="E624" s="682"/>
      <c r="H624" s="573" t="s">
        <v>960</v>
      </c>
      <c r="K624" s="582" t="s">
        <v>117</v>
      </c>
      <c r="M624" s="587">
        <v>1.1399999999999999</v>
      </c>
      <c r="N624" s="573" t="s">
        <v>126</v>
      </c>
      <c r="O624" s="573" t="s">
        <v>1026</v>
      </c>
      <c r="P624" s="587">
        <f>K321</f>
        <v>5768.1080000000002</v>
      </c>
      <c r="Q624" s="573" t="s">
        <v>126</v>
      </c>
      <c r="R624" s="587">
        <f t="shared" si="72"/>
        <v>6575.6431199999997</v>
      </c>
      <c r="AE624" s="592" t="str">
        <f t="shared" si="71"/>
        <v>|</v>
      </c>
      <c r="AG624" s="573" t="s">
        <v>849</v>
      </c>
    </row>
    <row r="625" spans="1:33" ht="24" customHeight="1">
      <c r="A625" s="594">
        <f t="shared" si="68"/>
        <v>432</v>
      </c>
      <c r="B625" s="595" t="s">
        <v>1027</v>
      </c>
      <c r="C625" s="684">
        <v>33</v>
      </c>
      <c r="D625" s="595" t="s">
        <v>209</v>
      </c>
      <c r="H625" s="574" t="s">
        <v>1028</v>
      </c>
      <c r="K625" s="587">
        <f>SUM(K619:K623)</f>
        <v>5434.5860000000002</v>
      </c>
      <c r="M625" s="587">
        <v>0.85</v>
      </c>
      <c r="N625" s="573" t="s">
        <v>126</v>
      </c>
      <c r="O625" s="573" t="s">
        <v>1029</v>
      </c>
      <c r="P625" s="587">
        <f>K321-K312/10</f>
        <v>4998.058</v>
      </c>
      <c r="Q625" s="573" t="s">
        <v>126</v>
      </c>
      <c r="R625" s="587">
        <f t="shared" si="72"/>
        <v>4248.3492999999999</v>
      </c>
      <c r="AE625" s="592">
        <f t="shared" si="71"/>
        <v>0</v>
      </c>
      <c r="AG625" s="573"/>
    </row>
    <row r="626" spans="1:33" ht="24" customHeight="1">
      <c r="A626" s="594">
        <f t="shared" si="68"/>
        <v>433</v>
      </c>
      <c r="B626" s="595" t="s">
        <v>3073</v>
      </c>
      <c r="C626" s="593">
        <v>71</v>
      </c>
      <c r="D626" s="595" t="s">
        <v>209</v>
      </c>
      <c r="K626" s="582" t="s">
        <v>117</v>
      </c>
      <c r="M626" s="587">
        <v>0.98</v>
      </c>
      <c r="N626" s="573" t="s">
        <v>126</v>
      </c>
      <c r="O626" s="573" t="s">
        <v>1031</v>
      </c>
      <c r="P626" s="587">
        <f>(C73)</f>
        <v>1644.69</v>
      </c>
      <c r="Q626" s="573" t="s">
        <v>126</v>
      </c>
      <c r="R626" s="587">
        <f t="shared" si="72"/>
        <v>1611.7962</v>
      </c>
      <c r="AE626" s="592" t="str">
        <f t="shared" si="71"/>
        <v>|</v>
      </c>
      <c r="AG626" s="573" t="s">
        <v>849</v>
      </c>
    </row>
    <row r="627" spans="1:33" ht="24" customHeight="1">
      <c r="A627" s="594">
        <f t="shared" si="68"/>
        <v>434</v>
      </c>
      <c r="B627" s="595" t="s">
        <v>1032</v>
      </c>
      <c r="C627" s="596">
        <v>36.520000000000003</v>
      </c>
      <c r="D627" s="595" t="s">
        <v>209</v>
      </c>
      <c r="H627" s="574" t="s">
        <v>1033</v>
      </c>
      <c r="K627" s="587">
        <f>K625/10</f>
        <v>543.45860000000005</v>
      </c>
      <c r="M627" s="587">
        <v>2.68</v>
      </c>
      <c r="N627" s="573" t="s">
        <v>126</v>
      </c>
      <c r="O627" s="573" t="s">
        <v>492</v>
      </c>
      <c r="P627" s="587">
        <f>(C79)</f>
        <v>1322.8</v>
      </c>
      <c r="Q627" s="573" t="s">
        <v>126</v>
      </c>
      <c r="R627" s="587">
        <f t="shared" si="72"/>
        <v>3545.1040000000003</v>
      </c>
      <c r="AE627" s="592" t="str">
        <f t="shared" si="71"/>
        <v>|</v>
      </c>
      <c r="AG627" s="573" t="s">
        <v>849</v>
      </c>
    </row>
    <row r="628" spans="1:33" ht="24" customHeight="1">
      <c r="A628" s="594">
        <f t="shared" si="68"/>
        <v>435</v>
      </c>
      <c r="B628" s="595" t="s">
        <v>1034</v>
      </c>
      <c r="C628" s="608"/>
      <c r="D628" s="595" t="s">
        <v>209</v>
      </c>
      <c r="H628" s="573" t="s">
        <v>482</v>
      </c>
      <c r="I628" s="575">
        <f>K627</f>
        <v>543.45860000000005</v>
      </c>
      <c r="J628" s="578">
        <f>C22*0.02</f>
        <v>1.798</v>
      </c>
      <c r="K628" s="586">
        <f>I628+J628</f>
        <v>545.25660000000005</v>
      </c>
      <c r="M628" s="587">
        <v>7.24</v>
      </c>
      <c r="N628" s="573" t="s">
        <v>140</v>
      </c>
      <c r="O628" s="573" t="s">
        <v>1035</v>
      </c>
      <c r="P628" s="587">
        <f>(K1400)</f>
        <v>198.63280000000003</v>
      </c>
      <c r="Q628" s="573" t="s">
        <v>140</v>
      </c>
      <c r="R628" s="587">
        <f t="shared" si="72"/>
        <v>1438.1014720000003</v>
      </c>
      <c r="AE628" s="592" t="str">
        <f t="shared" si="71"/>
        <v>|</v>
      </c>
      <c r="AG628" s="573" t="s">
        <v>849</v>
      </c>
    </row>
    <row r="629" spans="1:33" ht="24" customHeight="1">
      <c r="A629" s="594">
        <f t="shared" si="68"/>
        <v>436</v>
      </c>
      <c r="B629" s="595" t="s">
        <v>1036</v>
      </c>
      <c r="C629" s="593">
        <v>88.6</v>
      </c>
      <c r="D629" s="596">
        <v>93.72</v>
      </c>
      <c r="H629" s="573" t="s">
        <v>486</v>
      </c>
      <c r="I629" s="575">
        <f>K628</f>
        <v>545.25660000000005</v>
      </c>
      <c r="J629" s="578">
        <f>C23*0.02</f>
        <v>3.54</v>
      </c>
      <c r="K629" s="586">
        <f>I629+J629</f>
        <v>548.79660000000001</v>
      </c>
      <c r="M629" s="587">
        <v>1</v>
      </c>
      <c r="N629" s="573" t="s">
        <v>209</v>
      </c>
      <c r="O629" s="573" t="s">
        <v>1037</v>
      </c>
      <c r="P629" s="587">
        <f>(C203)</f>
        <v>125.6</v>
      </c>
      <c r="Q629" s="573" t="s">
        <v>209</v>
      </c>
      <c r="R629" s="587">
        <f t="shared" si="72"/>
        <v>125.6</v>
      </c>
      <c r="AE629" s="592" t="str">
        <f t="shared" si="71"/>
        <v>|</v>
      </c>
      <c r="AG629" s="573" t="s">
        <v>849</v>
      </c>
    </row>
    <row r="630" spans="1:33" ht="24" customHeight="1">
      <c r="A630" s="594">
        <f t="shared" si="68"/>
        <v>437</v>
      </c>
      <c r="B630" s="595" t="s">
        <v>1038</v>
      </c>
      <c r="C630" s="593">
        <v>59.2</v>
      </c>
      <c r="D630" s="595" t="s">
        <v>209</v>
      </c>
      <c r="H630" s="573" t="s">
        <v>489</v>
      </c>
      <c r="I630" s="575">
        <f>K629</f>
        <v>548.79660000000001</v>
      </c>
      <c r="J630" s="578">
        <f>J629</f>
        <v>3.54</v>
      </c>
      <c r="K630" s="586">
        <f>I630+J630</f>
        <v>552.33659999999998</v>
      </c>
      <c r="M630" s="617">
        <v>0.13600000000000001</v>
      </c>
      <c r="N630" s="573" t="s">
        <v>126</v>
      </c>
      <c r="O630" s="573" t="s">
        <v>1039</v>
      </c>
      <c r="P630" s="587">
        <f>(K643)</f>
        <v>6834</v>
      </c>
      <c r="Q630" s="573" t="s">
        <v>126</v>
      </c>
      <c r="R630" s="587">
        <f t="shared" si="72"/>
        <v>929.42400000000009</v>
      </c>
      <c r="AE630" s="592" t="str">
        <f t="shared" si="71"/>
        <v>|</v>
      </c>
      <c r="AG630" s="573" t="s">
        <v>849</v>
      </c>
    </row>
    <row r="631" spans="1:33" ht="24" customHeight="1">
      <c r="A631" s="594">
        <f t="shared" si="68"/>
        <v>438</v>
      </c>
      <c r="B631" s="595" t="s">
        <v>1040</v>
      </c>
      <c r="C631" s="684">
        <v>30.25</v>
      </c>
      <c r="D631" s="595" t="s">
        <v>209</v>
      </c>
      <c r="H631" s="573" t="s">
        <v>491</v>
      </c>
      <c r="I631" s="575">
        <f>K630</f>
        <v>552.33659999999998</v>
      </c>
      <c r="J631" s="578">
        <f>J630</f>
        <v>3.54</v>
      </c>
      <c r="K631" s="586">
        <f>I631+J631</f>
        <v>555.87659999999994</v>
      </c>
      <c r="O631" s="573" t="s">
        <v>1041</v>
      </c>
      <c r="AE631" s="592" t="str">
        <f t="shared" si="71"/>
        <v>|</v>
      </c>
      <c r="AG631" s="573" t="s">
        <v>849</v>
      </c>
    </row>
    <row r="632" spans="1:33" ht="24" customHeight="1">
      <c r="A632" s="594">
        <f t="shared" si="68"/>
        <v>439</v>
      </c>
      <c r="B632" s="595" t="s">
        <v>1042</v>
      </c>
      <c r="C632" s="593">
        <v>142.19999999999999</v>
      </c>
      <c r="D632" s="595" t="s">
        <v>209</v>
      </c>
      <c r="H632" s="573" t="s">
        <v>871</v>
      </c>
      <c r="I632" s="575">
        <f>K631</f>
        <v>555.87659999999994</v>
      </c>
      <c r="J632" s="578">
        <f>J631</f>
        <v>3.54</v>
      </c>
      <c r="K632" s="586">
        <f>I632+J632</f>
        <v>559.4165999999999</v>
      </c>
      <c r="N632" s="573" t="s">
        <v>129</v>
      </c>
      <c r="O632" s="573" t="s">
        <v>988</v>
      </c>
      <c r="Q632" s="573" t="s">
        <v>129</v>
      </c>
      <c r="R632" s="587">
        <v>2.2400000000000002</v>
      </c>
      <c r="AE632" s="592" t="str">
        <f t="shared" si="71"/>
        <v>|</v>
      </c>
      <c r="AG632" s="573" t="s">
        <v>849</v>
      </c>
    </row>
    <row r="633" spans="1:33" ht="24" customHeight="1">
      <c r="A633" s="594">
        <f t="shared" si="68"/>
        <v>440</v>
      </c>
      <c r="B633" s="595" t="s">
        <v>1043</v>
      </c>
      <c r="C633" s="593">
        <v>88.6</v>
      </c>
      <c r="D633" s="595" t="s">
        <v>209</v>
      </c>
      <c r="F633" s="574" t="s">
        <v>839</v>
      </c>
      <c r="G633" s="585" t="s">
        <v>122</v>
      </c>
      <c r="H633" s="573" t="s">
        <v>840</v>
      </c>
      <c r="R633" s="582" t="s">
        <v>117</v>
      </c>
      <c r="AE633" s="592" t="str">
        <f t="shared" si="71"/>
        <v>|</v>
      </c>
      <c r="AG633" s="573" t="s">
        <v>849</v>
      </c>
    </row>
    <row r="634" spans="1:33" ht="24" customHeight="1">
      <c r="A634" s="594">
        <f t="shared" si="68"/>
        <v>441</v>
      </c>
      <c r="B634" s="595" t="s">
        <v>1044</v>
      </c>
      <c r="C634" s="608"/>
      <c r="D634" s="595" t="s">
        <v>209</v>
      </c>
      <c r="H634" s="573" t="s">
        <v>842</v>
      </c>
      <c r="O634" s="573" t="s">
        <v>991</v>
      </c>
      <c r="R634" s="587">
        <f>SUM(R622:R632)</f>
        <v>22495.327792</v>
      </c>
      <c r="AE634" s="592" t="str">
        <f t="shared" si="71"/>
        <v>|</v>
      </c>
      <c r="AG634" s="573" t="s">
        <v>849</v>
      </c>
    </row>
    <row r="635" spans="1:33" ht="24" customHeight="1">
      <c r="A635" s="594">
        <f t="shared" si="68"/>
        <v>442</v>
      </c>
      <c r="B635" s="595" t="s">
        <v>1045</v>
      </c>
      <c r="C635" s="593">
        <v>166</v>
      </c>
      <c r="D635" s="595" t="s">
        <v>209</v>
      </c>
      <c r="H635" s="573" t="s">
        <v>1046</v>
      </c>
      <c r="R635" s="582" t="s">
        <v>117</v>
      </c>
      <c r="AE635" s="592" t="str">
        <f t="shared" si="71"/>
        <v>|</v>
      </c>
      <c r="AG635" s="573" t="s">
        <v>849</v>
      </c>
    </row>
    <row r="636" spans="1:33" ht="24" customHeight="1">
      <c r="A636" s="594">
        <f t="shared" si="68"/>
        <v>443</v>
      </c>
      <c r="B636" s="595" t="s">
        <v>1047</v>
      </c>
      <c r="C636" s="593">
        <v>106.6</v>
      </c>
      <c r="D636" s="595" t="s">
        <v>209</v>
      </c>
      <c r="H636" s="582" t="s">
        <v>117</v>
      </c>
      <c r="N636" s="573" t="s">
        <v>122</v>
      </c>
      <c r="O636" s="573" t="s">
        <v>1048</v>
      </c>
      <c r="AE636" s="592" t="str">
        <f t="shared" si="71"/>
        <v>|</v>
      </c>
      <c r="AG636" s="573" t="s">
        <v>849</v>
      </c>
    </row>
    <row r="637" spans="1:33" ht="24" customHeight="1">
      <c r="A637" s="608"/>
      <c r="B637" s="608"/>
      <c r="C637" s="608"/>
      <c r="D637" s="608"/>
      <c r="F637" s="587">
        <v>0.01</v>
      </c>
      <c r="G637" s="585" t="s">
        <v>126</v>
      </c>
      <c r="H637" s="573" t="s">
        <v>1049</v>
      </c>
      <c r="I637" s="587">
        <f>(K280)</f>
        <v>6719.3609999999999</v>
      </c>
      <c r="J637" s="573" t="s">
        <v>126</v>
      </c>
      <c r="K637" s="587">
        <f>(F637*I637)</f>
        <v>67.193610000000007</v>
      </c>
      <c r="AE637" s="592" t="str">
        <f t="shared" si="71"/>
        <v>|</v>
      </c>
      <c r="AG637" s="573" t="s">
        <v>849</v>
      </c>
    </row>
    <row r="638" spans="1:33" ht="24" customHeight="1">
      <c r="A638" s="594">
        <f>(A636+1)</f>
        <v>444</v>
      </c>
      <c r="B638" s="595" t="s">
        <v>1050</v>
      </c>
      <c r="C638" s="608"/>
      <c r="D638" s="595" t="s">
        <v>209</v>
      </c>
      <c r="F638" s="587">
        <v>0.01</v>
      </c>
      <c r="G638" s="585" t="s">
        <v>126</v>
      </c>
      <c r="H638" s="573" t="s">
        <v>851</v>
      </c>
      <c r="J638" s="573" t="s">
        <v>129</v>
      </c>
      <c r="K638" s="587">
        <v>1.1499999999999999</v>
      </c>
      <c r="O638" s="573" t="s">
        <v>1051</v>
      </c>
      <c r="S638" s="574" t="s">
        <v>1052</v>
      </c>
      <c r="T638" s="585" t="s">
        <v>122</v>
      </c>
      <c r="U638" s="577" t="s">
        <v>912</v>
      </c>
      <c r="W638" s="578"/>
      <c r="AA638" s="574" t="s">
        <v>1052</v>
      </c>
      <c r="AB638" s="585" t="s">
        <v>122</v>
      </c>
      <c r="AC638" s="577" t="s">
        <v>913</v>
      </c>
      <c r="AE638" s="578"/>
    </row>
    <row r="639" spans="1:33" ht="24" customHeight="1">
      <c r="A639" s="594">
        <f t="shared" ref="A639:A702" si="73">(A638+1)</f>
        <v>445</v>
      </c>
      <c r="B639" s="595" t="s">
        <v>1053</v>
      </c>
      <c r="C639" s="593">
        <v>254</v>
      </c>
      <c r="D639" s="595" t="s">
        <v>209</v>
      </c>
      <c r="H639" s="573" t="s">
        <v>855</v>
      </c>
      <c r="O639" s="582" t="s">
        <v>117</v>
      </c>
      <c r="S639" s="575"/>
      <c r="T639" s="576"/>
      <c r="U639" s="573" t="s">
        <v>1054</v>
      </c>
      <c r="W639" s="578"/>
      <c r="AB639" s="576"/>
      <c r="AC639" s="573" t="s">
        <v>1054</v>
      </c>
      <c r="AE639" s="578"/>
    </row>
    <row r="640" spans="1:33" ht="24" customHeight="1">
      <c r="A640" s="594">
        <f t="shared" si="73"/>
        <v>446</v>
      </c>
      <c r="B640" s="595" t="s">
        <v>1055</v>
      </c>
      <c r="C640" s="593">
        <v>177</v>
      </c>
      <c r="D640" s="595" t="s">
        <v>209</v>
      </c>
      <c r="K640" s="582" t="s">
        <v>117</v>
      </c>
      <c r="M640" s="587">
        <v>3</v>
      </c>
      <c r="N640" s="573" t="s">
        <v>126</v>
      </c>
      <c r="O640" s="573" t="s">
        <v>1056</v>
      </c>
      <c r="P640" s="587">
        <f>(C61*2)</f>
        <v>168</v>
      </c>
      <c r="Q640" s="573" t="s">
        <v>126</v>
      </c>
      <c r="R640" s="587">
        <f>(M640*P640)</f>
        <v>504</v>
      </c>
      <c r="S640" s="575"/>
      <c r="T640" s="576"/>
      <c r="U640" s="573" t="s">
        <v>1057</v>
      </c>
      <c r="W640" s="578"/>
      <c r="AB640" s="576"/>
      <c r="AC640" s="573" t="s">
        <v>1057</v>
      </c>
      <c r="AE640" s="578"/>
    </row>
    <row r="641" spans="1:32" ht="24" customHeight="1">
      <c r="A641" s="594">
        <f t="shared" si="73"/>
        <v>447</v>
      </c>
      <c r="B641" s="595" t="s">
        <v>1058</v>
      </c>
      <c r="C641" s="608"/>
      <c r="D641" s="595" t="s">
        <v>209</v>
      </c>
      <c r="H641" s="573" t="s">
        <v>856</v>
      </c>
      <c r="K641" s="587">
        <f>SUM(K637:K639)</f>
        <v>68.343610000000012</v>
      </c>
      <c r="M641" s="587">
        <v>2.4</v>
      </c>
      <c r="N641" s="573" t="s">
        <v>126</v>
      </c>
      <c r="O641" s="573" t="s">
        <v>1059</v>
      </c>
      <c r="P641" s="587">
        <f>(C81)</f>
        <v>888.92</v>
      </c>
      <c r="Q641" s="573" t="s">
        <v>126</v>
      </c>
      <c r="R641" s="587">
        <f>(M641*P641)</f>
        <v>2133.4079999999999</v>
      </c>
      <c r="S641" s="575"/>
      <c r="T641" s="576"/>
      <c r="U641" s="582" t="s">
        <v>117</v>
      </c>
      <c r="W641" s="578"/>
      <c r="AB641" s="576"/>
      <c r="AC641" s="582" t="s">
        <v>117</v>
      </c>
      <c r="AE641" s="578"/>
    </row>
    <row r="642" spans="1:32" ht="24" customHeight="1">
      <c r="A642" s="594">
        <f t="shared" si="73"/>
        <v>448</v>
      </c>
      <c r="B642" s="595" t="s">
        <v>3074</v>
      </c>
      <c r="C642" s="593">
        <v>136</v>
      </c>
      <c r="D642" s="595" t="s">
        <v>209</v>
      </c>
      <c r="K642" s="582" t="s">
        <v>117</v>
      </c>
      <c r="M642" s="587">
        <v>5</v>
      </c>
      <c r="N642" s="573" t="s">
        <v>209</v>
      </c>
      <c r="O642" s="573" t="s">
        <v>1061</v>
      </c>
      <c r="P642" s="587">
        <f>(C204)</f>
        <v>62.2</v>
      </c>
      <c r="Q642" s="573" t="s">
        <v>209</v>
      </c>
      <c r="R642" s="587">
        <f>(M642*P642)</f>
        <v>311</v>
      </c>
      <c r="S642" s="617">
        <v>8.3000000000000007</v>
      </c>
      <c r="T642" s="585" t="s">
        <v>126</v>
      </c>
      <c r="U642" s="573" t="s">
        <v>1062</v>
      </c>
      <c r="V642" s="587">
        <f>AC11</f>
        <v>973.3599999999999</v>
      </c>
      <c r="W642" s="573" t="s">
        <v>126</v>
      </c>
      <c r="X642" s="587">
        <f t="shared" ref="X642:X648" si="74">S642*V642</f>
        <v>8078.8879999999999</v>
      </c>
      <c r="AA642" s="617">
        <v>8.3000000000000007</v>
      </c>
      <c r="AB642" s="585" t="s">
        <v>126</v>
      </c>
      <c r="AC642" s="573" t="s">
        <v>1062</v>
      </c>
      <c r="AD642" s="587">
        <f>V642</f>
        <v>973.3599999999999</v>
      </c>
      <c r="AE642" s="573" t="s">
        <v>126</v>
      </c>
      <c r="AF642" s="587">
        <f t="shared" ref="AF642:AF648" si="75">AA642*AD642</f>
        <v>8078.8879999999999</v>
      </c>
    </row>
    <row r="643" spans="1:32" ht="24" customHeight="1">
      <c r="A643" s="594">
        <f t="shared" si="73"/>
        <v>449</v>
      </c>
      <c r="B643" s="595" t="s">
        <v>3075</v>
      </c>
      <c r="C643" s="593">
        <v>82.8</v>
      </c>
      <c r="D643" s="595" t="s">
        <v>209</v>
      </c>
      <c r="H643" s="573" t="s">
        <v>383</v>
      </c>
      <c r="K643" s="587">
        <f>ROUND(K641*100,0)</f>
        <v>6834</v>
      </c>
      <c r="O643" s="573" t="s">
        <v>130</v>
      </c>
      <c r="Q643" s="573" t="s">
        <v>129</v>
      </c>
      <c r="R643" s="587">
        <v>0.08</v>
      </c>
      <c r="S643" s="617">
        <v>3.25</v>
      </c>
      <c r="T643" s="585" t="s">
        <v>124</v>
      </c>
      <c r="U643" s="573" t="s">
        <v>125</v>
      </c>
      <c r="V643" s="587">
        <f>I808</f>
        <v>5800</v>
      </c>
      <c r="W643" s="573" t="s">
        <v>124</v>
      </c>
      <c r="X643" s="587">
        <f t="shared" si="74"/>
        <v>18850</v>
      </c>
      <c r="AA643" s="617">
        <v>4</v>
      </c>
      <c r="AB643" s="585" t="s">
        <v>124</v>
      </c>
      <c r="AC643" s="573" t="s">
        <v>125</v>
      </c>
      <c r="AD643" s="587">
        <f t="shared" ref="AD643:AD648" si="76">V643</f>
        <v>5800</v>
      </c>
      <c r="AE643" s="573" t="s">
        <v>124</v>
      </c>
      <c r="AF643" s="587">
        <f t="shared" si="75"/>
        <v>23200</v>
      </c>
    </row>
    <row r="644" spans="1:32" ht="24" customHeight="1">
      <c r="A644" s="594">
        <f t="shared" si="73"/>
        <v>450</v>
      </c>
      <c r="B644" s="595" t="s">
        <v>1064</v>
      </c>
      <c r="C644" s="608"/>
      <c r="D644" s="595" t="s">
        <v>209</v>
      </c>
      <c r="F644" s="573" t="s">
        <v>115</v>
      </c>
      <c r="R644" s="582" t="s">
        <v>117</v>
      </c>
      <c r="S644" s="617">
        <v>4.79</v>
      </c>
      <c r="T644" s="585" t="s">
        <v>126</v>
      </c>
      <c r="U644" s="573" t="s">
        <v>127</v>
      </c>
      <c r="V644" s="587">
        <f>I809</f>
        <v>1322.8</v>
      </c>
      <c r="W644" s="573" t="s">
        <v>126</v>
      </c>
      <c r="X644" s="587">
        <f t="shared" si="74"/>
        <v>6336.2119999999995</v>
      </c>
      <c r="AA644" s="617">
        <v>4.79</v>
      </c>
      <c r="AB644" s="585" t="s">
        <v>126</v>
      </c>
      <c r="AC644" s="573" t="s">
        <v>127</v>
      </c>
      <c r="AD644" s="587">
        <f t="shared" si="76"/>
        <v>1322.8</v>
      </c>
      <c r="AE644" s="573" t="s">
        <v>126</v>
      </c>
      <c r="AF644" s="587">
        <f t="shared" si="75"/>
        <v>6336.2119999999995</v>
      </c>
    </row>
    <row r="645" spans="1:32" ht="24" customHeight="1">
      <c r="A645" s="594">
        <f t="shared" si="73"/>
        <v>451</v>
      </c>
      <c r="B645" s="595" t="s">
        <v>1065</v>
      </c>
      <c r="C645" s="593">
        <v>159.80000000000001</v>
      </c>
      <c r="D645" s="595" t="s">
        <v>209</v>
      </c>
      <c r="K645" s="582" t="s">
        <v>155</v>
      </c>
      <c r="O645" s="573" t="s">
        <v>991</v>
      </c>
      <c r="R645" s="587">
        <f>SUM(R640:R643)</f>
        <v>2948.4879999999998</v>
      </c>
      <c r="S645" s="617">
        <v>3.5</v>
      </c>
      <c r="T645" s="585" t="s">
        <v>209</v>
      </c>
      <c r="U645" s="573" t="s">
        <v>145</v>
      </c>
      <c r="V645" s="587">
        <f>C11</f>
        <v>718</v>
      </c>
      <c r="W645" s="573" t="s">
        <v>209</v>
      </c>
      <c r="X645" s="587">
        <f t="shared" si="74"/>
        <v>2513</v>
      </c>
      <c r="AA645" s="617">
        <v>3.5</v>
      </c>
      <c r="AB645" s="585" t="s">
        <v>209</v>
      </c>
      <c r="AC645" s="573" t="s">
        <v>145</v>
      </c>
      <c r="AD645" s="587">
        <f t="shared" si="76"/>
        <v>718</v>
      </c>
      <c r="AE645" s="573" t="s">
        <v>209</v>
      </c>
      <c r="AF645" s="587">
        <f t="shared" si="75"/>
        <v>2513</v>
      </c>
    </row>
    <row r="646" spans="1:32" ht="24" customHeight="1">
      <c r="A646" s="594">
        <f t="shared" si="73"/>
        <v>452</v>
      </c>
      <c r="B646" s="595" t="s">
        <v>1066</v>
      </c>
      <c r="C646" s="593">
        <v>106.6</v>
      </c>
      <c r="D646" s="595" t="s">
        <v>209</v>
      </c>
      <c r="G646" s="585" t="s">
        <v>558</v>
      </c>
      <c r="H646" s="573" t="s">
        <v>857</v>
      </c>
      <c r="R646" s="582" t="s">
        <v>117</v>
      </c>
      <c r="S646" s="617">
        <v>21.2</v>
      </c>
      <c r="T646" s="585" t="s">
        <v>209</v>
      </c>
      <c r="U646" s="573" t="s">
        <v>146</v>
      </c>
      <c r="V646" s="587">
        <f>C12</f>
        <v>502</v>
      </c>
      <c r="W646" s="573" t="s">
        <v>209</v>
      </c>
      <c r="X646" s="587">
        <f t="shared" si="74"/>
        <v>10642.4</v>
      </c>
      <c r="AA646" s="617">
        <v>21.2</v>
      </c>
      <c r="AB646" s="585" t="s">
        <v>209</v>
      </c>
      <c r="AC646" s="573" t="s">
        <v>146</v>
      </c>
      <c r="AD646" s="587">
        <f t="shared" si="76"/>
        <v>502</v>
      </c>
      <c r="AE646" s="573" t="s">
        <v>209</v>
      </c>
      <c r="AF646" s="587">
        <f t="shared" si="75"/>
        <v>10642.4</v>
      </c>
    </row>
    <row r="647" spans="1:32" ht="24" customHeight="1">
      <c r="A647" s="594">
        <f t="shared" si="73"/>
        <v>453</v>
      </c>
      <c r="B647" s="595" t="s">
        <v>1067</v>
      </c>
      <c r="C647" s="608"/>
      <c r="D647" s="595" t="s">
        <v>209</v>
      </c>
      <c r="H647" s="573" t="s">
        <v>858</v>
      </c>
      <c r="S647" s="617">
        <v>35.299999999999997</v>
      </c>
      <c r="T647" s="585" t="s">
        <v>209</v>
      </c>
      <c r="U647" s="573" t="s">
        <v>147</v>
      </c>
      <c r="V647" s="587">
        <f>C13</f>
        <v>412</v>
      </c>
      <c r="W647" s="573" t="s">
        <v>209</v>
      </c>
      <c r="X647" s="587">
        <f t="shared" si="74"/>
        <v>14543.599999999999</v>
      </c>
      <c r="AA647" s="617">
        <v>35.299999999999997</v>
      </c>
      <c r="AB647" s="585" t="s">
        <v>209</v>
      </c>
      <c r="AC647" s="573" t="s">
        <v>147</v>
      </c>
      <c r="AD647" s="587">
        <f t="shared" si="76"/>
        <v>412</v>
      </c>
      <c r="AE647" s="573" t="s">
        <v>209</v>
      </c>
      <c r="AF647" s="587">
        <f t="shared" si="75"/>
        <v>14543.599999999999</v>
      </c>
    </row>
    <row r="648" spans="1:32" ht="24" customHeight="1">
      <c r="A648" s="594">
        <f t="shared" si="73"/>
        <v>454</v>
      </c>
      <c r="B648" s="595" t="s">
        <v>1068</v>
      </c>
      <c r="C648" s="593">
        <v>70</v>
      </c>
      <c r="D648" s="595" t="s">
        <v>209</v>
      </c>
      <c r="H648" s="582" t="s">
        <v>117</v>
      </c>
      <c r="N648" s="573" t="s">
        <v>122</v>
      </c>
      <c r="O648" s="573" t="s">
        <v>1069</v>
      </c>
      <c r="S648" s="685">
        <v>19.5</v>
      </c>
      <c r="T648" s="576"/>
      <c r="U648" s="573" t="s">
        <v>1070</v>
      </c>
      <c r="V648" s="618">
        <v>42.4</v>
      </c>
      <c r="W648" s="573" t="s">
        <v>129</v>
      </c>
      <c r="X648" s="587">
        <f t="shared" si="74"/>
        <v>826.8</v>
      </c>
      <c r="AA648" s="685">
        <v>40</v>
      </c>
      <c r="AB648" s="576"/>
      <c r="AC648" s="573" t="s">
        <v>1070</v>
      </c>
      <c r="AD648" s="587">
        <f t="shared" si="76"/>
        <v>42.4</v>
      </c>
      <c r="AE648" s="573" t="s">
        <v>129</v>
      </c>
      <c r="AF648" s="587">
        <f t="shared" si="75"/>
        <v>1696</v>
      </c>
    </row>
    <row r="649" spans="1:32" ht="24" customHeight="1">
      <c r="A649" s="594">
        <f t="shared" si="73"/>
        <v>455</v>
      </c>
      <c r="B649" s="595" t="s">
        <v>1071</v>
      </c>
      <c r="C649" s="593">
        <v>47.3</v>
      </c>
      <c r="D649" s="595" t="s">
        <v>209</v>
      </c>
      <c r="F649" s="617">
        <v>1.4E-2</v>
      </c>
      <c r="G649" s="585" t="s">
        <v>126</v>
      </c>
      <c r="H649" s="573" t="s">
        <v>859</v>
      </c>
      <c r="I649" s="587">
        <f>(K643)</f>
        <v>6834</v>
      </c>
      <c r="J649" s="573" t="s">
        <v>126</v>
      </c>
      <c r="K649" s="587">
        <f>(F649*I649)</f>
        <v>95.676000000000002</v>
      </c>
      <c r="O649" s="573" t="s">
        <v>1072</v>
      </c>
      <c r="S649" s="575"/>
      <c r="T649" s="576"/>
      <c r="W649" s="578"/>
      <c r="X649" s="582" t="s">
        <v>117</v>
      </c>
      <c r="AB649" s="576"/>
      <c r="AE649" s="578"/>
      <c r="AF649" s="582" t="s">
        <v>117</v>
      </c>
    </row>
    <row r="650" spans="1:32" ht="24" customHeight="1">
      <c r="A650" s="594">
        <f t="shared" si="73"/>
        <v>456</v>
      </c>
      <c r="B650" s="595" t="s">
        <v>1073</v>
      </c>
      <c r="C650" s="618">
        <v>29.3</v>
      </c>
      <c r="D650" s="595" t="s">
        <v>209</v>
      </c>
      <c r="F650" s="617"/>
      <c r="H650" s="573" t="s">
        <v>860</v>
      </c>
      <c r="K650" s="573" t="s">
        <v>115</v>
      </c>
      <c r="O650" s="573" t="s">
        <v>1074</v>
      </c>
      <c r="S650" s="575"/>
      <c r="T650" s="576"/>
      <c r="U650" s="574" t="s">
        <v>455</v>
      </c>
      <c r="W650" s="578"/>
      <c r="X650" s="587">
        <f>SUM(X642:X648)</f>
        <v>61790.9</v>
      </c>
      <c r="AB650" s="576"/>
      <c r="AC650" s="574" t="s">
        <v>455</v>
      </c>
      <c r="AE650" s="578"/>
      <c r="AF650" s="587">
        <f>SUM(AF642:AF648)</f>
        <v>67010.100000000006</v>
      </c>
    </row>
    <row r="651" spans="1:32" ht="24" customHeight="1">
      <c r="A651" s="594">
        <f t="shared" si="73"/>
        <v>457</v>
      </c>
      <c r="B651" s="650" t="s">
        <v>1075</v>
      </c>
      <c r="C651" s="596">
        <v>155.32</v>
      </c>
      <c r="D651" s="595" t="s">
        <v>209</v>
      </c>
      <c r="F651" s="587">
        <v>0.5</v>
      </c>
      <c r="G651" s="585" t="s">
        <v>1</v>
      </c>
      <c r="H651" s="573" t="s">
        <v>144</v>
      </c>
      <c r="I651" s="587">
        <f>(C10)</f>
        <v>769</v>
      </c>
      <c r="J651" s="573" t="s">
        <v>1</v>
      </c>
      <c r="K651" s="587">
        <f>(F651*I651)</f>
        <v>384.5</v>
      </c>
      <c r="O651" s="582" t="s">
        <v>117</v>
      </c>
      <c r="S651" s="575"/>
      <c r="T651" s="576"/>
      <c r="W651" s="578"/>
      <c r="X651" s="582" t="s">
        <v>155</v>
      </c>
      <c r="AB651" s="576"/>
      <c r="AE651" s="578"/>
      <c r="AF651" s="582" t="s">
        <v>155</v>
      </c>
    </row>
    <row r="652" spans="1:32" ht="24" customHeight="1">
      <c r="A652" s="594">
        <f t="shared" si="73"/>
        <v>458</v>
      </c>
      <c r="B652" s="650" t="s">
        <v>1076</v>
      </c>
      <c r="C652" s="596">
        <v>91.08</v>
      </c>
      <c r="D652" s="595" t="s">
        <v>209</v>
      </c>
      <c r="F652" s="587">
        <v>0.75</v>
      </c>
      <c r="G652" s="585" t="s">
        <v>1</v>
      </c>
      <c r="H652" s="573" t="s">
        <v>146</v>
      </c>
      <c r="I652" s="587">
        <f>(C12)</f>
        <v>502</v>
      </c>
      <c r="J652" s="573" t="s">
        <v>1</v>
      </c>
      <c r="K652" s="587">
        <f>(F652*I652)</f>
        <v>376.5</v>
      </c>
      <c r="M652" s="587">
        <v>9.5</v>
      </c>
      <c r="N652" s="573" t="s">
        <v>126</v>
      </c>
      <c r="O652" s="573" t="s">
        <v>1056</v>
      </c>
      <c r="P652" s="587">
        <f>(C61*2)</f>
        <v>168</v>
      </c>
      <c r="Q652" s="573" t="s">
        <v>126</v>
      </c>
      <c r="R652" s="587">
        <f t="shared" ref="R652:R660" si="77">(M652*P652)</f>
        <v>1596</v>
      </c>
      <c r="S652" s="575"/>
      <c r="T652" s="576"/>
      <c r="U652" s="573" t="s">
        <v>383</v>
      </c>
      <c r="W652" s="578"/>
      <c r="X652" s="587">
        <f>X650/10</f>
        <v>6179.09</v>
      </c>
      <c r="AB652" s="576"/>
      <c r="AC652" s="573" t="s">
        <v>383</v>
      </c>
      <c r="AE652" s="578"/>
      <c r="AF652" s="587">
        <f>AF650/10</f>
        <v>6701.01</v>
      </c>
    </row>
    <row r="653" spans="1:32" ht="24" customHeight="1">
      <c r="A653" s="594">
        <f t="shared" si="73"/>
        <v>459</v>
      </c>
      <c r="B653" s="595" t="s">
        <v>1077</v>
      </c>
      <c r="C653" s="593">
        <v>41.9</v>
      </c>
      <c r="D653" s="595" t="s">
        <v>148</v>
      </c>
      <c r="G653" s="585" t="s">
        <v>129</v>
      </c>
      <c r="H653" s="573" t="s">
        <v>130</v>
      </c>
      <c r="J653" s="573" t="s">
        <v>129</v>
      </c>
      <c r="K653" s="587">
        <v>0</v>
      </c>
      <c r="M653" s="587">
        <v>0.47</v>
      </c>
      <c r="N653" s="573" t="s">
        <v>126</v>
      </c>
      <c r="O653" s="573" t="s">
        <v>1078</v>
      </c>
      <c r="P653" s="587">
        <f>(R74)</f>
        <v>5592.5310000000009</v>
      </c>
      <c r="Q653" s="573" t="s">
        <v>126</v>
      </c>
      <c r="R653" s="587">
        <f t="shared" si="77"/>
        <v>2628.4895700000002</v>
      </c>
      <c r="S653" s="587">
        <v>1</v>
      </c>
      <c r="T653" s="585" t="s">
        <v>126</v>
      </c>
      <c r="U653" s="573" t="s">
        <v>689</v>
      </c>
      <c r="V653" s="587"/>
      <c r="W653" s="578"/>
      <c r="X653" s="587"/>
      <c r="AA653" s="587">
        <v>1</v>
      </c>
      <c r="AB653" s="585" t="s">
        <v>126</v>
      </c>
      <c r="AC653" s="573" t="s">
        <v>689</v>
      </c>
      <c r="AD653" s="587"/>
      <c r="AE653" s="578"/>
      <c r="AF653" s="587"/>
    </row>
    <row r="654" spans="1:32" ht="24" customHeight="1">
      <c r="A654" s="594">
        <f t="shared" si="73"/>
        <v>460</v>
      </c>
      <c r="B654" s="650" t="s">
        <v>1079</v>
      </c>
      <c r="C654" s="596">
        <v>0.3</v>
      </c>
      <c r="D654" s="595" t="s">
        <v>209</v>
      </c>
      <c r="K654" s="582" t="s">
        <v>117</v>
      </c>
      <c r="M654" s="587">
        <v>1.62</v>
      </c>
      <c r="N654" s="573" t="s">
        <v>126</v>
      </c>
      <c r="O654" s="573" t="s">
        <v>978</v>
      </c>
      <c r="P654" s="587">
        <f>(R89)</f>
        <v>6123.9712000000009</v>
      </c>
      <c r="Q654" s="573" t="s">
        <v>126</v>
      </c>
      <c r="R654" s="587">
        <f t="shared" si="77"/>
        <v>9920.8333440000024</v>
      </c>
      <c r="X654" s="686">
        <f>SUM(X652:X653)</f>
        <v>6179.09</v>
      </c>
      <c r="AA654" s="579"/>
      <c r="AF654" s="686">
        <f>SUM(AF652:AF653)</f>
        <v>6701.01</v>
      </c>
    </row>
    <row r="655" spans="1:32" ht="24" customHeight="1">
      <c r="A655" s="594">
        <f t="shared" si="73"/>
        <v>461</v>
      </c>
      <c r="B655" s="595" t="s">
        <v>3076</v>
      </c>
      <c r="C655" s="593">
        <v>186</v>
      </c>
      <c r="D655" s="595" t="s">
        <v>140</v>
      </c>
      <c r="H655" s="573" t="s">
        <v>866</v>
      </c>
      <c r="K655" s="587">
        <f>SUM(K649:K653)</f>
        <v>856.67599999999993</v>
      </c>
      <c r="M655" s="587">
        <v>15.22</v>
      </c>
      <c r="N655" s="573" t="s">
        <v>140</v>
      </c>
      <c r="O655" s="573" t="s">
        <v>1081</v>
      </c>
      <c r="P655" s="587">
        <f>(R304)</f>
        <v>214.22319999999999</v>
      </c>
      <c r="Q655" s="573" t="s">
        <v>140</v>
      </c>
      <c r="R655" s="587">
        <f t="shared" si="77"/>
        <v>3260.4771040000001</v>
      </c>
      <c r="S655" s="575"/>
      <c r="T655" s="576"/>
      <c r="U655" s="575" t="s">
        <v>1082</v>
      </c>
      <c r="X655" s="575">
        <f>X654*0.5%</f>
        <v>30.89545</v>
      </c>
      <c r="AB655" s="576"/>
      <c r="AC655" s="575" t="s">
        <v>1082</v>
      </c>
      <c r="AF655" s="575">
        <f>AF654*0.5%</f>
        <v>33.505050000000004</v>
      </c>
    </row>
    <row r="656" spans="1:32" ht="24" customHeight="1">
      <c r="A656" s="594">
        <f t="shared" si="73"/>
        <v>462</v>
      </c>
      <c r="B656" s="650" t="s">
        <v>1083</v>
      </c>
      <c r="C656" s="596">
        <v>97.31</v>
      </c>
      <c r="D656" s="595" t="s">
        <v>140</v>
      </c>
      <c r="K656" s="582" t="s">
        <v>117</v>
      </c>
      <c r="M656" s="587">
        <v>0.18</v>
      </c>
      <c r="N656" s="573" t="s">
        <v>126</v>
      </c>
      <c r="O656" s="573" t="s">
        <v>1084</v>
      </c>
      <c r="P656" s="587">
        <f>(K280)</f>
        <v>6719.3609999999999</v>
      </c>
      <c r="Q656" s="573" t="s">
        <v>126</v>
      </c>
      <c r="R656" s="587">
        <f t="shared" si="77"/>
        <v>1209.48498</v>
      </c>
      <c r="S656" s="575"/>
      <c r="T656" s="576"/>
      <c r="W656" s="578"/>
      <c r="X656" s="582"/>
      <c r="AB656" s="576"/>
      <c r="AE656" s="578"/>
      <c r="AF656" s="582"/>
    </row>
    <row r="657" spans="1:32" ht="24" customHeight="1">
      <c r="A657" s="594">
        <f t="shared" si="73"/>
        <v>463</v>
      </c>
      <c r="B657" s="650" t="s">
        <v>1085</v>
      </c>
      <c r="C657" s="596">
        <v>198.2</v>
      </c>
      <c r="D657" s="595" t="s">
        <v>699</v>
      </c>
      <c r="H657" s="573" t="s">
        <v>154</v>
      </c>
      <c r="K657" s="587">
        <f>(K655/0.372)</f>
        <v>2302.8924731182792</v>
      </c>
      <c r="M657" s="587">
        <v>0.36</v>
      </c>
      <c r="N657" s="573" t="s">
        <v>140</v>
      </c>
      <c r="O657" s="573" t="s">
        <v>1086</v>
      </c>
      <c r="P657" s="587">
        <f>(K467)</f>
        <v>343.232125</v>
      </c>
      <c r="Q657" s="573" t="s">
        <v>140</v>
      </c>
      <c r="R657" s="587">
        <f t="shared" si="77"/>
        <v>123.563565</v>
      </c>
      <c r="S657" s="575"/>
      <c r="T657" s="576"/>
      <c r="U657" s="575" t="s">
        <v>1087</v>
      </c>
      <c r="W657" s="578"/>
      <c r="X657" s="586">
        <f>SUM(X654:X656)</f>
        <v>6209.9854500000001</v>
      </c>
      <c r="AB657" s="576"/>
      <c r="AC657" s="575" t="s">
        <v>1087</v>
      </c>
      <c r="AE657" s="578"/>
      <c r="AF657" s="586">
        <f>SUM(AF654:AF656)</f>
        <v>6734.51505</v>
      </c>
    </row>
    <row r="658" spans="1:32" ht="24" customHeight="1">
      <c r="A658" s="594">
        <f t="shared" si="73"/>
        <v>464</v>
      </c>
      <c r="B658" s="650" t="s">
        <v>1088</v>
      </c>
      <c r="C658" s="596">
        <v>198.2</v>
      </c>
      <c r="D658" s="595" t="s">
        <v>699</v>
      </c>
      <c r="K658" s="582" t="s">
        <v>155</v>
      </c>
      <c r="M658" s="587">
        <v>1</v>
      </c>
      <c r="N658" s="573" t="s">
        <v>209</v>
      </c>
      <c r="O658" s="573" t="s">
        <v>1089</v>
      </c>
      <c r="P658" s="587">
        <f>(C203)</f>
        <v>125.6</v>
      </c>
      <c r="Q658" s="573" t="s">
        <v>209</v>
      </c>
      <c r="R658" s="587">
        <f t="shared" si="77"/>
        <v>125.6</v>
      </c>
      <c r="S658" s="575"/>
      <c r="T658" s="576"/>
      <c r="W658" s="578"/>
      <c r="X658" s="582" t="s">
        <v>117</v>
      </c>
      <c r="AB658" s="576"/>
      <c r="AE658" s="578"/>
      <c r="AF658" s="582" t="s">
        <v>117</v>
      </c>
    </row>
    <row r="659" spans="1:32" ht="24" customHeight="1">
      <c r="A659" s="594">
        <f t="shared" si="73"/>
        <v>465</v>
      </c>
      <c r="B659" s="650" t="s">
        <v>1090</v>
      </c>
      <c r="C659" s="596">
        <v>3.84</v>
      </c>
      <c r="D659" s="595" t="s">
        <v>209</v>
      </c>
      <c r="E659" s="575" t="s">
        <v>1091</v>
      </c>
      <c r="H659" s="573" t="s">
        <v>482</v>
      </c>
      <c r="I659" s="575">
        <f>K657</f>
        <v>2302.8924731182792</v>
      </c>
      <c r="J659" s="578">
        <f>C22*0.014/0.372</f>
        <v>3.3833333333333337</v>
      </c>
      <c r="K659" s="586">
        <f>I659+J659</f>
        <v>2306.2758064516124</v>
      </c>
      <c r="M659" s="587">
        <v>1.8</v>
      </c>
      <c r="N659" s="573" t="s">
        <v>1092</v>
      </c>
      <c r="O659" s="573" t="s">
        <v>1093</v>
      </c>
      <c r="P659" s="587">
        <f>(C325)</f>
        <v>14.91</v>
      </c>
      <c r="Q659" s="573" t="s">
        <v>1092</v>
      </c>
      <c r="R659" s="587">
        <f t="shared" si="77"/>
        <v>26.838000000000001</v>
      </c>
      <c r="S659" s="575"/>
      <c r="T659" s="576"/>
      <c r="U659" s="573" t="s">
        <v>482</v>
      </c>
      <c r="W659" s="578"/>
      <c r="X659" s="586">
        <f>(X657+C23)</f>
        <v>6386.9854500000001</v>
      </c>
      <c r="AB659" s="576"/>
      <c r="AC659" s="573" t="s">
        <v>482</v>
      </c>
      <c r="AE659" s="578"/>
      <c r="AF659" s="586">
        <f>AF657+C23</f>
        <v>6911.51505</v>
      </c>
    </row>
    <row r="660" spans="1:32" ht="24" customHeight="1">
      <c r="A660" s="594">
        <f t="shared" si="73"/>
        <v>466</v>
      </c>
      <c r="B660" s="595" t="s">
        <v>1094</v>
      </c>
      <c r="C660" s="592">
        <v>54.5</v>
      </c>
      <c r="D660" s="687">
        <v>61.5</v>
      </c>
      <c r="E660" s="575" t="s">
        <v>3077</v>
      </c>
      <c r="H660" s="573" t="s">
        <v>486</v>
      </c>
      <c r="I660" s="575">
        <f>K659</f>
        <v>2306.2758064516124</v>
      </c>
      <c r="J660" s="578">
        <f>C23*0.014/0.372</f>
        <v>6.6612903225806459</v>
      </c>
      <c r="K660" s="586">
        <f>I660+J660</f>
        <v>2312.9370967741929</v>
      </c>
      <c r="M660" s="587">
        <v>1</v>
      </c>
      <c r="N660" s="573" t="s">
        <v>209</v>
      </c>
      <c r="O660" s="573" t="s">
        <v>1096</v>
      </c>
      <c r="P660" s="587">
        <f>(C371)</f>
        <v>13.29</v>
      </c>
      <c r="Q660" s="573" t="s">
        <v>209</v>
      </c>
      <c r="R660" s="587">
        <f t="shared" si="77"/>
        <v>13.29</v>
      </c>
      <c r="S660" s="575"/>
      <c r="T660" s="576"/>
      <c r="U660" s="573" t="s">
        <v>486</v>
      </c>
      <c r="W660" s="578"/>
      <c r="X660" s="586">
        <f>X659+C24</f>
        <v>6563.9854500000001</v>
      </c>
      <c r="AB660" s="576"/>
      <c r="AC660" s="573" t="s">
        <v>486</v>
      </c>
      <c r="AE660" s="578"/>
      <c r="AF660" s="586">
        <f>AF659+C24</f>
        <v>7088.51505</v>
      </c>
    </row>
    <row r="661" spans="1:32" ht="32.25" customHeight="1">
      <c r="A661" s="594">
        <f t="shared" si="73"/>
        <v>467</v>
      </c>
      <c r="B661" s="688" t="s">
        <v>1097</v>
      </c>
      <c r="C661" s="666">
        <v>9.1199999999999992</v>
      </c>
      <c r="D661" s="667" t="s">
        <v>203</v>
      </c>
      <c r="E661" s="689">
        <v>13.78</v>
      </c>
      <c r="H661" s="573" t="s">
        <v>489</v>
      </c>
      <c r="I661" s="575">
        <f>K660</f>
        <v>2312.9370967741929</v>
      </c>
      <c r="J661" s="578">
        <f>J660</f>
        <v>6.6612903225806459</v>
      </c>
      <c r="K661" s="586">
        <f>I661+J661</f>
        <v>2319.5983870967734</v>
      </c>
      <c r="N661" s="573" t="s">
        <v>129</v>
      </c>
      <c r="O661" s="573" t="s">
        <v>988</v>
      </c>
      <c r="Q661" s="573" t="s">
        <v>129</v>
      </c>
      <c r="R661" s="587">
        <v>1.72</v>
      </c>
      <c r="S661" s="575"/>
      <c r="T661" s="576"/>
      <c r="U661" s="573" t="s">
        <v>489</v>
      </c>
      <c r="W661" s="578"/>
      <c r="X661" s="586">
        <f>X660+C25</f>
        <v>6634.6854499999999</v>
      </c>
      <c r="AB661" s="576"/>
      <c r="AC661" s="573" t="s">
        <v>489</v>
      </c>
      <c r="AE661" s="578"/>
      <c r="AF661" s="586">
        <f>AF660+C25</f>
        <v>7159.2150499999998</v>
      </c>
    </row>
    <row r="662" spans="1:32" ht="24" customHeight="1">
      <c r="A662" s="594">
        <f t="shared" si="73"/>
        <v>468</v>
      </c>
      <c r="B662" s="690" t="s">
        <v>1098</v>
      </c>
      <c r="C662" s="666">
        <v>13.51</v>
      </c>
      <c r="D662" s="667" t="s">
        <v>203</v>
      </c>
      <c r="E662" s="689"/>
      <c r="H662" s="573" t="s">
        <v>491</v>
      </c>
      <c r="I662" s="575">
        <f>K661</f>
        <v>2319.5983870967734</v>
      </c>
      <c r="J662" s="578">
        <f>J661</f>
        <v>6.6612903225806459</v>
      </c>
      <c r="K662" s="586">
        <f>I662+J662</f>
        <v>2326.2596774193539</v>
      </c>
      <c r="R662" s="573" t="s">
        <v>115</v>
      </c>
      <c r="S662" s="575"/>
      <c r="T662" s="576"/>
      <c r="U662" s="573" t="s">
        <v>491</v>
      </c>
      <c r="W662" s="578"/>
      <c r="X662" s="586">
        <f>X661+C25</f>
        <v>6705.3854499999998</v>
      </c>
      <c r="AB662" s="576"/>
      <c r="AC662" s="573" t="s">
        <v>491</v>
      </c>
      <c r="AE662" s="578"/>
      <c r="AF662" s="586">
        <f>AF661+C25</f>
        <v>7229.9150499999996</v>
      </c>
    </row>
    <row r="663" spans="1:32" ht="24" customHeight="1">
      <c r="A663" s="594">
        <f t="shared" si="73"/>
        <v>469</v>
      </c>
      <c r="B663" s="595" t="s">
        <v>1099</v>
      </c>
      <c r="C663" s="592">
        <v>7.1</v>
      </c>
      <c r="D663" s="616">
        <v>8.5</v>
      </c>
      <c r="E663" s="575">
        <v>2</v>
      </c>
      <c r="H663" s="573" t="s">
        <v>871</v>
      </c>
      <c r="I663" s="575">
        <f>K662</f>
        <v>2326.2596774193539</v>
      </c>
      <c r="J663" s="578">
        <f>J662</f>
        <v>6.6612903225806459</v>
      </c>
      <c r="K663" s="586">
        <f>I663+J663</f>
        <v>2332.9209677419344</v>
      </c>
      <c r="R663" s="582" t="s">
        <v>117</v>
      </c>
      <c r="S663" s="575"/>
      <c r="T663" s="576"/>
      <c r="U663" s="573" t="s">
        <v>576</v>
      </c>
      <c r="W663" s="578"/>
      <c r="X663" s="586">
        <f>X662+C25</f>
        <v>6776.0854499999996</v>
      </c>
      <c r="AB663" s="576"/>
      <c r="AC663" s="573" t="s">
        <v>576</v>
      </c>
      <c r="AE663" s="578"/>
      <c r="AF663" s="586">
        <f>AF662+K25</f>
        <v>7229.9150499999996</v>
      </c>
    </row>
    <row r="664" spans="1:32" ht="24" customHeight="1">
      <c r="A664" s="594"/>
      <c r="B664" s="595"/>
      <c r="C664" s="592"/>
      <c r="D664" s="616"/>
      <c r="H664" s="573">
        <v>5</v>
      </c>
      <c r="I664" s="575">
        <f t="shared" ref="I664:I670" si="78">K663</f>
        <v>2332.9209677419344</v>
      </c>
      <c r="J664" s="578">
        <f t="shared" ref="J664:J670" si="79">J663</f>
        <v>6.6612903225806459</v>
      </c>
      <c r="K664" s="586">
        <f t="shared" ref="K664:K670" si="80">I664+J664</f>
        <v>2339.5822580645149</v>
      </c>
      <c r="R664" s="582"/>
      <c r="S664" s="575"/>
      <c r="T664" s="576"/>
      <c r="U664" s="573">
        <v>5</v>
      </c>
      <c r="W664" s="578"/>
      <c r="X664" s="586">
        <f>X663+C25</f>
        <v>6846.7854499999994</v>
      </c>
      <c r="AB664" s="576"/>
      <c r="AC664" s="573">
        <v>5</v>
      </c>
      <c r="AE664" s="578"/>
      <c r="AF664" s="586">
        <f>AF663+K25</f>
        <v>7229.9150499999996</v>
      </c>
    </row>
    <row r="665" spans="1:32" ht="24" customHeight="1">
      <c r="A665" s="594"/>
      <c r="B665" s="595"/>
      <c r="C665" s="592"/>
      <c r="D665" s="616"/>
      <c r="H665" s="573">
        <v>6</v>
      </c>
      <c r="I665" s="575">
        <f t="shared" si="78"/>
        <v>2339.5822580645149</v>
      </c>
      <c r="J665" s="578">
        <f t="shared" si="79"/>
        <v>6.6612903225806459</v>
      </c>
      <c r="K665" s="586">
        <f t="shared" si="80"/>
        <v>2346.2435483870954</v>
      </c>
      <c r="R665" s="582"/>
      <c r="AA665" s="579"/>
    </row>
    <row r="666" spans="1:32" ht="24" customHeight="1">
      <c r="A666" s="594"/>
      <c r="B666" s="595"/>
      <c r="C666" s="592"/>
      <c r="D666" s="616"/>
      <c r="H666" s="573">
        <v>7</v>
      </c>
      <c r="I666" s="575">
        <f t="shared" si="78"/>
        <v>2346.2435483870954</v>
      </c>
      <c r="J666" s="578">
        <f t="shared" si="79"/>
        <v>6.6612903225806459</v>
      </c>
      <c r="K666" s="586">
        <f t="shared" si="80"/>
        <v>2352.9048387096759</v>
      </c>
      <c r="R666" s="582"/>
      <c r="AA666" s="579"/>
    </row>
    <row r="667" spans="1:32" ht="24" customHeight="1">
      <c r="A667" s="594"/>
      <c r="B667" s="595"/>
      <c r="C667" s="592"/>
      <c r="D667" s="616"/>
      <c r="H667" s="573">
        <v>8</v>
      </c>
      <c r="I667" s="575">
        <f t="shared" si="78"/>
        <v>2352.9048387096759</v>
      </c>
      <c r="J667" s="578">
        <f t="shared" si="79"/>
        <v>6.6612903225806459</v>
      </c>
      <c r="K667" s="586">
        <f t="shared" si="80"/>
        <v>2359.5661290322564</v>
      </c>
      <c r="R667" s="582"/>
      <c r="AA667" s="579"/>
    </row>
    <row r="668" spans="1:32" ht="24" customHeight="1">
      <c r="A668" s="594"/>
      <c r="B668" s="595"/>
      <c r="C668" s="592"/>
      <c r="D668" s="616"/>
      <c r="H668" s="573">
        <v>9</v>
      </c>
      <c r="I668" s="575">
        <f t="shared" si="78"/>
        <v>2359.5661290322564</v>
      </c>
      <c r="J668" s="578">
        <f t="shared" si="79"/>
        <v>6.6612903225806459</v>
      </c>
      <c r="K668" s="586">
        <f t="shared" si="80"/>
        <v>2366.2274193548369</v>
      </c>
      <c r="R668" s="582"/>
      <c r="AA668" s="579"/>
    </row>
    <row r="669" spans="1:32" ht="24" customHeight="1">
      <c r="A669" s="594"/>
      <c r="B669" s="595"/>
      <c r="C669" s="592"/>
      <c r="D669" s="616"/>
      <c r="H669" s="573">
        <v>10</v>
      </c>
      <c r="I669" s="575">
        <f t="shared" si="78"/>
        <v>2366.2274193548369</v>
      </c>
      <c r="J669" s="578">
        <f t="shared" si="79"/>
        <v>6.6612903225806459</v>
      </c>
      <c r="K669" s="586">
        <f t="shared" si="80"/>
        <v>2372.8887096774174</v>
      </c>
      <c r="R669" s="582"/>
      <c r="AA669" s="579"/>
    </row>
    <row r="670" spans="1:32" ht="24" customHeight="1">
      <c r="A670" s="594"/>
      <c r="B670" s="595"/>
      <c r="C670" s="592"/>
      <c r="D670" s="616"/>
      <c r="H670" s="573">
        <v>11</v>
      </c>
      <c r="I670" s="575">
        <f t="shared" si="78"/>
        <v>2372.8887096774174</v>
      </c>
      <c r="J670" s="578">
        <f t="shared" si="79"/>
        <v>6.6612903225806459</v>
      </c>
      <c r="K670" s="586">
        <f t="shared" si="80"/>
        <v>2379.5499999999979</v>
      </c>
      <c r="R670" s="582"/>
      <c r="AA670" s="579"/>
    </row>
    <row r="671" spans="1:32" ht="24" customHeight="1">
      <c r="A671" s="594"/>
      <c r="B671" s="595"/>
      <c r="C671" s="592"/>
      <c r="D671" s="616"/>
      <c r="H671" s="573"/>
      <c r="K671" s="586"/>
      <c r="R671" s="582"/>
      <c r="AA671" s="579"/>
    </row>
    <row r="672" spans="1:32" ht="28.5" customHeight="1">
      <c r="A672" s="594">
        <f>(A663+1)</f>
        <v>470</v>
      </c>
      <c r="B672" s="595" t="s">
        <v>1100</v>
      </c>
      <c r="C672" s="592">
        <v>10</v>
      </c>
      <c r="D672" s="616">
        <v>10.199999999999999</v>
      </c>
      <c r="E672" s="575">
        <v>3.7</v>
      </c>
      <c r="F672" s="574" t="s">
        <v>1101</v>
      </c>
      <c r="H672" s="573" t="s">
        <v>1102</v>
      </c>
      <c r="O672" s="573" t="s">
        <v>991</v>
      </c>
      <c r="R672" s="587">
        <f>SUM(R652:R662)</f>
        <v>18906.296563000004</v>
      </c>
      <c r="AA672" s="579"/>
    </row>
    <row r="673" spans="1:33" ht="24" customHeight="1">
      <c r="A673" s="594">
        <f t="shared" si="73"/>
        <v>471</v>
      </c>
      <c r="B673" s="650" t="s">
        <v>1103</v>
      </c>
      <c r="C673" s="629">
        <v>4</v>
      </c>
      <c r="D673" s="595" t="s">
        <v>129</v>
      </c>
      <c r="H673" s="573" t="s">
        <v>1104</v>
      </c>
      <c r="R673" s="582" t="s">
        <v>117</v>
      </c>
      <c r="AE673" s="592" t="str">
        <f t="shared" ref="AE673:AE680" si="81">AG673</f>
        <v>|</v>
      </c>
      <c r="AG673" s="573" t="s">
        <v>849</v>
      </c>
    </row>
    <row r="674" spans="1:33" ht="24" customHeight="1">
      <c r="A674" s="594">
        <f t="shared" si="73"/>
        <v>472</v>
      </c>
      <c r="B674" s="650" t="s">
        <v>1105</v>
      </c>
      <c r="C674" s="629">
        <v>5</v>
      </c>
      <c r="D674" s="595" t="s">
        <v>129</v>
      </c>
      <c r="H674" s="573" t="s">
        <v>1106</v>
      </c>
      <c r="O674" s="573" t="s">
        <v>1107</v>
      </c>
      <c r="T674" s="619">
        <v>4.2</v>
      </c>
      <c r="U674" s="619" t="s">
        <v>1108</v>
      </c>
      <c r="AE674" s="592" t="str">
        <f t="shared" si="81"/>
        <v>|</v>
      </c>
      <c r="AG674" s="573" t="s">
        <v>849</v>
      </c>
    </row>
    <row r="675" spans="1:33" ht="24" customHeight="1">
      <c r="A675" s="594">
        <f t="shared" si="73"/>
        <v>473</v>
      </c>
      <c r="B675" s="650" t="s">
        <v>1109</v>
      </c>
      <c r="C675" s="596">
        <v>96</v>
      </c>
      <c r="D675" s="595" t="s">
        <v>209</v>
      </c>
      <c r="H675" s="573" t="s">
        <v>1110</v>
      </c>
      <c r="N675" s="573" t="s">
        <v>122</v>
      </c>
      <c r="O675" s="573" t="s">
        <v>1111</v>
      </c>
      <c r="S675" s="579">
        <v>5</v>
      </c>
      <c r="T675" s="575" t="s">
        <v>642</v>
      </c>
      <c r="U675" s="575" t="s">
        <v>1112</v>
      </c>
      <c r="V675" s="575">
        <f>V705</f>
        <v>1644.69</v>
      </c>
      <c r="X675" s="575">
        <f>V675*S675</f>
        <v>8223.4500000000007</v>
      </c>
      <c r="AE675" s="592" t="str">
        <f t="shared" si="81"/>
        <v>|</v>
      </c>
      <c r="AG675" s="573" t="s">
        <v>849</v>
      </c>
    </row>
    <row r="676" spans="1:33" ht="24" customHeight="1">
      <c r="A676" s="594">
        <f t="shared" si="73"/>
        <v>474</v>
      </c>
      <c r="B676" s="650" t="s">
        <v>1113</v>
      </c>
      <c r="C676" s="596">
        <v>75</v>
      </c>
      <c r="D676" s="595" t="s">
        <v>209</v>
      </c>
      <c r="H676" s="573" t="s">
        <v>1114</v>
      </c>
      <c r="O676" s="573" t="s">
        <v>1115</v>
      </c>
      <c r="S676" s="579">
        <v>3.3</v>
      </c>
      <c r="T676" s="575" t="s">
        <v>642</v>
      </c>
      <c r="U676" s="575" t="s">
        <v>1116</v>
      </c>
      <c r="V676" s="575">
        <f t="shared" ref="V676:V685" si="82">V706</f>
        <v>1372.19</v>
      </c>
      <c r="X676" s="575">
        <f t="shared" ref="X676:X682" si="83">V676*S676</f>
        <v>4528.2269999999999</v>
      </c>
      <c r="AE676" s="592" t="str">
        <f t="shared" si="81"/>
        <v>|</v>
      </c>
      <c r="AG676" s="573" t="s">
        <v>849</v>
      </c>
    </row>
    <row r="677" spans="1:33" ht="24" customHeight="1">
      <c r="A677" s="594">
        <f t="shared" si="73"/>
        <v>475</v>
      </c>
      <c r="B677" s="595" t="s">
        <v>1117</v>
      </c>
      <c r="C677" s="592">
        <v>21.1</v>
      </c>
      <c r="D677" s="592">
        <v>35.6</v>
      </c>
      <c r="E677" s="575">
        <v>3</v>
      </c>
      <c r="H677" s="573" t="s">
        <v>1118</v>
      </c>
      <c r="O677" s="582" t="s">
        <v>117</v>
      </c>
      <c r="S677" s="579">
        <v>4.79</v>
      </c>
      <c r="T677" s="575" t="s">
        <v>642</v>
      </c>
      <c r="U677" s="575" t="s">
        <v>1119</v>
      </c>
      <c r="V677" s="575">
        <f t="shared" si="82"/>
        <v>1322.8</v>
      </c>
      <c r="X677" s="575">
        <f t="shared" si="83"/>
        <v>6336.2119999999995</v>
      </c>
      <c r="AE677" s="592" t="str">
        <f t="shared" si="81"/>
        <v>|</v>
      </c>
      <c r="AG677" s="573" t="s">
        <v>849</v>
      </c>
    </row>
    <row r="678" spans="1:33" ht="24" customHeight="1">
      <c r="A678" s="594">
        <f t="shared" si="73"/>
        <v>476</v>
      </c>
      <c r="B678" s="650" t="s">
        <v>1120</v>
      </c>
      <c r="C678" s="596">
        <v>80</v>
      </c>
      <c r="D678" s="595" t="s">
        <v>209</v>
      </c>
      <c r="H678" s="573" t="s">
        <v>1121</v>
      </c>
      <c r="M678" s="587">
        <v>1</v>
      </c>
      <c r="N678" s="573" t="s">
        <v>209</v>
      </c>
      <c r="O678" s="573" t="s">
        <v>1122</v>
      </c>
      <c r="P678" s="587">
        <f>(C383)</f>
        <v>14.91</v>
      </c>
      <c r="Q678" s="573" t="s">
        <v>209</v>
      </c>
      <c r="R678" s="587">
        <f>(M678*P678)</f>
        <v>14.91</v>
      </c>
      <c r="S678" s="579">
        <v>4</v>
      </c>
      <c r="T678" s="575" t="s">
        <v>1123</v>
      </c>
      <c r="U678" s="575" t="s">
        <v>1124</v>
      </c>
      <c r="V678" s="575">
        <f t="shared" si="82"/>
        <v>5800</v>
      </c>
      <c r="X678" s="575">
        <f t="shared" si="83"/>
        <v>23200</v>
      </c>
      <c r="AE678" s="592" t="str">
        <f t="shared" si="81"/>
        <v>|</v>
      </c>
      <c r="AG678" s="573" t="s">
        <v>849</v>
      </c>
    </row>
    <row r="679" spans="1:33" ht="24" customHeight="1">
      <c r="A679" s="594">
        <f t="shared" si="73"/>
        <v>477</v>
      </c>
      <c r="B679" s="650" t="s">
        <v>1125</v>
      </c>
      <c r="C679" s="596">
        <v>64</v>
      </c>
      <c r="D679" s="595" t="s">
        <v>209</v>
      </c>
      <c r="H679" s="582" t="s">
        <v>117</v>
      </c>
      <c r="I679" s="582" t="s">
        <v>117</v>
      </c>
      <c r="N679" s="573" t="s">
        <v>129</v>
      </c>
      <c r="O679" s="573" t="s">
        <v>1126</v>
      </c>
      <c r="Q679" s="573" t="s">
        <v>129</v>
      </c>
      <c r="R679" s="587">
        <v>2.09</v>
      </c>
      <c r="S679" s="579">
        <v>40</v>
      </c>
      <c r="T679" s="575" t="s">
        <v>148</v>
      </c>
      <c r="U679" s="575" t="s">
        <v>1127</v>
      </c>
      <c r="V679" s="575">
        <f>V648</f>
        <v>42.4</v>
      </c>
      <c r="X679" s="575">
        <f t="shared" si="83"/>
        <v>1696</v>
      </c>
      <c r="AE679" s="592" t="str">
        <f t="shared" si="81"/>
        <v>|</v>
      </c>
      <c r="AG679" s="573" t="s">
        <v>849</v>
      </c>
    </row>
    <row r="680" spans="1:33" ht="24" customHeight="1">
      <c r="A680" s="594">
        <f t="shared" si="73"/>
        <v>478</v>
      </c>
      <c r="B680" s="650" t="s">
        <v>1128</v>
      </c>
      <c r="C680" s="596">
        <v>40.5</v>
      </c>
      <c r="D680" s="595" t="s">
        <v>209</v>
      </c>
      <c r="F680" s="587">
        <v>1</v>
      </c>
      <c r="G680" s="585" t="s">
        <v>140</v>
      </c>
      <c r="H680" s="573" t="s">
        <v>1129</v>
      </c>
      <c r="I680" s="587">
        <f>D76</f>
        <v>290</v>
      </c>
      <c r="J680" s="573" t="s">
        <v>140</v>
      </c>
      <c r="K680" s="587">
        <f>(F680*I680)</f>
        <v>290</v>
      </c>
      <c r="O680" s="573" t="s">
        <v>1130</v>
      </c>
      <c r="R680" s="573" t="s">
        <v>115</v>
      </c>
      <c r="S680" s="579">
        <v>3.5</v>
      </c>
      <c r="T680" s="575" t="s">
        <v>240</v>
      </c>
      <c r="U680" s="575" t="s">
        <v>1131</v>
      </c>
      <c r="V680" s="575">
        <f t="shared" si="82"/>
        <v>718</v>
      </c>
      <c r="X680" s="575">
        <f>V680*S680</f>
        <v>2513</v>
      </c>
      <c r="AE680" s="592" t="str">
        <f t="shared" si="81"/>
        <v>|</v>
      </c>
      <c r="AG680" s="573" t="s">
        <v>849</v>
      </c>
    </row>
    <row r="681" spans="1:33" ht="24" customHeight="1">
      <c r="A681" s="594">
        <f t="shared" si="73"/>
        <v>479</v>
      </c>
      <c r="B681" s="650" t="s">
        <v>1132</v>
      </c>
      <c r="C681" s="596">
        <v>92</v>
      </c>
      <c r="D681" s="595" t="s">
        <v>209</v>
      </c>
      <c r="F681" s="587">
        <v>1</v>
      </c>
      <c r="G681" s="585" t="s">
        <v>140</v>
      </c>
      <c r="H681" s="573" t="s">
        <v>1133</v>
      </c>
      <c r="I681" s="587">
        <f>C75</f>
        <v>175</v>
      </c>
      <c r="J681" s="573" t="s">
        <v>140</v>
      </c>
      <c r="K681" s="587">
        <f>(F681*I681)</f>
        <v>175</v>
      </c>
      <c r="R681" s="582" t="s">
        <v>117</v>
      </c>
      <c r="S681" s="579">
        <v>21.2</v>
      </c>
      <c r="T681" s="575" t="s">
        <v>240</v>
      </c>
      <c r="U681" s="575" t="s">
        <v>1134</v>
      </c>
      <c r="V681" s="575">
        <f t="shared" si="82"/>
        <v>502</v>
      </c>
      <c r="X681" s="575">
        <f t="shared" si="83"/>
        <v>10642.4</v>
      </c>
      <c r="AE681" s="592">
        <f>32.32*100</f>
        <v>3232</v>
      </c>
      <c r="AG681" s="573" t="s">
        <v>849</v>
      </c>
    </row>
    <row r="682" spans="1:33" ht="24" customHeight="1">
      <c r="A682" s="594">
        <f t="shared" si="73"/>
        <v>480</v>
      </c>
      <c r="B682" s="650" t="s">
        <v>1135</v>
      </c>
      <c r="C682" s="596">
        <v>60</v>
      </c>
      <c r="D682" s="595" t="s">
        <v>209</v>
      </c>
      <c r="F682" s="587">
        <v>1</v>
      </c>
      <c r="G682" s="585" t="s">
        <v>129</v>
      </c>
      <c r="H682" s="573" t="s">
        <v>1136</v>
      </c>
      <c r="I682" s="649">
        <v>15</v>
      </c>
      <c r="J682" s="573" t="s">
        <v>129</v>
      </c>
      <c r="K682" s="587">
        <f>(F682*I682)</f>
        <v>15</v>
      </c>
      <c r="O682" s="573" t="s">
        <v>1137</v>
      </c>
      <c r="R682" s="587">
        <f>SUM(R678:R680)</f>
        <v>17</v>
      </c>
      <c r="S682" s="579">
        <v>35.299999999999997</v>
      </c>
      <c r="T682" s="575" t="s">
        <v>240</v>
      </c>
      <c r="U682" s="575" t="s">
        <v>1138</v>
      </c>
      <c r="V682" s="575">
        <f>V712</f>
        <v>412</v>
      </c>
      <c r="X682" s="575">
        <f t="shared" si="83"/>
        <v>14543.599999999999</v>
      </c>
      <c r="AE682" s="592">
        <f>48.824*100</f>
        <v>4882.3999999999996</v>
      </c>
      <c r="AG682" s="573" t="s">
        <v>849</v>
      </c>
    </row>
    <row r="683" spans="1:33" ht="24" customHeight="1">
      <c r="A683" s="594">
        <f t="shared" si="73"/>
        <v>481</v>
      </c>
      <c r="B683" s="650" t="s">
        <v>1139</v>
      </c>
      <c r="C683" s="596">
        <v>49.87</v>
      </c>
      <c r="D683" s="595" t="s">
        <v>209</v>
      </c>
      <c r="K683" s="582" t="s">
        <v>117</v>
      </c>
      <c r="R683" s="582" t="s">
        <v>117</v>
      </c>
      <c r="U683" s="619" t="s">
        <v>1140</v>
      </c>
      <c r="X683" s="619">
        <f>SUM(X675:X682)</f>
        <v>71682.888999999996</v>
      </c>
      <c r="AA683" s="579">
        <f>22.77+26.054</f>
        <v>48.823999999999998</v>
      </c>
      <c r="AE683" s="592">
        <f>0.52*100</f>
        <v>52</v>
      </c>
      <c r="AG683" s="573" t="s">
        <v>849</v>
      </c>
    </row>
    <row r="684" spans="1:33" ht="24" customHeight="1">
      <c r="A684" s="594">
        <f t="shared" si="73"/>
        <v>482</v>
      </c>
      <c r="B684" s="650" t="s">
        <v>1141</v>
      </c>
      <c r="C684" s="596">
        <v>80</v>
      </c>
      <c r="D684" s="595" t="s">
        <v>209</v>
      </c>
      <c r="H684" s="573" t="s">
        <v>154</v>
      </c>
      <c r="K684" s="587">
        <f>SUM(K678:K682)</f>
        <v>480</v>
      </c>
      <c r="U684" s="619" t="s">
        <v>1142</v>
      </c>
      <c r="X684" s="619">
        <f>X683/10</f>
        <v>7168.2888999999996</v>
      </c>
      <c r="Y684" s="575">
        <f>X684</f>
        <v>7168.2888999999996</v>
      </c>
      <c r="AC684" s="575">
        <f>26.19*0.02</f>
        <v>0.52380000000000004</v>
      </c>
      <c r="AE684" s="592">
        <f>0.397*100</f>
        <v>39.700000000000003</v>
      </c>
      <c r="AF684" s="575">
        <f>AE681+AE682+AE683+AE684</f>
        <v>8206.1</v>
      </c>
      <c r="AG684" s="573" t="s">
        <v>849</v>
      </c>
    </row>
    <row r="685" spans="1:33" ht="24" customHeight="1">
      <c r="A685" s="594">
        <f t="shared" si="73"/>
        <v>483</v>
      </c>
      <c r="B685" s="650" t="s">
        <v>1143</v>
      </c>
      <c r="C685" s="596">
        <v>52</v>
      </c>
      <c r="D685" s="595" t="s">
        <v>209</v>
      </c>
      <c r="H685" s="573" t="s">
        <v>1144</v>
      </c>
      <c r="K685" s="582" t="s">
        <v>155</v>
      </c>
      <c r="N685" s="573" t="s">
        <v>122</v>
      </c>
      <c r="O685" s="573" t="s">
        <v>1145</v>
      </c>
      <c r="S685" s="579">
        <v>1</v>
      </c>
      <c r="T685" s="575" t="s">
        <v>642</v>
      </c>
      <c r="U685" s="575" t="s">
        <v>1146</v>
      </c>
      <c r="V685" s="575">
        <f t="shared" si="82"/>
        <v>70.7</v>
      </c>
      <c r="X685" s="575">
        <f>V685</f>
        <v>70.7</v>
      </c>
      <c r="AC685" s="579">
        <f>9.92*0.04</f>
        <v>0.39679999999999999</v>
      </c>
      <c r="AE685" s="592" t="str">
        <f t="shared" ref="AE685:AE748" si="84">AG685</f>
        <v>|</v>
      </c>
      <c r="AG685" s="573" t="s">
        <v>849</v>
      </c>
    </row>
    <row r="686" spans="1:33" ht="24" customHeight="1">
      <c r="A686" s="594">
        <f t="shared" si="73"/>
        <v>484</v>
      </c>
      <c r="B686" s="650" t="s">
        <v>1147</v>
      </c>
      <c r="C686" s="596">
        <v>39</v>
      </c>
      <c r="D686" s="595" t="s">
        <v>209</v>
      </c>
      <c r="H686" s="573" t="s">
        <v>482</v>
      </c>
      <c r="I686" s="575">
        <f>K684</f>
        <v>480</v>
      </c>
      <c r="J686" s="578">
        <f>C19*0.05</f>
        <v>2.9600000000000004</v>
      </c>
      <c r="K686" s="586">
        <f>I686+J686</f>
        <v>482.96</v>
      </c>
      <c r="O686" s="573" t="s">
        <v>1115</v>
      </c>
      <c r="U686" s="575" t="s">
        <v>1148</v>
      </c>
      <c r="X686" s="619">
        <f>SUM(X684:X685)</f>
        <v>7238.9888999999994</v>
      </c>
      <c r="Y686" s="575">
        <f>SUM(Y684:Y685)</f>
        <v>7168.2888999999996</v>
      </c>
      <c r="AE686" s="592" t="str">
        <f t="shared" si="84"/>
        <v>|</v>
      </c>
      <c r="AF686" s="575">
        <f>SUM(AF684:AF685)</f>
        <v>8206.1</v>
      </c>
      <c r="AG686" s="573" t="s">
        <v>849</v>
      </c>
    </row>
    <row r="687" spans="1:33" ht="24" customHeight="1">
      <c r="A687" s="594">
        <f t="shared" si="73"/>
        <v>485</v>
      </c>
      <c r="B687" s="650" t="s">
        <v>1149</v>
      </c>
      <c r="C687" s="596">
        <v>90</v>
      </c>
      <c r="D687" s="595" t="s">
        <v>209</v>
      </c>
      <c r="H687" s="573" t="s">
        <v>486</v>
      </c>
      <c r="I687" s="575">
        <f>K686</f>
        <v>482.96</v>
      </c>
      <c r="J687" s="578">
        <f>C20*0.05</f>
        <v>5.9649999999999999</v>
      </c>
      <c r="K687" s="586">
        <f>I687+J687</f>
        <v>488.92499999999995</v>
      </c>
      <c r="O687" s="582" t="s">
        <v>117</v>
      </c>
      <c r="S687" s="691" t="s">
        <v>166</v>
      </c>
      <c r="U687" s="575" t="s">
        <v>1150</v>
      </c>
      <c r="V687" s="691" t="s">
        <v>166</v>
      </c>
      <c r="X687" s="575">
        <f>X686*0.5%</f>
        <v>36.194944499999998</v>
      </c>
      <c r="Y687" s="575">
        <f>Y686*0.5/100</f>
        <v>35.841444499999994</v>
      </c>
      <c r="AE687" s="592" t="str">
        <f t="shared" si="84"/>
        <v>|</v>
      </c>
      <c r="AF687" s="575">
        <f>AF686/185.82</f>
        <v>44.16155419222904</v>
      </c>
      <c r="AG687" s="573" t="s">
        <v>849</v>
      </c>
    </row>
    <row r="688" spans="1:33" ht="30.75" customHeight="1">
      <c r="A688" s="594">
        <f t="shared" si="73"/>
        <v>486</v>
      </c>
      <c r="B688" s="650" t="s">
        <v>1151</v>
      </c>
      <c r="C688" s="596">
        <v>60</v>
      </c>
      <c r="D688" s="595" t="s">
        <v>209</v>
      </c>
      <c r="H688" s="573" t="s">
        <v>489</v>
      </c>
      <c r="I688" s="575">
        <f>K687</f>
        <v>488.92499999999995</v>
      </c>
      <c r="J688" s="578">
        <f>J687</f>
        <v>5.9649999999999999</v>
      </c>
      <c r="K688" s="586">
        <f>I688+J688</f>
        <v>494.88999999999993</v>
      </c>
      <c r="M688" s="587">
        <v>1</v>
      </c>
      <c r="N688" s="573" t="s">
        <v>209</v>
      </c>
      <c r="O688" s="573" t="s">
        <v>1152</v>
      </c>
      <c r="P688" s="587">
        <f>(C384)</f>
        <v>17.579999999999998</v>
      </c>
      <c r="Q688" s="573" t="s">
        <v>209</v>
      </c>
      <c r="R688" s="587">
        <f>(M688*P688)</f>
        <v>17.579999999999998</v>
      </c>
      <c r="T688" s="576"/>
      <c r="U688" s="619" t="s">
        <v>1087</v>
      </c>
      <c r="W688" s="578"/>
      <c r="X688" s="586">
        <f>SUM(X686:X687)</f>
        <v>7275.1838444999994</v>
      </c>
      <c r="Y688" s="619">
        <f>SUM(Y686:Y687)</f>
        <v>7204.1303444999994</v>
      </c>
      <c r="Z688" s="692" t="s">
        <v>1153</v>
      </c>
      <c r="AE688" s="592" t="str">
        <f t="shared" si="84"/>
        <v>|</v>
      </c>
      <c r="AF688" s="575">
        <f>AF686/1000</f>
        <v>8.2061000000000011</v>
      </c>
      <c r="AG688" s="573" t="s">
        <v>849</v>
      </c>
    </row>
    <row r="689" spans="1:33" ht="17.25" customHeight="1">
      <c r="A689" s="594">
        <f t="shared" si="73"/>
        <v>487</v>
      </c>
      <c r="B689" s="650" t="s">
        <v>1154</v>
      </c>
      <c r="C689" s="596">
        <v>43.5</v>
      </c>
      <c r="D689" s="595" t="s">
        <v>209</v>
      </c>
      <c r="H689" s="573" t="s">
        <v>491</v>
      </c>
      <c r="I689" s="575">
        <f>K688</f>
        <v>494.88999999999993</v>
      </c>
      <c r="J689" s="578">
        <f>J688</f>
        <v>5.9649999999999999</v>
      </c>
      <c r="K689" s="586">
        <f>I689+J689</f>
        <v>500.8549999999999</v>
      </c>
      <c r="N689" s="573" t="s">
        <v>129</v>
      </c>
      <c r="O689" s="573" t="s">
        <v>1126</v>
      </c>
      <c r="Q689" s="573" t="s">
        <v>129</v>
      </c>
      <c r="R689" s="587">
        <v>2.09</v>
      </c>
      <c r="T689" s="576"/>
      <c r="W689" s="578"/>
      <c r="X689" s="582" t="s">
        <v>117</v>
      </c>
      <c r="AE689" s="592" t="str">
        <f t="shared" si="84"/>
        <v>|</v>
      </c>
      <c r="AF689" s="575">
        <f>185.82*10.764</f>
        <v>2000.1664799999999</v>
      </c>
      <c r="AG689" s="573" t="s">
        <v>849</v>
      </c>
    </row>
    <row r="690" spans="1:33" ht="24" customHeight="1">
      <c r="A690" s="594">
        <f t="shared" si="73"/>
        <v>488</v>
      </c>
      <c r="B690" s="650" t="s">
        <v>1155</v>
      </c>
      <c r="C690" s="596">
        <v>75</v>
      </c>
      <c r="D690" s="595" t="s">
        <v>209</v>
      </c>
      <c r="H690" s="573" t="s">
        <v>871</v>
      </c>
      <c r="I690" s="575">
        <f>K689</f>
        <v>500.8549999999999</v>
      </c>
      <c r="J690" s="578">
        <f>J689</f>
        <v>5.9649999999999999</v>
      </c>
      <c r="K690" s="586">
        <f>I690+J690</f>
        <v>506.81999999999988</v>
      </c>
      <c r="O690" s="573" t="s">
        <v>1130</v>
      </c>
      <c r="R690" s="573" t="s">
        <v>115</v>
      </c>
      <c r="T690" s="576"/>
      <c r="U690" s="573" t="s">
        <v>482</v>
      </c>
      <c r="W690" s="578"/>
      <c r="X690" s="586">
        <f>(X688+C22)</f>
        <v>7365.083844499999</v>
      </c>
      <c r="AE690" s="592" t="str">
        <f t="shared" si="84"/>
        <v>|</v>
      </c>
      <c r="AF690" s="575">
        <f>AF686/AF689</f>
        <v>4.1027084905452478</v>
      </c>
      <c r="AG690" s="573" t="s">
        <v>849</v>
      </c>
    </row>
    <row r="691" spans="1:33" ht="24" customHeight="1">
      <c r="A691" s="594">
        <f t="shared" si="73"/>
        <v>489</v>
      </c>
      <c r="B691" s="650" t="s">
        <v>1156</v>
      </c>
      <c r="C691" s="596">
        <v>52</v>
      </c>
      <c r="D691" s="595" t="s">
        <v>209</v>
      </c>
      <c r="F691" s="574" t="s">
        <v>1157</v>
      </c>
      <c r="H691" s="573" t="s">
        <v>1102</v>
      </c>
      <c r="R691" s="582" t="s">
        <v>117</v>
      </c>
      <c r="T691" s="576"/>
      <c r="U691" s="573" t="s">
        <v>486</v>
      </c>
      <c r="W691" s="578"/>
      <c r="X691" s="586">
        <f>(X690+C24)</f>
        <v>7542.083844499999</v>
      </c>
      <c r="AE691" s="592" t="str">
        <f t="shared" si="84"/>
        <v>|</v>
      </c>
      <c r="AF691" s="575">
        <f>924.2/8.21</f>
        <v>112.5700365408039</v>
      </c>
      <c r="AG691" s="573" t="s">
        <v>849</v>
      </c>
    </row>
    <row r="692" spans="1:33" ht="24" customHeight="1">
      <c r="A692" s="594">
        <f t="shared" si="73"/>
        <v>490</v>
      </c>
      <c r="B692" s="650" t="s">
        <v>1147</v>
      </c>
      <c r="C692" s="596">
        <v>35.25</v>
      </c>
      <c r="D692" s="595" t="s">
        <v>209</v>
      </c>
      <c r="H692" s="573" t="s">
        <v>1158</v>
      </c>
      <c r="O692" s="573" t="s">
        <v>1137</v>
      </c>
      <c r="R692" s="587">
        <f>SUM(R688:R690)</f>
        <v>19.669999999999998</v>
      </c>
      <c r="T692" s="576"/>
      <c r="U692" s="573" t="s">
        <v>489</v>
      </c>
      <c r="W692" s="578"/>
      <c r="X692" s="586">
        <f>(X691+C24)</f>
        <v>7719.083844499999</v>
      </c>
      <c r="AE692" s="592" t="str">
        <f t="shared" si="84"/>
        <v>|</v>
      </c>
      <c r="AG692" s="573" t="s">
        <v>849</v>
      </c>
    </row>
    <row r="693" spans="1:33" ht="24" customHeight="1">
      <c r="A693" s="594">
        <f t="shared" si="73"/>
        <v>491</v>
      </c>
      <c r="B693" s="650" t="s">
        <v>1159</v>
      </c>
      <c r="C693" s="596">
        <v>37.5</v>
      </c>
      <c r="D693" s="595" t="s">
        <v>209</v>
      </c>
      <c r="H693" s="573" t="s">
        <v>1106</v>
      </c>
      <c r="R693" s="582" t="s">
        <v>117</v>
      </c>
      <c r="T693" s="576"/>
      <c r="U693" s="573" t="s">
        <v>491</v>
      </c>
      <c r="W693" s="578"/>
      <c r="X693" s="586">
        <f>(X692+C24)</f>
        <v>7896.083844499999</v>
      </c>
      <c r="AE693" s="592" t="str">
        <f t="shared" si="84"/>
        <v>|</v>
      </c>
      <c r="AG693" s="573" t="s">
        <v>849</v>
      </c>
    </row>
    <row r="694" spans="1:33" ht="24" customHeight="1">
      <c r="A694" s="594">
        <f t="shared" si="73"/>
        <v>492</v>
      </c>
      <c r="B694" s="650" t="s">
        <v>1160</v>
      </c>
      <c r="C694" s="596">
        <v>24</v>
      </c>
      <c r="D694" s="595" t="s">
        <v>209</v>
      </c>
      <c r="H694" s="573" t="s">
        <v>1110</v>
      </c>
      <c r="O694" s="575" t="s">
        <v>251</v>
      </c>
      <c r="T694" s="576"/>
      <c r="U694" s="573" t="s">
        <v>576</v>
      </c>
      <c r="W694" s="578"/>
      <c r="X694" s="586">
        <f>(X693+C24)</f>
        <v>8073.083844499999</v>
      </c>
      <c r="AE694" s="592" t="str">
        <f t="shared" si="84"/>
        <v>|</v>
      </c>
      <c r="AG694" s="573" t="s">
        <v>849</v>
      </c>
    </row>
    <row r="695" spans="1:33" ht="24" customHeight="1">
      <c r="A695" s="594">
        <f t="shared" si="73"/>
        <v>493</v>
      </c>
      <c r="B695" s="650" t="s">
        <v>1161</v>
      </c>
      <c r="C695" s="596">
        <v>16</v>
      </c>
      <c r="D695" s="595" t="s">
        <v>209</v>
      </c>
      <c r="H695" s="573" t="s">
        <v>1114</v>
      </c>
      <c r="N695" s="573" t="s">
        <v>122</v>
      </c>
      <c r="O695" s="573" t="s">
        <v>1162</v>
      </c>
      <c r="AE695" s="592" t="str">
        <f t="shared" si="84"/>
        <v>|</v>
      </c>
      <c r="AG695" s="573" t="s">
        <v>849</v>
      </c>
    </row>
    <row r="696" spans="1:33" ht="24" customHeight="1">
      <c r="A696" s="594">
        <f t="shared" si="73"/>
        <v>494</v>
      </c>
      <c r="B696" s="573" t="s">
        <v>3078</v>
      </c>
      <c r="C696" s="592">
        <v>31.5</v>
      </c>
      <c r="D696" s="595" t="s">
        <v>209</v>
      </c>
      <c r="H696" s="573" t="s">
        <v>1118</v>
      </c>
      <c r="O696" s="573" t="s">
        <v>1115</v>
      </c>
      <c r="AE696" s="592" t="str">
        <f t="shared" si="84"/>
        <v>|</v>
      </c>
      <c r="AG696" s="573" t="s">
        <v>849</v>
      </c>
    </row>
    <row r="697" spans="1:33" ht="24" customHeight="1">
      <c r="A697" s="594">
        <f t="shared" si="73"/>
        <v>495</v>
      </c>
      <c r="B697" s="650" t="s">
        <v>1164</v>
      </c>
      <c r="C697" s="596">
        <v>6</v>
      </c>
      <c r="D697" s="595" t="s">
        <v>209</v>
      </c>
      <c r="H697" s="573" t="s">
        <v>1165</v>
      </c>
      <c r="O697" s="582" t="s">
        <v>117</v>
      </c>
      <c r="AE697" s="592" t="str">
        <f t="shared" si="84"/>
        <v>|</v>
      </c>
      <c r="AG697" s="573" t="s">
        <v>849</v>
      </c>
    </row>
    <row r="698" spans="1:33" ht="24" customHeight="1">
      <c r="A698" s="594">
        <f t="shared" si="73"/>
        <v>496</v>
      </c>
      <c r="B698" s="650" t="s">
        <v>1166</v>
      </c>
      <c r="C698" s="596">
        <v>152.5</v>
      </c>
      <c r="D698" s="595" t="s">
        <v>203</v>
      </c>
      <c r="E698" s="618">
        <v>98.6</v>
      </c>
      <c r="F698" s="575" t="s">
        <v>3079</v>
      </c>
      <c r="H698" s="582" t="s">
        <v>117</v>
      </c>
      <c r="I698" s="582" t="s">
        <v>117</v>
      </c>
      <c r="M698" s="587">
        <v>1</v>
      </c>
      <c r="N698" s="573" t="s">
        <v>209</v>
      </c>
      <c r="O698" s="573" t="s">
        <v>1168</v>
      </c>
      <c r="P698" s="587">
        <f>(C385)</f>
        <v>19.3</v>
      </c>
      <c r="Q698" s="573" t="s">
        <v>209</v>
      </c>
      <c r="R698" s="587">
        <f>(M698*P698)</f>
        <v>19.3</v>
      </c>
      <c r="AE698" s="592" t="str">
        <f t="shared" si="84"/>
        <v>|</v>
      </c>
      <c r="AG698" s="573" t="s">
        <v>849</v>
      </c>
    </row>
    <row r="699" spans="1:33" ht="24" customHeight="1">
      <c r="A699" s="594">
        <f t="shared" si="73"/>
        <v>497</v>
      </c>
      <c r="B699" s="650" t="s">
        <v>1169</v>
      </c>
      <c r="C699" s="596">
        <v>108.68</v>
      </c>
      <c r="D699" s="595" t="s">
        <v>209</v>
      </c>
      <c r="F699" s="587">
        <v>1</v>
      </c>
      <c r="G699" s="585" t="s">
        <v>140</v>
      </c>
      <c r="H699" s="573" t="s">
        <v>1170</v>
      </c>
      <c r="I699" s="587">
        <f>C76</f>
        <v>460</v>
      </c>
      <c r="J699" s="573" t="s">
        <v>140</v>
      </c>
      <c r="K699" s="587">
        <f>(F699*I699)</f>
        <v>460</v>
      </c>
      <c r="N699" s="573" t="s">
        <v>129</v>
      </c>
      <c r="O699" s="573" t="s">
        <v>1126</v>
      </c>
      <c r="Q699" s="573" t="s">
        <v>129</v>
      </c>
      <c r="R699" s="587">
        <v>2.09</v>
      </c>
      <c r="AE699" s="592" t="str">
        <f t="shared" si="84"/>
        <v>|</v>
      </c>
      <c r="AG699" s="573" t="s">
        <v>849</v>
      </c>
    </row>
    <row r="700" spans="1:33" ht="24" customHeight="1">
      <c r="A700" s="594">
        <f t="shared" si="73"/>
        <v>498</v>
      </c>
      <c r="B700" s="650" t="s">
        <v>1171</v>
      </c>
      <c r="C700" s="596">
        <v>119.89</v>
      </c>
      <c r="D700" s="595" t="s">
        <v>209</v>
      </c>
      <c r="F700" s="587">
        <v>1</v>
      </c>
      <c r="G700" s="585" t="s">
        <v>140</v>
      </c>
      <c r="H700" s="573" t="s">
        <v>1133</v>
      </c>
      <c r="I700" s="587">
        <f>C75</f>
        <v>175</v>
      </c>
      <c r="J700" s="573" t="s">
        <v>140</v>
      </c>
      <c r="K700" s="587">
        <f>(F700*I700)</f>
        <v>175</v>
      </c>
      <c r="O700" s="573" t="s">
        <v>1130</v>
      </c>
      <c r="R700" s="573" t="s">
        <v>115</v>
      </c>
      <c r="AE700" s="592" t="str">
        <f t="shared" si="84"/>
        <v>|</v>
      </c>
      <c r="AG700" s="573" t="s">
        <v>849</v>
      </c>
    </row>
    <row r="701" spans="1:33" ht="24" customHeight="1">
      <c r="A701" s="594">
        <f t="shared" si="73"/>
        <v>499</v>
      </c>
      <c r="B701" s="650" t="s">
        <v>1172</v>
      </c>
      <c r="C701" s="596">
        <v>297.44</v>
      </c>
      <c r="D701" s="595" t="s">
        <v>209</v>
      </c>
      <c r="F701" s="587">
        <v>1</v>
      </c>
      <c r="G701" s="585" t="s">
        <v>129</v>
      </c>
      <c r="H701" s="573" t="s">
        <v>1136</v>
      </c>
      <c r="I701" s="649">
        <v>15</v>
      </c>
      <c r="J701" s="573" t="s">
        <v>129</v>
      </c>
      <c r="K701" s="587">
        <f>(F701*I701)</f>
        <v>15</v>
      </c>
      <c r="R701" s="582" t="s">
        <v>117</v>
      </c>
      <c r="AE701" s="592" t="str">
        <f t="shared" si="84"/>
        <v>|</v>
      </c>
      <c r="AG701" s="573" t="s">
        <v>849</v>
      </c>
    </row>
    <row r="702" spans="1:33" ht="24" customHeight="1">
      <c r="A702" s="594">
        <f t="shared" si="73"/>
        <v>500</v>
      </c>
      <c r="B702" s="650" t="s">
        <v>1173</v>
      </c>
      <c r="C702" s="596">
        <v>28.6</v>
      </c>
      <c r="D702" s="595" t="s">
        <v>209</v>
      </c>
      <c r="H702" s="573" t="s">
        <v>130</v>
      </c>
      <c r="J702" s="573" t="s">
        <v>129</v>
      </c>
      <c r="K702" s="587">
        <v>0</v>
      </c>
      <c r="O702" s="573" t="s">
        <v>1137</v>
      </c>
      <c r="R702" s="587">
        <f>SUM(R698:R700)</f>
        <v>21.39</v>
      </c>
      <c r="AE702" s="592" t="str">
        <f t="shared" si="84"/>
        <v>|</v>
      </c>
      <c r="AG702" s="573" t="s">
        <v>849</v>
      </c>
    </row>
    <row r="703" spans="1:33" ht="24" customHeight="1">
      <c r="A703" s="594">
        <f>(A702+1)</f>
        <v>501</v>
      </c>
      <c r="B703" s="650" t="s">
        <v>1174</v>
      </c>
      <c r="C703" s="596">
        <v>228.86</v>
      </c>
      <c r="D703" s="595" t="s">
        <v>209</v>
      </c>
      <c r="K703" s="582" t="s">
        <v>117</v>
      </c>
      <c r="R703" s="582" t="s">
        <v>117</v>
      </c>
      <c r="AE703" s="592" t="str">
        <f t="shared" si="84"/>
        <v>|</v>
      </c>
      <c r="AG703" s="573" t="s">
        <v>849</v>
      </c>
    </row>
    <row r="704" spans="1:33" ht="24" customHeight="1">
      <c r="A704" s="608"/>
      <c r="B704" s="608" t="s">
        <v>1175</v>
      </c>
      <c r="C704" s="618">
        <v>2828</v>
      </c>
      <c r="D704" s="608" t="s">
        <v>140</v>
      </c>
      <c r="H704" s="573" t="s">
        <v>154</v>
      </c>
      <c r="K704" s="587">
        <f>SUM(K699:K702)</f>
        <v>650</v>
      </c>
      <c r="U704" s="619" t="s">
        <v>1176</v>
      </c>
      <c r="AE704" s="592" t="str">
        <f t="shared" si="84"/>
        <v>|</v>
      </c>
      <c r="AG704" s="573" t="s">
        <v>849</v>
      </c>
    </row>
    <row r="705" spans="1:33" ht="24" customHeight="1">
      <c r="A705" s="594">
        <f>(A703+1)</f>
        <v>502</v>
      </c>
      <c r="B705" s="650" t="s">
        <v>1177</v>
      </c>
      <c r="C705" s="596">
        <v>70.47</v>
      </c>
      <c r="D705" s="595" t="s">
        <v>209</v>
      </c>
      <c r="H705" s="573" t="s">
        <v>1144</v>
      </c>
      <c r="K705" s="582" t="s">
        <v>155</v>
      </c>
      <c r="S705" s="579">
        <v>5</v>
      </c>
      <c r="T705" s="575" t="s">
        <v>642</v>
      </c>
      <c r="U705" s="575" t="s">
        <v>1112</v>
      </c>
      <c r="V705" s="575">
        <f>AC14</f>
        <v>1644.69</v>
      </c>
      <c r="X705" s="575">
        <f>V705*S705</f>
        <v>8223.4500000000007</v>
      </c>
      <c r="Z705" s="575">
        <f>X705</f>
        <v>8223.4500000000007</v>
      </c>
      <c r="AE705" s="592" t="str">
        <f t="shared" si="84"/>
        <v>|</v>
      </c>
      <c r="AG705" s="573" t="s">
        <v>849</v>
      </c>
    </row>
    <row r="706" spans="1:33" ht="24" customHeight="1">
      <c r="A706" s="594">
        <f t="shared" ref="A706:A763" si="85">(A705+1)</f>
        <v>503</v>
      </c>
      <c r="B706" s="650" t="s">
        <v>1178</v>
      </c>
      <c r="C706" s="596">
        <v>133.62</v>
      </c>
      <c r="D706" s="595" t="s">
        <v>209</v>
      </c>
      <c r="H706" s="573" t="s">
        <v>482</v>
      </c>
      <c r="I706" s="575">
        <f>K704</f>
        <v>650</v>
      </c>
      <c r="J706" s="573">
        <f>C19*0.11</f>
        <v>6.5120000000000005</v>
      </c>
      <c r="K706" s="586">
        <f>I706+J706</f>
        <v>656.51199999999994</v>
      </c>
      <c r="N706" s="573" t="s">
        <v>122</v>
      </c>
      <c r="O706" s="573" t="s">
        <v>1179</v>
      </c>
      <c r="S706" s="579">
        <v>3.3</v>
      </c>
      <c r="T706" s="575" t="s">
        <v>642</v>
      </c>
      <c r="U706" s="575" t="s">
        <v>1116</v>
      </c>
      <c r="V706" s="575">
        <f>(AC12+AC13)/2</f>
        <v>1372.19</v>
      </c>
      <c r="X706" s="575">
        <f t="shared" ref="X706:X712" si="86">V706*S706</f>
        <v>4528.2269999999999</v>
      </c>
      <c r="Z706" s="575">
        <f t="shared" ref="Z706:Z714" si="87">X706</f>
        <v>4528.2269999999999</v>
      </c>
      <c r="AE706" s="592" t="str">
        <f t="shared" si="84"/>
        <v>|</v>
      </c>
      <c r="AG706" s="573" t="s">
        <v>849</v>
      </c>
    </row>
    <row r="707" spans="1:33" ht="24" customHeight="1">
      <c r="A707" s="594">
        <f t="shared" si="85"/>
        <v>504</v>
      </c>
      <c r="B707" s="650" t="s">
        <v>1180</v>
      </c>
      <c r="C707" s="596">
        <v>133.62</v>
      </c>
      <c r="D707" s="595" t="s">
        <v>209</v>
      </c>
      <c r="H707" s="573" t="s">
        <v>486</v>
      </c>
      <c r="I707" s="575">
        <f>K706</f>
        <v>656.51199999999994</v>
      </c>
      <c r="J707" s="578">
        <f>C20*0.11</f>
        <v>13.122999999999999</v>
      </c>
      <c r="K707" s="586">
        <f>I707+J707</f>
        <v>669.63499999999999</v>
      </c>
      <c r="O707" s="573" t="s">
        <v>1181</v>
      </c>
      <c r="S707" s="579">
        <v>4.79</v>
      </c>
      <c r="T707" s="575" t="s">
        <v>642</v>
      </c>
      <c r="U707" s="575" t="s">
        <v>1119</v>
      </c>
      <c r="V707" s="575">
        <f>V644</f>
        <v>1322.8</v>
      </c>
      <c r="X707" s="575">
        <f t="shared" si="86"/>
        <v>6336.2119999999995</v>
      </c>
      <c r="Z707" s="575">
        <f t="shared" si="87"/>
        <v>6336.2119999999995</v>
      </c>
      <c r="AE707" s="592" t="str">
        <f t="shared" si="84"/>
        <v>|</v>
      </c>
      <c r="AG707" s="573" t="s">
        <v>849</v>
      </c>
    </row>
    <row r="708" spans="1:33" ht="24" customHeight="1">
      <c r="A708" s="594">
        <f t="shared" si="85"/>
        <v>505</v>
      </c>
      <c r="B708" s="650" t="s">
        <v>1182</v>
      </c>
      <c r="C708" s="596">
        <v>215</v>
      </c>
      <c r="D708" s="595" t="s">
        <v>209</v>
      </c>
      <c r="H708" s="573" t="s">
        <v>489</v>
      </c>
      <c r="I708" s="575">
        <f>K707</f>
        <v>669.63499999999999</v>
      </c>
      <c r="J708" s="578">
        <f>J707</f>
        <v>13.122999999999999</v>
      </c>
      <c r="K708" s="586">
        <f>I708+J708</f>
        <v>682.75800000000004</v>
      </c>
      <c r="O708" s="582" t="s">
        <v>117</v>
      </c>
      <c r="S708" s="579">
        <v>3.25</v>
      </c>
      <c r="T708" s="575" t="s">
        <v>1123</v>
      </c>
      <c r="U708" s="575" t="s">
        <v>1124</v>
      </c>
      <c r="V708" s="575">
        <f>V643</f>
        <v>5800</v>
      </c>
      <c r="X708" s="575">
        <f t="shared" si="86"/>
        <v>18850</v>
      </c>
      <c r="Z708" s="575">
        <f t="shared" si="87"/>
        <v>18850</v>
      </c>
      <c r="AE708" s="592" t="str">
        <f t="shared" si="84"/>
        <v>|</v>
      </c>
      <c r="AG708" s="573" t="s">
        <v>849</v>
      </c>
    </row>
    <row r="709" spans="1:33" ht="30.75" customHeight="1">
      <c r="A709" s="594">
        <f t="shared" si="85"/>
        <v>506</v>
      </c>
      <c r="B709" s="650" t="s">
        <v>1183</v>
      </c>
      <c r="C709" s="596">
        <v>215</v>
      </c>
      <c r="D709" s="595" t="s">
        <v>209</v>
      </c>
      <c r="H709" s="573" t="s">
        <v>491</v>
      </c>
      <c r="I709" s="575">
        <f>K708</f>
        <v>682.75800000000004</v>
      </c>
      <c r="J709" s="578">
        <f>J708</f>
        <v>13.122999999999999</v>
      </c>
      <c r="K709" s="586">
        <f>I709+J709</f>
        <v>695.88100000000009</v>
      </c>
      <c r="M709" s="587">
        <v>1</v>
      </c>
      <c r="N709" s="573" t="s">
        <v>209</v>
      </c>
      <c r="O709" s="573" t="s">
        <v>1184</v>
      </c>
      <c r="P709" s="587">
        <f>(C393/1*0.3)</f>
        <v>38.4</v>
      </c>
      <c r="Q709" s="573" t="s">
        <v>209</v>
      </c>
      <c r="R709" s="587">
        <f>(M709*P709)</f>
        <v>38.4</v>
      </c>
      <c r="S709" s="579">
        <f>3250*0.6%</f>
        <v>19.5</v>
      </c>
      <c r="T709" s="575" t="s">
        <v>148</v>
      </c>
      <c r="U709" s="693" t="s">
        <v>1185</v>
      </c>
      <c r="V709" s="575">
        <f>V648</f>
        <v>42.4</v>
      </c>
      <c r="X709" s="575">
        <f t="shared" si="86"/>
        <v>826.8</v>
      </c>
      <c r="Z709" s="575">
        <f t="shared" si="87"/>
        <v>826.8</v>
      </c>
      <c r="AE709" s="592" t="str">
        <f t="shared" si="84"/>
        <v>|</v>
      </c>
      <c r="AG709" s="573" t="s">
        <v>849</v>
      </c>
    </row>
    <row r="710" spans="1:33" ht="24" customHeight="1">
      <c r="A710" s="594">
        <f t="shared" si="85"/>
        <v>507</v>
      </c>
      <c r="B710" s="650" t="s">
        <v>1186</v>
      </c>
      <c r="C710" s="596">
        <v>107.64</v>
      </c>
      <c r="D710" s="595" t="s">
        <v>140</v>
      </c>
      <c r="H710" s="573" t="s">
        <v>871</v>
      </c>
      <c r="I710" s="575">
        <f>K709</f>
        <v>695.88100000000009</v>
      </c>
      <c r="J710" s="578">
        <f>J709</f>
        <v>13.122999999999999</v>
      </c>
      <c r="K710" s="586">
        <f>I710+J710</f>
        <v>709.00400000000013</v>
      </c>
      <c r="N710" s="573" t="s">
        <v>129</v>
      </c>
      <c r="O710" s="573" t="s">
        <v>1126</v>
      </c>
      <c r="Q710" s="573" t="s">
        <v>129</v>
      </c>
      <c r="R710" s="587">
        <v>1.65</v>
      </c>
      <c r="S710" s="579">
        <v>3.5</v>
      </c>
      <c r="T710" s="575" t="s">
        <v>240</v>
      </c>
      <c r="U710" s="575" t="s">
        <v>1131</v>
      </c>
      <c r="V710" s="575">
        <f>C11</f>
        <v>718</v>
      </c>
      <c r="W710" s="575">
        <f>J719</f>
        <v>0</v>
      </c>
      <c r="X710" s="575">
        <f t="shared" si="86"/>
        <v>2513</v>
      </c>
      <c r="Z710" s="575">
        <f t="shared" si="87"/>
        <v>2513</v>
      </c>
      <c r="AE710" s="592" t="str">
        <f t="shared" si="84"/>
        <v>|</v>
      </c>
      <c r="AG710" s="573" t="s">
        <v>849</v>
      </c>
    </row>
    <row r="711" spans="1:33" ht="24" customHeight="1">
      <c r="A711" s="594">
        <f t="shared" si="85"/>
        <v>508</v>
      </c>
      <c r="B711" s="664" t="s">
        <v>3080</v>
      </c>
      <c r="C711" s="608"/>
      <c r="D711" s="608"/>
      <c r="F711" s="573" t="s">
        <v>115</v>
      </c>
      <c r="O711" s="573" t="s">
        <v>1130</v>
      </c>
      <c r="R711" s="573" t="s">
        <v>115</v>
      </c>
      <c r="S711" s="579">
        <v>21.2</v>
      </c>
      <c r="T711" s="575" t="s">
        <v>240</v>
      </c>
      <c r="U711" s="575" t="s">
        <v>1134</v>
      </c>
      <c r="V711" s="575">
        <f>C12</f>
        <v>502</v>
      </c>
      <c r="X711" s="575">
        <f t="shared" si="86"/>
        <v>10642.4</v>
      </c>
      <c r="Z711" s="575">
        <f t="shared" si="87"/>
        <v>10642.4</v>
      </c>
      <c r="AE711" s="592" t="str">
        <f t="shared" si="84"/>
        <v>|</v>
      </c>
      <c r="AG711" s="573" t="s">
        <v>849</v>
      </c>
    </row>
    <row r="712" spans="1:33" ht="24" customHeight="1">
      <c r="A712" s="594">
        <f t="shared" si="85"/>
        <v>509</v>
      </c>
      <c r="B712" s="595" t="s">
        <v>1188</v>
      </c>
      <c r="C712" s="593">
        <v>6</v>
      </c>
      <c r="D712" s="595" t="s">
        <v>209</v>
      </c>
      <c r="R712" s="582" t="s">
        <v>117</v>
      </c>
      <c r="S712" s="579">
        <v>35.299999999999997</v>
      </c>
      <c r="T712" s="575" t="s">
        <v>240</v>
      </c>
      <c r="U712" s="575" t="s">
        <v>1138</v>
      </c>
      <c r="V712" s="575">
        <f>C13</f>
        <v>412</v>
      </c>
      <c r="X712" s="575">
        <f t="shared" si="86"/>
        <v>14543.599999999999</v>
      </c>
      <c r="Z712" s="575">
        <f t="shared" si="87"/>
        <v>14543.599999999999</v>
      </c>
      <c r="AE712" s="592" t="str">
        <f t="shared" si="84"/>
        <v>|</v>
      </c>
      <c r="AG712" s="573" t="s">
        <v>849</v>
      </c>
    </row>
    <row r="713" spans="1:33" ht="24" customHeight="1">
      <c r="A713" s="594">
        <f t="shared" si="85"/>
        <v>510</v>
      </c>
      <c r="B713" s="595" t="s">
        <v>779</v>
      </c>
      <c r="C713" s="593">
        <v>7.3</v>
      </c>
      <c r="D713" s="595" t="s">
        <v>209</v>
      </c>
      <c r="F713" s="574" t="s">
        <v>361</v>
      </c>
      <c r="H713" s="573" t="s">
        <v>1189</v>
      </c>
      <c r="O713" s="573" t="s">
        <v>1137</v>
      </c>
      <c r="R713" s="587">
        <f>SUM(R709:R711)</f>
        <v>40.049999999999997</v>
      </c>
      <c r="U713" s="575" t="s">
        <v>1140</v>
      </c>
      <c r="V713" s="575">
        <f>V683</f>
        <v>0</v>
      </c>
      <c r="X713" s="619">
        <f>SUM(X705:X712)</f>
        <v>66463.688999999998</v>
      </c>
      <c r="Z713" s="575">
        <f t="shared" si="87"/>
        <v>66463.688999999998</v>
      </c>
      <c r="AE713" s="592" t="str">
        <f t="shared" si="84"/>
        <v>|</v>
      </c>
      <c r="AG713" s="573" t="s">
        <v>849</v>
      </c>
    </row>
    <row r="714" spans="1:33" ht="27" customHeight="1">
      <c r="A714" s="594">
        <f t="shared" si="85"/>
        <v>511</v>
      </c>
      <c r="B714" s="595" t="s">
        <v>781</v>
      </c>
      <c r="C714" s="593">
        <v>9.6999999999999993</v>
      </c>
      <c r="D714" s="595" t="s">
        <v>209</v>
      </c>
      <c r="H714" s="573" t="s">
        <v>1190</v>
      </c>
      <c r="R714" s="582" t="s">
        <v>117</v>
      </c>
      <c r="U714" s="575" t="s">
        <v>1142</v>
      </c>
      <c r="V714" s="575">
        <f>V684</f>
        <v>0</v>
      </c>
      <c r="X714" s="619">
        <f>X713/10</f>
        <v>6646.3688999999995</v>
      </c>
      <c r="Z714" s="575">
        <f t="shared" si="87"/>
        <v>6646.3688999999995</v>
      </c>
      <c r="AE714" s="592" t="str">
        <f t="shared" si="84"/>
        <v>|</v>
      </c>
      <c r="AG714" s="573" t="s">
        <v>849</v>
      </c>
    </row>
    <row r="715" spans="1:33" ht="24" customHeight="1">
      <c r="A715" s="594">
        <f t="shared" si="85"/>
        <v>512</v>
      </c>
      <c r="B715" s="595" t="s">
        <v>782</v>
      </c>
      <c r="C715" s="593">
        <v>14.6</v>
      </c>
      <c r="D715" s="595" t="s">
        <v>209</v>
      </c>
      <c r="H715" s="573" t="s">
        <v>1191</v>
      </c>
      <c r="O715" s="574" t="s">
        <v>1192</v>
      </c>
      <c r="R715" s="573" t="s">
        <v>115</v>
      </c>
      <c r="S715" s="579">
        <v>1</v>
      </c>
      <c r="T715" s="575" t="s">
        <v>642</v>
      </c>
      <c r="U715" s="575" t="s">
        <v>1146</v>
      </c>
      <c r="V715" s="575">
        <f>C25</f>
        <v>70.7</v>
      </c>
      <c r="X715" s="575">
        <f>V715*S715</f>
        <v>70.7</v>
      </c>
      <c r="AE715" s="592" t="str">
        <f t="shared" si="84"/>
        <v>|</v>
      </c>
      <c r="AG715" s="573" t="s">
        <v>849</v>
      </c>
    </row>
    <row r="716" spans="1:33" ht="24" customHeight="1">
      <c r="A716" s="594">
        <f t="shared" si="85"/>
        <v>513</v>
      </c>
      <c r="B716" s="595" t="s">
        <v>783</v>
      </c>
      <c r="C716" s="593">
        <v>19.600000000000001</v>
      </c>
      <c r="D716" s="595" t="s">
        <v>209</v>
      </c>
      <c r="H716" s="582" t="s">
        <v>117</v>
      </c>
      <c r="M716" s="652"/>
      <c r="O716" s="574" t="s">
        <v>1193</v>
      </c>
      <c r="U716" s="575" t="s">
        <v>1148</v>
      </c>
      <c r="V716" s="575">
        <f>V686</f>
        <v>0</v>
      </c>
      <c r="X716" s="619">
        <f>SUM(X714:X715)</f>
        <v>6717.0688999999993</v>
      </c>
      <c r="Z716" s="575">
        <f>Z714</f>
        <v>6646.3688999999995</v>
      </c>
      <c r="AE716" s="592" t="str">
        <f t="shared" si="84"/>
        <v>|</v>
      </c>
      <c r="AG716" s="573" t="s">
        <v>849</v>
      </c>
    </row>
    <row r="717" spans="1:33" ht="24" customHeight="1">
      <c r="A717" s="594">
        <f t="shared" si="85"/>
        <v>514</v>
      </c>
      <c r="B717" s="664" t="s">
        <v>1194</v>
      </c>
      <c r="C717" s="608"/>
      <c r="D717" s="595" t="s">
        <v>115</v>
      </c>
      <c r="F717" s="587">
        <v>0.4</v>
      </c>
      <c r="G717" s="585" t="s">
        <v>126</v>
      </c>
      <c r="H717" s="573" t="s">
        <v>1195</v>
      </c>
      <c r="I717" s="587">
        <f>(C268)</f>
        <v>17600</v>
      </c>
      <c r="J717" s="573" t="s">
        <v>126</v>
      </c>
      <c r="K717" s="587">
        <f>(F717*I717)</f>
        <v>7040</v>
      </c>
      <c r="M717" s="574" t="s">
        <v>589</v>
      </c>
      <c r="N717" s="573" t="s">
        <v>1196</v>
      </c>
      <c r="O717" s="573" t="s">
        <v>1197</v>
      </c>
      <c r="S717" s="691" t="s">
        <v>166</v>
      </c>
      <c r="U717" s="575" t="s">
        <v>1150</v>
      </c>
      <c r="V717" s="575" t="str">
        <f>V687</f>
        <v>LS</v>
      </c>
      <c r="X717" s="575">
        <f>X716*0.5%</f>
        <v>33.585344499999998</v>
      </c>
      <c r="Z717" s="575">
        <f>Z716*0.5/100</f>
        <v>33.231844499999994</v>
      </c>
      <c r="AE717" s="592" t="str">
        <f t="shared" si="84"/>
        <v>|::</v>
      </c>
      <c r="AG717" s="573" t="s">
        <v>636</v>
      </c>
    </row>
    <row r="718" spans="1:33" ht="24" customHeight="1">
      <c r="A718" s="594">
        <f t="shared" si="85"/>
        <v>515</v>
      </c>
      <c r="B718" s="650" t="s">
        <v>728</v>
      </c>
      <c r="C718" s="596">
        <v>20</v>
      </c>
      <c r="D718" s="595" t="s">
        <v>209</v>
      </c>
      <c r="F718" s="587">
        <v>0.12</v>
      </c>
      <c r="G718" s="585" t="s">
        <v>126</v>
      </c>
      <c r="H718" s="573" t="s">
        <v>1198</v>
      </c>
      <c r="I718" s="587">
        <f>(C269)</f>
        <v>15500</v>
      </c>
      <c r="J718" s="573" t="s">
        <v>126</v>
      </c>
      <c r="K718" s="587">
        <f>(F718*I718)</f>
        <v>1860</v>
      </c>
      <c r="O718" s="582" t="s">
        <v>117</v>
      </c>
      <c r="T718" s="576"/>
      <c r="U718" s="619" t="s">
        <v>1087</v>
      </c>
      <c r="W718" s="578"/>
      <c r="X718" s="586">
        <f>SUM(X716:X717)</f>
        <v>6750.6542444999995</v>
      </c>
      <c r="Z718" s="619">
        <f>SUM(Z716:Z717)</f>
        <v>6679.6007444999996</v>
      </c>
      <c r="AE718" s="592">
        <f t="shared" si="84"/>
        <v>0</v>
      </c>
    </row>
    <row r="719" spans="1:33" ht="24" customHeight="1">
      <c r="A719" s="594">
        <f t="shared" si="85"/>
        <v>516</v>
      </c>
      <c r="B719" s="650" t="s">
        <v>1199</v>
      </c>
      <c r="C719" s="596">
        <v>45</v>
      </c>
      <c r="D719" s="595" t="s">
        <v>209</v>
      </c>
      <c r="H719" s="573" t="s">
        <v>1200</v>
      </c>
      <c r="I719" s="573" t="s">
        <v>115</v>
      </c>
      <c r="K719" s="573" t="s">
        <v>115</v>
      </c>
      <c r="M719" s="652">
        <v>2.69E-2</v>
      </c>
      <c r="N719" s="573" t="s">
        <v>126</v>
      </c>
      <c r="O719" s="641" t="s">
        <v>1201</v>
      </c>
      <c r="P719" s="587">
        <f>C86</f>
        <v>34300</v>
      </c>
      <c r="Q719" s="573" t="s">
        <v>126</v>
      </c>
      <c r="R719" s="587">
        <f t="shared" ref="R719:R725" si="88">M719*P719</f>
        <v>922.67</v>
      </c>
      <c r="T719" s="576"/>
      <c r="W719" s="578"/>
      <c r="X719" s="582" t="s">
        <v>117</v>
      </c>
      <c r="AE719" s="592">
        <f t="shared" si="84"/>
        <v>0</v>
      </c>
    </row>
    <row r="720" spans="1:33" ht="24" customHeight="1">
      <c r="A720" s="594">
        <f t="shared" si="85"/>
        <v>517</v>
      </c>
      <c r="B720" s="664" t="s">
        <v>1202</v>
      </c>
      <c r="C720" s="608"/>
      <c r="D720" s="595" t="s">
        <v>251</v>
      </c>
      <c r="F720" s="587">
        <v>98.5</v>
      </c>
      <c r="G720" s="585" t="s">
        <v>203</v>
      </c>
      <c r="H720" s="573" t="s">
        <v>1203</v>
      </c>
      <c r="I720" s="587">
        <f>(C270)</f>
        <v>25.2</v>
      </c>
      <c r="J720" s="573" t="s">
        <v>203</v>
      </c>
      <c r="K720" s="587">
        <f>(F720*I720)</f>
        <v>2482.1999999999998</v>
      </c>
      <c r="M720" s="652">
        <v>1.2949999999999999</v>
      </c>
      <c r="N720" s="573" t="s">
        <v>140</v>
      </c>
      <c r="O720" s="573" t="s">
        <v>1204</v>
      </c>
      <c r="P720" s="587">
        <f>C783</f>
        <v>387.4</v>
      </c>
      <c r="Q720" s="573" t="s">
        <v>140</v>
      </c>
      <c r="R720" s="587">
        <f t="shared" si="88"/>
        <v>501.68299999999994</v>
      </c>
      <c r="T720" s="576"/>
      <c r="U720" s="573" t="s">
        <v>482</v>
      </c>
      <c r="W720" s="578"/>
      <c r="X720" s="586">
        <f>(X718+C22)</f>
        <v>6840.5542444999992</v>
      </c>
      <c r="AE720" s="592">
        <f t="shared" si="84"/>
        <v>0</v>
      </c>
    </row>
    <row r="721" spans="1:33" ht="24" customHeight="1">
      <c r="A721" s="594">
        <f t="shared" si="85"/>
        <v>518</v>
      </c>
      <c r="B721" s="650" t="s">
        <v>728</v>
      </c>
      <c r="C721" s="596">
        <v>19.09</v>
      </c>
      <c r="D721" s="595" t="s">
        <v>209</v>
      </c>
      <c r="H721" s="573" t="s">
        <v>1205</v>
      </c>
      <c r="I721" s="573" t="s">
        <v>115</v>
      </c>
      <c r="K721" s="573" t="s">
        <v>251</v>
      </c>
      <c r="M721" s="652">
        <v>1.8149999999999999</v>
      </c>
      <c r="N721" s="573" t="s">
        <v>140</v>
      </c>
      <c r="O721" s="573" t="s">
        <v>624</v>
      </c>
      <c r="P721" s="587">
        <f>C31</f>
        <v>1155</v>
      </c>
      <c r="Q721" s="573" t="s">
        <v>140</v>
      </c>
      <c r="R721" s="587">
        <f t="shared" si="88"/>
        <v>2096.3249999999998</v>
      </c>
      <c r="T721" s="576"/>
      <c r="U721" s="573" t="s">
        <v>486</v>
      </c>
      <c r="W721" s="578"/>
      <c r="X721" s="586">
        <f>(X720+C24)</f>
        <v>7017.5542444999992</v>
      </c>
      <c r="AE721" s="592" t="str">
        <f t="shared" si="84"/>
        <v>|</v>
      </c>
      <c r="AG721" s="573" t="s">
        <v>849</v>
      </c>
    </row>
    <row r="722" spans="1:33" ht="24" customHeight="1">
      <c r="A722" s="594">
        <f t="shared" si="85"/>
        <v>519</v>
      </c>
      <c r="B722" s="650" t="s">
        <v>1199</v>
      </c>
      <c r="C722" s="596">
        <v>50.66</v>
      </c>
      <c r="D722" s="595" t="s">
        <v>209</v>
      </c>
      <c r="K722" s="582" t="s">
        <v>117</v>
      </c>
      <c r="M722" s="587">
        <v>2</v>
      </c>
      <c r="N722" s="573" t="s">
        <v>209</v>
      </c>
      <c r="O722" s="573" t="s">
        <v>1206</v>
      </c>
      <c r="P722" s="587">
        <f>C299</f>
        <v>10.5</v>
      </c>
      <c r="Q722" s="573" t="s">
        <v>209</v>
      </c>
      <c r="R722" s="587">
        <f t="shared" si="88"/>
        <v>21</v>
      </c>
      <c r="T722" s="576"/>
      <c r="U722" s="573" t="s">
        <v>489</v>
      </c>
      <c r="W722" s="578"/>
      <c r="X722" s="586">
        <f>(X721+C24)</f>
        <v>7194.5542444999992</v>
      </c>
      <c r="AE722" s="592" t="str">
        <f t="shared" si="84"/>
        <v>|</v>
      </c>
      <c r="AG722" s="573" t="s">
        <v>849</v>
      </c>
    </row>
    <row r="723" spans="1:33" ht="24" customHeight="1">
      <c r="A723" s="594">
        <f t="shared" si="85"/>
        <v>520</v>
      </c>
      <c r="B723" s="650" t="s">
        <v>1207</v>
      </c>
      <c r="C723" s="596">
        <v>1183.82</v>
      </c>
      <c r="D723" s="595" t="s">
        <v>140</v>
      </c>
      <c r="H723" s="573" t="s">
        <v>1208</v>
      </c>
      <c r="K723" s="587">
        <f>SUM(K717:K721)</f>
        <v>11382.2</v>
      </c>
      <c r="M723" s="587">
        <v>3</v>
      </c>
      <c r="N723" s="573" t="s">
        <v>209</v>
      </c>
      <c r="O723" s="573" t="s">
        <v>1209</v>
      </c>
      <c r="P723" s="587">
        <f>C295</f>
        <v>8.5</v>
      </c>
      <c r="Q723" s="573" t="s">
        <v>209</v>
      </c>
      <c r="R723" s="587">
        <f t="shared" si="88"/>
        <v>25.5</v>
      </c>
      <c r="T723" s="576"/>
      <c r="U723" s="573" t="s">
        <v>491</v>
      </c>
      <c r="W723" s="578"/>
      <c r="X723" s="586">
        <f>(X722+C24)</f>
        <v>7371.5542444999992</v>
      </c>
      <c r="AE723" s="592" t="str">
        <f t="shared" si="84"/>
        <v>|</v>
      </c>
      <c r="AG723" s="573" t="s">
        <v>849</v>
      </c>
    </row>
    <row r="724" spans="1:33" ht="24" customHeight="1">
      <c r="A724" s="594">
        <f t="shared" si="85"/>
        <v>521</v>
      </c>
      <c r="B724" s="650" t="s">
        <v>1210</v>
      </c>
      <c r="C724" s="596">
        <v>1605</v>
      </c>
      <c r="D724" s="595" t="s">
        <v>140</v>
      </c>
      <c r="H724" s="573" t="s">
        <v>115</v>
      </c>
      <c r="K724" s="582" t="s">
        <v>117</v>
      </c>
      <c r="M724" s="587">
        <v>1</v>
      </c>
      <c r="N724" s="573" t="s">
        <v>209</v>
      </c>
      <c r="O724" s="573" t="s">
        <v>1211</v>
      </c>
      <c r="P724" s="587">
        <f>C301</f>
        <v>21</v>
      </c>
      <c r="Q724" s="573" t="s">
        <v>209</v>
      </c>
      <c r="R724" s="587">
        <f t="shared" si="88"/>
        <v>21</v>
      </c>
      <c r="T724" s="576"/>
      <c r="U724" s="573" t="s">
        <v>576</v>
      </c>
      <c r="W724" s="578"/>
      <c r="X724" s="586">
        <f>(X723+C24)</f>
        <v>7548.5542444999992</v>
      </c>
      <c r="AE724" s="592" t="str">
        <f t="shared" si="84"/>
        <v>|</v>
      </c>
      <c r="AG724" s="573" t="s">
        <v>849</v>
      </c>
    </row>
    <row r="725" spans="1:33" ht="24" customHeight="1">
      <c r="A725" s="594">
        <f t="shared" si="85"/>
        <v>522</v>
      </c>
      <c r="B725" s="595" t="s">
        <v>3081</v>
      </c>
      <c r="C725" s="677">
        <v>8.6</v>
      </c>
      <c r="D725" s="687" t="s">
        <v>1213</v>
      </c>
      <c r="F725" s="587">
        <v>10</v>
      </c>
      <c r="G725" s="585" t="s">
        <v>140</v>
      </c>
      <c r="H725" s="573" t="s">
        <v>1214</v>
      </c>
      <c r="I725" s="587">
        <f>(K723/50)</f>
        <v>227.64400000000001</v>
      </c>
      <c r="J725" s="573" t="s">
        <v>140</v>
      </c>
      <c r="K725" s="587">
        <f>(F725*I725)</f>
        <v>2276.44</v>
      </c>
      <c r="M725" s="587">
        <v>1</v>
      </c>
      <c r="N725" s="573" t="s">
        <v>209</v>
      </c>
      <c r="O725" s="573" t="s">
        <v>628</v>
      </c>
      <c r="P725" s="587">
        <f>C303</f>
        <v>7.3</v>
      </c>
      <c r="Q725" s="573" t="s">
        <v>209</v>
      </c>
      <c r="R725" s="587">
        <f t="shared" si="88"/>
        <v>7.3</v>
      </c>
      <c r="AE725" s="592" t="str">
        <f t="shared" si="84"/>
        <v>|</v>
      </c>
      <c r="AG725" s="573" t="s">
        <v>849</v>
      </c>
    </row>
    <row r="726" spans="1:33" ht="24" customHeight="1">
      <c r="A726" s="594">
        <f t="shared" si="85"/>
        <v>523</v>
      </c>
      <c r="B726" s="650" t="s">
        <v>1215</v>
      </c>
      <c r="C726" s="596">
        <v>147.6</v>
      </c>
      <c r="D726" s="595" t="s">
        <v>203</v>
      </c>
      <c r="F726" s="587">
        <v>3.8</v>
      </c>
      <c r="G726" s="585" t="s">
        <v>1</v>
      </c>
      <c r="H726" s="573" t="s">
        <v>1216</v>
      </c>
      <c r="I726" s="587">
        <f>(C16)</f>
        <v>752</v>
      </c>
      <c r="J726" s="573" t="s">
        <v>1</v>
      </c>
      <c r="K726" s="587">
        <f>(F726*I726)</f>
        <v>2857.6</v>
      </c>
      <c r="N726" s="573" t="s">
        <v>129</v>
      </c>
      <c r="O726" s="573" t="s">
        <v>130</v>
      </c>
      <c r="Q726" s="573" t="s">
        <v>129</v>
      </c>
      <c r="R726" s="587">
        <v>0</v>
      </c>
      <c r="AE726" s="592" t="str">
        <f t="shared" si="84"/>
        <v>|</v>
      </c>
      <c r="AG726" s="573" t="s">
        <v>849</v>
      </c>
    </row>
    <row r="727" spans="1:33" ht="24" customHeight="1">
      <c r="A727" s="594">
        <f t="shared" si="85"/>
        <v>524</v>
      </c>
      <c r="B727" s="650" t="s">
        <v>1217</v>
      </c>
      <c r="C727" s="596">
        <v>147.6</v>
      </c>
      <c r="D727" s="595" t="s">
        <v>203</v>
      </c>
      <c r="F727" s="587">
        <v>5.4</v>
      </c>
      <c r="G727" s="585" t="s">
        <v>1</v>
      </c>
      <c r="H727" s="573" t="s">
        <v>146</v>
      </c>
      <c r="I727" s="587">
        <f>(C12)</f>
        <v>502</v>
      </c>
      <c r="J727" s="573" t="s">
        <v>1</v>
      </c>
      <c r="K727" s="587">
        <f>(F727*I727)</f>
        <v>2710.8</v>
      </c>
      <c r="R727" s="582" t="s">
        <v>117</v>
      </c>
      <c r="AE727" s="592" t="str">
        <f t="shared" si="84"/>
        <v>|</v>
      </c>
      <c r="AG727" s="573" t="s">
        <v>849</v>
      </c>
    </row>
    <row r="728" spans="1:33" ht="24" customHeight="1">
      <c r="A728" s="594">
        <f t="shared" si="85"/>
        <v>525</v>
      </c>
      <c r="B728" s="650" t="s">
        <v>1218</v>
      </c>
      <c r="C728" s="596">
        <v>147.6</v>
      </c>
      <c r="D728" s="595" t="s">
        <v>203</v>
      </c>
      <c r="G728" s="585" t="s">
        <v>129</v>
      </c>
      <c r="H728" s="573" t="s">
        <v>1219</v>
      </c>
      <c r="J728" s="573" t="s">
        <v>129</v>
      </c>
      <c r="K728" s="587">
        <v>5</v>
      </c>
      <c r="O728" s="574" t="s">
        <v>1220</v>
      </c>
      <c r="R728" s="587">
        <f>SUM(R719:R726)</f>
        <v>3595.4780000000001</v>
      </c>
      <c r="AE728" s="592" t="str">
        <f t="shared" si="84"/>
        <v>|</v>
      </c>
      <c r="AG728" s="573" t="s">
        <v>849</v>
      </c>
    </row>
    <row r="729" spans="1:33" ht="24" customHeight="1">
      <c r="A729" s="594">
        <f t="shared" si="85"/>
        <v>526</v>
      </c>
      <c r="B729" s="650" t="s">
        <v>1221</v>
      </c>
      <c r="C729" s="596">
        <v>1250</v>
      </c>
      <c r="D729" s="595" t="s">
        <v>140</v>
      </c>
      <c r="K729" s="582" t="s">
        <v>117</v>
      </c>
      <c r="R729" s="582" t="s">
        <v>117</v>
      </c>
      <c r="AE729" s="592" t="str">
        <f t="shared" si="84"/>
        <v>|</v>
      </c>
      <c r="AG729" s="573" t="s">
        <v>849</v>
      </c>
    </row>
    <row r="730" spans="1:33" ht="24" customHeight="1">
      <c r="A730" s="594">
        <f t="shared" si="85"/>
        <v>527</v>
      </c>
      <c r="B730" s="650" t="s">
        <v>1222</v>
      </c>
      <c r="C730" s="596">
        <v>1250</v>
      </c>
      <c r="D730" s="595" t="s">
        <v>140</v>
      </c>
      <c r="H730" s="573" t="s">
        <v>153</v>
      </c>
      <c r="K730" s="587">
        <f>SUM(K725:K728)</f>
        <v>7849.84</v>
      </c>
      <c r="N730" s="573" t="s">
        <v>115</v>
      </c>
      <c r="O730" s="574" t="s">
        <v>154</v>
      </c>
      <c r="R730" s="587">
        <f>R728/M720</f>
        <v>2776.4308880308881</v>
      </c>
      <c r="AE730" s="592" t="str">
        <f t="shared" si="84"/>
        <v>|</v>
      </c>
      <c r="AG730" s="573" t="s">
        <v>849</v>
      </c>
    </row>
    <row r="731" spans="1:33" ht="24" customHeight="1">
      <c r="A731" s="594">
        <f t="shared" si="85"/>
        <v>528</v>
      </c>
      <c r="B731" s="650" t="s">
        <v>1223</v>
      </c>
      <c r="C731" s="596">
        <v>1250</v>
      </c>
      <c r="D731" s="595" t="s">
        <v>140</v>
      </c>
      <c r="K731" s="582" t="s">
        <v>117</v>
      </c>
      <c r="R731" s="582" t="s">
        <v>155</v>
      </c>
      <c r="AE731" s="592" t="str">
        <f t="shared" si="84"/>
        <v>|</v>
      </c>
      <c r="AG731" s="573" t="s">
        <v>849</v>
      </c>
    </row>
    <row r="732" spans="1:33" ht="24" customHeight="1">
      <c r="A732" s="594">
        <f t="shared" si="85"/>
        <v>529</v>
      </c>
      <c r="B732" s="650" t="s">
        <v>1224</v>
      </c>
      <c r="C732" s="596">
        <v>1250</v>
      </c>
      <c r="D732" s="595" t="s">
        <v>140</v>
      </c>
      <c r="H732" s="573" t="s">
        <v>154</v>
      </c>
      <c r="K732" s="587">
        <f>(K730/10)</f>
        <v>784.98400000000004</v>
      </c>
      <c r="M732" s="574" t="s">
        <v>589</v>
      </c>
      <c r="N732" s="573" t="s">
        <v>1225</v>
      </c>
      <c r="O732" s="573" t="s">
        <v>1226</v>
      </c>
      <c r="AE732" s="592" t="str">
        <f t="shared" si="84"/>
        <v>|</v>
      </c>
      <c r="AG732" s="573" t="s">
        <v>849</v>
      </c>
    </row>
    <row r="733" spans="1:33" ht="24" customHeight="1">
      <c r="A733" s="594">
        <f t="shared" si="85"/>
        <v>530</v>
      </c>
      <c r="B733" s="650" t="s">
        <v>1227</v>
      </c>
      <c r="C733" s="596">
        <v>1250</v>
      </c>
      <c r="D733" s="595" t="s">
        <v>140</v>
      </c>
      <c r="K733" s="582" t="s">
        <v>155</v>
      </c>
      <c r="O733" s="582" t="s">
        <v>117</v>
      </c>
      <c r="AE733" s="592" t="str">
        <f t="shared" si="84"/>
        <v>|</v>
      </c>
      <c r="AG733" s="573" t="s">
        <v>849</v>
      </c>
    </row>
    <row r="734" spans="1:33" ht="24" customHeight="1">
      <c r="A734" s="594">
        <f t="shared" si="85"/>
        <v>531</v>
      </c>
      <c r="B734" s="650" t="s">
        <v>1228</v>
      </c>
      <c r="C734" s="596">
        <v>1250</v>
      </c>
      <c r="D734" s="595" t="s">
        <v>140</v>
      </c>
      <c r="M734" s="652">
        <v>2.5499999999999998E-2</v>
      </c>
      <c r="N734" s="573" t="s">
        <v>126</v>
      </c>
      <c r="O734" s="573" t="s">
        <v>1229</v>
      </c>
      <c r="P734" s="587">
        <f>C86</f>
        <v>34300</v>
      </c>
      <c r="Q734" s="573" t="s">
        <v>126</v>
      </c>
      <c r="R734" s="587">
        <f t="shared" ref="R734:R740" si="89">M734*P734</f>
        <v>874.65</v>
      </c>
      <c r="AE734" s="592" t="str">
        <f t="shared" si="84"/>
        <v>|</v>
      </c>
      <c r="AG734" s="573" t="s">
        <v>849</v>
      </c>
    </row>
    <row r="735" spans="1:33" ht="24" customHeight="1">
      <c r="A735" s="594">
        <f t="shared" si="85"/>
        <v>532</v>
      </c>
      <c r="B735" s="650" t="s">
        <v>1230</v>
      </c>
      <c r="C735" s="596">
        <v>1250</v>
      </c>
      <c r="D735" s="595" t="s">
        <v>140</v>
      </c>
      <c r="F735" s="574" t="s">
        <v>366</v>
      </c>
      <c r="G735" s="585" t="s">
        <v>122</v>
      </c>
      <c r="H735" s="573" t="s">
        <v>1231</v>
      </c>
      <c r="M735" s="652">
        <v>1.1299999999999999</v>
      </c>
      <c r="N735" s="573" t="s">
        <v>140</v>
      </c>
      <c r="O735" s="573" t="s">
        <v>1204</v>
      </c>
      <c r="P735" s="587">
        <f>C783</f>
        <v>387.4</v>
      </c>
      <c r="Q735" s="573" t="s">
        <v>140</v>
      </c>
      <c r="R735" s="587">
        <f t="shared" si="89"/>
        <v>437.76199999999994</v>
      </c>
      <c r="AE735" s="592" t="str">
        <f t="shared" si="84"/>
        <v>|</v>
      </c>
      <c r="AG735" s="573" t="s">
        <v>849</v>
      </c>
    </row>
    <row r="736" spans="1:33" ht="24" customHeight="1">
      <c r="A736" s="594">
        <f t="shared" si="85"/>
        <v>533</v>
      </c>
      <c r="B736" s="650" t="s">
        <v>1232</v>
      </c>
      <c r="C736" s="596">
        <v>1250</v>
      </c>
      <c r="D736" s="595" t="s">
        <v>140</v>
      </c>
      <c r="H736" s="573" t="s">
        <v>1233</v>
      </c>
      <c r="M736" s="652">
        <v>1.6191</v>
      </c>
      <c r="N736" s="573" t="s">
        <v>140</v>
      </c>
      <c r="O736" s="573" t="s">
        <v>624</v>
      </c>
      <c r="P736" s="587">
        <f>C31</f>
        <v>1155</v>
      </c>
      <c r="Q736" s="573" t="s">
        <v>140</v>
      </c>
      <c r="R736" s="587">
        <f t="shared" si="89"/>
        <v>1870.0605</v>
      </c>
      <c r="AE736" s="592" t="str">
        <f t="shared" si="84"/>
        <v>|</v>
      </c>
      <c r="AG736" s="573" t="s">
        <v>849</v>
      </c>
    </row>
    <row r="737" spans="1:33" ht="24" customHeight="1">
      <c r="A737" s="594">
        <f t="shared" si="85"/>
        <v>534</v>
      </c>
      <c r="B737" s="650" t="s">
        <v>1234</v>
      </c>
      <c r="C737" s="596">
        <v>1250</v>
      </c>
      <c r="D737" s="595" t="s">
        <v>140</v>
      </c>
      <c r="H737" s="573" t="s">
        <v>1235</v>
      </c>
      <c r="M737" s="587">
        <v>2</v>
      </c>
      <c r="N737" s="573" t="s">
        <v>209</v>
      </c>
      <c r="O737" s="573" t="s">
        <v>1206</v>
      </c>
      <c r="P737" s="587">
        <f>C299</f>
        <v>10.5</v>
      </c>
      <c r="Q737" s="573" t="s">
        <v>209</v>
      </c>
      <c r="R737" s="587">
        <f t="shared" si="89"/>
        <v>21</v>
      </c>
      <c r="AE737" s="592" t="str">
        <f t="shared" si="84"/>
        <v>|</v>
      </c>
      <c r="AG737" s="573" t="s">
        <v>849</v>
      </c>
    </row>
    <row r="738" spans="1:33" ht="24" customHeight="1">
      <c r="A738" s="594">
        <f t="shared" si="85"/>
        <v>535</v>
      </c>
      <c r="B738" s="650" t="s">
        <v>1236</v>
      </c>
      <c r="C738" s="596">
        <v>1250</v>
      </c>
      <c r="D738" s="595" t="s">
        <v>140</v>
      </c>
      <c r="H738" s="573" t="s">
        <v>1237</v>
      </c>
      <c r="M738" s="587">
        <v>3</v>
      </c>
      <c r="N738" s="573" t="s">
        <v>209</v>
      </c>
      <c r="O738" s="573" t="s">
        <v>1209</v>
      </c>
      <c r="P738" s="587">
        <f>C295</f>
        <v>8.5</v>
      </c>
      <c r="Q738" s="573" t="s">
        <v>209</v>
      </c>
      <c r="R738" s="587">
        <f t="shared" si="89"/>
        <v>25.5</v>
      </c>
      <c r="AE738" s="592" t="str">
        <f t="shared" si="84"/>
        <v>|</v>
      </c>
      <c r="AG738" s="573" t="s">
        <v>849</v>
      </c>
    </row>
    <row r="739" spans="1:33" ht="24" customHeight="1">
      <c r="A739" s="594">
        <f t="shared" si="85"/>
        <v>536</v>
      </c>
      <c r="B739" s="650" t="s">
        <v>1238</v>
      </c>
      <c r="C739" s="596">
        <v>1250</v>
      </c>
      <c r="D739" s="595" t="s">
        <v>140</v>
      </c>
      <c r="H739" s="573" t="s">
        <v>1239</v>
      </c>
      <c r="M739" s="587">
        <v>1</v>
      </c>
      <c r="N739" s="573" t="s">
        <v>209</v>
      </c>
      <c r="O739" s="573" t="s">
        <v>1211</v>
      </c>
      <c r="P739" s="587">
        <f>C301</f>
        <v>21</v>
      </c>
      <c r="Q739" s="573" t="s">
        <v>209</v>
      </c>
      <c r="R739" s="587">
        <f t="shared" si="89"/>
        <v>21</v>
      </c>
      <c r="AE739" s="592" t="str">
        <f t="shared" si="84"/>
        <v>|</v>
      </c>
      <c r="AG739" s="573" t="s">
        <v>849</v>
      </c>
    </row>
    <row r="740" spans="1:33" ht="24" customHeight="1">
      <c r="A740" s="594">
        <f t="shared" si="85"/>
        <v>537</v>
      </c>
      <c r="B740" s="650" t="s">
        <v>1230</v>
      </c>
      <c r="C740" s="596">
        <v>1250</v>
      </c>
      <c r="D740" s="595" t="s">
        <v>140</v>
      </c>
      <c r="H740" s="573" t="s">
        <v>1240</v>
      </c>
      <c r="M740" s="587">
        <v>1</v>
      </c>
      <c r="N740" s="573" t="s">
        <v>209</v>
      </c>
      <c r="O740" s="573" t="s">
        <v>628</v>
      </c>
      <c r="P740" s="587">
        <f>C303</f>
        <v>7.3</v>
      </c>
      <c r="Q740" s="573" t="s">
        <v>209</v>
      </c>
      <c r="R740" s="587">
        <f t="shared" si="89"/>
        <v>7.3</v>
      </c>
      <c r="AE740" s="592" t="str">
        <f t="shared" si="84"/>
        <v>|</v>
      </c>
      <c r="AG740" s="573" t="s">
        <v>849</v>
      </c>
    </row>
    <row r="741" spans="1:33" ht="24" customHeight="1">
      <c r="A741" s="594">
        <f t="shared" si="85"/>
        <v>538</v>
      </c>
      <c r="B741" s="650" t="s">
        <v>1241</v>
      </c>
      <c r="C741" s="608"/>
      <c r="D741" s="595" t="s">
        <v>115</v>
      </c>
      <c r="H741" s="573" t="s">
        <v>1242</v>
      </c>
      <c r="N741" s="573" t="s">
        <v>129</v>
      </c>
      <c r="O741" s="573" t="s">
        <v>130</v>
      </c>
      <c r="Q741" s="573" t="s">
        <v>129</v>
      </c>
      <c r="R741" s="587">
        <v>0</v>
      </c>
      <c r="AE741" s="592" t="str">
        <f t="shared" si="84"/>
        <v>|</v>
      </c>
      <c r="AG741" s="573" t="s">
        <v>849</v>
      </c>
    </row>
    <row r="742" spans="1:33" ht="24" customHeight="1">
      <c r="A742" s="594">
        <f t="shared" si="85"/>
        <v>539</v>
      </c>
      <c r="B742" s="650" t="s">
        <v>1243</v>
      </c>
      <c r="C742" s="596">
        <v>65</v>
      </c>
      <c r="D742" s="595" t="s">
        <v>206</v>
      </c>
      <c r="H742" s="582" t="s">
        <v>117</v>
      </c>
      <c r="I742" s="582" t="s">
        <v>117</v>
      </c>
      <c r="J742" s="573" t="s">
        <v>117</v>
      </c>
      <c r="R742" s="582" t="s">
        <v>117</v>
      </c>
      <c r="AE742" s="592" t="str">
        <f t="shared" si="84"/>
        <v>|</v>
      </c>
      <c r="AG742" s="573" t="s">
        <v>849</v>
      </c>
    </row>
    <row r="743" spans="1:33" ht="24" customHeight="1">
      <c r="A743" s="594">
        <f t="shared" si="85"/>
        <v>540</v>
      </c>
      <c r="B743" s="650" t="s">
        <v>1244</v>
      </c>
      <c r="C743" s="596">
        <v>64.55</v>
      </c>
      <c r="D743" s="595" t="s">
        <v>206</v>
      </c>
      <c r="F743" s="587">
        <v>13.46</v>
      </c>
      <c r="G743" s="585" t="s">
        <v>1245</v>
      </c>
      <c r="H743" s="573" t="s">
        <v>1246</v>
      </c>
      <c r="I743" s="587">
        <f>C34/1000</f>
        <v>41.2</v>
      </c>
      <c r="J743" s="573" t="s">
        <v>1245</v>
      </c>
      <c r="K743" s="587">
        <f>(F743*I743)</f>
        <v>554.55200000000002</v>
      </c>
      <c r="O743" s="574" t="s">
        <v>1247</v>
      </c>
      <c r="R743" s="587">
        <f>SUM(R734:R741)</f>
        <v>3257.2725</v>
      </c>
      <c r="AE743" s="592" t="str">
        <f t="shared" si="84"/>
        <v>|</v>
      </c>
      <c r="AG743" s="573" t="s">
        <v>849</v>
      </c>
    </row>
    <row r="744" spans="1:33" ht="24" customHeight="1">
      <c r="A744" s="594">
        <f t="shared" si="85"/>
        <v>541</v>
      </c>
      <c r="B744" s="650" t="s">
        <v>1248</v>
      </c>
      <c r="C744" s="596">
        <v>110.95</v>
      </c>
      <c r="D744" s="595" t="s">
        <v>206</v>
      </c>
      <c r="H744" s="573" t="s">
        <v>1249</v>
      </c>
      <c r="R744" s="582" t="s">
        <v>117</v>
      </c>
      <c r="AE744" s="592" t="str">
        <f t="shared" si="84"/>
        <v>|</v>
      </c>
      <c r="AG744" s="573" t="s">
        <v>849</v>
      </c>
    </row>
    <row r="745" spans="1:33" ht="24" customHeight="1">
      <c r="A745" s="594">
        <f t="shared" si="85"/>
        <v>542</v>
      </c>
      <c r="B745" s="650" t="s">
        <v>1250</v>
      </c>
      <c r="C745" s="596">
        <v>399</v>
      </c>
      <c r="D745" s="595" t="s">
        <v>206</v>
      </c>
      <c r="F745" s="587">
        <v>4</v>
      </c>
      <c r="G745" s="585" t="s">
        <v>1245</v>
      </c>
      <c r="H745" s="573" t="s">
        <v>1251</v>
      </c>
      <c r="I745" s="587">
        <f>C34/1000</f>
        <v>41.2</v>
      </c>
      <c r="J745" s="573" t="s">
        <v>1245</v>
      </c>
      <c r="K745" s="587">
        <f>(F745*I745)</f>
        <v>164.8</v>
      </c>
      <c r="O745" s="574" t="s">
        <v>154</v>
      </c>
      <c r="R745" s="587">
        <f>R743/M736</f>
        <v>2011.7796924217157</v>
      </c>
      <c r="AE745" s="592" t="str">
        <f t="shared" si="84"/>
        <v>|</v>
      </c>
      <c r="AG745" s="573" t="s">
        <v>849</v>
      </c>
    </row>
    <row r="746" spans="1:33" ht="24" customHeight="1">
      <c r="A746" s="594">
        <f t="shared" si="85"/>
        <v>543</v>
      </c>
      <c r="B746" s="650" t="s">
        <v>1252</v>
      </c>
      <c r="C746" s="596">
        <v>92</v>
      </c>
      <c r="D746" s="595" t="s">
        <v>206</v>
      </c>
      <c r="H746" s="573" t="s">
        <v>1253</v>
      </c>
      <c r="R746" s="582" t="s">
        <v>155</v>
      </c>
      <c r="AE746" s="592" t="str">
        <f t="shared" si="84"/>
        <v>|</v>
      </c>
      <c r="AG746" s="573" t="s">
        <v>849</v>
      </c>
    </row>
    <row r="747" spans="1:33" ht="24" customHeight="1">
      <c r="A747" s="594">
        <f t="shared" si="85"/>
        <v>544</v>
      </c>
      <c r="B747" s="650" t="s">
        <v>1254</v>
      </c>
      <c r="C747" s="596">
        <v>174.24</v>
      </c>
      <c r="D747" s="595" t="s">
        <v>206</v>
      </c>
      <c r="F747" s="587"/>
      <c r="G747" s="585" t="s">
        <v>129</v>
      </c>
      <c r="H747" s="573" t="s">
        <v>1255</v>
      </c>
      <c r="J747" s="573" t="s">
        <v>129</v>
      </c>
      <c r="K747" s="587">
        <v>40</v>
      </c>
      <c r="AE747" s="592" t="str">
        <f t="shared" si="84"/>
        <v>|</v>
      </c>
      <c r="AG747" s="573" t="s">
        <v>849</v>
      </c>
    </row>
    <row r="748" spans="1:33" ht="24" customHeight="1">
      <c r="A748" s="594">
        <f t="shared" si="85"/>
        <v>545</v>
      </c>
      <c r="B748" s="650" t="s">
        <v>1256</v>
      </c>
      <c r="C748" s="596">
        <v>215.06</v>
      </c>
      <c r="D748" s="595" t="s">
        <v>206</v>
      </c>
      <c r="H748" s="573" t="s">
        <v>1257</v>
      </c>
      <c r="K748" s="582" t="s">
        <v>117</v>
      </c>
      <c r="M748" s="574" t="s">
        <v>589</v>
      </c>
      <c r="N748" s="573" t="s">
        <v>1258</v>
      </c>
      <c r="O748" s="573" t="s">
        <v>1259</v>
      </c>
      <c r="AE748" s="592" t="str">
        <f t="shared" si="84"/>
        <v>|</v>
      </c>
      <c r="AG748" s="573" t="s">
        <v>849</v>
      </c>
    </row>
    <row r="749" spans="1:33" ht="24" customHeight="1">
      <c r="A749" s="594">
        <f t="shared" si="85"/>
        <v>546</v>
      </c>
      <c r="B749" s="650" t="s">
        <v>1260</v>
      </c>
      <c r="C749" s="596">
        <v>97.24</v>
      </c>
      <c r="D749" s="595" t="s">
        <v>206</v>
      </c>
      <c r="H749" s="574" t="s">
        <v>1261</v>
      </c>
      <c r="K749" s="587">
        <f>SUM(K743:K747)</f>
        <v>759.35200000000009</v>
      </c>
      <c r="O749" s="582" t="s">
        <v>117</v>
      </c>
      <c r="AE749" s="592" t="str">
        <f t="shared" ref="AE749:AE812" si="90">AG749</f>
        <v>|</v>
      </c>
      <c r="AG749" s="573" t="s">
        <v>849</v>
      </c>
    </row>
    <row r="750" spans="1:33" ht="24" customHeight="1">
      <c r="A750" s="594">
        <f t="shared" si="85"/>
        <v>547</v>
      </c>
      <c r="B750" s="650" t="s">
        <v>1262</v>
      </c>
      <c r="C750" s="596">
        <v>168.96</v>
      </c>
      <c r="D750" s="595" t="s">
        <v>206</v>
      </c>
      <c r="K750" s="582" t="s">
        <v>117</v>
      </c>
      <c r="M750" s="652">
        <v>2.35E-2</v>
      </c>
      <c r="N750" s="573" t="s">
        <v>126</v>
      </c>
      <c r="O750" s="573" t="s">
        <v>1229</v>
      </c>
      <c r="P750" s="587">
        <f>C86</f>
        <v>34300</v>
      </c>
      <c r="Q750" s="573" t="s">
        <v>126</v>
      </c>
      <c r="R750" s="587">
        <f t="shared" ref="R750:R756" si="91">M750*P750</f>
        <v>806.05</v>
      </c>
      <c r="AE750" s="592" t="str">
        <f t="shared" si="90"/>
        <v>|</v>
      </c>
      <c r="AG750" s="573" t="s">
        <v>849</v>
      </c>
    </row>
    <row r="751" spans="1:33" ht="24" customHeight="1">
      <c r="A751" s="594">
        <f t="shared" si="85"/>
        <v>548</v>
      </c>
      <c r="B751" s="606" t="s">
        <v>1263</v>
      </c>
      <c r="C751" s="593">
        <v>366</v>
      </c>
      <c r="D751" s="593">
        <v>397</v>
      </c>
      <c r="H751" s="574" t="s">
        <v>1264</v>
      </c>
      <c r="K751" s="587">
        <f>K749/40</f>
        <v>18.983800000000002</v>
      </c>
      <c r="M751" s="652">
        <v>0.872</v>
      </c>
      <c r="N751" s="573" t="s">
        <v>140</v>
      </c>
      <c r="O751" s="573" t="s">
        <v>1204</v>
      </c>
      <c r="P751" s="587">
        <f>C783</f>
        <v>387.4</v>
      </c>
      <c r="Q751" s="573" t="s">
        <v>140</v>
      </c>
      <c r="R751" s="587">
        <f t="shared" si="91"/>
        <v>337.81279999999998</v>
      </c>
      <c r="AE751" s="592" t="str">
        <f t="shared" si="90"/>
        <v>|</v>
      </c>
      <c r="AG751" s="573" t="s">
        <v>849</v>
      </c>
    </row>
    <row r="752" spans="1:33" ht="24" customHeight="1">
      <c r="A752" s="594">
        <f t="shared" si="85"/>
        <v>549</v>
      </c>
      <c r="B752" s="595" t="s">
        <v>3082</v>
      </c>
      <c r="C752" s="593">
        <v>755</v>
      </c>
      <c r="D752" s="595" t="s">
        <v>206</v>
      </c>
      <c r="K752" s="582" t="s">
        <v>117</v>
      </c>
      <c r="M752" s="652">
        <v>1.3247</v>
      </c>
      <c r="N752" s="573" t="s">
        <v>140</v>
      </c>
      <c r="O752" s="573" t="s">
        <v>624</v>
      </c>
      <c r="P752" s="587">
        <f>C31</f>
        <v>1155</v>
      </c>
      <c r="Q752" s="573" t="s">
        <v>140</v>
      </c>
      <c r="R752" s="587">
        <f t="shared" si="91"/>
        <v>1530.0284999999999</v>
      </c>
      <c r="AE752" s="592" t="str">
        <f t="shared" si="90"/>
        <v>|</v>
      </c>
      <c r="AG752" s="573" t="s">
        <v>849</v>
      </c>
    </row>
    <row r="753" spans="1:33" ht="24" customHeight="1">
      <c r="A753" s="594">
        <f t="shared" si="85"/>
        <v>550</v>
      </c>
      <c r="B753" s="650" t="s">
        <v>1266</v>
      </c>
      <c r="C753" s="596">
        <v>210</v>
      </c>
      <c r="D753" s="595" t="s">
        <v>206</v>
      </c>
      <c r="H753" s="573" t="s">
        <v>1267</v>
      </c>
      <c r="M753" s="587">
        <v>1</v>
      </c>
      <c r="N753" s="573" t="s">
        <v>209</v>
      </c>
      <c r="O753" s="573" t="s">
        <v>1206</v>
      </c>
      <c r="P753" s="587">
        <f>C299</f>
        <v>10.5</v>
      </c>
      <c r="Q753" s="573" t="s">
        <v>209</v>
      </c>
      <c r="R753" s="587">
        <f t="shared" si="91"/>
        <v>10.5</v>
      </c>
      <c r="AE753" s="592" t="str">
        <f t="shared" si="90"/>
        <v>|</v>
      </c>
      <c r="AG753" s="573" t="s">
        <v>849</v>
      </c>
    </row>
    <row r="754" spans="1:33" ht="24" customHeight="1">
      <c r="A754" s="594">
        <f t="shared" si="85"/>
        <v>551</v>
      </c>
      <c r="B754" s="595" t="s">
        <v>3083</v>
      </c>
      <c r="C754" s="593">
        <v>1434</v>
      </c>
      <c r="D754" s="595" t="s">
        <v>140</v>
      </c>
      <c r="H754" s="573" t="s">
        <v>1269</v>
      </c>
      <c r="M754" s="587">
        <v>3</v>
      </c>
      <c r="N754" s="573" t="s">
        <v>209</v>
      </c>
      <c r="O754" s="573" t="s">
        <v>1270</v>
      </c>
      <c r="P754" s="587">
        <f>C294</f>
        <v>5.75</v>
      </c>
      <c r="Q754" s="573" t="s">
        <v>209</v>
      </c>
      <c r="R754" s="587">
        <f t="shared" si="91"/>
        <v>17.25</v>
      </c>
      <c r="AE754" s="592" t="str">
        <f t="shared" si="90"/>
        <v>|</v>
      </c>
      <c r="AG754" s="573" t="s">
        <v>849</v>
      </c>
    </row>
    <row r="755" spans="1:33" ht="24" customHeight="1">
      <c r="A755" s="594">
        <f t="shared" si="85"/>
        <v>552</v>
      </c>
      <c r="B755" s="650" t="s">
        <v>1271</v>
      </c>
      <c r="C755" s="608"/>
      <c r="D755" s="595" t="s">
        <v>115</v>
      </c>
      <c r="H755" s="573" t="s">
        <v>1272</v>
      </c>
      <c r="M755" s="587">
        <v>1</v>
      </c>
      <c r="N755" s="573" t="s">
        <v>209</v>
      </c>
      <c r="O755" s="573" t="s">
        <v>1273</v>
      </c>
      <c r="P755" s="587">
        <f>C302</f>
        <v>10</v>
      </c>
      <c r="Q755" s="573" t="s">
        <v>209</v>
      </c>
      <c r="R755" s="587">
        <f t="shared" si="91"/>
        <v>10</v>
      </c>
      <c r="AE755" s="592" t="str">
        <f t="shared" si="90"/>
        <v>|</v>
      </c>
      <c r="AG755" s="573" t="s">
        <v>849</v>
      </c>
    </row>
    <row r="756" spans="1:33" ht="24" customHeight="1">
      <c r="A756" s="594">
        <f t="shared" si="85"/>
        <v>553</v>
      </c>
      <c r="B756" s="650" t="s">
        <v>1274</v>
      </c>
      <c r="C756" s="608"/>
      <c r="D756" s="608"/>
      <c r="M756" s="587">
        <v>1</v>
      </c>
      <c r="N756" s="573" t="s">
        <v>209</v>
      </c>
      <c r="O756" s="573" t="s">
        <v>628</v>
      </c>
      <c r="P756" s="587">
        <f>C303</f>
        <v>7.3</v>
      </c>
      <c r="Q756" s="573" t="s">
        <v>209</v>
      </c>
      <c r="R756" s="587">
        <f t="shared" si="91"/>
        <v>7.3</v>
      </c>
      <c r="AE756" s="592" t="str">
        <f t="shared" si="90"/>
        <v>|</v>
      </c>
      <c r="AG756" s="573" t="s">
        <v>849</v>
      </c>
    </row>
    <row r="757" spans="1:33" ht="24" customHeight="1">
      <c r="A757" s="594">
        <f t="shared" si="85"/>
        <v>554</v>
      </c>
      <c r="B757" s="650" t="s">
        <v>1275</v>
      </c>
      <c r="C757" s="596">
        <v>300</v>
      </c>
      <c r="D757" s="595" t="s">
        <v>1276</v>
      </c>
      <c r="F757" s="587">
        <v>19</v>
      </c>
      <c r="G757" s="585" t="s">
        <v>240</v>
      </c>
      <c r="H757" s="573" t="s">
        <v>1277</v>
      </c>
      <c r="I757" s="617">
        <f>K751</f>
        <v>18.983800000000002</v>
      </c>
      <c r="J757" s="573" t="s">
        <v>1278</v>
      </c>
      <c r="K757" s="587">
        <f>(F757*I757)</f>
        <v>360.69220000000007</v>
      </c>
      <c r="N757" s="573" t="s">
        <v>129</v>
      </c>
      <c r="O757" s="573" t="s">
        <v>130</v>
      </c>
      <c r="Q757" s="573" t="s">
        <v>129</v>
      </c>
      <c r="R757" s="587">
        <v>0</v>
      </c>
      <c r="AE757" s="592" t="str">
        <f t="shared" si="90"/>
        <v>|</v>
      </c>
      <c r="AG757" s="573" t="s">
        <v>849</v>
      </c>
    </row>
    <row r="758" spans="1:33" ht="24" customHeight="1">
      <c r="A758" s="594">
        <f t="shared" si="85"/>
        <v>555</v>
      </c>
      <c r="B758" s="694" t="s">
        <v>1279</v>
      </c>
      <c r="C758" s="596">
        <v>302</v>
      </c>
      <c r="D758" s="595" t="s">
        <v>1276</v>
      </c>
      <c r="H758" s="573" t="s">
        <v>1280</v>
      </c>
      <c r="R758" s="582" t="s">
        <v>117</v>
      </c>
      <c r="AE758" s="592" t="str">
        <f t="shared" si="90"/>
        <v>|</v>
      </c>
      <c r="AG758" s="573" t="s">
        <v>849</v>
      </c>
    </row>
    <row r="759" spans="1:33" ht="24" customHeight="1">
      <c r="A759" s="594">
        <f t="shared" si="85"/>
        <v>556</v>
      </c>
      <c r="B759" s="650" t="s">
        <v>1281</v>
      </c>
      <c r="C759" s="596">
        <v>382</v>
      </c>
      <c r="D759" s="595" t="s">
        <v>1276</v>
      </c>
      <c r="F759" s="587">
        <v>0.12</v>
      </c>
      <c r="G759" s="585" t="s">
        <v>429</v>
      </c>
      <c r="H759" s="573" t="s">
        <v>1282</v>
      </c>
      <c r="I759" s="587">
        <f>C269/5</f>
        <v>3100</v>
      </c>
      <c r="J759" s="573" t="s">
        <v>1278</v>
      </c>
      <c r="K759" s="587">
        <f t="shared" ref="K759:K766" si="92">(F759*I759)</f>
        <v>372</v>
      </c>
      <c r="O759" s="574" t="s">
        <v>1283</v>
      </c>
      <c r="R759" s="587">
        <f>SUM(R750:R757)</f>
        <v>2718.9413</v>
      </c>
      <c r="AE759" s="592" t="str">
        <f t="shared" si="90"/>
        <v>|</v>
      </c>
      <c r="AG759" s="573" t="s">
        <v>849</v>
      </c>
    </row>
    <row r="760" spans="1:33" ht="24" customHeight="1">
      <c r="A760" s="594">
        <f t="shared" si="85"/>
        <v>557</v>
      </c>
      <c r="B760" s="650" t="s">
        <v>1284</v>
      </c>
      <c r="C760" s="596">
        <v>140</v>
      </c>
      <c r="D760" s="595" t="s">
        <v>1276</v>
      </c>
      <c r="F760" s="587">
        <v>98.5</v>
      </c>
      <c r="G760" s="585" t="s">
        <v>231</v>
      </c>
      <c r="H760" s="573" t="s">
        <v>1285</v>
      </c>
      <c r="I760" s="587">
        <f>C270/5</f>
        <v>5.04</v>
      </c>
      <c r="J760" s="573" t="s">
        <v>1278</v>
      </c>
      <c r="K760" s="587">
        <f t="shared" si="92"/>
        <v>496.44</v>
      </c>
      <c r="R760" s="582" t="s">
        <v>117</v>
      </c>
      <c r="AE760" s="592" t="str">
        <f t="shared" si="90"/>
        <v>|</v>
      </c>
      <c r="AG760" s="573" t="s">
        <v>849</v>
      </c>
    </row>
    <row r="761" spans="1:33" ht="24" customHeight="1">
      <c r="A761" s="594">
        <f t="shared" si="85"/>
        <v>558</v>
      </c>
      <c r="B761" s="650" t="s">
        <v>1286</v>
      </c>
      <c r="C761" s="596">
        <v>222</v>
      </c>
      <c r="D761" s="595" t="s">
        <v>1276</v>
      </c>
      <c r="F761" s="587">
        <v>1</v>
      </c>
      <c r="G761" s="585" t="s">
        <v>129</v>
      </c>
      <c r="H761" s="573" t="s">
        <v>1287</v>
      </c>
      <c r="I761" s="649">
        <v>11</v>
      </c>
      <c r="J761" s="573" t="s">
        <v>129</v>
      </c>
      <c r="K761" s="587">
        <f t="shared" si="92"/>
        <v>11</v>
      </c>
      <c r="O761" s="574" t="s">
        <v>154</v>
      </c>
      <c r="R761" s="587">
        <f>R759/1.3247</f>
        <v>2052.4958858609498</v>
      </c>
      <c r="AE761" s="592" t="str">
        <f t="shared" si="90"/>
        <v>|</v>
      </c>
      <c r="AG761" s="573" t="s">
        <v>849</v>
      </c>
    </row>
    <row r="762" spans="1:33" ht="24" customHeight="1">
      <c r="A762" s="594">
        <f t="shared" si="85"/>
        <v>559</v>
      </c>
      <c r="B762" s="650" t="s">
        <v>1288</v>
      </c>
      <c r="C762" s="596">
        <v>505</v>
      </c>
      <c r="D762" s="595" t="s">
        <v>1276</v>
      </c>
      <c r="F762" s="587">
        <v>3.8</v>
      </c>
      <c r="G762" s="585" t="s">
        <v>164</v>
      </c>
      <c r="H762" s="573" t="s">
        <v>1289</v>
      </c>
      <c r="I762" s="587">
        <f>C16</f>
        <v>752</v>
      </c>
      <c r="J762" s="573" t="s">
        <v>227</v>
      </c>
      <c r="K762" s="587">
        <f t="shared" si="92"/>
        <v>2857.6</v>
      </c>
      <c r="R762" s="582" t="s">
        <v>155</v>
      </c>
      <c r="AE762" s="592" t="str">
        <f t="shared" si="90"/>
        <v>|</v>
      </c>
      <c r="AG762" s="573" t="s">
        <v>849</v>
      </c>
    </row>
    <row r="763" spans="1:33" ht="24" customHeight="1">
      <c r="A763" s="594">
        <f t="shared" si="85"/>
        <v>560</v>
      </c>
      <c r="B763" s="595" t="s">
        <v>3084</v>
      </c>
      <c r="C763" s="593">
        <v>272.2</v>
      </c>
      <c r="D763" s="595" t="s">
        <v>206</v>
      </c>
      <c r="F763" s="587">
        <v>5.4</v>
      </c>
      <c r="G763" s="585" t="s">
        <v>164</v>
      </c>
      <c r="H763" s="573" t="s">
        <v>956</v>
      </c>
      <c r="I763" s="587">
        <f>C12</f>
        <v>502</v>
      </c>
      <c r="J763" s="573" t="s">
        <v>227</v>
      </c>
      <c r="K763" s="587">
        <f t="shared" si="92"/>
        <v>2710.8</v>
      </c>
      <c r="N763" s="573" t="s">
        <v>122</v>
      </c>
      <c r="AE763" s="592" t="str">
        <f t="shared" si="90"/>
        <v>|</v>
      </c>
      <c r="AG763" s="573" t="s">
        <v>849</v>
      </c>
    </row>
    <row r="764" spans="1:33" ht="24" customHeight="1">
      <c r="A764" s="608" t="s">
        <v>1291</v>
      </c>
      <c r="B764" s="595" t="s">
        <v>3085</v>
      </c>
      <c r="C764" s="593">
        <v>1000</v>
      </c>
      <c r="D764" s="595" t="s">
        <v>206</v>
      </c>
      <c r="F764" s="587">
        <v>1</v>
      </c>
      <c r="G764" s="585" t="s">
        <v>164</v>
      </c>
      <c r="H764" s="573" t="s">
        <v>1293</v>
      </c>
      <c r="I764" s="587">
        <f>C66</f>
        <v>660</v>
      </c>
      <c r="J764" s="573" t="s">
        <v>227</v>
      </c>
      <c r="K764" s="587">
        <f t="shared" si="92"/>
        <v>660</v>
      </c>
      <c r="O764" s="573" t="s">
        <v>1294</v>
      </c>
      <c r="AE764" s="592" t="str">
        <f t="shared" si="90"/>
        <v>|</v>
      </c>
      <c r="AG764" s="573" t="s">
        <v>849</v>
      </c>
    </row>
    <row r="765" spans="1:33" ht="24" customHeight="1">
      <c r="A765" s="594">
        <f>(A763+1)</f>
        <v>561</v>
      </c>
      <c r="B765" s="650" t="s">
        <v>1295</v>
      </c>
      <c r="C765" s="596">
        <v>43.3</v>
      </c>
      <c r="D765" s="595" t="s">
        <v>203</v>
      </c>
      <c r="F765" s="587">
        <v>1</v>
      </c>
      <c r="G765" s="585" t="s">
        <v>129</v>
      </c>
      <c r="H765" s="573" t="s">
        <v>1296</v>
      </c>
      <c r="I765" s="649">
        <v>10</v>
      </c>
      <c r="J765" s="573" t="s">
        <v>129</v>
      </c>
      <c r="K765" s="587">
        <f t="shared" si="92"/>
        <v>10</v>
      </c>
      <c r="O765" s="573" t="s">
        <v>1297</v>
      </c>
      <c r="AE765" s="592" t="str">
        <f t="shared" si="90"/>
        <v>|</v>
      </c>
      <c r="AG765" s="573" t="s">
        <v>849</v>
      </c>
    </row>
    <row r="766" spans="1:33" ht="24" customHeight="1">
      <c r="A766" s="594">
        <f t="shared" ref="A766:A783" si="93">(A765+1)</f>
        <v>562</v>
      </c>
      <c r="B766" s="650" t="s">
        <v>1298</v>
      </c>
      <c r="C766" s="596">
        <v>218</v>
      </c>
      <c r="D766" s="595" t="s">
        <v>206</v>
      </c>
      <c r="F766" s="587">
        <v>19</v>
      </c>
      <c r="G766" s="585" t="s">
        <v>240</v>
      </c>
      <c r="H766" s="573" t="s">
        <v>1299</v>
      </c>
      <c r="I766" s="649">
        <v>2</v>
      </c>
      <c r="J766" s="573" t="s">
        <v>240</v>
      </c>
      <c r="K766" s="587">
        <f t="shared" si="92"/>
        <v>38</v>
      </c>
      <c r="O766" s="573" t="s">
        <v>1300</v>
      </c>
      <c r="AE766" s="592" t="str">
        <f t="shared" si="90"/>
        <v>|</v>
      </c>
      <c r="AG766" s="573" t="s">
        <v>849</v>
      </c>
    </row>
    <row r="767" spans="1:33" ht="24" customHeight="1">
      <c r="A767" s="594">
        <f t="shared" si="93"/>
        <v>563</v>
      </c>
      <c r="B767" s="650" t="s">
        <v>1301</v>
      </c>
      <c r="C767" s="596">
        <v>926</v>
      </c>
      <c r="D767" s="595" t="s">
        <v>206</v>
      </c>
      <c r="H767" s="573" t="s">
        <v>1302</v>
      </c>
      <c r="K767" s="582" t="s">
        <v>117</v>
      </c>
      <c r="O767" s="573" t="s">
        <v>1303</v>
      </c>
      <c r="AE767" s="592" t="str">
        <f t="shared" si="90"/>
        <v>|</v>
      </c>
      <c r="AG767" s="573" t="s">
        <v>849</v>
      </c>
    </row>
    <row r="768" spans="1:33" ht="24" customHeight="1">
      <c r="A768" s="594">
        <f t="shared" si="93"/>
        <v>564</v>
      </c>
      <c r="B768" s="650" t="s">
        <v>1304</v>
      </c>
      <c r="C768" s="596">
        <v>5.15</v>
      </c>
      <c r="D768" s="595" t="s">
        <v>203</v>
      </c>
      <c r="H768" s="574" t="s">
        <v>153</v>
      </c>
      <c r="K768" s="587">
        <f>SUM(K757:K766)+0.07</f>
        <v>7516.6022000000003</v>
      </c>
      <c r="O768" s="582" t="s">
        <v>117</v>
      </c>
      <c r="AE768" s="592" t="str">
        <f t="shared" si="90"/>
        <v>|</v>
      </c>
      <c r="AG768" s="573" t="s">
        <v>849</v>
      </c>
    </row>
    <row r="769" spans="1:33" ht="24" customHeight="1">
      <c r="A769" s="594">
        <f t="shared" si="93"/>
        <v>565</v>
      </c>
      <c r="B769" s="650" t="s">
        <v>1305</v>
      </c>
      <c r="C769" s="596">
        <v>550</v>
      </c>
      <c r="D769" s="595" t="s">
        <v>206</v>
      </c>
      <c r="K769" s="582" t="s">
        <v>117</v>
      </c>
      <c r="AE769" s="592" t="str">
        <f t="shared" si="90"/>
        <v>|</v>
      </c>
      <c r="AG769" s="573" t="s">
        <v>849</v>
      </c>
    </row>
    <row r="770" spans="1:33" ht="24" customHeight="1">
      <c r="A770" s="594">
        <f t="shared" si="93"/>
        <v>566</v>
      </c>
      <c r="B770" s="650" t="s">
        <v>1306</v>
      </c>
      <c r="C770" s="596">
        <v>286</v>
      </c>
      <c r="D770" s="595" t="s">
        <v>206</v>
      </c>
      <c r="H770" s="574" t="s">
        <v>154</v>
      </c>
      <c r="K770" s="587">
        <f>(K768/10)</f>
        <v>751.66021999999998</v>
      </c>
      <c r="O770" s="573" t="s">
        <v>1307</v>
      </c>
      <c r="R770" s="587">
        <f>(C723)</f>
        <v>1183.82</v>
      </c>
      <c r="AE770" s="592" t="str">
        <f t="shared" si="90"/>
        <v>|</v>
      </c>
      <c r="AG770" s="573" t="s">
        <v>849</v>
      </c>
    </row>
    <row r="771" spans="1:33" ht="24" customHeight="1">
      <c r="A771" s="594">
        <f t="shared" si="93"/>
        <v>567</v>
      </c>
      <c r="B771" s="650" t="s">
        <v>1308</v>
      </c>
      <c r="C771" s="596">
        <v>96.3</v>
      </c>
      <c r="D771" s="595" t="s">
        <v>203</v>
      </c>
      <c r="F771" s="573" t="s">
        <v>115</v>
      </c>
      <c r="R771" s="582" t="s">
        <v>155</v>
      </c>
      <c r="AE771" s="592" t="str">
        <f t="shared" si="90"/>
        <v>|</v>
      </c>
      <c r="AG771" s="573" t="s">
        <v>849</v>
      </c>
    </row>
    <row r="772" spans="1:33" ht="24" customHeight="1">
      <c r="A772" s="594">
        <f t="shared" si="93"/>
        <v>568</v>
      </c>
      <c r="B772" s="650" t="s">
        <v>1309</v>
      </c>
      <c r="C772" s="596">
        <v>51</v>
      </c>
      <c r="D772" s="595" t="s">
        <v>206</v>
      </c>
      <c r="K772" s="582" t="s">
        <v>155</v>
      </c>
      <c r="AE772" s="592" t="str">
        <f t="shared" si="90"/>
        <v>|</v>
      </c>
      <c r="AG772" s="573" t="s">
        <v>849</v>
      </c>
    </row>
    <row r="773" spans="1:33" ht="24" customHeight="1">
      <c r="A773" s="594">
        <f t="shared" si="93"/>
        <v>569</v>
      </c>
      <c r="B773" s="650" t="s">
        <v>1310</v>
      </c>
      <c r="C773" s="596">
        <v>181</v>
      </c>
      <c r="D773" s="595" t="s">
        <v>1006</v>
      </c>
      <c r="F773" s="574" t="s">
        <v>370</v>
      </c>
      <c r="G773" s="585" t="s">
        <v>122</v>
      </c>
      <c r="H773" s="573" t="s">
        <v>1311</v>
      </c>
      <c r="N773" s="573" t="s">
        <v>122</v>
      </c>
      <c r="O773" s="573" t="s">
        <v>1312</v>
      </c>
      <c r="AE773" s="592" t="str">
        <f t="shared" si="90"/>
        <v>|</v>
      </c>
      <c r="AG773" s="573" t="s">
        <v>849</v>
      </c>
    </row>
    <row r="774" spans="1:33" ht="24" customHeight="1">
      <c r="A774" s="594">
        <f t="shared" si="93"/>
        <v>570</v>
      </c>
      <c r="B774" s="650" t="s">
        <v>1313</v>
      </c>
      <c r="C774" s="596">
        <v>36.200000000000003</v>
      </c>
      <c r="D774" s="595" t="s">
        <v>203</v>
      </c>
      <c r="H774" s="573" t="s">
        <v>1314</v>
      </c>
      <c r="O774" s="582" t="s">
        <v>155</v>
      </c>
      <c r="P774" s="582" t="s">
        <v>155</v>
      </c>
      <c r="Q774" s="582" t="s">
        <v>155</v>
      </c>
      <c r="R774" s="573" t="s">
        <v>1315</v>
      </c>
      <c r="AE774" s="592" t="str">
        <f t="shared" si="90"/>
        <v>|</v>
      </c>
      <c r="AG774" s="573" t="s">
        <v>849</v>
      </c>
    </row>
    <row r="775" spans="1:33" ht="24" customHeight="1">
      <c r="A775" s="594">
        <f t="shared" si="93"/>
        <v>571</v>
      </c>
      <c r="B775" s="650" t="s">
        <v>1316</v>
      </c>
      <c r="C775" s="596">
        <v>98</v>
      </c>
      <c r="D775" s="595" t="s">
        <v>206</v>
      </c>
      <c r="H775" s="573" t="s">
        <v>1317</v>
      </c>
      <c r="O775" s="573" t="s">
        <v>1318</v>
      </c>
      <c r="Q775" s="574" t="s">
        <v>231</v>
      </c>
      <c r="R775" s="587">
        <f>(C726)</f>
        <v>147.6</v>
      </c>
      <c r="AE775" s="592" t="str">
        <f t="shared" si="90"/>
        <v>|</v>
      </c>
      <c r="AG775" s="573" t="s">
        <v>849</v>
      </c>
    </row>
    <row r="776" spans="1:33" ht="24" customHeight="1">
      <c r="A776" s="594">
        <f t="shared" si="93"/>
        <v>572</v>
      </c>
      <c r="B776" s="650" t="s">
        <v>1319</v>
      </c>
      <c r="C776" s="596">
        <v>92</v>
      </c>
      <c r="D776" s="595" t="s">
        <v>203</v>
      </c>
      <c r="H776" s="582" t="s">
        <v>117</v>
      </c>
      <c r="O776" s="573" t="s">
        <v>1320</v>
      </c>
      <c r="AE776" s="592" t="str">
        <f t="shared" si="90"/>
        <v>|::</v>
      </c>
      <c r="AG776" s="573" t="s">
        <v>636</v>
      </c>
    </row>
    <row r="777" spans="1:33" ht="24" customHeight="1">
      <c r="A777" s="594">
        <f t="shared" si="93"/>
        <v>573</v>
      </c>
      <c r="B777" s="650" t="s">
        <v>1321</v>
      </c>
      <c r="C777" s="596">
        <v>49.42</v>
      </c>
      <c r="D777" s="595" t="s">
        <v>206</v>
      </c>
      <c r="F777" s="587">
        <v>10</v>
      </c>
      <c r="G777" s="585" t="s">
        <v>140</v>
      </c>
      <c r="H777" s="573" t="s">
        <v>1322</v>
      </c>
      <c r="I777" s="587">
        <f>(K757)*1.2</f>
        <v>432.83064000000007</v>
      </c>
      <c r="J777" s="573" t="s">
        <v>1278</v>
      </c>
      <c r="K777" s="587">
        <f>(F777*I777)/10</f>
        <v>432.83064000000002</v>
      </c>
      <c r="O777" s="573" t="s">
        <v>1323</v>
      </c>
      <c r="AE777" s="592">
        <f t="shared" si="90"/>
        <v>0</v>
      </c>
    </row>
    <row r="778" spans="1:33" ht="24" customHeight="1">
      <c r="A778" s="594">
        <f t="shared" si="93"/>
        <v>574</v>
      </c>
      <c r="B778" s="650" t="s">
        <v>1324</v>
      </c>
      <c r="C778" s="596">
        <v>53.2</v>
      </c>
      <c r="D778" s="595" t="s">
        <v>206</v>
      </c>
      <c r="H778" s="573" t="s">
        <v>1325</v>
      </c>
      <c r="O778" s="573" t="s">
        <v>1326</v>
      </c>
      <c r="AE778" s="592">
        <f t="shared" si="90"/>
        <v>0</v>
      </c>
    </row>
    <row r="779" spans="1:33" ht="24" customHeight="1">
      <c r="A779" s="594">
        <f t="shared" si="93"/>
        <v>575</v>
      </c>
      <c r="B779" s="650" t="s">
        <v>1327</v>
      </c>
      <c r="C779" s="596">
        <v>59</v>
      </c>
      <c r="D779" s="595" t="s">
        <v>206</v>
      </c>
      <c r="H779" s="573" t="s">
        <v>1328</v>
      </c>
      <c r="O779" s="573" t="s">
        <v>1329</v>
      </c>
      <c r="AE779" s="592" t="str">
        <f t="shared" si="90"/>
        <v>|</v>
      </c>
      <c r="AG779" s="573" t="s">
        <v>849</v>
      </c>
    </row>
    <row r="780" spans="1:33" ht="24" customHeight="1">
      <c r="A780" s="594">
        <f t="shared" si="93"/>
        <v>576</v>
      </c>
      <c r="B780" s="650" t="s">
        <v>1330</v>
      </c>
      <c r="C780" s="596">
        <v>100</v>
      </c>
      <c r="D780" s="595" t="s">
        <v>206</v>
      </c>
      <c r="F780" s="587">
        <v>10</v>
      </c>
      <c r="G780" s="585" t="s">
        <v>140</v>
      </c>
      <c r="H780" s="573" t="s">
        <v>1331</v>
      </c>
      <c r="I780" s="587">
        <f>K759*1.2</f>
        <v>446.4</v>
      </c>
      <c r="J780" s="573" t="s">
        <v>1278</v>
      </c>
      <c r="K780" s="587">
        <f>(F780*I780)/10</f>
        <v>446.4</v>
      </c>
      <c r="O780" s="573" t="s">
        <v>1332</v>
      </c>
      <c r="R780" s="573" t="s">
        <v>115</v>
      </c>
      <c r="AE780" s="592">
        <f t="shared" si="90"/>
        <v>0</v>
      </c>
    </row>
    <row r="781" spans="1:33" ht="24" customHeight="1">
      <c r="A781" s="594">
        <f t="shared" si="93"/>
        <v>577</v>
      </c>
      <c r="B781" s="650" t="s">
        <v>1333</v>
      </c>
      <c r="C781" s="596">
        <v>49.52</v>
      </c>
      <c r="D781" s="595" t="s">
        <v>203</v>
      </c>
      <c r="H781" s="573" t="s">
        <v>1334</v>
      </c>
      <c r="O781" s="573" t="s">
        <v>115</v>
      </c>
      <c r="AE781" s="592" t="str">
        <f t="shared" si="90"/>
        <v>|</v>
      </c>
      <c r="AG781" s="573" t="s">
        <v>849</v>
      </c>
    </row>
    <row r="782" spans="1:33" ht="24" customHeight="1">
      <c r="A782" s="594">
        <f t="shared" si="93"/>
        <v>578</v>
      </c>
      <c r="B782" s="650" t="s">
        <v>1335</v>
      </c>
      <c r="C782" s="596">
        <v>1080</v>
      </c>
      <c r="D782" s="595" t="s">
        <v>206</v>
      </c>
      <c r="H782" s="573" t="s">
        <v>1336</v>
      </c>
      <c r="AE782" s="592" t="str">
        <f t="shared" si="90"/>
        <v>|</v>
      </c>
      <c r="AG782" s="573" t="s">
        <v>849</v>
      </c>
    </row>
    <row r="783" spans="1:33" ht="24" customHeight="1">
      <c r="A783" s="594">
        <f t="shared" si="93"/>
        <v>579</v>
      </c>
      <c r="B783" s="650" t="s">
        <v>1337</v>
      </c>
      <c r="C783" s="615">
        <v>387.4</v>
      </c>
      <c r="D783" s="595" t="s">
        <v>140</v>
      </c>
      <c r="F783" s="587">
        <v>98.5</v>
      </c>
      <c r="G783" s="585" t="s">
        <v>231</v>
      </c>
      <c r="H783" s="573" t="s">
        <v>1285</v>
      </c>
      <c r="I783" s="587">
        <f>C270/5</f>
        <v>5.04</v>
      </c>
      <c r="J783" s="573" t="s">
        <v>1278</v>
      </c>
      <c r="K783" s="587">
        <f t="shared" ref="K783:K789" si="94">(F783*I783)</f>
        <v>496.44</v>
      </c>
      <c r="N783" s="573" t="s">
        <v>122</v>
      </c>
      <c r="O783" s="573" t="s">
        <v>1338</v>
      </c>
      <c r="Q783" s="574" t="s">
        <v>174</v>
      </c>
      <c r="R783" s="587">
        <f>(C730)</f>
        <v>1250</v>
      </c>
      <c r="AE783" s="592" t="str">
        <f t="shared" si="90"/>
        <v>|</v>
      </c>
      <c r="AG783" s="573" t="s">
        <v>849</v>
      </c>
    </row>
    <row r="784" spans="1:33" ht="24" customHeight="1">
      <c r="A784" s="594" t="e">
        <f>(#REF!+1)</f>
        <v>#REF!</v>
      </c>
      <c r="B784" s="650" t="s">
        <v>1274</v>
      </c>
      <c r="C784" s="608"/>
      <c r="D784" s="608"/>
      <c r="F784" s="587">
        <v>3.8</v>
      </c>
      <c r="G784" s="585" t="s">
        <v>1</v>
      </c>
      <c r="H784" s="573" t="s">
        <v>1216</v>
      </c>
      <c r="I784" s="587">
        <f>(C16)</f>
        <v>752</v>
      </c>
      <c r="J784" s="573" t="s">
        <v>1</v>
      </c>
      <c r="K784" s="587">
        <f t="shared" si="94"/>
        <v>2857.6</v>
      </c>
      <c r="O784" s="573" t="s">
        <v>1339</v>
      </c>
      <c r="AE784" s="592" t="str">
        <f t="shared" si="90"/>
        <v>|</v>
      </c>
      <c r="AG784" s="573" t="s">
        <v>849</v>
      </c>
    </row>
    <row r="785" spans="1:33" ht="24" customHeight="1">
      <c r="A785" s="594"/>
      <c r="B785" s="650" t="s">
        <v>1275</v>
      </c>
      <c r="C785" s="596">
        <v>300</v>
      </c>
      <c r="D785" s="608"/>
      <c r="F785" s="587">
        <v>5.4</v>
      </c>
      <c r="G785" s="585" t="s">
        <v>1</v>
      </c>
      <c r="H785" s="573" t="s">
        <v>146</v>
      </c>
      <c r="I785" s="587">
        <f>(C12)</f>
        <v>502</v>
      </c>
      <c r="J785" s="573" t="s">
        <v>1</v>
      </c>
      <c r="K785" s="587">
        <f t="shared" si="94"/>
        <v>2710.8</v>
      </c>
      <c r="O785" s="573" t="s">
        <v>1340</v>
      </c>
      <c r="AE785" s="592" t="str">
        <f t="shared" si="90"/>
        <v>|</v>
      </c>
      <c r="AG785" s="573" t="s">
        <v>849</v>
      </c>
    </row>
    <row r="786" spans="1:33" ht="24" customHeight="1">
      <c r="A786" s="594"/>
      <c r="B786" s="694" t="s">
        <v>1279</v>
      </c>
      <c r="C786" s="596">
        <v>302</v>
      </c>
      <c r="D786" s="608"/>
      <c r="F786" s="587">
        <v>1</v>
      </c>
      <c r="G786" s="585" t="s">
        <v>1</v>
      </c>
      <c r="H786" s="573" t="s">
        <v>1293</v>
      </c>
      <c r="I786" s="587">
        <f>C66</f>
        <v>660</v>
      </c>
      <c r="J786" s="573" t="s">
        <v>227</v>
      </c>
      <c r="K786" s="587">
        <f t="shared" si="94"/>
        <v>660</v>
      </c>
      <c r="O786" s="573" t="s">
        <v>1341</v>
      </c>
      <c r="AE786" s="592" t="str">
        <f t="shared" si="90"/>
        <v>|</v>
      </c>
      <c r="AG786" s="573" t="s">
        <v>849</v>
      </c>
    </row>
    <row r="787" spans="1:33" ht="24" customHeight="1">
      <c r="A787" s="594"/>
      <c r="B787" s="650" t="s">
        <v>1342</v>
      </c>
      <c r="C787" s="596">
        <v>324</v>
      </c>
      <c r="D787" s="608"/>
      <c r="F787" s="587">
        <v>1</v>
      </c>
      <c r="G787" s="585" t="s">
        <v>129</v>
      </c>
      <c r="H787" s="573" t="s">
        <v>1343</v>
      </c>
      <c r="I787" s="587">
        <f>I761</f>
        <v>11</v>
      </c>
      <c r="J787" s="573" t="s">
        <v>227</v>
      </c>
      <c r="K787" s="587">
        <f t="shared" si="94"/>
        <v>11</v>
      </c>
      <c r="AE787" s="592" t="str">
        <f t="shared" si="90"/>
        <v>|</v>
      </c>
      <c r="AG787" s="573" t="s">
        <v>849</v>
      </c>
    </row>
    <row r="788" spans="1:33" ht="24" customHeight="1">
      <c r="A788" s="594"/>
      <c r="B788" s="650" t="s">
        <v>1281</v>
      </c>
      <c r="C788" s="596">
        <v>382</v>
      </c>
      <c r="D788" s="608"/>
      <c r="F788" s="587">
        <v>1</v>
      </c>
      <c r="G788" s="585" t="s">
        <v>129</v>
      </c>
      <c r="H788" s="573" t="s">
        <v>1219</v>
      </c>
      <c r="I788" s="695">
        <v>10</v>
      </c>
      <c r="J788" s="573" t="s">
        <v>129</v>
      </c>
      <c r="K788" s="587">
        <f t="shared" si="94"/>
        <v>10</v>
      </c>
      <c r="N788" s="573" t="s">
        <v>122</v>
      </c>
      <c r="O788" s="573" t="s">
        <v>1344</v>
      </c>
      <c r="AE788" s="592" t="str">
        <f t="shared" si="90"/>
        <v>|</v>
      </c>
      <c r="AG788" s="573" t="s">
        <v>849</v>
      </c>
    </row>
    <row r="789" spans="1:33" ht="24" customHeight="1">
      <c r="A789" s="594"/>
      <c r="B789" s="650" t="s">
        <v>1288</v>
      </c>
      <c r="C789" s="596">
        <v>505</v>
      </c>
      <c r="D789" s="608"/>
      <c r="F789" s="587">
        <v>19</v>
      </c>
      <c r="G789" s="585" t="s">
        <v>240</v>
      </c>
      <c r="H789" s="573" t="s">
        <v>1345</v>
      </c>
      <c r="I789" s="695">
        <v>2</v>
      </c>
      <c r="J789" s="578" t="s">
        <v>240</v>
      </c>
      <c r="K789" s="587">
        <f t="shared" si="94"/>
        <v>38</v>
      </c>
      <c r="O789" s="573" t="s">
        <v>1346</v>
      </c>
      <c r="R789" s="573" t="s">
        <v>115</v>
      </c>
      <c r="AE789" s="592" t="str">
        <f t="shared" si="90"/>
        <v>|</v>
      </c>
      <c r="AG789" s="573" t="s">
        <v>849</v>
      </c>
    </row>
    <row r="790" spans="1:33" ht="24" customHeight="1">
      <c r="A790" s="594"/>
      <c r="B790" s="650" t="s">
        <v>1284</v>
      </c>
      <c r="C790" s="596">
        <v>140</v>
      </c>
      <c r="D790" s="608"/>
      <c r="H790" s="573" t="s">
        <v>1347</v>
      </c>
      <c r="O790" s="573" t="s">
        <v>1348</v>
      </c>
      <c r="AE790" s="592" t="str">
        <f t="shared" si="90"/>
        <v>|</v>
      </c>
      <c r="AG790" s="573" t="s">
        <v>849</v>
      </c>
    </row>
    <row r="791" spans="1:33" ht="24" customHeight="1">
      <c r="A791" s="594"/>
      <c r="B791" s="650" t="s">
        <v>1286</v>
      </c>
      <c r="C791" s="596">
        <v>222</v>
      </c>
      <c r="D791" s="608"/>
      <c r="K791" s="582" t="s">
        <v>117</v>
      </c>
      <c r="O791" s="582" t="s">
        <v>117</v>
      </c>
      <c r="AE791" s="592" t="str">
        <f t="shared" si="90"/>
        <v>|</v>
      </c>
      <c r="AG791" s="573" t="s">
        <v>849</v>
      </c>
    </row>
    <row r="792" spans="1:33" ht="24" customHeight="1">
      <c r="A792" s="594"/>
      <c r="B792" s="650" t="s">
        <v>1349</v>
      </c>
      <c r="C792" s="596">
        <v>100</v>
      </c>
      <c r="D792" s="608"/>
      <c r="H792" s="573" t="s">
        <v>153</v>
      </c>
      <c r="K792" s="587">
        <f>SUM(K777:K790)</f>
        <v>7663.0706399999999</v>
      </c>
      <c r="N792" s="573" t="s">
        <v>110</v>
      </c>
      <c r="O792" s="573" t="s">
        <v>3086</v>
      </c>
      <c r="P792" s="587">
        <f>(C272)</f>
        <v>300.89999999999998</v>
      </c>
      <c r="Q792" s="573" t="s">
        <v>110</v>
      </c>
      <c r="R792" s="587">
        <f>M792*P792</f>
        <v>0</v>
      </c>
      <c r="AE792" s="592" t="str">
        <f t="shared" si="90"/>
        <v>|</v>
      </c>
      <c r="AG792" s="573" t="s">
        <v>849</v>
      </c>
    </row>
    <row r="793" spans="1:33" ht="24" customHeight="1">
      <c r="A793" s="594"/>
      <c r="B793" s="650" t="s">
        <v>1351</v>
      </c>
      <c r="C793" s="596">
        <v>75</v>
      </c>
      <c r="D793" s="608"/>
      <c r="K793" s="582" t="s">
        <v>117</v>
      </c>
      <c r="R793" s="587"/>
      <c r="AE793" s="592" t="str">
        <f t="shared" si="90"/>
        <v>|</v>
      </c>
      <c r="AG793" s="573" t="s">
        <v>849</v>
      </c>
    </row>
    <row r="794" spans="1:33" ht="24" customHeight="1">
      <c r="A794" s="594"/>
      <c r="B794" s="650" t="s">
        <v>1352</v>
      </c>
      <c r="C794" s="596">
        <v>218</v>
      </c>
      <c r="D794" s="608"/>
      <c r="H794" s="573" t="s">
        <v>154</v>
      </c>
      <c r="K794" s="587">
        <f>(K792/10)</f>
        <v>766.30706399999997</v>
      </c>
      <c r="N794" s="573" t="s">
        <v>1353</v>
      </c>
      <c r="O794" s="573" t="s">
        <v>1354</v>
      </c>
      <c r="P794" s="587">
        <f>(C16)</f>
        <v>752</v>
      </c>
      <c r="Q794" s="573" t="s">
        <v>1353</v>
      </c>
      <c r="R794" s="587">
        <f>M794*P794</f>
        <v>0</v>
      </c>
      <c r="AE794" s="592" t="str">
        <f t="shared" si="90"/>
        <v>|</v>
      </c>
      <c r="AG794" s="573" t="s">
        <v>849</v>
      </c>
    </row>
    <row r="795" spans="1:33" ht="24" customHeight="1">
      <c r="A795" s="594"/>
      <c r="B795" s="650" t="s">
        <v>1355</v>
      </c>
      <c r="C795" s="596">
        <v>1854</v>
      </c>
      <c r="D795" s="608"/>
      <c r="K795" s="582" t="s">
        <v>155</v>
      </c>
      <c r="R795" s="587"/>
      <c r="AE795" s="592" t="str">
        <f t="shared" si="90"/>
        <v>|</v>
      </c>
      <c r="AG795" s="573" t="s">
        <v>849</v>
      </c>
    </row>
    <row r="796" spans="1:33" ht="24" customHeight="1">
      <c r="A796" s="594"/>
      <c r="B796" s="650" t="s">
        <v>242</v>
      </c>
      <c r="C796" s="596">
        <v>51</v>
      </c>
      <c r="D796" s="608"/>
      <c r="O796" s="573" t="s">
        <v>1356</v>
      </c>
      <c r="P796" s="685" t="s">
        <v>129</v>
      </c>
      <c r="R796" s="587">
        <v>0.64</v>
      </c>
      <c r="AE796" s="592" t="str">
        <f t="shared" si="90"/>
        <v>|</v>
      </c>
      <c r="AG796" s="573" t="s">
        <v>849</v>
      </c>
    </row>
    <row r="797" spans="1:33" ht="24" customHeight="1">
      <c r="A797" s="594"/>
      <c r="B797" s="650" t="s">
        <v>1357</v>
      </c>
      <c r="C797" s="596">
        <v>915</v>
      </c>
      <c r="D797" s="608"/>
      <c r="F797" s="574" t="s">
        <v>375</v>
      </c>
      <c r="G797" s="585" t="s">
        <v>122</v>
      </c>
      <c r="H797" s="573" t="s">
        <v>1311</v>
      </c>
      <c r="R797" s="582" t="s">
        <v>117</v>
      </c>
      <c r="AE797" s="592" t="str">
        <f t="shared" si="90"/>
        <v>|</v>
      </c>
      <c r="AG797" s="573" t="s">
        <v>849</v>
      </c>
    </row>
    <row r="798" spans="1:33" ht="24" customHeight="1">
      <c r="A798" s="594"/>
      <c r="B798" s="650" t="s">
        <v>1358</v>
      </c>
      <c r="C798" s="596">
        <v>890</v>
      </c>
      <c r="D798" s="608"/>
      <c r="H798" s="573" t="s">
        <v>1314</v>
      </c>
      <c r="O798" s="573" t="s">
        <v>1359</v>
      </c>
      <c r="R798" s="587">
        <f>SUM(R792:R796)</f>
        <v>0.64</v>
      </c>
      <c r="AE798" s="592" t="str">
        <f t="shared" si="90"/>
        <v>|</v>
      </c>
      <c r="AG798" s="573" t="s">
        <v>849</v>
      </c>
    </row>
    <row r="799" spans="1:33" ht="24" customHeight="1">
      <c r="A799" s="594"/>
      <c r="B799" s="650" t="s">
        <v>1360</v>
      </c>
      <c r="C799" s="596">
        <v>5.15</v>
      </c>
      <c r="D799" s="608"/>
      <c r="H799" s="573" t="s">
        <v>1361</v>
      </c>
      <c r="R799" s="582" t="s">
        <v>117</v>
      </c>
      <c r="U799" s="619" t="s">
        <v>1362</v>
      </c>
      <c r="AE799" s="592" t="str">
        <f t="shared" si="90"/>
        <v>|</v>
      </c>
      <c r="AG799" s="573" t="s">
        <v>849</v>
      </c>
    </row>
    <row r="800" spans="1:33" ht="24" customHeight="1">
      <c r="A800" s="594"/>
      <c r="B800" s="650" t="s">
        <v>1363</v>
      </c>
      <c r="C800" s="596">
        <v>43.3</v>
      </c>
      <c r="D800" s="608"/>
      <c r="H800" s="582" t="s">
        <v>117</v>
      </c>
      <c r="O800" s="573" t="s">
        <v>1364</v>
      </c>
      <c r="R800" s="587">
        <f>(R798/0.4)</f>
        <v>1.5999999999999999</v>
      </c>
      <c r="S800" s="579">
        <v>0.443</v>
      </c>
      <c r="T800" s="575" t="s">
        <v>642</v>
      </c>
      <c r="U800" s="575" t="s">
        <v>1365</v>
      </c>
      <c r="V800" s="575">
        <f>AC14</f>
        <v>1644.69</v>
      </c>
      <c r="X800" s="575">
        <f>V800*S800</f>
        <v>728.59766999999999</v>
      </c>
      <c r="AE800" s="592" t="str">
        <f t="shared" si="90"/>
        <v>|</v>
      </c>
      <c r="AG800" s="573" t="s">
        <v>849</v>
      </c>
    </row>
    <row r="801" spans="1:33" ht="24" customHeight="1">
      <c r="A801" s="594"/>
      <c r="B801" s="650" t="s">
        <v>1366</v>
      </c>
      <c r="C801" s="596">
        <v>920</v>
      </c>
      <c r="D801" s="608"/>
      <c r="H801" s="573" t="s">
        <v>1367</v>
      </c>
      <c r="K801" s="587">
        <f>(K732/2)</f>
        <v>392.49200000000002</v>
      </c>
      <c r="R801" s="582" t="s">
        <v>155</v>
      </c>
      <c r="S801" s="579">
        <v>0.29499999999999998</v>
      </c>
      <c r="T801" s="575" t="s">
        <v>642</v>
      </c>
      <c r="U801" s="575" t="s">
        <v>1368</v>
      </c>
      <c r="V801" s="575">
        <f>AC12</f>
        <v>1200.69</v>
      </c>
      <c r="X801" s="575">
        <f t="shared" ref="X801:X807" si="95">V801*S801</f>
        <v>354.20355000000001</v>
      </c>
      <c r="AE801" s="592" t="str">
        <f t="shared" si="90"/>
        <v>|</v>
      </c>
      <c r="AG801" s="573" t="s">
        <v>849</v>
      </c>
    </row>
    <row r="802" spans="1:33" ht="24" customHeight="1">
      <c r="A802" s="594"/>
      <c r="B802" s="650" t="s">
        <v>1369</v>
      </c>
      <c r="C802" s="596">
        <v>98</v>
      </c>
      <c r="D802" s="608"/>
      <c r="H802" s="573" t="s">
        <v>1370</v>
      </c>
      <c r="K802" s="582" t="s">
        <v>155</v>
      </c>
      <c r="N802" s="573" t="s">
        <v>122</v>
      </c>
      <c r="O802" s="573" t="s">
        <v>1371</v>
      </c>
      <c r="S802" s="579">
        <v>0.43</v>
      </c>
      <c r="T802" s="575" t="s">
        <v>642</v>
      </c>
      <c r="U802" s="575" t="s">
        <v>1372</v>
      </c>
      <c r="V802" s="575">
        <f>I809</f>
        <v>1322.8</v>
      </c>
      <c r="X802" s="575">
        <f t="shared" si="95"/>
        <v>568.80399999999997</v>
      </c>
      <c r="AE802" s="592" t="str">
        <f t="shared" si="90"/>
        <v>|</v>
      </c>
      <c r="AG802" s="573" t="s">
        <v>849</v>
      </c>
    </row>
    <row r="803" spans="1:33" ht="24" customHeight="1">
      <c r="A803" s="594"/>
      <c r="B803" s="650" t="s">
        <v>1373</v>
      </c>
      <c r="C803" s="596">
        <v>181</v>
      </c>
      <c r="D803" s="608"/>
      <c r="F803" s="574" t="s">
        <v>1052</v>
      </c>
      <c r="G803" s="585" t="s">
        <v>122</v>
      </c>
      <c r="H803" s="573" t="s">
        <v>1374</v>
      </c>
      <c r="O803" s="573" t="s">
        <v>1375</v>
      </c>
      <c r="S803" s="579">
        <v>0.39</v>
      </c>
      <c r="T803" s="575" t="s">
        <v>1123</v>
      </c>
      <c r="U803" s="575" t="s">
        <v>1124</v>
      </c>
      <c r="V803" s="575">
        <f>I808</f>
        <v>5800</v>
      </c>
      <c r="X803" s="575">
        <f t="shared" si="95"/>
        <v>2262</v>
      </c>
      <c r="AE803" s="592" t="str">
        <f t="shared" si="90"/>
        <v>|</v>
      </c>
      <c r="AG803" s="573" t="s">
        <v>849</v>
      </c>
    </row>
    <row r="804" spans="1:33" ht="24" customHeight="1">
      <c r="A804" s="594"/>
      <c r="B804" s="650" t="s">
        <v>1376</v>
      </c>
      <c r="C804" s="596">
        <v>1148.76</v>
      </c>
      <c r="D804" s="608"/>
      <c r="H804" s="573" t="s">
        <v>1054</v>
      </c>
      <c r="O804" s="573" t="s">
        <v>1377</v>
      </c>
      <c r="S804" s="579">
        <v>0.35</v>
      </c>
      <c r="T804" s="575" t="s">
        <v>240</v>
      </c>
      <c r="U804" s="575" t="s">
        <v>1131</v>
      </c>
      <c r="V804" s="575">
        <f>I810</f>
        <v>718</v>
      </c>
      <c r="W804" s="575" t="str">
        <f>J810</f>
        <v>NO.</v>
      </c>
      <c r="X804" s="575">
        <f t="shared" si="95"/>
        <v>251.29999999999998</v>
      </c>
      <c r="AE804" s="592" t="str">
        <f t="shared" si="90"/>
        <v>|</v>
      </c>
      <c r="AG804" s="573" t="s">
        <v>849</v>
      </c>
    </row>
    <row r="805" spans="1:33" ht="24" customHeight="1">
      <c r="A805" s="594"/>
      <c r="B805" s="650" t="s">
        <v>1378</v>
      </c>
      <c r="C805" s="596">
        <v>967</v>
      </c>
      <c r="D805" s="608"/>
      <c r="H805" s="573" t="s">
        <v>1057</v>
      </c>
      <c r="O805" s="582" t="s">
        <v>117</v>
      </c>
      <c r="S805" s="579">
        <v>2.12</v>
      </c>
      <c r="T805" s="575" t="s">
        <v>240</v>
      </c>
      <c r="U805" s="575" t="s">
        <v>1134</v>
      </c>
      <c r="V805" s="575">
        <f>I811</f>
        <v>502</v>
      </c>
      <c r="X805" s="575">
        <f t="shared" si="95"/>
        <v>1064.24</v>
      </c>
      <c r="AE805" s="592" t="str">
        <f t="shared" si="90"/>
        <v>|</v>
      </c>
      <c r="AG805" s="573" t="s">
        <v>849</v>
      </c>
    </row>
    <row r="806" spans="1:33" ht="24" customHeight="1">
      <c r="A806" s="594"/>
      <c r="B806" s="650" t="s">
        <v>3087</v>
      </c>
      <c r="C806" s="696">
        <v>33.9</v>
      </c>
      <c r="D806" s="608"/>
      <c r="H806" s="582" t="s">
        <v>117</v>
      </c>
      <c r="N806" s="685" t="s">
        <v>1196</v>
      </c>
      <c r="O806" s="573" t="s">
        <v>1380</v>
      </c>
      <c r="S806" s="579">
        <v>3.53</v>
      </c>
      <c r="T806" s="575" t="s">
        <v>240</v>
      </c>
      <c r="U806" s="575" t="s">
        <v>1138</v>
      </c>
      <c r="V806" s="575">
        <f>I812</f>
        <v>412</v>
      </c>
      <c r="X806" s="575">
        <f t="shared" si="95"/>
        <v>1454.36</v>
      </c>
      <c r="AE806" s="592" t="str">
        <f t="shared" si="90"/>
        <v>|</v>
      </c>
      <c r="AG806" s="573" t="s">
        <v>849</v>
      </c>
    </row>
    <row r="807" spans="1:33" ht="24" customHeight="1">
      <c r="A807" s="594"/>
      <c r="B807" s="650" t="s">
        <v>1381</v>
      </c>
      <c r="C807" s="596">
        <v>2107</v>
      </c>
      <c r="D807" s="608"/>
      <c r="F807" s="617">
        <v>9</v>
      </c>
      <c r="G807" s="585" t="s">
        <v>126</v>
      </c>
      <c r="H807" s="573" t="s">
        <v>1382</v>
      </c>
      <c r="I807" s="587">
        <f>C73</f>
        <v>1644.69</v>
      </c>
      <c r="J807" s="573" t="s">
        <v>126</v>
      </c>
      <c r="K807" s="587">
        <f t="shared" ref="K807:K812" si="96">F807*I807</f>
        <v>14802.210000000001</v>
      </c>
      <c r="O807" s="573" t="s">
        <v>1383</v>
      </c>
      <c r="S807" s="579">
        <v>1</v>
      </c>
      <c r="T807" s="575" t="s">
        <v>642</v>
      </c>
      <c r="U807" s="575" t="s">
        <v>1384</v>
      </c>
      <c r="V807" s="575">
        <f>K819</f>
        <v>70.7</v>
      </c>
      <c r="X807" s="575">
        <f t="shared" si="95"/>
        <v>70.7</v>
      </c>
      <c r="AE807" s="592" t="str">
        <f t="shared" si="90"/>
        <v>|</v>
      </c>
      <c r="AG807" s="573" t="s">
        <v>849</v>
      </c>
    </row>
    <row r="808" spans="1:33" ht="24" customHeight="1">
      <c r="A808" s="594"/>
      <c r="B808" s="595" t="s">
        <v>3088</v>
      </c>
      <c r="C808" s="592">
        <v>922</v>
      </c>
      <c r="D808" s="608"/>
      <c r="F808" s="617">
        <v>4.3079999999999998</v>
      </c>
      <c r="G808" s="585" t="s">
        <v>124</v>
      </c>
      <c r="H808" s="573" t="s">
        <v>125</v>
      </c>
      <c r="I808" s="587">
        <f>C67</f>
        <v>5800</v>
      </c>
      <c r="J808" s="573" t="s">
        <v>124</v>
      </c>
      <c r="K808" s="587">
        <f t="shared" si="96"/>
        <v>24986.399999999998</v>
      </c>
      <c r="N808" s="573" t="s">
        <v>1245</v>
      </c>
      <c r="O808" s="573" t="s">
        <v>1386</v>
      </c>
      <c r="P808" s="587">
        <f>C34/1000</f>
        <v>41.2</v>
      </c>
      <c r="R808" s="587" t="e">
        <f>(#VALUE!*P808)</f>
        <v>#VALUE!</v>
      </c>
      <c r="S808" s="691" t="s">
        <v>166</v>
      </c>
      <c r="U808" s="575" t="s">
        <v>1387</v>
      </c>
      <c r="V808" s="691" t="s">
        <v>166</v>
      </c>
      <c r="X808" s="575">
        <v>270</v>
      </c>
      <c r="AE808" s="592" t="str">
        <f t="shared" si="90"/>
        <v>|</v>
      </c>
      <c r="AG808" s="573" t="s">
        <v>849</v>
      </c>
    </row>
    <row r="809" spans="1:33" ht="24" customHeight="1">
      <c r="A809" s="594"/>
      <c r="B809" s="595" t="s">
        <v>1388</v>
      </c>
      <c r="C809" s="592">
        <v>636</v>
      </c>
      <c r="D809" s="608"/>
      <c r="F809" s="617">
        <v>4.5</v>
      </c>
      <c r="G809" s="585" t="s">
        <v>126</v>
      </c>
      <c r="H809" s="573" t="s">
        <v>127</v>
      </c>
      <c r="I809" s="587">
        <f>C78</f>
        <v>1322.8</v>
      </c>
      <c r="J809" s="573" t="s">
        <v>126</v>
      </c>
      <c r="K809" s="587">
        <f t="shared" si="96"/>
        <v>5952.5999999999995</v>
      </c>
      <c r="O809" s="573" t="s">
        <v>1389</v>
      </c>
      <c r="S809" s="691" t="s">
        <v>166</v>
      </c>
      <c r="U809" s="575" t="s">
        <v>1390</v>
      </c>
      <c r="V809" s="691" t="s">
        <v>166</v>
      </c>
      <c r="X809" s="575">
        <v>150</v>
      </c>
      <c r="AE809" s="592" t="str">
        <f t="shared" si="90"/>
        <v>|</v>
      </c>
      <c r="AG809" s="573" t="s">
        <v>849</v>
      </c>
    </row>
    <row r="810" spans="1:33" ht="24" customHeight="1">
      <c r="A810" s="594"/>
      <c r="B810" s="595" t="s">
        <v>1391</v>
      </c>
      <c r="C810" s="592">
        <v>497</v>
      </c>
      <c r="D810" s="608"/>
      <c r="F810" s="617">
        <v>3.5</v>
      </c>
      <c r="G810" s="585" t="s">
        <v>209</v>
      </c>
      <c r="H810" s="573" t="s">
        <v>145</v>
      </c>
      <c r="I810" s="587">
        <f>C11</f>
        <v>718</v>
      </c>
      <c r="J810" s="573" t="s">
        <v>209</v>
      </c>
      <c r="K810" s="587">
        <f t="shared" si="96"/>
        <v>2513</v>
      </c>
      <c r="O810" s="573" t="s">
        <v>1392</v>
      </c>
      <c r="S810" s="691" t="s">
        <v>166</v>
      </c>
      <c r="U810" s="575" t="s">
        <v>236</v>
      </c>
      <c r="V810" s="691" t="s">
        <v>166</v>
      </c>
      <c r="X810" s="575">
        <v>0.06</v>
      </c>
      <c r="AE810" s="592" t="str">
        <f t="shared" si="90"/>
        <v>|</v>
      </c>
      <c r="AG810" s="573" t="s">
        <v>849</v>
      </c>
    </row>
    <row r="811" spans="1:33" ht="24" customHeight="1">
      <c r="A811" s="594"/>
      <c r="B811" s="608"/>
      <c r="C811" s="608"/>
      <c r="D811" s="608"/>
      <c r="F811" s="617">
        <v>21.2</v>
      </c>
      <c r="G811" s="585" t="s">
        <v>209</v>
      </c>
      <c r="H811" s="573" t="s">
        <v>146</v>
      </c>
      <c r="I811" s="587">
        <f>C12</f>
        <v>502</v>
      </c>
      <c r="J811" s="573" t="s">
        <v>209</v>
      </c>
      <c r="K811" s="587">
        <f t="shared" si="96"/>
        <v>10642.4</v>
      </c>
      <c r="N811" s="573" t="s">
        <v>140</v>
      </c>
      <c r="O811" s="573" t="s">
        <v>1393</v>
      </c>
      <c r="P811" s="587">
        <f>C272</f>
        <v>300.89999999999998</v>
      </c>
      <c r="R811" s="587" t="e">
        <f t="shared" ref="R811:R817" si="97">(#VALUE!*P811)</f>
        <v>#VALUE!</v>
      </c>
      <c r="X811" s="619">
        <f>SUM(X800:X810)</f>
        <v>7174.2652199999993</v>
      </c>
      <c r="Y811" s="575">
        <v>59.4</v>
      </c>
      <c r="Z811" s="575">
        <v>117</v>
      </c>
      <c r="AE811" s="592" t="str">
        <f t="shared" si="90"/>
        <v>|</v>
      </c>
      <c r="AG811" s="573" t="s">
        <v>849</v>
      </c>
    </row>
    <row r="812" spans="1:33" ht="24" customHeight="1">
      <c r="A812" s="594"/>
      <c r="B812" s="595" t="s">
        <v>1394</v>
      </c>
      <c r="C812" s="608">
        <v>3.15</v>
      </c>
      <c r="D812" s="608"/>
      <c r="F812" s="617">
        <v>35.299999999999997</v>
      </c>
      <c r="G812" s="585" t="s">
        <v>209</v>
      </c>
      <c r="H812" s="573" t="s">
        <v>147</v>
      </c>
      <c r="I812" s="587">
        <f>C13</f>
        <v>412</v>
      </c>
      <c r="J812" s="573" t="s">
        <v>209</v>
      </c>
      <c r="K812" s="587">
        <f t="shared" si="96"/>
        <v>14543.599999999999</v>
      </c>
      <c r="N812" s="573" t="s">
        <v>209</v>
      </c>
      <c r="O812" s="573" t="s">
        <v>1395</v>
      </c>
      <c r="P812" s="587">
        <v>5</v>
      </c>
      <c r="R812" s="587" t="e">
        <f t="shared" si="97"/>
        <v>#VALUE!</v>
      </c>
      <c r="AE812" s="592" t="str">
        <f t="shared" si="90"/>
        <v>|</v>
      </c>
      <c r="AG812" s="573" t="s">
        <v>849</v>
      </c>
    </row>
    <row r="813" spans="1:33" ht="24" customHeight="1">
      <c r="A813" s="594"/>
      <c r="B813" s="608"/>
      <c r="C813" s="608"/>
      <c r="D813" s="608"/>
      <c r="F813" s="685" t="s">
        <v>129</v>
      </c>
      <c r="H813" s="573" t="s">
        <v>130</v>
      </c>
      <c r="J813" s="573" t="s">
        <v>129</v>
      </c>
      <c r="K813" s="587">
        <v>0</v>
      </c>
      <c r="N813" s="573" t="s">
        <v>209</v>
      </c>
      <c r="O813" s="573" t="s">
        <v>1396</v>
      </c>
      <c r="P813" s="587">
        <v>10</v>
      </c>
      <c r="R813" s="587" t="e">
        <f t="shared" si="97"/>
        <v>#VALUE!</v>
      </c>
      <c r="AE813" s="592" t="str">
        <f t="shared" ref="AE813:AE876" si="98">AG813</f>
        <v>|</v>
      </c>
      <c r="AG813" s="573" t="s">
        <v>849</v>
      </c>
    </row>
    <row r="814" spans="1:33" ht="24" customHeight="1">
      <c r="A814" s="594"/>
      <c r="B814" s="595" t="s">
        <v>1397</v>
      </c>
      <c r="C814" s="612">
        <v>8.5</v>
      </c>
      <c r="D814" s="608"/>
      <c r="K814" s="582" t="s">
        <v>117</v>
      </c>
      <c r="N814" s="573" t="s">
        <v>209</v>
      </c>
      <c r="O814" s="573" t="s">
        <v>1398</v>
      </c>
      <c r="P814" s="587">
        <v>8</v>
      </c>
      <c r="R814" s="587" t="e">
        <f t="shared" si="97"/>
        <v>#VALUE!</v>
      </c>
      <c r="U814" s="619" t="s">
        <v>1399</v>
      </c>
      <c r="AE814" s="592" t="str">
        <f t="shared" si="98"/>
        <v>|</v>
      </c>
      <c r="AG814" s="573" t="s">
        <v>849</v>
      </c>
    </row>
    <row r="815" spans="1:33" ht="24" customHeight="1">
      <c r="A815" s="594"/>
      <c r="B815" s="595" t="s">
        <v>1400</v>
      </c>
      <c r="C815" s="612">
        <v>21.1</v>
      </c>
      <c r="D815" s="608"/>
      <c r="H815" s="574" t="s">
        <v>455</v>
      </c>
      <c r="K815" s="587">
        <f>SUM(K807:K813)</f>
        <v>73440.209999999992</v>
      </c>
      <c r="N815" s="573" t="s">
        <v>231</v>
      </c>
      <c r="O815" s="573" t="s">
        <v>1401</v>
      </c>
      <c r="P815" s="587">
        <v>13.66</v>
      </c>
      <c r="R815" s="587" t="e">
        <f t="shared" si="97"/>
        <v>#VALUE!</v>
      </c>
      <c r="S815" s="579">
        <v>0.45300000000000001</v>
      </c>
      <c r="T815" s="575" t="s">
        <v>642</v>
      </c>
      <c r="U815" s="575" t="s">
        <v>1365</v>
      </c>
      <c r="V815" s="575">
        <f>V800</f>
        <v>1644.69</v>
      </c>
      <c r="X815" s="575">
        <f>V815*S815</f>
        <v>745.04457000000002</v>
      </c>
      <c r="Z815" s="575">
        <f>X826+Y811</f>
        <v>7155.8549499999999</v>
      </c>
      <c r="AE815" s="592" t="str">
        <f t="shared" si="98"/>
        <v>|</v>
      </c>
      <c r="AG815" s="573" t="s">
        <v>849</v>
      </c>
    </row>
    <row r="816" spans="1:33" ht="24" customHeight="1">
      <c r="A816" s="594"/>
      <c r="B816" s="608"/>
      <c r="C816" s="608" t="s">
        <v>1402</v>
      </c>
      <c r="D816" s="608"/>
      <c r="K816" s="582" t="s">
        <v>155</v>
      </c>
      <c r="N816" s="573" t="s">
        <v>140</v>
      </c>
      <c r="O816" s="573" t="s">
        <v>1403</v>
      </c>
      <c r="P816" s="587">
        <v>25.46</v>
      </c>
      <c r="R816" s="587" t="e">
        <f t="shared" si="97"/>
        <v>#VALUE!</v>
      </c>
      <c r="S816" s="579">
        <v>0.30199999999999999</v>
      </c>
      <c r="T816" s="575" t="s">
        <v>642</v>
      </c>
      <c r="U816" s="575" t="s">
        <v>1368</v>
      </c>
      <c r="V816" s="575">
        <f t="shared" ref="V816:V825" si="99">V801</f>
        <v>1200.69</v>
      </c>
      <c r="X816" s="575">
        <f t="shared" ref="X816:X822" si="100">V816*S816</f>
        <v>362.60838000000001</v>
      </c>
      <c r="Z816" s="575">
        <f>Z815+Z811</f>
        <v>7272.8549499999999</v>
      </c>
      <c r="AE816" s="592" t="str">
        <f t="shared" si="98"/>
        <v>|</v>
      </c>
      <c r="AG816" s="573" t="s">
        <v>849</v>
      </c>
    </row>
    <row r="817" spans="1:33" ht="24" customHeight="1">
      <c r="A817" s="697"/>
      <c r="H817" s="573" t="s">
        <v>383</v>
      </c>
      <c r="K817" s="587">
        <f>K815/10</f>
        <v>7344.0209999999988</v>
      </c>
      <c r="N817" s="573" t="s">
        <v>209</v>
      </c>
      <c r="O817" s="573" t="s">
        <v>1404</v>
      </c>
      <c r="P817" s="587">
        <v>0.5</v>
      </c>
      <c r="R817" s="587" t="e">
        <f t="shared" si="97"/>
        <v>#VALUE!</v>
      </c>
      <c r="S817" s="579">
        <v>0.44</v>
      </c>
      <c r="T817" s="575" t="s">
        <v>642</v>
      </c>
      <c r="U817" s="575" t="s">
        <v>1372</v>
      </c>
      <c r="V817" s="575">
        <f t="shared" si="99"/>
        <v>1322.8</v>
      </c>
      <c r="X817" s="575">
        <f t="shared" si="100"/>
        <v>582.03200000000004</v>
      </c>
      <c r="Z817" s="575">
        <f>Z816+Z811</f>
        <v>7389.8549499999999</v>
      </c>
      <c r="AE817" s="592" t="str">
        <f t="shared" si="98"/>
        <v>|</v>
      </c>
      <c r="AG817" s="573" t="s">
        <v>849</v>
      </c>
    </row>
    <row r="818" spans="1:33" ht="24" customHeight="1">
      <c r="A818" s="697"/>
      <c r="R818" s="587">
        <v>0.54</v>
      </c>
      <c r="S818" s="579">
        <v>0.37</v>
      </c>
      <c r="T818" s="575" t="s">
        <v>1123</v>
      </c>
      <c r="U818" s="575" t="s">
        <v>1124</v>
      </c>
      <c r="V818" s="575">
        <f t="shared" si="99"/>
        <v>5800</v>
      </c>
      <c r="X818" s="575">
        <f t="shared" si="100"/>
        <v>2146</v>
      </c>
      <c r="Z818" s="575">
        <f>Z817+Z811</f>
        <v>7506.8549499999999</v>
      </c>
      <c r="AE818" s="592" t="str">
        <f t="shared" si="98"/>
        <v>|</v>
      </c>
      <c r="AG818" s="573" t="s">
        <v>849</v>
      </c>
    </row>
    <row r="819" spans="1:33" ht="24" customHeight="1">
      <c r="A819" s="697"/>
      <c r="F819" s="587">
        <v>1</v>
      </c>
      <c r="G819" s="585" t="s">
        <v>126</v>
      </c>
      <c r="H819" s="573" t="s">
        <v>689</v>
      </c>
      <c r="I819" s="587">
        <f>C25</f>
        <v>70.7</v>
      </c>
      <c r="K819" s="587">
        <f>F819*I819</f>
        <v>70.7</v>
      </c>
      <c r="R819" s="582" t="s">
        <v>117</v>
      </c>
      <c r="S819" s="579">
        <v>0.35</v>
      </c>
      <c r="T819" s="575" t="s">
        <v>240</v>
      </c>
      <c r="U819" s="575" t="s">
        <v>1131</v>
      </c>
      <c r="V819" s="575">
        <f t="shared" si="99"/>
        <v>718</v>
      </c>
      <c r="W819" s="575">
        <f>J825</f>
        <v>0</v>
      </c>
      <c r="X819" s="575">
        <f t="shared" si="100"/>
        <v>251.29999999999998</v>
      </c>
      <c r="Z819" s="575">
        <f>Z811+Z818</f>
        <v>7623.8549499999999</v>
      </c>
      <c r="AE819" s="592" t="str">
        <f t="shared" si="98"/>
        <v>|</v>
      </c>
      <c r="AG819" s="573" t="s">
        <v>849</v>
      </c>
    </row>
    <row r="820" spans="1:33" ht="24" customHeight="1">
      <c r="A820" s="697"/>
      <c r="K820" s="582" t="s">
        <v>117</v>
      </c>
      <c r="O820" s="574" t="s">
        <v>1405</v>
      </c>
      <c r="R820" s="587" t="e">
        <f>SUM(R808:R818)</f>
        <v>#VALUE!</v>
      </c>
      <c r="S820" s="579">
        <v>2.12</v>
      </c>
      <c r="T820" s="575" t="s">
        <v>240</v>
      </c>
      <c r="U820" s="575" t="s">
        <v>1134</v>
      </c>
      <c r="V820" s="575">
        <f t="shared" si="99"/>
        <v>502</v>
      </c>
      <c r="X820" s="575">
        <f t="shared" si="100"/>
        <v>1064.24</v>
      </c>
      <c r="Z820" s="575">
        <f>Z811+Z819</f>
        <v>7740.8549499999999</v>
      </c>
      <c r="AE820" s="592" t="str">
        <f t="shared" si="98"/>
        <v>|</v>
      </c>
      <c r="AG820" s="573" t="s">
        <v>849</v>
      </c>
    </row>
    <row r="821" spans="1:33" ht="24" customHeight="1">
      <c r="K821" s="587">
        <f>SUM(K817:K819)</f>
        <v>7414.7209999999986</v>
      </c>
      <c r="S821" s="579">
        <v>3.53</v>
      </c>
      <c r="T821" s="575" t="s">
        <v>240</v>
      </c>
      <c r="U821" s="575" t="s">
        <v>1138</v>
      </c>
      <c r="V821" s="575">
        <f t="shared" si="99"/>
        <v>412</v>
      </c>
      <c r="X821" s="575">
        <f t="shared" si="100"/>
        <v>1454.36</v>
      </c>
      <c r="Z821" s="575">
        <f>Z811+Z820</f>
        <v>7857.8549499999999</v>
      </c>
      <c r="AE821" s="592" t="str">
        <f t="shared" si="98"/>
        <v>|</v>
      </c>
      <c r="AG821" s="573" t="s">
        <v>849</v>
      </c>
    </row>
    <row r="822" spans="1:33" ht="24" customHeight="1">
      <c r="A822" s="697"/>
      <c r="K822" s="582" t="s">
        <v>117</v>
      </c>
      <c r="R822" s="582" t="s">
        <v>117</v>
      </c>
      <c r="S822" s="579">
        <v>1</v>
      </c>
      <c r="T822" s="575" t="s">
        <v>642</v>
      </c>
      <c r="U822" s="575" t="s">
        <v>1384</v>
      </c>
      <c r="V822" s="575">
        <f t="shared" si="99"/>
        <v>70.7</v>
      </c>
      <c r="X822" s="575">
        <f t="shared" si="100"/>
        <v>70.7</v>
      </c>
      <c r="Z822" s="575">
        <f>Z811+Z821</f>
        <v>7974.8549499999999</v>
      </c>
      <c r="AE822" s="592" t="str">
        <f t="shared" si="98"/>
        <v>|</v>
      </c>
      <c r="AG822" s="573" t="s">
        <v>849</v>
      </c>
    </row>
    <row r="823" spans="1:33" ht="24" customHeight="1">
      <c r="A823" s="697"/>
      <c r="H823" s="573" t="s">
        <v>482</v>
      </c>
      <c r="K823" s="586">
        <f>(K821+C22)</f>
        <v>7504.6209999999983</v>
      </c>
      <c r="S823" s="691" t="s">
        <v>166</v>
      </c>
      <c r="U823" s="575" t="s">
        <v>1387</v>
      </c>
      <c r="V823" s="661" t="str">
        <f t="shared" si="99"/>
        <v>LS</v>
      </c>
      <c r="X823" s="575">
        <v>270</v>
      </c>
      <c r="Z823" s="575">
        <f>Z811+Z822</f>
        <v>8091.8549499999999</v>
      </c>
      <c r="AE823" s="592" t="str">
        <f t="shared" si="98"/>
        <v>|</v>
      </c>
      <c r="AG823" s="573" t="s">
        <v>849</v>
      </c>
    </row>
    <row r="824" spans="1:33" ht="24" customHeight="1">
      <c r="A824" s="697"/>
      <c r="H824" s="573" t="s">
        <v>486</v>
      </c>
      <c r="K824" s="586">
        <f>(K823+C23)</f>
        <v>7681.6209999999983</v>
      </c>
      <c r="N824" s="573" t="s">
        <v>1225</v>
      </c>
      <c r="O824" s="573" t="s">
        <v>1406</v>
      </c>
      <c r="S824" s="691" t="s">
        <v>166</v>
      </c>
      <c r="U824" s="575" t="s">
        <v>1390</v>
      </c>
      <c r="V824" s="661" t="str">
        <f t="shared" si="99"/>
        <v>LS</v>
      </c>
      <c r="X824" s="575">
        <v>150</v>
      </c>
      <c r="Z824" s="575">
        <f>Z811+Z823</f>
        <v>8208.8549500000008</v>
      </c>
      <c r="AE824" s="592" t="str">
        <f t="shared" si="98"/>
        <v>|</v>
      </c>
      <c r="AG824" s="573" t="s">
        <v>849</v>
      </c>
    </row>
    <row r="825" spans="1:33" ht="24" customHeight="1">
      <c r="A825" s="697"/>
      <c r="H825" s="573" t="s">
        <v>489</v>
      </c>
      <c r="K825" s="586">
        <f>(K824+C24)</f>
        <v>7858.6209999999983</v>
      </c>
      <c r="O825" s="573" t="s">
        <v>1383</v>
      </c>
      <c r="S825" s="691" t="s">
        <v>166</v>
      </c>
      <c r="U825" s="575" t="s">
        <v>236</v>
      </c>
      <c r="V825" s="661" t="str">
        <f t="shared" si="99"/>
        <v>LS</v>
      </c>
      <c r="X825" s="575">
        <v>0.17</v>
      </c>
      <c r="AE825" s="592" t="str">
        <f t="shared" si="98"/>
        <v>|</v>
      </c>
      <c r="AG825" s="573" t="s">
        <v>849</v>
      </c>
    </row>
    <row r="826" spans="1:33" ht="24" customHeight="1">
      <c r="A826" s="697"/>
      <c r="H826" s="573" t="s">
        <v>491</v>
      </c>
      <c r="K826" s="586">
        <f>(K825+C24)</f>
        <v>8035.6209999999983</v>
      </c>
      <c r="N826" s="573" t="s">
        <v>1245</v>
      </c>
      <c r="O826" s="573" t="s">
        <v>1386</v>
      </c>
      <c r="P826" s="587">
        <f>P808</f>
        <v>41.2</v>
      </c>
      <c r="R826" s="587" t="e">
        <f>(#VALUE!*P826)</f>
        <v>#VALUE!</v>
      </c>
      <c r="X826" s="619">
        <f>SUM(X815:X825)</f>
        <v>7096.4549500000003</v>
      </c>
      <c r="AE826" s="592" t="str">
        <f t="shared" si="98"/>
        <v>|</v>
      </c>
      <c r="AG826" s="573" t="s">
        <v>849</v>
      </c>
    </row>
    <row r="827" spans="1:33" ht="24" customHeight="1">
      <c r="H827" s="573" t="s">
        <v>576</v>
      </c>
      <c r="K827" s="586">
        <f>(K826+C24)</f>
        <v>8212.6209999999992</v>
      </c>
      <c r="O827" s="573" t="s">
        <v>1389</v>
      </c>
      <c r="AE827" s="592" t="str">
        <f t="shared" si="98"/>
        <v>|</v>
      </c>
      <c r="AG827" s="573" t="s">
        <v>849</v>
      </c>
    </row>
    <row r="828" spans="1:33" ht="24" customHeight="1">
      <c r="H828" s="573">
        <v>5</v>
      </c>
      <c r="K828" s="586">
        <f>(K827+C24)</f>
        <v>8389.6209999999992</v>
      </c>
      <c r="O828" s="573"/>
      <c r="AE828" s="592">
        <f>SUM(AE681:AE685)</f>
        <v>8206.1</v>
      </c>
      <c r="AG828" s="573"/>
    </row>
    <row r="829" spans="1:33" ht="24" customHeight="1">
      <c r="H829" s="573">
        <v>6</v>
      </c>
      <c r="K829" s="586">
        <f>(K828+C24)</f>
        <v>8566.6209999999992</v>
      </c>
      <c r="O829" s="573"/>
      <c r="AE829" s="592"/>
      <c r="AG829" s="573"/>
    </row>
    <row r="830" spans="1:33" ht="24" customHeight="1">
      <c r="H830" s="573">
        <v>7</v>
      </c>
      <c r="K830" s="586">
        <f>(K829+C24)</f>
        <v>8743.6209999999992</v>
      </c>
      <c r="O830" s="573"/>
      <c r="AE830" s="592"/>
      <c r="AG830" s="573"/>
    </row>
    <row r="831" spans="1:33" ht="24" customHeight="1">
      <c r="H831" s="573">
        <v>8</v>
      </c>
      <c r="K831" s="586">
        <f>(K830+C24)</f>
        <v>8920.6209999999992</v>
      </c>
      <c r="O831" s="573"/>
      <c r="AE831" s="592"/>
      <c r="AG831" s="573"/>
    </row>
    <row r="832" spans="1:33" ht="24" customHeight="1">
      <c r="H832" s="573">
        <v>9</v>
      </c>
      <c r="K832" s="586">
        <f>(K831+C24)</f>
        <v>9097.6209999999992</v>
      </c>
      <c r="O832" s="573"/>
      <c r="AE832" s="592"/>
      <c r="AG832" s="573"/>
    </row>
    <row r="833" spans="6:33" ht="24" customHeight="1">
      <c r="H833" s="573">
        <v>10</v>
      </c>
      <c r="K833" s="586">
        <f>(K832+C24)</f>
        <v>9274.6209999999992</v>
      </c>
      <c r="O833" s="573"/>
      <c r="AE833" s="592"/>
      <c r="AG833" s="573"/>
    </row>
    <row r="834" spans="6:33" ht="24" customHeight="1">
      <c r="H834" s="573">
        <v>11</v>
      </c>
      <c r="K834" s="586">
        <f>(K833+C24)</f>
        <v>9451.6209999999992</v>
      </c>
      <c r="O834" s="573"/>
      <c r="AE834" s="592"/>
      <c r="AG834" s="573"/>
    </row>
    <row r="835" spans="6:33" ht="24" customHeight="1">
      <c r="H835" s="573">
        <v>12</v>
      </c>
      <c r="K835" s="586">
        <f>(K834+C24)</f>
        <v>9628.6209999999992</v>
      </c>
      <c r="O835" s="573"/>
      <c r="AE835" s="592"/>
      <c r="AG835" s="573"/>
    </row>
    <row r="836" spans="6:33" ht="24" customHeight="1">
      <c r="H836" s="573"/>
      <c r="K836" s="586"/>
      <c r="O836" s="573"/>
      <c r="AE836" s="592"/>
      <c r="AG836" s="573"/>
    </row>
    <row r="837" spans="6:33" ht="24" customHeight="1">
      <c r="F837" s="573" t="s">
        <v>115</v>
      </c>
      <c r="O837" s="573" t="s">
        <v>1392</v>
      </c>
      <c r="AE837" s="592" t="str">
        <f t="shared" si="98"/>
        <v>|</v>
      </c>
      <c r="AG837" s="573" t="s">
        <v>849</v>
      </c>
    </row>
    <row r="838" spans="6:33" ht="24" customHeight="1">
      <c r="F838" s="573" t="s">
        <v>115</v>
      </c>
      <c r="G838" s="585" t="s">
        <v>122</v>
      </c>
      <c r="H838" s="574" t="s">
        <v>1407</v>
      </c>
      <c r="N838" s="573" t="s">
        <v>140</v>
      </c>
      <c r="O838" s="573" t="s">
        <v>1408</v>
      </c>
      <c r="P838" s="587">
        <f>C272</f>
        <v>300.89999999999998</v>
      </c>
      <c r="R838" s="587" t="e">
        <f t="shared" ref="R838:R844" si="101">(#VALUE!*P838)</f>
        <v>#VALUE!</v>
      </c>
      <c r="AE838" s="592" t="str">
        <f t="shared" si="98"/>
        <v>|</v>
      </c>
      <c r="AG838" s="573" t="s">
        <v>849</v>
      </c>
    </row>
    <row r="839" spans="6:33" ht="24" customHeight="1">
      <c r="H839" s="582" t="s">
        <v>155</v>
      </c>
      <c r="N839" s="573" t="s">
        <v>209</v>
      </c>
      <c r="O839" s="573" t="s">
        <v>1395</v>
      </c>
      <c r="P839" s="587">
        <v>5</v>
      </c>
      <c r="R839" s="587" t="e">
        <f t="shared" si="101"/>
        <v>#VALUE!</v>
      </c>
      <c r="AE839" s="592" t="str">
        <f t="shared" si="98"/>
        <v>|</v>
      </c>
      <c r="AG839" s="573" t="s">
        <v>849</v>
      </c>
    </row>
    <row r="840" spans="6:33" ht="24" customHeight="1">
      <c r="N840" s="573" t="s">
        <v>209</v>
      </c>
      <c r="O840" s="573" t="s">
        <v>1396</v>
      </c>
      <c r="P840" s="587">
        <v>10</v>
      </c>
      <c r="R840" s="587" t="e">
        <f t="shared" si="101"/>
        <v>#VALUE!</v>
      </c>
      <c r="AE840" s="592" t="str">
        <f t="shared" si="98"/>
        <v>|</v>
      </c>
      <c r="AG840" s="573" t="s">
        <v>849</v>
      </c>
    </row>
    <row r="841" spans="6:33" ht="24" customHeight="1">
      <c r="F841" s="574" t="s">
        <v>1409</v>
      </c>
      <c r="G841" s="585" t="s">
        <v>122</v>
      </c>
      <c r="H841" s="573" t="s">
        <v>1410</v>
      </c>
      <c r="N841" s="573" t="s">
        <v>209</v>
      </c>
      <c r="O841" s="573" t="s">
        <v>1398</v>
      </c>
      <c r="P841" s="587">
        <v>8</v>
      </c>
      <c r="R841" s="587" t="e">
        <f t="shared" si="101"/>
        <v>#VALUE!</v>
      </c>
      <c r="AE841" s="592" t="str">
        <f t="shared" si="98"/>
        <v>|</v>
      </c>
      <c r="AG841" s="573" t="s">
        <v>849</v>
      </c>
    </row>
    <row r="842" spans="6:33" ht="24" customHeight="1">
      <c r="H842" s="573" t="s">
        <v>1411</v>
      </c>
      <c r="N842" s="573" t="s">
        <v>231</v>
      </c>
      <c r="O842" s="573" t="s">
        <v>1401</v>
      </c>
      <c r="P842" s="587">
        <v>13.66</v>
      </c>
      <c r="R842" s="587" t="e">
        <f t="shared" si="101"/>
        <v>#VALUE!</v>
      </c>
      <c r="AE842" s="592" t="str">
        <f t="shared" si="98"/>
        <v>|</v>
      </c>
      <c r="AG842" s="573" t="s">
        <v>849</v>
      </c>
    </row>
    <row r="843" spans="6:33" ht="24" customHeight="1">
      <c r="H843" s="573" t="s">
        <v>1412</v>
      </c>
      <c r="N843" s="573" t="s">
        <v>140</v>
      </c>
      <c r="O843" s="573" t="s">
        <v>1403</v>
      </c>
      <c r="P843" s="587">
        <v>25.46</v>
      </c>
      <c r="R843" s="587" t="e">
        <f t="shared" si="101"/>
        <v>#VALUE!</v>
      </c>
      <c r="AE843" s="592" t="str">
        <f t="shared" si="98"/>
        <v>|::</v>
      </c>
      <c r="AG843" s="573" t="s">
        <v>636</v>
      </c>
    </row>
    <row r="844" spans="6:33" ht="24" customHeight="1">
      <c r="H844" s="573" t="s">
        <v>1413</v>
      </c>
      <c r="N844" s="573" t="s">
        <v>209</v>
      </c>
      <c r="O844" s="573" t="s">
        <v>1404</v>
      </c>
      <c r="P844" s="587">
        <v>0.5</v>
      </c>
      <c r="R844" s="587" t="e">
        <f t="shared" si="101"/>
        <v>#VALUE!</v>
      </c>
      <c r="AE844" s="592">
        <f t="shared" si="98"/>
        <v>0</v>
      </c>
    </row>
    <row r="845" spans="6:33" ht="24" customHeight="1">
      <c r="H845" s="573" t="s">
        <v>1414</v>
      </c>
      <c r="R845" s="587">
        <v>0.7</v>
      </c>
      <c r="AE845" s="592">
        <f t="shared" si="98"/>
        <v>0</v>
      </c>
    </row>
    <row r="846" spans="6:33" ht="24" customHeight="1">
      <c r="H846" s="573" t="s">
        <v>1415</v>
      </c>
      <c r="R846" s="582" t="s">
        <v>117</v>
      </c>
      <c r="AE846" s="592">
        <f t="shared" si="98"/>
        <v>0</v>
      </c>
    </row>
    <row r="847" spans="6:33" ht="24" customHeight="1">
      <c r="H847" s="573" t="s">
        <v>1416</v>
      </c>
      <c r="O847" s="574" t="s">
        <v>1405</v>
      </c>
      <c r="R847" s="587" t="e">
        <f>SUM(R826:R845)</f>
        <v>#VALUE!</v>
      </c>
      <c r="AE847" s="592" t="str">
        <f t="shared" si="98"/>
        <v>|</v>
      </c>
      <c r="AG847" s="573" t="s">
        <v>849</v>
      </c>
    </row>
    <row r="848" spans="6:33" ht="24" customHeight="1">
      <c r="H848" s="573" t="s">
        <v>1417</v>
      </c>
      <c r="O848" s="575" t="s">
        <v>115</v>
      </c>
      <c r="R848" s="582" t="s">
        <v>117</v>
      </c>
      <c r="AE848" s="592" t="str">
        <f t="shared" si="98"/>
        <v>|</v>
      </c>
      <c r="AG848" s="573" t="s">
        <v>849</v>
      </c>
    </row>
    <row r="849" spans="6:33" ht="24" customHeight="1">
      <c r="H849" s="573" t="s">
        <v>1418</v>
      </c>
      <c r="O849" s="619" t="s">
        <v>1419</v>
      </c>
      <c r="R849" s="582"/>
      <c r="AE849" s="592" t="str">
        <f t="shared" si="98"/>
        <v>|</v>
      </c>
      <c r="AG849" s="573" t="s">
        <v>849</v>
      </c>
    </row>
    <row r="850" spans="6:33" ht="24" customHeight="1">
      <c r="H850" s="573" t="s">
        <v>1420</v>
      </c>
      <c r="O850" s="574" t="s">
        <v>1421</v>
      </c>
      <c r="R850" s="582"/>
      <c r="AE850" s="592" t="str">
        <f t="shared" si="98"/>
        <v>|</v>
      </c>
      <c r="AG850" s="573" t="s">
        <v>849</v>
      </c>
    </row>
    <row r="851" spans="6:33" ht="24" customHeight="1">
      <c r="H851" s="573" t="s">
        <v>1422</v>
      </c>
      <c r="R851" s="582"/>
      <c r="AE851" s="592" t="str">
        <f t="shared" si="98"/>
        <v>|</v>
      </c>
      <c r="AG851" s="573" t="s">
        <v>849</v>
      </c>
    </row>
    <row r="852" spans="6:33" ht="24" customHeight="1">
      <c r="H852" s="573" t="s">
        <v>1423</v>
      </c>
      <c r="M852" s="651">
        <v>6.5000000000000002E-2</v>
      </c>
      <c r="N852" s="585" t="s">
        <v>126</v>
      </c>
      <c r="O852" s="573" t="s">
        <v>1424</v>
      </c>
      <c r="P852" s="587">
        <f>I859</f>
        <v>6679.6007444999996</v>
      </c>
      <c r="Q852" s="573" t="s">
        <v>126</v>
      </c>
      <c r="R852" s="587">
        <f>P852*M852</f>
        <v>434.17404839249997</v>
      </c>
      <c r="AE852" s="592" t="str">
        <f t="shared" si="98"/>
        <v>|</v>
      </c>
      <c r="AG852" s="573" t="s">
        <v>849</v>
      </c>
    </row>
    <row r="853" spans="6:33" ht="24" customHeight="1">
      <c r="H853" s="573" t="s">
        <v>1425</v>
      </c>
      <c r="M853" s="698">
        <v>8.4499999999999993</v>
      </c>
      <c r="N853" s="585" t="s">
        <v>148</v>
      </c>
      <c r="O853" s="573" t="s">
        <v>1426</v>
      </c>
      <c r="P853" s="587">
        <f t="shared" ref="P853:P862" si="102">I860</f>
        <v>68782.5</v>
      </c>
      <c r="Q853" s="573" t="s">
        <v>124</v>
      </c>
      <c r="R853" s="587">
        <f>P853*M853/1000</f>
        <v>581.21212500000001</v>
      </c>
      <c r="AE853" s="592" t="str">
        <f t="shared" si="98"/>
        <v>|</v>
      </c>
      <c r="AG853" s="573" t="s">
        <v>849</v>
      </c>
    </row>
    <row r="854" spans="6:33" ht="24" customHeight="1">
      <c r="H854" s="573" t="s">
        <v>1427</v>
      </c>
      <c r="M854" s="587">
        <v>3</v>
      </c>
      <c r="N854" s="585" t="s">
        <v>209</v>
      </c>
      <c r="O854" s="573" t="s">
        <v>1428</v>
      </c>
      <c r="P854" s="587">
        <f t="shared" si="102"/>
        <v>14.8</v>
      </c>
      <c r="Q854" s="573" t="s">
        <v>209</v>
      </c>
      <c r="R854" s="587">
        <f t="shared" ref="R854:R861" si="103">P854*M854</f>
        <v>44.400000000000006</v>
      </c>
      <c r="AE854" s="592" t="str">
        <f t="shared" si="98"/>
        <v>|</v>
      </c>
      <c r="AG854" s="573" t="s">
        <v>849</v>
      </c>
    </row>
    <row r="855" spans="6:33" ht="24" customHeight="1">
      <c r="M855" s="587">
        <v>12</v>
      </c>
      <c r="N855" s="585" t="s">
        <v>209</v>
      </c>
      <c r="O855" s="573" t="s">
        <v>1429</v>
      </c>
      <c r="P855" s="587">
        <f t="shared" si="102"/>
        <v>2</v>
      </c>
      <c r="Q855" s="573" t="s">
        <v>209</v>
      </c>
      <c r="R855" s="587">
        <f t="shared" si="103"/>
        <v>24</v>
      </c>
      <c r="AE855" s="592" t="str">
        <f t="shared" si="98"/>
        <v>|</v>
      </c>
      <c r="AG855" s="573" t="s">
        <v>849</v>
      </c>
    </row>
    <row r="856" spans="6:33" ht="24" customHeight="1">
      <c r="M856" s="587">
        <v>2</v>
      </c>
      <c r="N856" s="585" t="s">
        <v>209</v>
      </c>
      <c r="O856" s="573" t="s">
        <v>1430</v>
      </c>
      <c r="P856" s="587">
        <f t="shared" si="102"/>
        <v>4.9000000000000004</v>
      </c>
      <c r="Q856" s="573" t="s">
        <v>209</v>
      </c>
      <c r="R856" s="587">
        <f t="shared" si="103"/>
        <v>9.8000000000000007</v>
      </c>
      <c r="AE856" s="592" t="str">
        <f t="shared" si="98"/>
        <v>|</v>
      </c>
      <c r="AG856" s="573" t="s">
        <v>849</v>
      </c>
    </row>
    <row r="857" spans="6:33" ht="24" customHeight="1">
      <c r="G857" s="585" t="s">
        <v>1258</v>
      </c>
      <c r="H857" s="574" t="s">
        <v>1431</v>
      </c>
      <c r="M857" s="587">
        <v>6</v>
      </c>
      <c r="N857" s="585" t="s">
        <v>209</v>
      </c>
      <c r="O857" s="573" t="s">
        <v>1432</v>
      </c>
      <c r="P857" s="587">
        <f t="shared" si="102"/>
        <v>4.45</v>
      </c>
      <c r="Q857" s="573" t="s">
        <v>209</v>
      </c>
      <c r="R857" s="587">
        <f t="shared" si="103"/>
        <v>26.700000000000003</v>
      </c>
      <c r="S857" s="575"/>
      <c r="T857" s="585" t="s">
        <v>1258</v>
      </c>
      <c r="U857" s="574" t="s">
        <v>1433</v>
      </c>
      <c r="W857" s="578"/>
      <c r="AE857" s="592" t="str">
        <f t="shared" si="98"/>
        <v>|</v>
      </c>
      <c r="AG857" s="573" t="s">
        <v>849</v>
      </c>
    </row>
    <row r="858" spans="6:33" ht="24" customHeight="1">
      <c r="H858" s="574" t="s">
        <v>1434</v>
      </c>
      <c r="M858" s="587">
        <v>1</v>
      </c>
      <c r="N858" s="585" t="s">
        <v>209</v>
      </c>
      <c r="O858" s="573" t="s">
        <v>1435</v>
      </c>
      <c r="P858" s="587">
        <f t="shared" si="102"/>
        <v>769</v>
      </c>
      <c r="Q858" s="573" t="s">
        <v>209</v>
      </c>
      <c r="R858" s="587">
        <f t="shared" si="103"/>
        <v>769</v>
      </c>
      <c r="S858" s="575"/>
      <c r="T858" s="576"/>
      <c r="U858" s="574" t="s">
        <v>1434</v>
      </c>
      <c r="W858" s="578"/>
      <c r="AE858" s="592" t="str">
        <f t="shared" si="98"/>
        <v>|</v>
      </c>
      <c r="AG858" s="573" t="s">
        <v>849</v>
      </c>
    </row>
    <row r="859" spans="6:33" ht="24" customHeight="1">
      <c r="F859" s="651">
        <v>3.8100000000000002E-2</v>
      </c>
      <c r="G859" s="585" t="s">
        <v>126</v>
      </c>
      <c r="H859" s="573" t="s">
        <v>1424</v>
      </c>
      <c r="I859" s="587">
        <f>I877</f>
        <v>6679.6007444999996</v>
      </c>
      <c r="J859" s="573" t="s">
        <v>126</v>
      </c>
      <c r="K859" s="587">
        <f>F859*I859</f>
        <v>254.49278836545</v>
      </c>
      <c r="M859" s="587">
        <v>1</v>
      </c>
      <c r="N859" s="585" t="s">
        <v>209</v>
      </c>
      <c r="O859" s="573" t="s">
        <v>1436</v>
      </c>
      <c r="P859" s="587">
        <f t="shared" si="102"/>
        <v>502</v>
      </c>
      <c r="Q859" s="573" t="s">
        <v>209</v>
      </c>
      <c r="R859" s="587">
        <f t="shared" si="103"/>
        <v>502</v>
      </c>
      <c r="S859" s="651">
        <v>4.9500000000000002E-2</v>
      </c>
      <c r="T859" s="585" t="s">
        <v>126</v>
      </c>
      <c r="U859" s="573" t="s">
        <v>1424</v>
      </c>
      <c r="V859" s="587">
        <f>I859</f>
        <v>6679.6007444999996</v>
      </c>
      <c r="W859" s="573" t="s">
        <v>126</v>
      </c>
      <c r="X859" s="587">
        <f>S859*V859</f>
        <v>330.64023685274998</v>
      </c>
      <c r="AE859" s="592" t="str">
        <f t="shared" si="98"/>
        <v>|</v>
      </c>
      <c r="AG859" s="573" t="s">
        <v>849</v>
      </c>
    </row>
    <row r="860" spans="6:33" ht="24" customHeight="1">
      <c r="F860" s="699">
        <v>5.01</v>
      </c>
      <c r="G860" s="585" t="s">
        <v>148</v>
      </c>
      <c r="H860" s="573" t="s">
        <v>1426</v>
      </c>
      <c r="I860" s="587">
        <f>I878</f>
        <v>68782.5</v>
      </c>
      <c r="J860" s="573" t="s">
        <v>124</v>
      </c>
      <c r="K860" s="587">
        <f>F860*I860/1000</f>
        <v>344.600325</v>
      </c>
      <c r="M860" s="587">
        <v>1</v>
      </c>
      <c r="N860" s="585" t="s">
        <v>209</v>
      </c>
      <c r="O860" s="573" t="s">
        <v>1437</v>
      </c>
      <c r="P860" s="587">
        <f t="shared" si="102"/>
        <v>25</v>
      </c>
      <c r="Q860" s="573" t="s">
        <v>209</v>
      </c>
      <c r="R860" s="587">
        <f t="shared" si="103"/>
        <v>25</v>
      </c>
      <c r="S860" s="699">
        <v>5.66</v>
      </c>
      <c r="T860" s="585" t="s">
        <v>148</v>
      </c>
      <c r="U860" s="573" t="s">
        <v>1426</v>
      </c>
      <c r="V860" s="587">
        <f t="shared" ref="V860:V868" si="104">I860</f>
        <v>68782.5</v>
      </c>
      <c r="W860" s="573" t="s">
        <v>124</v>
      </c>
      <c r="X860" s="587">
        <f>S860*V860/1000</f>
        <v>389.30895000000004</v>
      </c>
      <c r="AE860" s="592" t="str">
        <f t="shared" si="98"/>
        <v>|</v>
      </c>
      <c r="AG860" s="573" t="s">
        <v>849</v>
      </c>
    </row>
    <row r="861" spans="6:33" ht="24" customHeight="1">
      <c r="F861" s="587">
        <v>3</v>
      </c>
      <c r="G861" s="585" t="s">
        <v>209</v>
      </c>
      <c r="H861" s="573" t="s">
        <v>1428</v>
      </c>
      <c r="I861" s="649">
        <v>14.8</v>
      </c>
      <c r="J861" s="573" t="s">
        <v>209</v>
      </c>
      <c r="K861" s="587">
        <f t="shared" ref="K861:K868" si="105">F861*I861</f>
        <v>44.400000000000006</v>
      </c>
      <c r="M861" s="587">
        <v>0.5</v>
      </c>
      <c r="N861" s="585" t="s">
        <v>209</v>
      </c>
      <c r="O861" s="573" t="s">
        <v>1438</v>
      </c>
      <c r="P861" s="587">
        <f t="shared" si="102"/>
        <v>412</v>
      </c>
      <c r="Q861" s="573" t="s">
        <v>209</v>
      </c>
      <c r="R861" s="587">
        <f t="shared" si="103"/>
        <v>206</v>
      </c>
      <c r="S861" s="587">
        <v>3</v>
      </c>
      <c r="T861" s="585" t="s">
        <v>209</v>
      </c>
      <c r="U861" s="573" t="s">
        <v>1428</v>
      </c>
      <c r="V861" s="587">
        <f t="shared" si="104"/>
        <v>14.8</v>
      </c>
      <c r="W861" s="573" t="s">
        <v>209</v>
      </c>
      <c r="X861" s="587">
        <f t="shared" ref="X861:X868" si="106">S861*V861</f>
        <v>44.400000000000006</v>
      </c>
      <c r="AE861" s="592" t="str">
        <f t="shared" si="98"/>
        <v>|</v>
      </c>
      <c r="AG861" s="573" t="s">
        <v>849</v>
      </c>
    </row>
    <row r="862" spans="6:33" ht="24" customHeight="1">
      <c r="F862" s="587">
        <v>12</v>
      </c>
      <c r="G862" s="585" t="s">
        <v>209</v>
      </c>
      <c r="H862" s="573" t="s">
        <v>1429</v>
      </c>
      <c r="I862" s="649">
        <v>2</v>
      </c>
      <c r="J862" s="573" t="s">
        <v>209</v>
      </c>
      <c r="K862" s="587">
        <f t="shared" si="105"/>
        <v>24</v>
      </c>
      <c r="N862" s="585" t="s">
        <v>129</v>
      </c>
      <c r="O862" s="573" t="s">
        <v>1439</v>
      </c>
      <c r="P862" s="587">
        <f t="shared" si="102"/>
        <v>0</v>
      </c>
      <c r="Q862" s="573" t="s">
        <v>129</v>
      </c>
      <c r="R862" s="587">
        <v>2.1</v>
      </c>
      <c r="S862" s="587">
        <v>12</v>
      </c>
      <c r="T862" s="585" t="s">
        <v>209</v>
      </c>
      <c r="U862" s="573" t="s">
        <v>1429</v>
      </c>
      <c r="V862" s="587">
        <f t="shared" si="104"/>
        <v>2</v>
      </c>
      <c r="W862" s="573" t="s">
        <v>209</v>
      </c>
      <c r="X862" s="587">
        <f t="shared" si="106"/>
        <v>24</v>
      </c>
      <c r="AE862" s="592" t="str">
        <f t="shared" si="98"/>
        <v>|</v>
      </c>
      <c r="AG862" s="573" t="s">
        <v>849</v>
      </c>
    </row>
    <row r="863" spans="6:33" ht="24" customHeight="1">
      <c r="F863" s="587">
        <v>2</v>
      </c>
      <c r="G863" s="585" t="s">
        <v>209</v>
      </c>
      <c r="H863" s="573" t="s">
        <v>1430</v>
      </c>
      <c r="I863" s="649">
        <v>4.9000000000000004</v>
      </c>
      <c r="J863" s="573" t="s">
        <v>209</v>
      </c>
      <c r="K863" s="587">
        <f t="shared" si="105"/>
        <v>9.8000000000000007</v>
      </c>
      <c r="N863" s="576"/>
      <c r="Q863" s="578"/>
      <c r="R863" s="582" t="s">
        <v>117</v>
      </c>
      <c r="S863" s="587">
        <v>2</v>
      </c>
      <c r="T863" s="585" t="s">
        <v>209</v>
      </c>
      <c r="U863" s="573" t="s">
        <v>1430</v>
      </c>
      <c r="V863" s="587">
        <f t="shared" si="104"/>
        <v>4.9000000000000004</v>
      </c>
      <c r="W863" s="573" t="s">
        <v>209</v>
      </c>
      <c r="X863" s="587">
        <f t="shared" si="106"/>
        <v>9.8000000000000007</v>
      </c>
      <c r="AE863" s="592" t="str">
        <f t="shared" si="98"/>
        <v>|</v>
      </c>
      <c r="AG863" s="573" t="s">
        <v>849</v>
      </c>
    </row>
    <row r="864" spans="6:33" ht="24" customHeight="1">
      <c r="F864" s="587">
        <v>6</v>
      </c>
      <c r="G864" s="585" t="s">
        <v>209</v>
      </c>
      <c r="H864" s="573" t="s">
        <v>1432</v>
      </c>
      <c r="I864" s="649">
        <v>4.45</v>
      </c>
      <c r="J864" s="573" t="s">
        <v>209</v>
      </c>
      <c r="K864" s="587">
        <f t="shared" si="105"/>
        <v>26.700000000000003</v>
      </c>
      <c r="N864" s="576"/>
      <c r="O864" s="589" t="s">
        <v>1440</v>
      </c>
      <c r="Q864" s="578"/>
      <c r="R864" s="645">
        <f>SUM(R852:R862)</f>
        <v>2624.3861733925</v>
      </c>
      <c r="S864" s="587">
        <v>6</v>
      </c>
      <c r="T864" s="585" t="s">
        <v>209</v>
      </c>
      <c r="U864" s="573" t="s">
        <v>1432</v>
      </c>
      <c r="V864" s="587">
        <f t="shared" si="104"/>
        <v>4.45</v>
      </c>
      <c r="W864" s="573" t="s">
        <v>209</v>
      </c>
      <c r="X864" s="587">
        <f t="shared" si="106"/>
        <v>26.700000000000003</v>
      </c>
      <c r="AE864" s="592" t="str">
        <f t="shared" si="98"/>
        <v>|</v>
      </c>
      <c r="AG864" s="573" t="s">
        <v>849</v>
      </c>
    </row>
    <row r="865" spans="2:33" ht="24" customHeight="1">
      <c r="F865" s="587">
        <v>1</v>
      </c>
      <c r="G865" s="585" t="s">
        <v>209</v>
      </c>
      <c r="H865" s="573" t="s">
        <v>1435</v>
      </c>
      <c r="I865" s="587">
        <f>C10</f>
        <v>769</v>
      </c>
      <c r="J865" s="573" t="s">
        <v>209</v>
      </c>
      <c r="K865" s="587">
        <f t="shared" si="105"/>
        <v>769</v>
      </c>
      <c r="N865" s="576"/>
      <c r="Q865" s="578"/>
      <c r="R865" s="582" t="s">
        <v>117</v>
      </c>
      <c r="S865" s="587">
        <v>1</v>
      </c>
      <c r="T865" s="585" t="s">
        <v>209</v>
      </c>
      <c r="U865" s="573" t="s">
        <v>1435</v>
      </c>
      <c r="V865" s="587">
        <f t="shared" si="104"/>
        <v>769</v>
      </c>
      <c r="W865" s="573" t="s">
        <v>209</v>
      </c>
      <c r="X865" s="587">
        <f t="shared" si="106"/>
        <v>769</v>
      </c>
      <c r="AE865" s="592">
        <f t="shared" si="98"/>
        <v>0</v>
      </c>
      <c r="AG865" s="573"/>
    </row>
    <row r="866" spans="2:33" ht="24" customHeight="1">
      <c r="F866" s="587">
        <v>1</v>
      </c>
      <c r="G866" s="585" t="s">
        <v>209</v>
      </c>
      <c r="H866" s="573" t="s">
        <v>1436</v>
      </c>
      <c r="I866" s="587">
        <f>C12</f>
        <v>502</v>
      </c>
      <c r="J866" s="573" t="s">
        <v>209</v>
      </c>
      <c r="K866" s="587">
        <f t="shared" si="105"/>
        <v>502</v>
      </c>
      <c r="S866" s="587">
        <v>1</v>
      </c>
      <c r="T866" s="585" t="s">
        <v>209</v>
      </c>
      <c r="U866" s="573" t="s">
        <v>1436</v>
      </c>
      <c r="V866" s="587">
        <f t="shared" si="104"/>
        <v>502</v>
      </c>
      <c r="W866" s="573" t="s">
        <v>209</v>
      </c>
      <c r="X866" s="587">
        <f t="shared" si="106"/>
        <v>502</v>
      </c>
      <c r="AE866" s="592">
        <f t="shared" si="98"/>
        <v>0</v>
      </c>
      <c r="AG866" s="573"/>
    </row>
    <row r="867" spans="2:33" ht="24" customHeight="1">
      <c r="F867" s="587">
        <v>1</v>
      </c>
      <c r="G867" s="585" t="s">
        <v>209</v>
      </c>
      <c r="H867" s="573" t="s">
        <v>1437</v>
      </c>
      <c r="I867" s="649">
        <v>25</v>
      </c>
      <c r="J867" s="573" t="s">
        <v>209</v>
      </c>
      <c r="K867" s="587">
        <f t="shared" si="105"/>
        <v>25</v>
      </c>
      <c r="R867" s="582"/>
      <c r="S867" s="587">
        <v>1</v>
      </c>
      <c r="T867" s="585" t="s">
        <v>209</v>
      </c>
      <c r="U867" s="573" t="s">
        <v>1437</v>
      </c>
      <c r="V867" s="587">
        <f t="shared" si="104"/>
        <v>25</v>
      </c>
      <c r="W867" s="573" t="s">
        <v>209</v>
      </c>
      <c r="X867" s="587">
        <f t="shared" si="106"/>
        <v>25</v>
      </c>
      <c r="AE867" s="592">
        <f t="shared" si="98"/>
        <v>0</v>
      </c>
      <c r="AG867" s="573"/>
    </row>
    <row r="868" spans="2:33" ht="24" customHeight="1">
      <c r="F868" s="587">
        <v>0.5</v>
      </c>
      <c r="G868" s="585" t="s">
        <v>209</v>
      </c>
      <c r="H868" s="573" t="s">
        <v>1438</v>
      </c>
      <c r="I868" s="587">
        <f>C13</f>
        <v>412</v>
      </c>
      <c r="J868" s="573" t="s">
        <v>209</v>
      </c>
      <c r="K868" s="587">
        <f t="shared" si="105"/>
        <v>206</v>
      </c>
      <c r="R868" s="573" t="s">
        <v>115</v>
      </c>
      <c r="S868" s="587">
        <v>0.5</v>
      </c>
      <c r="T868" s="585" t="s">
        <v>209</v>
      </c>
      <c r="U868" s="573" t="s">
        <v>1438</v>
      </c>
      <c r="V868" s="587">
        <f t="shared" si="104"/>
        <v>412</v>
      </c>
      <c r="W868" s="573" t="s">
        <v>209</v>
      </c>
      <c r="X868" s="587">
        <f t="shared" si="106"/>
        <v>206</v>
      </c>
      <c r="AE868" s="592">
        <f t="shared" si="98"/>
        <v>0</v>
      </c>
      <c r="AG868" s="573"/>
    </row>
    <row r="869" spans="2:33" ht="24" customHeight="1">
      <c r="G869" s="585" t="s">
        <v>129</v>
      </c>
      <c r="H869" s="573" t="s">
        <v>1439</v>
      </c>
      <c r="J869" s="573" t="s">
        <v>129</v>
      </c>
      <c r="K869" s="587">
        <v>1.1299999999999999</v>
      </c>
      <c r="N869" s="573" t="s">
        <v>1258</v>
      </c>
      <c r="O869" s="573" t="s">
        <v>1441</v>
      </c>
      <c r="S869" s="575"/>
      <c r="T869" s="585" t="s">
        <v>129</v>
      </c>
      <c r="U869" s="573" t="s">
        <v>1439</v>
      </c>
      <c r="W869" s="573" t="s">
        <v>129</v>
      </c>
      <c r="X869" s="587">
        <v>0.06</v>
      </c>
      <c r="AE869" s="592">
        <f t="shared" si="98"/>
        <v>0</v>
      </c>
      <c r="AG869" s="573"/>
    </row>
    <row r="870" spans="2:33" ht="24" customHeight="1">
      <c r="K870" s="582" t="s">
        <v>117</v>
      </c>
      <c r="O870" s="573" t="s">
        <v>1383</v>
      </c>
      <c r="S870" s="575"/>
      <c r="T870" s="576"/>
      <c r="W870" s="578"/>
      <c r="X870" s="582" t="s">
        <v>117</v>
      </c>
      <c r="AE870" s="592">
        <f t="shared" si="98"/>
        <v>0</v>
      </c>
      <c r="AG870" s="573"/>
    </row>
    <row r="871" spans="2:33" ht="24" customHeight="1">
      <c r="H871" s="589" t="s">
        <v>1440</v>
      </c>
      <c r="K871" s="586">
        <f>SUM(K859:K869)</f>
        <v>2207.1231133654501</v>
      </c>
      <c r="N871" s="573" t="s">
        <v>1245</v>
      </c>
      <c r="O871" s="573" t="s">
        <v>1386</v>
      </c>
      <c r="P871" s="587">
        <f>P826</f>
        <v>41.2</v>
      </c>
      <c r="R871" s="587" t="e">
        <f>(#VALUE!*P871)</f>
        <v>#VALUE!</v>
      </c>
      <c r="S871" s="575"/>
      <c r="T871" s="576"/>
      <c r="U871" s="589" t="s">
        <v>1440</v>
      </c>
      <c r="W871" s="578"/>
      <c r="X871" s="586">
        <f>SUM(X859:X869)</f>
        <v>2326.9091868527498</v>
      </c>
      <c r="AE871" s="592">
        <f t="shared" si="98"/>
        <v>0</v>
      </c>
      <c r="AG871" s="573"/>
    </row>
    <row r="872" spans="2:33" ht="24" customHeight="1">
      <c r="K872" s="582" t="s">
        <v>117</v>
      </c>
      <c r="O872" s="573" t="s">
        <v>1389</v>
      </c>
      <c r="AE872" s="592">
        <f t="shared" si="98"/>
        <v>0</v>
      </c>
      <c r="AG872" s="573"/>
    </row>
    <row r="873" spans="2:33" ht="24" customHeight="1">
      <c r="O873" s="573" t="s">
        <v>1392</v>
      </c>
      <c r="AE873" s="592">
        <f t="shared" si="98"/>
        <v>0</v>
      </c>
      <c r="AG873" s="573"/>
    </row>
    <row r="874" spans="2:33" ht="24" customHeight="1">
      <c r="N874" s="573" t="s">
        <v>140</v>
      </c>
      <c r="O874" s="573" t="s">
        <v>1442</v>
      </c>
      <c r="P874" s="587">
        <f>C272</f>
        <v>300.89999999999998</v>
      </c>
      <c r="R874" s="587" t="e">
        <f t="shared" ref="R874:R880" si="107">(#VALUE!*P874)</f>
        <v>#VALUE!</v>
      </c>
      <c r="AE874" s="592">
        <f t="shared" si="98"/>
        <v>0</v>
      </c>
      <c r="AG874" s="573"/>
    </row>
    <row r="875" spans="2:33" ht="24" customHeight="1">
      <c r="G875" s="585" t="s">
        <v>1196</v>
      </c>
      <c r="H875" s="574" t="s">
        <v>1443</v>
      </c>
      <c r="N875" s="573" t="s">
        <v>209</v>
      </c>
      <c r="O875" s="573" t="s">
        <v>1395</v>
      </c>
      <c r="P875" s="587">
        <v>5</v>
      </c>
      <c r="R875" s="587" t="e">
        <f t="shared" si="107"/>
        <v>#VALUE!</v>
      </c>
      <c r="S875" s="575"/>
      <c r="T875" s="585" t="s">
        <v>1258</v>
      </c>
      <c r="U875" s="574" t="s">
        <v>1444</v>
      </c>
      <c r="W875" s="578"/>
      <c r="AE875" s="592">
        <f t="shared" si="98"/>
        <v>0</v>
      </c>
      <c r="AG875" s="573"/>
    </row>
    <row r="876" spans="2:33" ht="24" customHeight="1">
      <c r="H876" s="574" t="s">
        <v>1434</v>
      </c>
      <c r="N876" s="573" t="s">
        <v>209</v>
      </c>
      <c r="O876" s="573" t="s">
        <v>1396</v>
      </c>
      <c r="P876" s="587">
        <v>10</v>
      </c>
      <c r="R876" s="587" t="e">
        <f t="shared" si="107"/>
        <v>#VALUE!</v>
      </c>
      <c r="S876" s="575"/>
      <c r="T876" s="576"/>
      <c r="U876" s="574" t="s">
        <v>1434</v>
      </c>
      <c r="W876" s="578"/>
      <c r="AE876" s="592">
        <f t="shared" si="98"/>
        <v>0</v>
      </c>
      <c r="AG876" s="573"/>
    </row>
    <row r="877" spans="2:33" ht="64.5" customHeight="1">
      <c r="B877" s="633" t="s">
        <v>1445</v>
      </c>
      <c r="C877" s="587">
        <f>Y688</f>
        <v>7204.1303444999994</v>
      </c>
      <c r="F877" s="651">
        <v>3.6799999999999999E-2</v>
      </c>
      <c r="G877" s="585" t="s">
        <v>126</v>
      </c>
      <c r="H877" s="633" t="s">
        <v>1445</v>
      </c>
      <c r="I877" s="587">
        <f>Z718</f>
        <v>6679.6007444999996</v>
      </c>
      <c r="J877" s="573" t="s">
        <v>126</v>
      </c>
      <c r="K877" s="587">
        <f>F877*I877</f>
        <v>245.80930739759998</v>
      </c>
      <c r="N877" s="573" t="s">
        <v>209</v>
      </c>
      <c r="O877" s="573" t="s">
        <v>1398</v>
      </c>
      <c r="P877" s="587">
        <v>8</v>
      </c>
      <c r="R877" s="587" t="e">
        <f t="shared" si="107"/>
        <v>#VALUE!</v>
      </c>
      <c r="S877" s="651">
        <v>5.4699999999999999E-2</v>
      </c>
      <c r="T877" s="585" t="s">
        <v>126</v>
      </c>
      <c r="U877" s="573" t="s">
        <v>1424</v>
      </c>
      <c r="V877" s="587">
        <f>I877</f>
        <v>6679.6007444999996</v>
      </c>
      <c r="W877" s="573" t="s">
        <v>126</v>
      </c>
      <c r="X877" s="587">
        <f>S877*V877</f>
        <v>365.37416072414999</v>
      </c>
      <c r="AE877" s="592">
        <f t="shared" ref="AE877:AE949" si="108">AG877</f>
        <v>0</v>
      </c>
      <c r="AG877" s="573"/>
    </row>
    <row r="878" spans="2:33" ht="34.5" customHeight="1">
      <c r="B878" s="573" t="s">
        <v>1426</v>
      </c>
      <c r="C878" s="587">
        <f>R1609</f>
        <v>69059.28571428571</v>
      </c>
      <c r="F878" s="587">
        <v>4.87</v>
      </c>
      <c r="G878" s="585" t="s">
        <v>148</v>
      </c>
      <c r="H878" s="573" t="s">
        <v>1426</v>
      </c>
      <c r="I878" s="587">
        <f>K1608</f>
        <v>68782.5</v>
      </c>
      <c r="J878" s="573" t="s">
        <v>124</v>
      </c>
      <c r="K878" s="587">
        <f>F878*I878/1000</f>
        <v>334.970775</v>
      </c>
      <c r="N878" s="573" t="s">
        <v>231</v>
      </c>
      <c r="O878" s="573" t="s">
        <v>1401</v>
      </c>
      <c r="P878" s="587">
        <v>13.66</v>
      </c>
      <c r="R878" s="587" t="e">
        <f t="shared" si="107"/>
        <v>#VALUE!</v>
      </c>
      <c r="S878" s="699">
        <v>6.16</v>
      </c>
      <c r="T878" s="585" t="s">
        <v>148</v>
      </c>
      <c r="U878" s="573" t="s">
        <v>1426</v>
      </c>
      <c r="V878" s="587">
        <f t="shared" ref="V878:V886" si="109">I878</f>
        <v>68782.5</v>
      </c>
      <c r="W878" s="573" t="s">
        <v>124</v>
      </c>
      <c r="X878" s="587">
        <f>S878*V878/1000</f>
        <v>423.7002</v>
      </c>
      <c r="AE878" s="592">
        <f t="shared" si="108"/>
        <v>0</v>
      </c>
      <c r="AG878" s="573"/>
    </row>
    <row r="879" spans="2:33" ht="24" customHeight="1">
      <c r="F879" s="587">
        <v>3</v>
      </c>
      <c r="G879" s="585" t="s">
        <v>209</v>
      </c>
      <c r="H879" s="573" t="s">
        <v>1428</v>
      </c>
      <c r="I879" s="696">
        <f>I861</f>
        <v>14.8</v>
      </c>
      <c r="J879" s="573" t="s">
        <v>209</v>
      </c>
      <c r="K879" s="587">
        <f t="shared" ref="K879:K886" si="110">F879*I879</f>
        <v>44.400000000000006</v>
      </c>
      <c r="N879" s="573" t="s">
        <v>140</v>
      </c>
      <c r="O879" s="573" t="s">
        <v>1403</v>
      </c>
      <c r="P879" s="587">
        <v>25.46</v>
      </c>
      <c r="R879" s="587" t="e">
        <f t="shared" si="107"/>
        <v>#VALUE!</v>
      </c>
      <c r="S879" s="587">
        <v>3</v>
      </c>
      <c r="T879" s="585" t="s">
        <v>209</v>
      </c>
      <c r="U879" s="573" t="s">
        <v>1428</v>
      </c>
      <c r="V879" s="587">
        <f t="shared" si="109"/>
        <v>14.8</v>
      </c>
      <c r="W879" s="573" t="s">
        <v>209</v>
      </c>
      <c r="X879" s="587">
        <f t="shared" ref="X879:X886" si="111">S879*V879</f>
        <v>44.400000000000006</v>
      </c>
      <c r="AE879" s="592">
        <f t="shared" si="108"/>
        <v>0</v>
      </c>
      <c r="AG879" s="573"/>
    </row>
    <row r="880" spans="2:33" ht="24" customHeight="1">
      <c r="F880" s="587">
        <v>12</v>
      </c>
      <c r="G880" s="585" t="s">
        <v>209</v>
      </c>
      <c r="H880" s="573" t="s">
        <v>1429</v>
      </c>
      <c r="I880" s="696">
        <f>I862</f>
        <v>2</v>
      </c>
      <c r="J880" s="573" t="s">
        <v>209</v>
      </c>
      <c r="K880" s="587">
        <f t="shared" si="110"/>
        <v>24</v>
      </c>
      <c r="N880" s="573" t="s">
        <v>209</v>
      </c>
      <c r="O880" s="573" t="s">
        <v>1404</v>
      </c>
      <c r="P880" s="587">
        <v>0.5</v>
      </c>
      <c r="R880" s="587" t="e">
        <f t="shared" si="107"/>
        <v>#VALUE!</v>
      </c>
      <c r="S880" s="587">
        <v>12</v>
      </c>
      <c r="T880" s="585" t="s">
        <v>209</v>
      </c>
      <c r="U880" s="573" t="s">
        <v>1429</v>
      </c>
      <c r="V880" s="587">
        <f t="shared" si="109"/>
        <v>2</v>
      </c>
      <c r="W880" s="573" t="s">
        <v>209</v>
      </c>
      <c r="X880" s="587">
        <f t="shared" si="111"/>
        <v>24</v>
      </c>
      <c r="AE880" s="592">
        <f t="shared" si="108"/>
        <v>0</v>
      </c>
      <c r="AG880" s="573"/>
    </row>
    <row r="881" spans="6:33" ht="24" customHeight="1">
      <c r="F881" s="587">
        <v>2</v>
      </c>
      <c r="G881" s="585" t="s">
        <v>209</v>
      </c>
      <c r="H881" s="573" t="s">
        <v>1430</v>
      </c>
      <c r="I881" s="696">
        <f>I863</f>
        <v>4.9000000000000004</v>
      </c>
      <c r="J881" s="573" t="s">
        <v>209</v>
      </c>
      <c r="K881" s="587">
        <f t="shared" si="110"/>
        <v>9.8000000000000007</v>
      </c>
      <c r="R881" s="587">
        <v>0.97</v>
      </c>
      <c r="S881" s="587">
        <v>2</v>
      </c>
      <c r="T881" s="585" t="s">
        <v>209</v>
      </c>
      <c r="U881" s="573" t="s">
        <v>1430</v>
      </c>
      <c r="V881" s="587">
        <f t="shared" si="109"/>
        <v>4.9000000000000004</v>
      </c>
      <c r="W881" s="573" t="s">
        <v>209</v>
      </c>
      <c r="X881" s="587">
        <f t="shared" si="111"/>
        <v>9.8000000000000007</v>
      </c>
      <c r="AE881" s="592">
        <f t="shared" si="108"/>
        <v>0</v>
      </c>
      <c r="AG881" s="573"/>
    </row>
    <row r="882" spans="6:33" ht="24" customHeight="1">
      <c r="F882" s="587">
        <v>6</v>
      </c>
      <c r="G882" s="585" t="s">
        <v>209</v>
      </c>
      <c r="H882" s="573" t="s">
        <v>1432</v>
      </c>
      <c r="I882" s="696">
        <f>I864</f>
        <v>4.45</v>
      </c>
      <c r="J882" s="573" t="s">
        <v>209</v>
      </c>
      <c r="K882" s="587">
        <f t="shared" si="110"/>
        <v>26.700000000000003</v>
      </c>
      <c r="R882" s="582" t="s">
        <v>117</v>
      </c>
      <c r="S882" s="587">
        <v>6</v>
      </c>
      <c r="T882" s="585" t="s">
        <v>209</v>
      </c>
      <c r="U882" s="573" t="s">
        <v>1432</v>
      </c>
      <c r="V882" s="587">
        <f t="shared" si="109"/>
        <v>4.45</v>
      </c>
      <c r="W882" s="573" t="s">
        <v>209</v>
      </c>
      <c r="X882" s="587">
        <f t="shared" si="111"/>
        <v>26.700000000000003</v>
      </c>
      <c r="AE882" s="592">
        <f t="shared" si="108"/>
        <v>0</v>
      </c>
      <c r="AG882" s="573"/>
    </row>
    <row r="883" spans="6:33" ht="24" customHeight="1">
      <c r="F883" s="587">
        <v>1</v>
      </c>
      <c r="G883" s="585" t="s">
        <v>209</v>
      </c>
      <c r="H883" s="573" t="s">
        <v>1435</v>
      </c>
      <c r="I883" s="587">
        <f>C10</f>
        <v>769</v>
      </c>
      <c r="J883" s="573" t="s">
        <v>209</v>
      </c>
      <c r="K883" s="587">
        <f t="shared" si="110"/>
        <v>769</v>
      </c>
      <c r="O883" s="574" t="s">
        <v>1405</v>
      </c>
      <c r="R883" s="587" t="e">
        <f>SUM(R871:R881)</f>
        <v>#VALUE!</v>
      </c>
      <c r="S883" s="587">
        <v>1</v>
      </c>
      <c r="T883" s="585" t="s">
        <v>209</v>
      </c>
      <c r="U883" s="573" t="s">
        <v>1435</v>
      </c>
      <c r="V883" s="587">
        <f t="shared" si="109"/>
        <v>769</v>
      </c>
      <c r="W883" s="573" t="s">
        <v>209</v>
      </c>
      <c r="X883" s="587">
        <f t="shared" si="111"/>
        <v>769</v>
      </c>
      <c r="AE883" s="592">
        <f t="shared" si="108"/>
        <v>0</v>
      </c>
      <c r="AG883" s="573"/>
    </row>
    <row r="884" spans="6:33" ht="24" customHeight="1">
      <c r="F884" s="587">
        <v>1</v>
      </c>
      <c r="G884" s="585" t="s">
        <v>209</v>
      </c>
      <c r="H884" s="573" t="s">
        <v>1436</v>
      </c>
      <c r="I884" s="587">
        <f>C12</f>
        <v>502</v>
      </c>
      <c r="J884" s="573" t="s">
        <v>209</v>
      </c>
      <c r="K884" s="587">
        <f t="shared" si="110"/>
        <v>502</v>
      </c>
      <c r="R884" s="582" t="s">
        <v>117</v>
      </c>
      <c r="S884" s="587">
        <v>1</v>
      </c>
      <c r="T884" s="585" t="s">
        <v>209</v>
      </c>
      <c r="U884" s="573" t="s">
        <v>1436</v>
      </c>
      <c r="V884" s="587">
        <f t="shared" si="109"/>
        <v>502</v>
      </c>
      <c r="W884" s="573" t="s">
        <v>209</v>
      </c>
      <c r="X884" s="587">
        <f t="shared" si="111"/>
        <v>502</v>
      </c>
      <c r="AE884" s="592" t="str">
        <f t="shared" si="108"/>
        <v>|</v>
      </c>
      <c r="AG884" s="573" t="s">
        <v>849</v>
      </c>
    </row>
    <row r="885" spans="6:33" ht="24" customHeight="1">
      <c r="F885" s="587">
        <v>1</v>
      </c>
      <c r="G885" s="585" t="s">
        <v>209</v>
      </c>
      <c r="H885" s="573" t="s">
        <v>1437</v>
      </c>
      <c r="I885" s="700">
        <v>25</v>
      </c>
      <c r="J885" s="573" t="s">
        <v>209</v>
      </c>
      <c r="K885" s="587">
        <f t="shared" si="110"/>
        <v>25</v>
      </c>
      <c r="S885" s="587">
        <v>1</v>
      </c>
      <c r="T885" s="585" t="s">
        <v>209</v>
      </c>
      <c r="U885" s="573" t="s">
        <v>1437</v>
      </c>
      <c r="V885" s="587">
        <f t="shared" si="109"/>
        <v>25</v>
      </c>
      <c r="W885" s="573" t="s">
        <v>209</v>
      </c>
      <c r="X885" s="587">
        <f t="shared" si="111"/>
        <v>25</v>
      </c>
      <c r="AE885" s="592" t="str">
        <f t="shared" si="108"/>
        <v>|</v>
      </c>
      <c r="AG885" s="573" t="s">
        <v>849</v>
      </c>
    </row>
    <row r="886" spans="6:33" ht="24" customHeight="1">
      <c r="F886" s="587">
        <v>0.5</v>
      </c>
      <c r="G886" s="585" t="s">
        <v>209</v>
      </c>
      <c r="H886" s="573" t="s">
        <v>1438</v>
      </c>
      <c r="I886" s="587">
        <f>C13</f>
        <v>412</v>
      </c>
      <c r="J886" s="573" t="s">
        <v>209</v>
      </c>
      <c r="K886" s="587">
        <f t="shared" si="110"/>
        <v>206</v>
      </c>
      <c r="M886" s="574" t="s">
        <v>1446</v>
      </c>
      <c r="N886" s="573" t="s">
        <v>122</v>
      </c>
      <c r="O886" s="573" t="s">
        <v>1447</v>
      </c>
      <c r="S886" s="587">
        <v>0.5</v>
      </c>
      <c r="T886" s="585" t="s">
        <v>209</v>
      </c>
      <c r="U886" s="573" t="s">
        <v>1438</v>
      </c>
      <c r="V886" s="587">
        <f t="shared" si="109"/>
        <v>412</v>
      </c>
      <c r="W886" s="573" t="s">
        <v>209</v>
      </c>
      <c r="X886" s="587">
        <f t="shared" si="111"/>
        <v>206</v>
      </c>
      <c r="AE886" s="592" t="str">
        <f t="shared" si="108"/>
        <v>|</v>
      </c>
      <c r="AG886" s="573" t="s">
        <v>849</v>
      </c>
    </row>
    <row r="887" spans="6:33" ht="24" customHeight="1">
      <c r="G887" s="585" t="s">
        <v>129</v>
      </c>
      <c r="H887" s="573" t="s">
        <v>1439</v>
      </c>
      <c r="J887" s="573" t="s">
        <v>129</v>
      </c>
      <c r="K887" s="587">
        <v>1.98</v>
      </c>
      <c r="O887" s="573" t="s">
        <v>1448</v>
      </c>
      <c r="S887" s="575"/>
      <c r="T887" s="585" t="s">
        <v>129</v>
      </c>
      <c r="U887" s="573" t="s">
        <v>1439</v>
      </c>
      <c r="W887" s="573" t="s">
        <v>129</v>
      </c>
      <c r="X887" s="587">
        <v>0.27</v>
      </c>
      <c r="AE887" s="592" t="str">
        <f t="shared" si="108"/>
        <v>|</v>
      </c>
      <c r="AG887" s="573" t="s">
        <v>849</v>
      </c>
    </row>
    <row r="888" spans="6:33" ht="24" customHeight="1">
      <c r="K888" s="582" t="s">
        <v>117</v>
      </c>
      <c r="O888" s="582" t="s">
        <v>117</v>
      </c>
      <c r="P888" s="582" t="s">
        <v>117</v>
      </c>
      <c r="S888" s="575"/>
      <c r="T888" s="576"/>
      <c r="W888" s="578"/>
      <c r="X888" s="582" t="s">
        <v>117</v>
      </c>
      <c r="AE888" s="592" t="str">
        <f t="shared" si="108"/>
        <v>|</v>
      </c>
      <c r="AG888" s="573" t="s">
        <v>849</v>
      </c>
    </row>
    <row r="889" spans="6:33" ht="24" customHeight="1">
      <c r="H889" s="589" t="s">
        <v>1440</v>
      </c>
      <c r="K889" s="586">
        <f>SUM(K877:K887)</f>
        <v>2189.6600823976</v>
      </c>
      <c r="L889" s="575">
        <f>K889-1729</f>
        <v>460.66008239760004</v>
      </c>
      <c r="O889" s="573" t="s">
        <v>1449</v>
      </c>
      <c r="S889" s="575"/>
      <c r="T889" s="576"/>
      <c r="U889" s="589" t="s">
        <v>1440</v>
      </c>
      <c r="W889" s="578"/>
      <c r="X889" s="586">
        <f>SUM(X877:X887)</f>
        <v>2396.2443607241498</v>
      </c>
      <c r="AE889" s="592" t="str">
        <f t="shared" si="108"/>
        <v>|</v>
      </c>
      <c r="AG889" s="573" t="s">
        <v>849</v>
      </c>
    </row>
    <row r="890" spans="6:33" ht="24" customHeight="1">
      <c r="K890" s="582" t="s">
        <v>117</v>
      </c>
      <c r="M890" s="587">
        <v>0.5</v>
      </c>
      <c r="N890" s="574" t="s">
        <v>1</v>
      </c>
      <c r="O890" s="573" t="s">
        <v>332</v>
      </c>
      <c r="P890" s="587">
        <f>C16</f>
        <v>752</v>
      </c>
      <c r="Q890" s="574" t="s">
        <v>206</v>
      </c>
      <c r="R890" s="587">
        <f>(M890*P890)</f>
        <v>376</v>
      </c>
      <c r="AE890" s="592" t="str">
        <f t="shared" si="108"/>
        <v>|</v>
      </c>
      <c r="AG890" s="573" t="s">
        <v>849</v>
      </c>
    </row>
    <row r="891" spans="6:33" ht="24" customHeight="1">
      <c r="F891" s="574"/>
      <c r="G891" s="585" t="s">
        <v>1225</v>
      </c>
      <c r="H891" s="574" t="s">
        <v>1450</v>
      </c>
      <c r="K891" s="575">
        <f>K889-1800.2</f>
        <v>389.46008239759999</v>
      </c>
      <c r="M891" s="587">
        <v>0.25</v>
      </c>
      <c r="N891" s="574" t="s">
        <v>1</v>
      </c>
      <c r="O891" s="573" t="s">
        <v>292</v>
      </c>
      <c r="P891" s="587">
        <f>C12</f>
        <v>502</v>
      </c>
      <c r="Q891" s="574" t="s">
        <v>206</v>
      </c>
      <c r="R891" s="587">
        <f>(M891*P891)</f>
        <v>125.5</v>
      </c>
      <c r="S891" s="575"/>
      <c r="T891" s="585" t="s">
        <v>1258</v>
      </c>
      <c r="U891" s="574" t="s">
        <v>1451</v>
      </c>
      <c r="W891" s="578"/>
      <c r="AE891" s="592" t="str">
        <f t="shared" si="108"/>
        <v>|</v>
      </c>
      <c r="AG891" s="573" t="s">
        <v>849</v>
      </c>
    </row>
    <row r="892" spans="6:33" ht="24" customHeight="1">
      <c r="H892" s="574" t="s">
        <v>1434</v>
      </c>
      <c r="R892" s="582" t="s">
        <v>117</v>
      </c>
      <c r="S892" s="575"/>
      <c r="T892" s="576"/>
      <c r="U892" s="574" t="s">
        <v>1434</v>
      </c>
      <c r="W892" s="578"/>
      <c r="AE892" s="592" t="str">
        <f t="shared" si="108"/>
        <v>|</v>
      </c>
      <c r="AG892" s="573" t="s">
        <v>849</v>
      </c>
    </row>
    <row r="893" spans="6:33" ht="24" customHeight="1">
      <c r="F893" s="651">
        <v>3.5299999999999998E-2</v>
      </c>
      <c r="G893" s="585" t="s">
        <v>126</v>
      </c>
      <c r="H893" s="573" t="s">
        <v>1424</v>
      </c>
      <c r="I893" s="587">
        <f t="shared" ref="I893:I898" si="112">I877</f>
        <v>6679.6007444999996</v>
      </c>
      <c r="J893" s="573" t="s">
        <v>126</v>
      </c>
      <c r="K893" s="587">
        <f>F893*I893</f>
        <v>235.78990628084998</v>
      </c>
      <c r="O893" s="574" t="s">
        <v>1452</v>
      </c>
      <c r="R893" s="587">
        <f>SUM(R890:R891)</f>
        <v>501.5</v>
      </c>
      <c r="S893" s="651">
        <v>5.91E-2</v>
      </c>
      <c r="T893" s="585" t="s">
        <v>126</v>
      </c>
      <c r="U893" s="573" t="s">
        <v>1424</v>
      </c>
      <c r="V893" s="587">
        <f>V877</f>
        <v>6679.6007444999996</v>
      </c>
      <c r="W893" s="573" t="s">
        <v>126</v>
      </c>
      <c r="X893" s="587">
        <f>S893*V893</f>
        <v>394.76440399994999</v>
      </c>
      <c r="AE893" s="592" t="str">
        <f t="shared" si="108"/>
        <v>|</v>
      </c>
      <c r="AG893" s="573" t="s">
        <v>849</v>
      </c>
    </row>
    <row r="894" spans="6:33" ht="24" customHeight="1">
      <c r="F894" s="587">
        <v>4.59</v>
      </c>
      <c r="G894" s="585" t="s">
        <v>148</v>
      </c>
      <c r="H894" s="573" t="s">
        <v>1426</v>
      </c>
      <c r="I894" s="587">
        <f t="shared" si="112"/>
        <v>68782.5</v>
      </c>
      <c r="J894" s="573" t="s">
        <v>124</v>
      </c>
      <c r="K894" s="587">
        <f>F894*I894/1000</f>
        <v>315.71167500000001</v>
      </c>
      <c r="R894" s="582" t="s">
        <v>117</v>
      </c>
      <c r="S894" s="699">
        <v>6.58</v>
      </c>
      <c r="T894" s="585" t="s">
        <v>148</v>
      </c>
      <c r="U894" s="573" t="s">
        <v>1426</v>
      </c>
      <c r="V894" s="587">
        <f t="shared" ref="V894:V902" si="113">V878</f>
        <v>68782.5</v>
      </c>
      <c r="W894" s="573" t="s">
        <v>124</v>
      </c>
      <c r="X894" s="587">
        <f>S894*V894/1000</f>
        <v>452.58884999999998</v>
      </c>
      <c r="AE894" s="592" t="str">
        <f t="shared" si="108"/>
        <v>|</v>
      </c>
      <c r="AG894" s="573" t="s">
        <v>849</v>
      </c>
    </row>
    <row r="895" spans="6:33" ht="24" customHeight="1">
      <c r="F895" s="587">
        <v>3</v>
      </c>
      <c r="G895" s="585" t="s">
        <v>209</v>
      </c>
      <c r="H895" s="573" t="s">
        <v>1428</v>
      </c>
      <c r="I895" s="696">
        <f t="shared" si="112"/>
        <v>14.8</v>
      </c>
      <c r="J895" s="573" t="s">
        <v>209</v>
      </c>
      <c r="K895" s="587">
        <f t="shared" ref="K895:K902" si="114">F895*I895</f>
        <v>44.400000000000006</v>
      </c>
      <c r="O895" s="574" t="s">
        <v>1453</v>
      </c>
      <c r="R895" s="587">
        <f>R893/0.0283</f>
        <v>17720.848056537103</v>
      </c>
      <c r="S895" s="587">
        <v>3</v>
      </c>
      <c r="T895" s="585" t="s">
        <v>209</v>
      </c>
      <c r="U895" s="573" t="s">
        <v>1428</v>
      </c>
      <c r="V895" s="587">
        <f t="shared" si="113"/>
        <v>14.8</v>
      </c>
      <c r="W895" s="573" t="s">
        <v>209</v>
      </c>
      <c r="X895" s="587">
        <f t="shared" ref="X895:X902" si="115">S895*V895</f>
        <v>44.400000000000006</v>
      </c>
      <c r="AE895" s="592" t="str">
        <f t="shared" si="108"/>
        <v>|</v>
      </c>
      <c r="AG895" s="573" t="s">
        <v>849</v>
      </c>
    </row>
    <row r="896" spans="6:33" ht="24" customHeight="1">
      <c r="F896" s="587">
        <v>12</v>
      </c>
      <c r="G896" s="585" t="s">
        <v>209</v>
      </c>
      <c r="H896" s="573" t="s">
        <v>1429</v>
      </c>
      <c r="I896" s="696">
        <f t="shared" si="112"/>
        <v>2</v>
      </c>
      <c r="J896" s="573" t="s">
        <v>209</v>
      </c>
      <c r="K896" s="587">
        <f t="shared" si="114"/>
        <v>24</v>
      </c>
      <c r="R896" s="582" t="s">
        <v>117</v>
      </c>
      <c r="S896" s="587">
        <v>12</v>
      </c>
      <c r="T896" s="585" t="s">
        <v>209</v>
      </c>
      <c r="U896" s="573" t="s">
        <v>1429</v>
      </c>
      <c r="V896" s="587">
        <f t="shared" si="113"/>
        <v>2</v>
      </c>
      <c r="W896" s="573" t="s">
        <v>209</v>
      </c>
      <c r="X896" s="587">
        <f t="shared" si="115"/>
        <v>24</v>
      </c>
      <c r="AE896" s="592" t="str">
        <f t="shared" si="108"/>
        <v>|</v>
      </c>
      <c r="AG896" s="573" t="s">
        <v>849</v>
      </c>
    </row>
    <row r="897" spans="6:33" ht="24" customHeight="1">
      <c r="F897" s="587">
        <v>2</v>
      </c>
      <c r="G897" s="585" t="s">
        <v>209</v>
      </c>
      <c r="H897" s="587" t="str">
        <f>H881</f>
        <v>TOWER BOLT RECEIVER</v>
      </c>
      <c r="I897" s="696">
        <f t="shared" si="112"/>
        <v>4.9000000000000004</v>
      </c>
      <c r="J897" s="573" t="s">
        <v>209</v>
      </c>
      <c r="K897" s="587">
        <f t="shared" si="114"/>
        <v>9.8000000000000007</v>
      </c>
      <c r="S897" s="587">
        <v>2</v>
      </c>
      <c r="T897" s="585" t="s">
        <v>209</v>
      </c>
      <c r="U897" s="573" t="s">
        <v>1430</v>
      </c>
      <c r="V897" s="587">
        <f t="shared" si="113"/>
        <v>4.9000000000000004</v>
      </c>
      <c r="W897" s="573" t="s">
        <v>209</v>
      </c>
      <c r="X897" s="587">
        <f t="shared" si="115"/>
        <v>9.8000000000000007</v>
      </c>
      <c r="AE897" s="592" t="str">
        <f t="shared" si="108"/>
        <v>|</v>
      </c>
      <c r="AG897" s="573" t="s">
        <v>849</v>
      </c>
    </row>
    <row r="898" spans="6:33" ht="24" customHeight="1">
      <c r="F898" s="587">
        <v>6</v>
      </c>
      <c r="G898" s="585" t="s">
        <v>209</v>
      </c>
      <c r="H898" s="573" t="s">
        <v>1432</v>
      </c>
      <c r="I898" s="696">
        <f t="shared" si="112"/>
        <v>4.45</v>
      </c>
      <c r="J898" s="573" t="s">
        <v>209</v>
      </c>
      <c r="K898" s="587">
        <f t="shared" si="114"/>
        <v>26.700000000000003</v>
      </c>
      <c r="S898" s="587">
        <v>6</v>
      </c>
      <c r="T898" s="585" t="s">
        <v>209</v>
      </c>
      <c r="U898" s="573" t="s">
        <v>1432</v>
      </c>
      <c r="V898" s="587">
        <f t="shared" si="113"/>
        <v>4.45</v>
      </c>
      <c r="W898" s="573" t="s">
        <v>209</v>
      </c>
      <c r="X898" s="587">
        <f t="shared" si="115"/>
        <v>26.700000000000003</v>
      </c>
      <c r="AE898" s="592" t="str">
        <f t="shared" si="108"/>
        <v>|</v>
      </c>
      <c r="AG898" s="573" t="s">
        <v>849</v>
      </c>
    </row>
    <row r="899" spans="6:33" ht="24" customHeight="1">
      <c r="F899" s="587">
        <v>1</v>
      </c>
      <c r="G899" s="585" t="s">
        <v>209</v>
      </c>
      <c r="H899" s="573" t="s">
        <v>1435</v>
      </c>
      <c r="I899" s="587">
        <f>C10</f>
        <v>769</v>
      </c>
      <c r="J899" s="573" t="s">
        <v>209</v>
      </c>
      <c r="K899" s="587">
        <f t="shared" si="114"/>
        <v>769</v>
      </c>
      <c r="S899" s="587">
        <v>1</v>
      </c>
      <c r="T899" s="585" t="s">
        <v>209</v>
      </c>
      <c r="U899" s="573" t="s">
        <v>1435</v>
      </c>
      <c r="V899" s="587">
        <f t="shared" si="113"/>
        <v>769</v>
      </c>
      <c r="W899" s="573" t="s">
        <v>209</v>
      </c>
      <c r="X899" s="587">
        <f t="shared" si="115"/>
        <v>769</v>
      </c>
      <c r="AE899" s="592" t="str">
        <f t="shared" si="108"/>
        <v>|</v>
      </c>
      <c r="AG899" s="573" t="s">
        <v>849</v>
      </c>
    </row>
    <row r="900" spans="6:33" ht="24" customHeight="1">
      <c r="F900" s="587">
        <v>1</v>
      </c>
      <c r="G900" s="585" t="s">
        <v>209</v>
      </c>
      <c r="H900" s="573" t="s">
        <v>1436</v>
      </c>
      <c r="I900" s="587">
        <f>C12</f>
        <v>502</v>
      </c>
      <c r="J900" s="573" t="s">
        <v>209</v>
      </c>
      <c r="K900" s="587">
        <f t="shared" si="114"/>
        <v>502</v>
      </c>
      <c r="S900" s="587">
        <v>1</v>
      </c>
      <c r="T900" s="585" t="s">
        <v>209</v>
      </c>
      <c r="U900" s="573" t="s">
        <v>1436</v>
      </c>
      <c r="V900" s="587">
        <f t="shared" si="113"/>
        <v>502</v>
      </c>
      <c r="W900" s="573" t="s">
        <v>209</v>
      </c>
      <c r="X900" s="587">
        <f t="shared" si="115"/>
        <v>502</v>
      </c>
      <c r="AE900" s="592" t="str">
        <f t="shared" si="108"/>
        <v>|</v>
      </c>
      <c r="AG900" s="573" t="s">
        <v>849</v>
      </c>
    </row>
    <row r="901" spans="6:33" ht="101.25" customHeight="1">
      <c r="F901" s="587">
        <v>1</v>
      </c>
      <c r="G901" s="585" t="s">
        <v>209</v>
      </c>
      <c r="H901" s="587" t="str">
        <f>H885</f>
        <v>MOULDING CHARGES</v>
      </c>
      <c r="I901" s="649">
        <v>25</v>
      </c>
      <c r="J901" s="573" t="s">
        <v>209</v>
      </c>
      <c r="K901" s="587">
        <f t="shared" si="114"/>
        <v>25</v>
      </c>
      <c r="S901" s="587">
        <v>1</v>
      </c>
      <c r="T901" s="585" t="s">
        <v>209</v>
      </c>
      <c r="U901" s="573" t="s">
        <v>1437</v>
      </c>
      <c r="V901" s="587">
        <f t="shared" si="113"/>
        <v>25</v>
      </c>
      <c r="W901" s="573" t="s">
        <v>209</v>
      </c>
      <c r="X901" s="587">
        <f t="shared" si="115"/>
        <v>25</v>
      </c>
      <c r="AE901" s="592">
        <f t="shared" si="108"/>
        <v>0</v>
      </c>
    </row>
    <row r="902" spans="6:33" ht="24" customHeight="1">
      <c r="F902" s="587">
        <v>0.5</v>
      </c>
      <c r="G902" s="585" t="s">
        <v>209</v>
      </c>
      <c r="H902" s="573" t="s">
        <v>1438</v>
      </c>
      <c r="I902" s="587">
        <f>C13</f>
        <v>412</v>
      </c>
      <c r="J902" s="573" t="s">
        <v>209</v>
      </c>
      <c r="K902" s="587">
        <f t="shared" si="114"/>
        <v>206</v>
      </c>
      <c r="M902" s="587">
        <v>11.64</v>
      </c>
      <c r="N902" s="573" t="s">
        <v>231</v>
      </c>
      <c r="O902" s="573" t="s">
        <v>1401</v>
      </c>
      <c r="P902" s="587">
        <v>13.66</v>
      </c>
      <c r="R902" s="587">
        <f>(M902*P902)</f>
        <v>159.00240000000002</v>
      </c>
      <c r="S902" s="587">
        <v>0.5</v>
      </c>
      <c r="T902" s="585" t="s">
        <v>209</v>
      </c>
      <c r="U902" s="573" t="s">
        <v>1438</v>
      </c>
      <c r="V902" s="587">
        <f t="shared" si="113"/>
        <v>412</v>
      </c>
      <c r="W902" s="573" t="s">
        <v>209</v>
      </c>
      <c r="X902" s="587">
        <f t="shared" si="115"/>
        <v>206</v>
      </c>
      <c r="AE902" s="592">
        <f t="shared" si="108"/>
        <v>0</v>
      </c>
    </row>
    <row r="903" spans="6:33" ht="24" customHeight="1">
      <c r="G903" s="585" t="s">
        <v>129</v>
      </c>
      <c r="H903" s="573" t="s">
        <v>1439</v>
      </c>
      <c r="J903" s="573" t="s">
        <v>129</v>
      </c>
      <c r="K903" s="587">
        <v>1.39</v>
      </c>
      <c r="M903" s="652">
        <v>1.62</v>
      </c>
      <c r="N903" s="573" t="s">
        <v>140</v>
      </c>
      <c r="O903" s="573" t="s">
        <v>1403</v>
      </c>
      <c r="P903" s="587">
        <v>25.46</v>
      </c>
      <c r="R903" s="587">
        <f>(M903*P903)</f>
        <v>41.245200000000004</v>
      </c>
      <c r="S903" s="575"/>
      <c r="T903" s="585" t="s">
        <v>129</v>
      </c>
      <c r="U903" s="573" t="s">
        <v>1439</v>
      </c>
      <c r="W903" s="573" t="s">
        <v>129</v>
      </c>
      <c r="X903" s="587">
        <v>0.21</v>
      </c>
      <c r="AE903" s="592">
        <f t="shared" si="108"/>
        <v>0</v>
      </c>
    </row>
    <row r="904" spans="6:33" ht="24" customHeight="1">
      <c r="K904" s="582" t="s">
        <v>117</v>
      </c>
      <c r="M904" s="587">
        <v>48</v>
      </c>
      <c r="N904" s="573" t="s">
        <v>209</v>
      </c>
      <c r="O904" s="573" t="s">
        <v>1404</v>
      </c>
      <c r="P904" s="587">
        <v>0.5</v>
      </c>
      <c r="R904" s="587">
        <f>(M904*P904)</f>
        <v>24</v>
      </c>
      <c r="S904" s="575"/>
      <c r="T904" s="576"/>
      <c r="W904" s="578"/>
      <c r="X904" s="582" t="s">
        <v>117</v>
      </c>
      <c r="AE904" s="592">
        <f t="shared" si="108"/>
        <v>0</v>
      </c>
    </row>
    <row r="905" spans="6:33" ht="24" customHeight="1">
      <c r="H905" s="589" t="s">
        <v>1440</v>
      </c>
      <c r="K905" s="586">
        <f>SUM(K893:K903)</f>
        <v>2159.7915812808501</v>
      </c>
      <c r="R905" s="587">
        <v>0.23</v>
      </c>
      <c r="S905" s="575"/>
      <c r="T905" s="576"/>
      <c r="U905" s="589" t="s">
        <v>1440</v>
      </c>
      <c r="W905" s="578"/>
      <c r="X905" s="586">
        <f>SUM(X893:X903)</f>
        <v>2454.4632539999502</v>
      </c>
      <c r="AE905" s="592">
        <f t="shared" si="108"/>
        <v>0</v>
      </c>
    </row>
    <row r="906" spans="6:33" ht="24" customHeight="1">
      <c r="K906" s="582" t="s">
        <v>117</v>
      </c>
      <c r="AE906" s="592">
        <f t="shared" si="108"/>
        <v>0</v>
      </c>
    </row>
    <row r="907" spans="6:33" ht="24" customHeight="1">
      <c r="R907" s="582" t="s">
        <v>117</v>
      </c>
      <c r="AE907" s="592">
        <f t="shared" si="108"/>
        <v>0</v>
      </c>
    </row>
    <row r="908" spans="6:33" ht="55.5" customHeight="1">
      <c r="F908" s="701">
        <v>21.3</v>
      </c>
      <c r="G908" s="585" t="s">
        <v>122</v>
      </c>
      <c r="H908" s="702" t="s">
        <v>1454</v>
      </c>
      <c r="O908" s="574" t="s">
        <v>1405</v>
      </c>
      <c r="R908" s="587">
        <f>SUM(R902:R905)</f>
        <v>224.47760000000002</v>
      </c>
      <c r="AE908" s="592">
        <f t="shared" si="108"/>
        <v>0</v>
      </c>
    </row>
    <row r="909" spans="6:33" ht="24" customHeight="1">
      <c r="H909" s="573" t="s">
        <v>1455</v>
      </c>
      <c r="AE909" s="592">
        <f t="shared" si="108"/>
        <v>0</v>
      </c>
    </row>
    <row r="910" spans="6:33" ht="24" customHeight="1">
      <c r="H910" s="582" t="s">
        <v>117</v>
      </c>
      <c r="J910" s="578" t="s">
        <v>1456</v>
      </c>
      <c r="AE910" s="592">
        <f t="shared" si="108"/>
        <v>0</v>
      </c>
    </row>
    <row r="911" spans="6:33" ht="24" customHeight="1">
      <c r="AE911" s="592">
        <f t="shared" si="108"/>
        <v>0</v>
      </c>
    </row>
    <row r="912" spans="6:33" ht="24" customHeight="1">
      <c r="H912" s="641" t="s">
        <v>1457</v>
      </c>
      <c r="J912" s="573" t="s">
        <v>140</v>
      </c>
      <c r="K912" s="597">
        <v>2014</v>
      </c>
      <c r="AE912" s="592">
        <f t="shared" si="108"/>
        <v>0</v>
      </c>
    </row>
    <row r="913" spans="6:33" ht="24" customHeight="1">
      <c r="F913" s="573" t="s">
        <v>115</v>
      </c>
      <c r="AE913" s="592">
        <f t="shared" si="108"/>
        <v>0</v>
      </c>
    </row>
    <row r="914" spans="6:33" ht="24" customHeight="1">
      <c r="H914" s="574" t="s">
        <v>1458</v>
      </c>
      <c r="K914" s="582" t="s">
        <v>155</v>
      </c>
      <c r="AE914" s="592">
        <f t="shared" si="108"/>
        <v>0</v>
      </c>
    </row>
    <row r="915" spans="6:33" ht="24" customHeight="1">
      <c r="H915" s="574" t="s">
        <v>1459</v>
      </c>
      <c r="AE915" s="592">
        <f t="shared" si="108"/>
        <v>0</v>
      </c>
    </row>
    <row r="916" spans="6:33" ht="24" customHeight="1">
      <c r="F916" s="679">
        <v>21.2</v>
      </c>
      <c r="H916" s="619" t="s">
        <v>1460</v>
      </c>
      <c r="AE916" s="592">
        <f t="shared" si="108"/>
        <v>0</v>
      </c>
    </row>
    <row r="917" spans="6:33" ht="24" customHeight="1">
      <c r="F917" s="679"/>
      <c r="H917" s="582" t="s">
        <v>117</v>
      </c>
      <c r="AE917" s="592" t="str">
        <f t="shared" si="108"/>
        <v>|</v>
      </c>
      <c r="AG917" s="573" t="s">
        <v>849</v>
      </c>
    </row>
    <row r="918" spans="6:33" ht="24" customHeight="1">
      <c r="G918" s="585" t="s">
        <v>810</v>
      </c>
      <c r="H918" s="573" t="s">
        <v>1461</v>
      </c>
      <c r="K918" s="573" t="s">
        <v>115</v>
      </c>
      <c r="AE918" s="592" t="str">
        <f t="shared" si="108"/>
        <v>|</v>
      </c>
      <c r="AG918" s="573" t="s">
        <v>849</v>
      </c>
    </row>
    <row r="919" spans="6:33" ht="24" customHeight="1">
      <c r="H919" s="582" t="s">
        <v>117</v>
      </c>
      <c r="K919" s="573" t="s">
        <v>115</v>
      </c>
      <c r="AE919" s="592" t="str">
        <f t="shared" si="108"/>
        <v>|</v>
      </c>
      <c r="AG919" s="573" t="s">
        <v>849</v>
      </c>
    </row>
    <row r="920" spans="6:33" ht="24" customHeight="1">
      <c r="F920" s="587">
        <v>1</v>
      </c>
      <c r="G920" s="585" t="s">
        <v>126</v>
      </c>
      <c r="H920" s="573" t="s">
        <v>1462</v>
      </c>
      <c r="I920" s="587">
        <f>C30</f>
        <v>10275</v>
      </c>
      <c r="J920" s="573" t="s">
        <v>126</v>
      </c>
      <c r="K920" s="587">
        <f>(F920*I920)</f>
        <v>10275</v>
      </c>
      <c r="AE920" s="592" t="str">
        <f t="shared" si="108"/>
        <v>|</v>
      </c>
      <c r="AG920" s="573" t="s">
        <v>849</v>
      </c>
    </row>
    <row r="921" spans="6:33" ht="24" customHeight="1">
      <c r="F921" s="587">
        <v>1</v>
      </c>
      <c r="G921" s="585" t="s">
        <v>126</v>
      </c>
      <c r="H921" s="573" t="s">
        <v>1461</v>
      </c>
      <c r="I921" s="587">
        <f>C88</f>
        <v>111600</v>
      </c>
      <c r="J921" s="573" t="s">
        <v>126</v>
      </c>
      <c r="K921" s="587">
        <f>(F921*I921)</f>
        <v>111600</v>
      </c>
      <c r="AE921" s="592" t="str">
        <f t="shared" si="108"/>
        <v>|</v>
      </c>
      <c r="AG921" s="573" t="s">
        <v>849</v>
      </c>
    </row>
    <row r="922" spans="6:33" ht="24" customHeight="1">
      <c r="K922" s="582" t="s">
        <v>155</v>
      </c>
      <c r="AE922" s="592">
        <f t="shared" si="108"/>
        <v>0</v>
      </c>
    </row>
    <row r="923" spans="6:33" ht="24" customHeight="1">
      <c r="H923" s="573" t="s">
        <v>1463</v>
      </c>
      <c r="K923" s="586">
        <f>SUM(K920:K921)</f>
        <v>121875</v>
      </c>
      <c r="AE923" s="592" t="str">
        <f t="shared" si="108"/>
        <v>|</v>
      </c>
      <c r="AG923" s="573" t="s">
        <v>849</v>
      </c>
    </row>
    <row r="924" spans="6:33" ht="24" customHeight="1">
      <c r="K924" s="582" t="s">
        <v>155</v>
      </c>
      <c r="AE924" s="592" t="str">
        <f t="shared" si="108"/>
        <v>|</v>
      </c>
      <c r="AG924" s="573" t="s">
        <v>849</v>
      </c>
    </row>
    <row r="925" spans="6:33" ht="24" customHeight="1">
      <c r="G925" s="585" t="s">
        <v>2</v>
      </c>
      <c r="H925" s="573" t="s">
        <v>1464</v>
      </c>
      <c r="K925" s="573" t="s">
        <v>115</v>
      </c>
      <c r="AE925" s="592" t="str">
        <f t="shared" si="108"/>
        <v>|</v>
      </c>
      <c r="AG925" s="573" t="s">
        <v>849</v>
      </c>
    </row>
    <row r="926" spans="6:33" ht="24" customHeight="1">
      <c r="H926" s="582" t="s">
        <v>117</v>
      </c>
      <c r="M926" s="574" t="s">
        <v>1465</v>
      </c>
      <c r="N926" s="585" t="s">
        <v>122</v>
      </c>
      <c r="O926" s="573" t="s">
        <v>1466</v>
      </c>
      <c r="Q926" s="578"/>
      <c r="AE926" s="592">
        <f t="shared" si="108"/>
        <v>0</v>
      </c>
      <c r="AG926" s="573"/>
    </row>
    <row r="927" spans="6:33" ht="24" customHeight="1">
      <c r="F927" s="587">
        <v>1</v>
      </c>
      <c r="G927" s="585" t="s">
        <v>126</v>
      </c>
      <c r="H927" s="573" t="s">
        <v>1462</v>
      </c>
      <c r="I927" s="587">
        <f>C30</f>
        <v>10275</v>
      </c>
      <c r="J927" s="573" t="s">
        <v>126</v>
      </c>
      <c r="K927" s="587">
        <f>(F927*I927)</f>
        <v>10275</v>
      </c>
      <c r="N927" s="576"/>
      <c r="O927" s="573" t="s">
        <v>1467</v>
      </c>
      <c r="Q927" s="578"/>
      <c r="AE927" s="592" t="str">
        <f t="shared" si="108"/>
        <v>|</v>
      </c>
      <c r="AG927" s="573" t="s">
        <v>849</v>
      </c>
    </row>
    <row r="928" spans="6:33" ht="24" customHeight="1">
      <c r="F928" s="587">
        <v>1</v>
      </c>
      <c r="G928" s="585" t="s">
        <v>126</v>
      </c>
      <c r="H928" s="573" t="s">
        <v>1461</v>
      </c>
      <c r="I928" s="587">
        <f>C89</f>
        <v>99400</v>
      </c>
      <c r="J928" s="573" t="s">
        <v>126</v>
      </c>
      <c r="K928" s="587">
        <f>(F928*I928)</f>
        <v>99400</v>
      </c>
      <c r="N928" s="576"/>
      <c r="O928" s="573" t="s">
        <v>1468</v>
      </c>
      <c r="Q928" s="578"/>
      <c r="AE928" s="592" t="str">
        <f t="shared" si="108"/>
        <v>|</v>
      </c>
      <c r="AG928" s="573" t="s">
        <v>849</v>
      </c>
    </row>
    <row r="929" spans="6:33" ht="24" customHeight="1">
      <c r="K929" s="582" t="s">
        <v>155</v>
      </c>
      <c r="N929" s="576"/>
      <c r="O929" s="582" t="s">
        <v>117</v>
      </c>
      <c r="Q929" s="578"/>
      <c r="AE929" s="592" t="str">
        <f t="shared" si="108"/>
        <v>|</v>
      </c>
      <c r="AG929" s="573" t="s">
        <v>849</v>
      </c>
    </row>
    <row r="930" spans="6:33" ht="24" customHeight="1">
      <c r="H930" s="573" t="s">
        <v>1469</v>
      </c>
      <c r="K930" s="586">
        <f>SUM(K927:K928)</f>
        <v>109675</v>
      </c>
      <c r="N930" s="576"/>
      <c r="O930" s="573" t="s">
        <v>1470</v>
      </c>
      <c r="Q930" s="578"/>
      <c r="AE930" s="592" t="str">
        <f t="shared" si="108"/>
        <v>|</v>
      </c>
      <c r="AG930" s="573" t="s">
        <v>849</v>
      </c>
    </row>
    <row r="931" spans="6:33" ht="24" customHeight="1">
      <c r="K931" s="582" t="s">
        <v>155</v>
      </c>
      <c r="N931" s="576"/>
      <c r="O931" s="573" t="s">
        <v>1471</v>
      </c>
      <c r="Q931" s="578"/>
      <c r="AE931" s="592" t="str">
        <f t="shared" si="108"/>
        <v>|</v>
      </c>
      <c r="AG931" s="573" t="s">
        <v>849</v>
      </c>
    </row>
    <row r="932" spans="6:33" ht="24" customHeight="1">
      <c r="N932" s="576"/>
      <c r="Q932" s="573" t="s">
        <v>117</v>
      </c>
      <c r="AE932" s="592" t="str">
        <f t="shared" si="108"/>
        <v>|</v>
      </c>
      <c r="AG932" s="573" t="s">
        <v>849</v>
      </c>
    </row>
    <row r="933" spans="6:33" ht="24" customHeight="1">
      <c r="F933" s="574" t="s">
        <v>1465</v>
      </c>
      <c r="G933" s="585" t="s">
        <v>122</v>
      </c>
      <c r="H933" s="573" t="s">
        <v>1472</v>
      </c>
      <c r="N933" s="576"/>
      <c r="O933" s="573" t="s">
        <v>1473</v>
      </c>
      <c r="Q933" s="578"/>
      <c r="AE933" s="592" t="str">
        <f t="shared" si="108"/>
        <v>|</v>
      </c>
      <c r="AG933" s="573" t="s">
        <v>849</v>
      </c>
    </row>
    <row r="934" spans="6:33" ht="24" customHeight="1">
      <c r="H934" s="573" t="s">
        <v>1467</v>
      </c>
      <c r="N934" s="576"/>
      <c r="O934" s="573" t="s">
        <v>1474</v>
      </c>
      <c r="Q934" s="578"/>
      <c r="R934" s="651">
        <v>2.4299999999999999E-2</v>
      </c>
      <c r="AE934" s="592" t="str">
        <f t="shared" si="108"/>
        <v>|</v>
      </c>
      <c r="AG934" s="573" t="s">
        <v>849</v>
      </c>
    </row>
    <row r="935" spans="6:33" ht="24" customHeight="1">
      <c r="H935" s="573" t="s">
        <v>1468</v>
      </c>
      <c r="N935" s="576"/>
      <c r="Q935" s="573" t="s">
        <v>115</v>
      </c>
      <c r="R935" s="582" t="s">
        <v>117</v>
      </c>
      <c r="AE935" s="592" t="str">
        <f t="shared" si="108"/>
        <v>|</v>
      </c>
      <c r="AG935" s="573" t="s">
        <v>849</v>
      </c>
    </row>
    <row r="936" spans="6:33" ht="24" customHeight="1">
      <c r="H936" s="582" t="s">
        <v>117</v>
      </c>
      <c r="N936" s="576"/>
      <c r="O936" s="573" t="s">
        <v>1475</v>
      </c>
      <c r="Q936" s="703" t="s">
        <v>115</v>
      </c>
      <c r="R936" s="651">
        <v>1.47E-2</v>
      </c>
      <c r="AE936" s="592" t="str">
        <f t="shared" si="108"/>
        <v>|</v>
      </c>
      <c r="AG936" s="573" t="s">
        <v>849</v>
      </c>
    </row>
    <row r="937" spans="6:33" ht="24" customHeight="1">
      <c r="H937" s="573" t="s">
        <v>1470</v>
      </c>
      <c r="N937" s="576"/>
      <c r="O937" s="573" t="s">
        <v>1476</v>
      </c>
      <c r="Q937" s="573" t="s">
        <v>115</v>
      </c>
      <c r="R937" s="651">
        <v>4.5999999999999999E-3</v>
      </c>
      <c r="AE937" s="592" t="str">
        <f t="shared" si="108"/>
        <v>|</v>
      </c>
      <c r="AG937" s="573" t="s">
        <v>849</v>
      </c>
    </row>
    <row r="938" spans="6:33" ht="24" customHeight="1">
      <c r="H938" s="573" t="s">
        <v>1471</v>
      </c>
      <c r="N938" s="576"/>
      <c r="Q938" s="578"/>
      <c r="R938" s="582" t="s">
        <v>117</v>
      </c>
      <c r="AE938" s="592" t="str">
        <f t="shared" si="108"/>
        <v>|</v>
      </c>
      <c r="AG938" s="573" t="s">
        <v>849</v>
      </c>
    </row>
    <row r="939" spans="6:33" ht="24" customHeight="1">
      <c r="J939" s="573" t="s">
        <v>117</v>
      </c>
      <c r="N939" s="576"/>
      <c r="Q939" s="578"/>
      <c r="R939" s="651">
        <v>1.9300000000000001E-2</v>
      </c>
      <c r="AE939" s="592" t="str">
        <f t="shared" si="108"/>
        <v>|</v>
      </c>
      <c r="AG939" s="573" t="s">
        <v>849</v>
      </c>
    </row>
    <row r="940" spans="6:33" ht="24" customHeight="1">
      <c r="H940" s="573" t="s">
        <v>1473</v>
      </c>
      <c r="N940" s="576"/>
      <c r="Q940" s="578"/>
      <c r="R940" s="582" t="s">
        <v>117</v>
      </c>
      <c r="AE940" s="592" t="str">
        <f t="shared" si="108"/>
        <v>|</v>
      </c>
      <c r="AG940" s="573" t="s">
        <v>849</v>
      </c>
    </row>
    <row r="941" spans="6:33" ht="24" customHeight="1">
      <c r="H941" s="573" t="s">
        <v>1474</v>
      </c>
      <c r="K941" s="651">
        <v>2.4299999999999999E-2</v>
      </c>
      <c r="N941" s="576"/>
      <c r="Q941" s="578"/>
      <c r="AE941" s="592" t="str">
        <f t="shared" si="108"/>
        <v>|</v>
      </c>
      <c r="AG941" s="573" t="s">
        <v>849</v>
      </c>
    </row>
    <row r="942" spans="6:33" ht="24" customHeight="1">
      <c r="J942" s="573" t="s">
        <v>115</v>
      </c>
      <c r="K942" s="582" t="s">
        <v>117</v>
      </c>
      <c r="N942" s="576"/>
      <c r="Q942" s="578"/>
      <c r="AE942" s="592" t="str">
        <f t="shared" si="108"/>
        <v>|</v>
      </c>
      <c r="AG942" s="573" t="s">
        <v>849</v>
      </c>
    </row>
    <row r="943" spans="6:33" ht="24" customHeight="1">
      <c r="H943" s="573" t="s">
        <v>1475</v>
      </c>
      <c r="J943" s="703" t="s">
        <v>115</v>
      </c>
      <c r="K943" s="651">
        <v>1.47E-2</v>
      </c>
      <c r="M943" s="651">
        <v>1.14E-2</v>
      </c>
      <c r="N943" s="585" t="s">
        <v>126</v>
      </c>
      <c r="O943" s="573" t="s">
        <v>1477</v>
      </c>
      <c r="P943" s="587">
        <f>C86</f>
        <v>34300</v>
      </c>
      <c r="Q943" s="573" t="s">
        <v>126</v>
      </c>
      <c r="R943" s="587">
        <f>(M943*P943)</f>
        <v>391.02000000000004</v>
      </c>
      <c r="AE943" s="592" t="str">
        <f t="shared" si="108"/>
        <v>|</v>
      </c>
      <c r="AG943" s="573" t="s">
        <v>849</v>
      </c>
    </row>
    <row r="944" spans="6:33" ht="24" customHeight="1">
      <c r="H944" s="573" t="s">
        <v>1476</v>
      </c>
      <c r="J944" s="573" t="s">
        <v>115</v>
      </c>
      <c r="K944" s="651">
        <v>4.5999999999999999E-3</v>
      </c>
      <c r="M944" s="651">
        <v>2.4299999999999999E-2</v>
      </c>
      <c r="N944" s="585" t="s">
        <v>126</v>
      </c>
      <c r="O944" s="573" t="s">
        <v>1478</v>
      </c>
      <c r="P944" s="587">
        <f>P943</f>
        <v>34300</v>
      </c>
      <c r="Q944" s="573" t="s">
        <v>126</v>
      </c>
      <c r="R944" s="587">
        <f>(M944*P944)</f>
        <v>833.49</v>
      </c>
      <c r="AE944" s="592" t="str">
        <f t="shared" si="108"/>
        <v>|</v>
      </c>
      <c r="AG944" s="573" t="s">
        <v>849</v>
      </c>
    </row>
    <row r="945" spans="6:33" ht="24" customHeight="1">
      <c r="K945" s="582" t="s">
        <v>117</v>
      </c>
      <c r="M945" s="651">
        <v>1.9300000000000001E-2</v>
      </c>
      <c r="N945" s="585" t="s">
        <v>126</v>
      </c>
      <c r="O945" s="573" t="s">
        <v>1479</v>
      </c>
      <c r="P945" s="587">
        <f>C87</f>
        <v>39400</v>
      </c>
      <c r="Q945" s="573" t="s">
        <v>126</v>
      </c>
      <c r="R945" s="587">
        <f>(M945*P945)</f>
        <v>760.42000000000007</v>
      </c>
      <c r="AE945" s="592" t="str">
        <f t="shared" si="108"/>
        <v>|</v>
      </c>
      <c r="AG945" s="573" t="s">
        <v>849</v>
      </c>
    </row>
    <row r="946" spans="6:33" ht="24" customHeight="1">
      <c r="K946" s="651">
        <v>1.9300000000000001E-2</v>
      </c>
      <c r="M946" s="652"/>
      <c r="N946" s="576"/>
      <c r="O946" s="573"/>
      <c r="P946" s="573" t="s">
        <v>115</v>
      </c>
      <c r="Q946" s="578"/>
      <c r="R946" s="573" t="s">
        <v>115</v>
      </c>
      <c r="AE946" s="592">
        <f t="shared" si="108"/>
        <v>0</v>
      </c>
    </row>
    <row r="947" spans="6:33" ht="24" customHeight="1">
      <c r="K947" s="582" t="s">
        <v>117</v>
      </c>
      <c r="M947" s="652">
        <v>1.823</v>
      </c>
      <c r="N947" s="585" t="s">
        <v>140</v>
      </c>
      <c r="O947" s="573" t="s">
        <v>1480</v>
      </c>
      <c r="P947" s="587">
        <f>I954</f>
        <v>1155</v>
      </c>
      <c r="Q947" s="573" t="s">
        <v>140</v>
      </c>
      <c r="R947" s="587">
        <f t="shared" ref="R947:R953" si="116">(M947*P947)</f>
        <v>2105.5650000000001</v>
      </c>
      <c r="AE947" s="592">
        <f t="shared" si="108"/>
        <v>0</v>
      </c>
    </row>
    <row r="948" spans="6:33" ht="24" customHeight="1">
      <c r="M948" s="587">
        <v>1</v>
      </c>
      <c r="N948" s="585" t="s">
        <v>1</v>
      </c>
      <c r="O948" s="573" t="s">
        <v>1481</v>
      </c>
      <c r="P948" s="587">
        <f t="shared" ref="P948:P953" si="117">I955</f>
        <v>50.9</v>
      </c>
      <c r="Q948" s="573" t="s">
        <v>209</v>
      </c>
      <c r="R948" s="587">
        <f t="shared" si="116"/>
        <v>50.9</v>
      </c>
      <c r="AE948" s="592">
        <f t="shared" si="108"/>
        <v>0</v>
      </c>
    </row>
    <row r="949" spans="6:33" ht="24" customHeight="1">
      <c r="M949" s="587">
        <v>3</v>
      </c>
      <c r="N949" s="585" t="s">
        <v>209</v>
      </c>
      <c r="O949" s="573" t="s">
        <v>1482</v>
      </c>
      <c r="P949" s="587">
        <f t="shared" si="117"/>
        <v>79.099999999999994</v>
      </c>
      <c r="Q949" s="573" t="s">
        <v>209</v>
      </c>
      <c r="R949" s="587">
        <f t="shared" si="116"/>
        <v>237.29999999999998</v>
      </c>
      <c r="AE949" s="592">
        <f t="shared" si="108"/>
        <v>0</v>
      </c>
    </row>
    <row r="950" spans="6:33" ht="24" customHeight="1">
      <c r="F950" s="651">
        <v>1.14E-2</v>
      </c>
      <c r="G950" s="585" t="s">
        <v>126</v>
      </c>
      <c r="H950" s="573" t="s">
        <v>1483</v>
      </c>
      <c r="I950" s="587">
        <f>C88</f>
        <v>111600</v>
      </c>
      <c r="J950" s="573" t="s">
        <v>126</v>
      </c>
      <c r="K950" s="587">
        <f>(F950*I950)</f>
        <v>1272.24</v>
      </c>
      <c r="M950" s="587">
        <v>2</v>
      </c>
      <c r="N950" s="585" t="s">
        <v>209</v>
      </c>
      <c r="O950" s="573" t="s">
        <v>1484</v>
      </c>
      <c r="P950" s="587">
        <f t="shared" si="117"/>
        <v>57.2</v>
      </c>
      <c r="Q950" s="573" t="s">
        <v>209</v>
      </c>
      <c r="R950" s="587">
        <f t="shared" si="116"/>
        <v>114.4</v>
      </c>
      <c r="AE950" s="592">
        <f t="shared" ref="AE950:AE1013" si="118">AG950</f>
        <v>0</v>
      </c>
    </row>
    <row r="951" spans="6:33" ht="24" customHeight="1">
      <c r="F951" s="651">
        <v>2.4299999999999999E-2</v>
      </c>
      <c r="G951" s="585" t="s">
        <v>126</v>
      </c>
      <c r="H951" s="573" t="s">
        <v>1485</v>
      </c>
      <c r="I951" s="587">
        <f>C89</f>
        <v>99400</v>
      </c>
      <c r="J951" s="573" t="s">
        <v>126</v>
      </c>
      <c r="K951" s="587">
        <f>(F951*I951)</f>
        <v>2415.42</v>
      </c>
      <c r="M951" s="587">
        <v>1</v>
      </c>
      <c r="N951" s="585" t="s">
        <v>209</v>
      </c>
      <c r="O951" s="573" t="s">
        <v>1486</v>
      </c>
      <c r="P951" s="587">
        <f t="shared" si="117"/>
        <v>159.69999999999999</v>
      </c>
      <c r="Q951" s="573" t="s">
        <v>209</v>
      </c>
      <c r="R951" s="587">
        <f t="shared" si="116"/>
        <v>159.69999999999999</v>
      </c>
      <c r="AE951" s="592">
        <f t="shared" si="118"/>
        <v>0</v>
      </c>
    </row>
    <row r="952" spans="6:33" ht="24" customHeight="1">
      <c r="F952" s="651">
        <v>1.9300000000000001E-2</v>
      </c>
      <c r="G952" s="585" t="s">
        <v>126</v>
      </c>
      <c r="H952" s="573" t="s">
        <v>1487</v>
      </c>
      <c r="I952" s="587">
        <f>C90</f>
        <v>95000</v>
      </c>
      <c r="J952" s="573" t="s">
        <v>126</v>
      </c>
      <c r="K952" s="587">
        <f>(F952*I952)</f>
        <v>1833.5</v>
      </c>
      <c r="M952" s="587">
        <v>1</v>
      </c>
      <c r="N952" s="585" t="s">
        <v>209</v>
      </c>
      <c r="O952" s="573" t="s">
        <v>1488</v>
      </c>
      <c r="P952" s="587">
        <f t="shared" si="117"/>
        <v>7.3</v>
      </c>
      <c r="Q952" s="573" t="s">
        <v>209</v>
      </c>
      <c r="R952" s="587">
        <f t="shared" si="116"/>
        <v>7.3</v>
      </c>
      <c r="AE952" s="592">
        <f t="shared" si="118"/>
        <v>0</v>
      </c>
    </row>
    <row r="953" spans="6:33" ht="24" customHeight="1">
      <c r="F953" s="652"/>
      <c r="H953" s="573" t="s">
        <v>1489</v>
      </c>
      <c r="I953" s="573" t="s">
        <v>115</v>
      </c>
      <c r="K953" s="573" t="s">
        <v>115</v>
      </c>
      <c r="M953" s="587">
        <v>1</v>
      </c>
      <c r="N953" s="585" t="s">
        <v>209</v>
      </c>
      <c r="O953" s="573" t="s">
        <v>3089</v>
      </c>
      <c r="P953" s="587">
        <f t="shared" si="117"/>
        <v>43.8</v>
      </c>
      <c r="Q953" s="573" t="s">
        <v>209</v>
      </c>
      <c r="R953" s="587">
        <f t="shared" si="116"/>
        <v>43.8</v>
      </c>
      <c r="AE953" s="592">
        <f t="shared" si="118"/>
        <v>0</v>
      </c>
    </row>
    <row r="954" spans="6:33" ht="24" customHeight="1">
      <c r="F954" s="652">
        <v>1.823</v>
      </c>
      <c r="G954" s="585" t="s">
        <v>140</v>
      </c>
      <c r="H954" s="573" t="s">
        <v>1480</v>
      </c>
      <c r="I954" s="587">
        <f>C31</f>
        <v>1155</v>
      </c>
      <c r="J954" s="573" t="s">
        <v>140</v>
      </c>
      <c r="K954" s="587">
        <f t="shared" ref="K954:K961" si="119">(F954*I954)</f>
        <v>2105.5650000000001</v>
      </c>
      <c r="N954" s="576"/>
      <c r="Q954" s="578"/>
      <c r="R954" s="582" t="s">
        <v>117</v>
      </c>
      <c r="AE954" s="592">
        <f t="shared" si="118"/>
        <v>0</v>
      </c>
    </row>
    <row r="955" spans="6:33" ht="24" customHeight="1">
      <c r="F955" s="587">
        <v>1</v>
      </c>
      <c r="G955" s="585" t="s">
        <v>1</v>
      </c>
      <c r="H955" s="573" t="s">
        <v>1490</v>
      </c>
      <c r="I955" s="587">
        <f>C598</f>
        <v>50.9</v>
      </c>
      <c r="J955" s="573" t="s">
        <v>209</v>
      </c>
      <c r="K955" s="587">
        <f t="shared" si="119"/>
        <v>50.9</v>
      </c>
      <c r="N955" s="576"/>
      <c r="O955" s="573" t="s">
        <v>1491</v>
      </c>
      <c r="Q955" s="578"/>
      <c r="R955" s="587">
        <f>SUM(R943:R953)</f>
        <v>4703.8949999999995</v>
      </c>
      <c r="AE955" s="592">
        <f t="shared" si="118"/>
        <v>0</v>
      </c>
    </row>
    <row r="956" spans="6:33" ht="24" customHeight="1">
      <c r="F956" s="587">
        <v>3</v>
      </c>
      <c r="G956" s="585" t="s">
        <v>209</v>
      </c>
      <c r="H956" s="573" t="s">
        <v>1482</v>
      </c>
      <c r="I956" s="587">
        <f>C279</f>
        <v>79.099999999999994</v>
      </c>
      <c r="J956" s="573" t="s">
        <v>209</v>
      </c>
      <c r="K956" s="587">
        <f t="shared" si="119"/>
        <v>237.29999999999998</v>
      </c>
      <c r="N956" s="576"/>
      <c r="Q956" s="578"/>
      <c r="R956" s="582" t="s">
        <v>117</v>
      </c>
      <c r="AE956" s="592">
        <f t="shared" si="118"/>
        <v>0</v>
      </c>
    </row>
    <row r="957" spans="6:33" ht="24" customHeight="1">
      <c r="F957" s="587">
        <v>2</v>
      </c>
      <c r="G957" s="585" t="s">
        <v>209</v>
      </c>
      <c r="H957" s="573" t="s">
        <v>1484</v>
      </c>
      <c r="I957" s="587">
        <f>C284</f>
        <v>57.2</v>
      </c>
      <c r="J957" s="573" t="s">
        <v>209</v>
      </c>
      <c r="K957" s="587">
        <f t="shared" si="119"/>
        <v>114.4</v>
      </c>
      <c r="N957" s="576"/>
      <c r="O957" s="589" t="s">
        <v>154</v>
      </c>
      <c r="Q957" s="578"/>
      <c r="R957" s="586">
        <f>R955/M947</f>
        <v>2580.3044432254524</v>
      </c>
      <c r="AE957" s="592">
        <f t="shared" si="118"/>
        <v>0</v>
      </c>
    </row>
    <row r="958" spans="6:33" ht="24" customHeight="1">
      <c r="F958" s="587">
        <v>1</v>
      </c>
      <c r="G958" s="585" t="s">
        <v>209</v>
      </c>
      <c r="H958" s="573" t="s">
        <v>1486</v>
      </c>
      <c r="I958" s="587">
        <f>C286</f>
        <v>159.69999999999999</v>
      </c>
      <c r="J958" s="573" t="s">
        <v>209</v>
      </c>
      <c r="K958" s="587">
        <f t="shared" si="119"/>
        <v>159.69999999999999</v>
      </c>
      <c r="M958" s="573" t="s">
        <v>115</v>
      </c>
      <c r="N958" s="576"/>
      <c r="Q958" s="578"/>
      <c r="AE958" s="592">
        <f t="shared" si="118"/>
        <v>0</v>
      </c>
    </row>
    <row r="959" spans="6:33" ht="24" customHeight="1">
      <c r="F959" s="587">
        <v>1</v>
      </c>
      <c r="G959" s="585" t="s">
        <v>209</v>
      </c>
      <c r="H959" s="573" t="s">
        <v>1488</v>
      </c>
      <c r="I959" s="587">
        <f>C288</f>
        <v>7.3</v>
      </c>
      <c r="J959" s="573" t="s">
        <v>209</v>
      </c>
      <c r="K959" s="587">
        <f t="shared" si="119"/>
        <v>7.3</v>
      </c>
      <c r="N959" s="576"/>
      <c r="Q959" s="578"/>
      <c r="R959" s="582" t="s">
        <v>155</v>
      </c>
      <c r="AE959" s="592" t="str">
        <f t="shared" si="118"/>
        <v>|</v>
      </c>
      <c r="AG959" s="573" t="s">
        <v>849</v>
      </c>
    </row>
    <row r="960" spans="6:33" ht="24" customHeight="1">
      <c r="F960" s="587">
        <v>1</v>
      </c>
      <c r="G960" s="585" t="s">
        <v>209</v>
      </c>
      <c r="H960" s="573" t="s">
        <v>630</v>
      </c>
      <c r="I960" s="587">
        <f>D598</f>
        <v>43.8</v>
      </c>
      <c r="J960" s="573" t="s">
        <v>209</v>
      </c>
      <c r="K960" s="587">
        <f t="shared" si="119"/>
        <v>43.8</v>
      </c>
      <c r="AE960" s="592" t="str">
        <f t="shared" si="118"/>
        <v>|</v>
      </c>
      <c r="AG960" s="573" t="s">
        <v>849</v>
      </c>
    </row>
    <row r="961" spans="6:33" ht="24" customHeight="1">
      <c r="F961" s="587">
        <v>10</v>
      </c>
      <c r="G961" s="585" t="s">
        <v>1492</v>
      </c>
      <c r="H961" s="641" t="s">
        <v>3090</v>
      </c>
      <c r="I961" s="618">
        <v>2.37</v>
      </c>
      <c r="J961" s="578" t="s">
        <v>1494</v>
      </c>
      <c r="K961" s="587">
        <f t="shared" si="119"/>
        <v>23.700000000000003</v>
      </c>
      <c r="AE961" s="592" t="str">
        <f t="shared" si="118"/>
        <v>|</v>
      </c>
      <c r="AG961" s="573" t="s">
        <v>849</v>
      </c>
    </row>
    <row r="962" spans="6:33" ht="24" customHeight="1">
      <c r="H962" s="573" t="s">
        <v>1491</v>
      </c>
      <c r="K962" s="587">
        <f>SUM(K950:K961)</f>
        <v>8263.8249999999989</v>
      </c>
      <c r="AE962" s="592" t="str">
        <f t="shared" si="118"/>
        <v>|</v>
      </c>
      <c r="AG962" s="573" t="s">
        <v>849</v>
      </c>
    </row>
    <row r="963" spans="6:33" ht="24" customHeight="1">
      <c r="K963" s="582" t="s">
        <v>117</v>
      </c>
      <c r="AE963" s="592" t="str">
        <f t="shared" si="118"/>
        <v>|</v>
      </c>
      <c r="AG963" s="573" t="s">
        <v>849</v>
      </c>
    </row>
    <row r="964" spans="6:33" ht="24" customHeight="1">
      <c r="H964" s="589" t="s">
        <v>154</v>
      </c>
      <c r="K964" s="586">
        <f>K962/F954</f>
        <v>4533.0910586944592</v>
      </c>
      <c r="AE964" s="592" t="str">
        <f t="shared" si="118"/>
        <v>|</v>
      </c>
      <c r="AG964" s="573" t="s">
        <v>849</v>
      </c>
    </row>
    <row r="965" spans="6:33" ht="24" customHeight="1">
      <c r="F965" s="573" t="s">
        <v>115</v>
      </c>
      <c r="AE965" s="592" t="str">
        <f t="shared" si="118"/>
        <v>|</v>
      </c>
      <c r="AG965" s="573" t="s">
        <v>849</v>
      </c>
    </row>
    <row r="966" spans="6:33" ht="24" customHeight="1">
      <c r="K966" s="582" t="s">
        <v>155</v>
      </c>
      <c r="AE966" s="592" t="str">
        <f t="shared" si="118"/>
        <v>|</v>
      </c>
      <c r="AG966" s="573" t="s">
        <v>849</v>
      </c>
    </row>
    <row r="967" spans="6:33" ht="24" customHeight="1">
      <c r="AE967" s="592" t="str">
        <f t="shared" si="118"/>
        <v>|</v>
      </c>
      <c r="AG967" s="573" t="s">
        <v>849</v>
      </c>
    </row>
    <row r="968" spans="6:33" ht="24" customHeight="1">
      <c r="AE968" s="592" t="str">
        <f t="shared" si="118"/>
        <v>|</v>
      </c>
      <c r="AG968" s="573" t="s">
        <v>849</v>
      </c>
    </row>
    <row r="969" spans="6:33" ht="24" customHeight="1">
      <c r="F969" s="574" t="s">
        <v>1495</v>
      </c>
      <c r="G969" s="585" t="s">
        <v>122</v>
      </c>
      <c r="H969" s="573" t="s">
        <v>1472</v>
      </c>
      <c r="AE969" s="592" t="str">
        <f t="shared" si="118"/>
        <v>|</v>
      </c>
      <c r="AG969" s="573" t="s">
        <v>849</v>
      </c>
    </row>
    <row r="970" spans="6:33" ht="24" customHeight="1">
      <c r="H970" s="573" t="s">
        <v>1467</v>
      </c>
      <c r="AE970" s="592" t="str">
        <f t="shared" si="118"/>
        <v>|</v>
      </c>
      <c r="AG970" s="573" t="s">
        <v>849</v>
      </c>
    </row>
    <row r="971" spans="6:33" ht="24" customHeight="1">
      <c r="H971" s="573" t="s">
        <v>1496</v>
      </c>
      <c r="AE971" s="592" t="str">
        <f t="shared" si="118"/>
        <v>|</v>
      </c>
      <c r="AG971" s="573" t="s">
        <v>849</v>
      </c>
    </row>
    <row r="972" spans="6:33" ht="24" customHeight="1">
      <c r="H972" s="582" t="s">
        <v>117</v>
      </c>
      <c r="AE972" s="592" t="str">
        <f t="shared" si="118"/>
        <v>|</v>
      </c>
      <c r="AG972" s="573" t="s">
        <v>849</v>
      </c>
    </row>
    <row r="973" spans="6:33" ht="24" customHeight="1">
      <c r="AE973" s="592" t="str">
        <f t="shared" si="118"/>
        <v>|</v>
      </c>
      <c r="AG973" s="573" t="s">
        <v>849</v>
      </c>
    </row>
    <row r="974" spans="6:33" ht="24" customHeight="1">
      <c r="H974" s="573" t="s">
        <v>1497</v>
      </c>
      <c r="AE974" s="592">
        <f t="shared" si="118"/>
        <v>0</v>
      </c>
    </row>
    <row r="975" spans="6:33" ht="24" customHeight="1">
      <c r="H975" s="573" t="s">
        <v>1498</v>
      </c>
      <c r="AE975" s="592" t="str">
        <f t="shared" si="118"/>
        <v>|</v>
      </c>
      <c r="AG975" s="573" t="s">
        <v>849</v>
      </c>
    </row>
    <row r="976" spans="6:33" ht="24" customHeight="1">
      <c r="J976" s="573" t="s">
        <v>117</v>
      </c>
      <c r="AE976" s="592">
        <f t="shared" si="118"/>
        <v>0</v>
      </c>
    </row>
    <row r="977" spans="6:33" ht="24" customHeight="1">
      <c r="H977" s="573" t="s">
        <v>1499</v>
      </c>
      <c r="AE977" s="592">
        <f t="shared" si="118"/>
        <v>0</v>
      </c>
    </row>
    <row r="978" spans="6:33" ht="24" customHeight="1">
      <c r="H978" s="573" t="s">
        <v>1500</v>
      </c>
      <c r="K978" s="651">
        <v>2.1999999999999999E-2</v>
      </c>
      <c r="AE978" s="592" t="str">
        <f t="shared" si="118"/>
        <v>|</v>
      </c>
      <c r="AG978" s="573" t="s">
        <v>849</v>
      </c>
    </row>
    <row r="979" spans="6:33" ht="24" customHeight="1">
      <c r="J979" s="573" t="s">
        <v>115</v>
      </c>
      <c r="K979" s="582" t="s">
        <v>117</v>
      </c>
      <c r="AE979" s="592" t="str">
        <f t="shared" si="118"/>
        <v>|</v>
      </c>
      <c r="AG979" s="573" t="s">
        <v>849</v>
      </c>
    </row>
    <row r="980" spans="6:33" ht="24" customHeight="1">
      <c r="H980" s="573" t="s">
        <v>1501</v>
      </c>
      <c r="J980" s="703" t="s">
        <v>115</v>
      </c>
      <c r="K980" s="651">
        <v>1.3100000000000001E-2</v>
      </c>
      <c r="AE980" s="592" t="str">
        <f t="shared" si="118"/>
        <v>|</v>
      </c>
      <c r="AG980" s="573" t="s">
        <v>849</v>
      </c>
    </row>
    <row r="981" spans="6:33" ht="24" customHeight="1">
      <c r="H981" s="573" t="s">
        <v>1502</v>
      </c>
      <c r="J981" s="573" t="s">
        <v>115</v>
      </c>
      <c r="K981" s="651">
        <v>3.3999999999999998E-3</v>
      </c>
      <c r="AE981" s="592" t="str">
        <f t="shared" si="118"/>
        <v>|</v>
      </c>
      <c r="AG981" s="573" t="s">
        <v>849</v>
      </c>
    </row>
    <row r="982" spans="6:33" ht="24" customHeight="1">
      <c r="K982" s="582" t="s">
        <v>117</v>
      </c>
      <c r="AE982" s="592">
        <f t="shared" si="118"/>
        <v>0</v>
      </c>
    </row>
    <row r="983" spans="6:33" ht="24" customHeight="1">
      <c r="K983" s="651">
        <v>1.6500000000000001E-2</v>
      </c>
      <c r="AE983" s="592">
        <f t="shared" si="118"/>
        <v>0</v>
      </c>
    </row>
    <row r="984" spans="6:33" ht="24" customHeight="1">
      <c r="K984" s="582" t="s">
        <v>117</v>
      </c>
      <c r="O984" s="575" t="s">
        <v>1503</v>
      </c>
      <c r="AE984" s="592">
        <f t="shared" si="118"/>
        <v>0</v>
      </c>
    </row>
    <row r="985" spans="6:33" ht="24" customHeight="1">
      <c r="F985" s="651">
        <v>1.15E-2</v>
      </c>
      <c r="G985" s="585" t="s">
        <v>126</v>
      </c>
      <c r="H985" s="573" t="s">
        <v>1483</v>
      </c>
      <c r="I985" s="587">
        <f>C88</f>
        <v>111600</v>
      </c>
      <c r="J985" s="573" t="s">
        <v>126</v>
      </c>
      <c r="K985" s="587">
        <f>(F985*I985)</f>
        <v>1283.4000000000001</v>
      </c>
      <c r="M985" s="574" t="s">
        <v>1504</v>
      </c>
      <c r="N985" s="585"/>
      <c r="O985" s="573" t="s">
        <v>1505</v>
      </c>
      <c r="Q985" s="578"/>
      <c r="R985" s="573" t="s">
        <v>115</v>
      </c>
      <c r="AE985" s="592">
        <f t="shared" si="118"/>
        <v>0</v>
      </c>
    </row>
    <row r="986" spans="6:33" ht="24" customHeight="1">
      <c r="F986" s="651">
        <v>2.1999999999999999E-2</v>
      </c>
      <c r="G986" s="585" t="s">
        <v>126</v>
      </c>
      <c r="H986" s="573" t="s">
        <v>1485</v>
      </c>
      <c r="I986" s="587">
        <f>C89</f>
        <v>99400</v>
      </c>
      <c r="J986" s="573" t="s">
        <v>126</v>
      </c>
      <c r="K986" s="587">
        <f>(F986*I986)</f>
        <v>2186.7999999999997</v>
      </c>
      <c r="N986" s="576"/>
      <c r="O986" s="582" t="s">
        <v>117</v>
      </c>
      <c r="Q986" s="578"/>
      <c r="AE986" s="592">
        <f t="shared" si="118"/>
        <v>0</v>
      </c>
    </row>
    <row r="987" spans="6:33" ht="24" customHeight="1">
      <c r="F987" s="651">
        <v>1.6500000000000001E-2</v>
      </c>
      <c r="G987" s="585" t="s">
        <v>126</v>
      </c>
      <c r="H987" s="573" t="s">
        <v>1487</v>
      </c>
      <c r="I987" s="587">
        <f>C90</f>
        <v>95000</v>
      </c>
      <c r="J987" s="573" t="s">
        <v>126</v>
      </c>
      <c r="K987" s="587">
        <f>(F987*I987)</f>
        <v>1567.5</v>
      </c>
      <c r="M987" s="704">
        <v>1.153E-2</v>
      </c>
      <c r="N987" s="705" t="s">
        <v>126</v>
      </c>
      <c r="O987" s="706" t="s">
        <v>621</v>
      </c>
      <c r="P987" s="707">
        <f t="shared" ref="P987:P997" si="120">I1053</f>
        <v>111600</v>
      </c>
      <c r="Q987" s="706" t="s">
        <v>126</v>
      </c>
      <c r="R987" s="707">
        <f t="shared" ref="R987:R997" si="121">(M987*P987)</f>
        <v>1286.748</v>
      </c>
      <c r="AE987" s="592">
        <f t="shared" si="118"/>
        <v>0</v>
      </c>
    </row>
    <row r="988" spans="6:33" ht="24" customHeight="1">
      <c r="F988" s="651"/>
      <c r="H988" s="573" t="s">
        <v>1489</v>
      </c>
      <c r="I988" s="573" t="s">
        <v>115</v>
      </c>
      <c r="K988" s="573" t="s">
        <v>115</v>
      </c>
      <c r="M988" s="708">
        <v>1.013E-2</v>
      </c>
      <c r="N988" s="585" t="s">
        <v>126</v>
      </c>
      <c r="O988" s="573" t="s">
        <v>622</v>
      </c>
      <c r="P988" s="707">
        <f t="shared" si="120"/>
        <v>99400</v>
      </c>
      <c r="Q988" s="573" t="s">
        <v>126</v>
      </c>
      <c r="R988" s="587">
        <f t="shared" si="121"/>
        <v>1006.922</v>
      </c>
      <c r="AE988" s="592">
        <f t="shared" si="118"/>
        <v>0</v>
      </c>
    </row>
    <row r="989" spans="6:33" ht="24" customHeight="1">
      <c r="F989" s="651">
        <v>1.64</v>
      </c>
      <c r="G989" s="585" t="s">
        <v>140</v>
      </c>
      <c r="H989" s="573" t="s">
        <v>1480</v>
      </c>
      <c r="I989" s="587">
        <f>C31</f>
        <v>1155</v>
      </c>
      <c r="J989" s="573" t="s">
        <v>140</v>
      </c>
      <c r="K989" s="587">
        <f t="shared" ref="K989:K996" si="122">(F989*I989)</f>
        <v>1894.1999999999998</v>
      </c>
      <c r="M989" s="708">
        <v>0.77780000000000005</v>
      </c>
      <c r="N989" s="585" t="s">
        <v>140</v>
      </c>
      <c r="O989" s="573" t="s">
        <v>623</v>
      </c>
      <c r="P989" s="707">
        <f t="shared" si="120"/>
        <v>387.4</v>
      </c>
      <c r="Q989" s="573" t="s">
        <v>140</v>
      </c>
      <c r="R989" s="587">
        <f t="shared" si="121"/>
        <v>301.31972000000002</v>
      </c>
      <c r="AE989" s="592">
        <f t="shared" si="118"/>
        <v>0</v>
      </c>
    </row>
    <row r="990" spans="6:33" ht="24" customHeight="1">
      <c r="F990" s="587">
        <v>1</v>
      </c>
      <c r="G990" s="585" t="s">
        <v>1</v>
      </c>
      <c r="H990" s="573" t="s">
        <v>1490</v>
      </c>
      <c r="I990" s="587">
        <f>C598</f>
        <v>50.9</v>
      </c>
      <c r="J990" s="573" t="s">
        <v>209</v>
      </c>
      <c r="K990" s="587">
        <f t="shared" si="122"/>
        <v>50.9</v>
      </c>
      <c r="M990" s="708">
        <v>1.23</v>
      </c>
      <c r="N990" s="585" t="s">
        <v>140</v>
      </c>
      <c r="O990" s="573" t="s">
        <v>624</v>
      </c>
      <c r="P990" s="707">
        <f t="shared" si="120"/>
        <v>963</v>
      </c>
      <c r="Q990" s="573" t="s">
        <v>140</v>
      </c>
      <c r="R990" s="587">
        <f t="shared" si="121"/>
        <v>1184.49</v>
      </c>
      <c r="AE990" s="592">
        <f t="shared" si="118"/>
        <v>0</v>
      </c>
    </row>
    <row r="991" spans="6:33" ht="24" customHeight="1">
      <c r="F991" s="587">
        <v>3</v>
      </c>
      <c r="G991" s="585" t="s">
        <v>209</v>
      </c>
      <c r="H991" s="573" t="s">
        <v>1482</v>
      </c>
      <c r="I991" s="587">
        <f>C279</f>
        <v>79.099999999999994</v>
      </c>
      <c r="J991" s="573" t="s">
        <v>209</v>
      </c>
      <c r="K991" s="587">
        <f t="shared" si="122"/>
        <v>237.29999999999998</v>
      </c>
      <c r="M991" s="587">
        <v>2</v>
      </c>
      <c r="N991" s="585" t="s">
        <v>209</v>
      </c>
      <c r="O991" s="573" t="s">
        <v>625</v>
      </c>
      <c r="P991" s="707">
        <f t="shared" si="120"/>
        <v>57.2</v>
      </c>
      <c r="Q991" s="573" t="s">
        <v>209</v>
      </c>
      <c r="R991" s="587">
        <f t="shared" si="121"/>
        <v>114.4</v>
      </c>
      <c r="AE991" s="592">
        <f t="shared" si="118"/>
        <v>0</v>
      </c>
    </row>
    <row r="992" spans="6:33" ht="24" customHeight="1">
      <c r="F992" s="587">
        <v>2</v>
      </c>
      <c r="G992" s="585" t="s">
        <v>209</v>
      </c>
      <c r="H992" s="573" t="s">
        <v>1484</v>
      </c>
      <c r="I992" s="587">
        <f>C284</f>
        <v>57.2</v>
      </c>
      <c r="J992" s="573" t="s">
        <v>209</v>
      </c>
      <c r="K992" s="587">
        <f t="shared" si="122"/>
        <v>114.4</v>
      </c>
      <c r="M992" s="587">
        <v>3</v>
      </c>
      <c r="N992" s="585" t="s">
        <v>209</v>
      </c>
      <c r="O992" s="573" t="s">
        <v>1506</v>
      </c>
      <c r="P992" s="707">
        <f t="shared" si="120"/>
        <v>79.099999999999994</v>
      </c>
      <c r="Q992" s="573" t="s">
        <v>209</v>
      </c>
      <c r="R992" s="587">
        <f t="shared" si="121"/>
        <v>237.29999999999998</v>
      </c>
      <c r="AE992" s="592">
        <f t="shared" si="118"/>
        <v>0</v>
      </c>
    </row>
    <row r="993" spans="6:33" ht="24" customHeight="1">
      <c r="F993" s="587">
        <v>1</v>
      </c>
      <c r="G993" s="585" t="s">
        <v>209</v>
      </c>
      <c r="H993" s="573" t="s">
        <v>1486</v>
      </c>
      <c r="I993" s="587">
        <f>C286</f>
        <v>159.69999999999999</v>
      </c>
      <c r="J993" s="573" t="s">
        <v>209</v>
      </c>
      <c r="K993" s="587">
        <f t="shared" si="122"/>
        <v>159.69999999999999</v>
      </c>
      <c r="M993" s="587">
        <v>1</v>
      </c>
      <c r="N993" s="585" t="s">
        <v>209</v>
      </c>
      <c r="O993" s="573" t="s">
        <v>627</v>
      </c>
      <c r="P993" s="707">
        <f t="shared" si="120"/>
        <v>159.69999999999999</v>
      </c>
      <c r="Q993" s="573" t="s">
        <v>209</v>
      </c>
      <c r="R993" s="587">
        <f t="shared" si="121"/>
        <v>159.69999999999999</v>
      </c>
      <c r="AE993" s="592">
        <f t="shared" si="118"/>
        <v>0</v>
      </c>
    </row>
    <row r="994" spans="6:33" ht="24" customHeight="1">
      <c r="F994" s="587">
        <v>1</v>
      </c>
      <c r="G994" s="585" t="s">
        <v>209</v>
      </c>
      <c r="H994" s="573" t="s">
        <v>1488</v>
      </c>
      <c r="I994" s="587">
        <f>C288</f>
        <v>7.3</v>
      </c>
      <c r="J994" s="573" t="s">
        <v>209</v>
      </c>
      <c r="K994" s="587">
        <f t="shared" si="122"/>
        <v>7.3</v>
      </c>
      <c r="M994" s="587">
        <v>1</v>
      </c>
      <c r="N994" s="585" t="s">
        <v>209</v>
      </c>
      <c r="O994" s="573" t="s">
        <v>628</v>
      </c>
      <c r="P994" s="707">
        <f t="shared" si="120"/>
        <v>7.3</v>
      </c>
      <c r="Q994" s="573" t="s">
        <v>209</v>
      </c>
      <c r="R994" s="587">
        <f t="shared" si="121"/>
        <v>7.3</v>
      </c>
      <c r="AE994" s="592" t="str">
        <f t="shared" si="118"/>
        <v>|</v>
      </c>
      <c r="AG994" s="573" t="s">
        <v>849</v>
      </c>
    </row>
    <row r="995" spans="6:33" ht="24" customHeight="1">
      <c r="F995" s="587">
        <v>1</v>
      </c>
      <c r="G995" s="585" t="s">
        <v>209</v>
      </c>
      <c r="H995" s="573" t="s">
        <v>630</v>
      </c>
      <c r="I995" s="587">
        <f>D598</f>
        <v>43.8</v>
      </c>
      <c r="J995" s="573" t="s">
        <v>209</v>
      </c>
      <c r="K995" s="587">
        <f t="shared" si="122"/>
        <v>43.8</v>
      </c>
      <c r="M995" s="587">
        <v>1</v>
      </c>
      <c r="N995" s="585" t="s">
        <v>209</v>
      </c>
      <c r="O995" s="573" t="s">
        <v>1507</v>
      </c>
      <c r="P995" s="707">
        <f t="shared" si="120"/>
        <v>50.9</v>
      </c>
      <c r="Q995" s="573" t="s">
        <v>209</v>
      </c>
      <c r="R995" s="587">
        <f t="shared" si="121"/>
        <v>50.9</v>
      </c>
      <c r="AE995" s="592" t="str">
        <f t="shared" si="118"/>
        <v>|</v>
      </c>
      <c r="AG995" s="573" t="s">
        <v>849</v>
      </c>
    </row>
    <row r="996" spans="6:33" ht="24" customHeight="1">
      <c r="F996" s="587">
        <v>10</v>
      </c>
      <c r="G996" s="585" t="s">
        <v>1492</v>
      </c>
      <c r="H996" s="573" t="s">
        <v>1508</v>
      </c>
      <c r="I996" s="587">
        <f>I961</f>
        <v>2.37</v>
      </c>
      <c r="J996" s="573" t="s">
        <v>209</v>
      </c>
      <c r="K996" s="587">
        <f t="shared" si="122"/>
        <v>23.700000000000003</v>
      </c>
      <c r="M996" s="587">
        <v>1</v>
      </c>
      <c r="N996" s="585" t="s">
        <v>209</v>
      </c>
      <c r="O996" s="573" t="s">
        <v>630</v>
      </c>
      <c r="P996" s="707">
        <f t="shared" si="120"/>
        <v>43.8</v>
      </c>
      <c r="Q996" s="573" t="s">
        <v>209</v>
      </c>
      <c r="R996" s="587">
        <f t="shared" si="121"/>
        <v>43.8</v>
      </c>
      <c r="AE996" s="592" t="str">
        <f t="shared" si="118"/>
        <v>|</v>
      </c>
      <c r="AG996" s="573" t="s">
        <v>849</v>
      </c>
    </row>
    <row r="997" spans="6:33" ht="24" customHeight="1">
      <c r="K997" s="582" t="s">
        <v>117</v>
      </c>
      <c r="M997" s="587">
        <v>58</v>
      </c>
      <c r="N997" s="576"/>
      <c r="O997" s="573" t="s">
        <v>1509</v>
      </c>
      <c r="P997" s="707">
        <f t="shared" si="120"/>
        <v>2.37</v>
      </c>
      <c r="Q997" s="578"/>
      <c r="R997" s="587">
        <f t="shared" si="121"/>
        <v>137.46</v>
      </c>
      <c r="AE997" s="592" t="str">
        <f t="shared" si="118"/>
        <v>|</v>
      </c>
      <c r="AG997" s="573" t="s">
        <v>849</v>
      </c>
    </row>
    <row r="998" spans="6:33" ht="24" customHeight="1">
      <c r="H998" s="573" t="s">
        <v>1510</v>
      </c>
      <c r="K998" s="587">
        <f>SUM(K985:K996)</f>
        <v>7568.9999999999991</v>
      </c>
      <c r="N998" s="576"/>
      <c r="O998" s="574" t="s">
        <v>631</v>
      </c>
      <c r="Q998" s="578"/>
      <c r="R998" s="587">
        <f>SUM(R987:R997)</f>
        <v>4530.3397199999999</v>
      </c>
      <c r="AE998" s="592" t="str">
        <f t="shared" si="118"/>
        <v>|</v>
      </c>
      <c r="AG998" s="573" t="s">
        <v>849</v>
      </c>
    </row>
    <row r="999" spans="6:33" ht="24" customHeight="1">
      <c r="K999" s="582" t="s">
        <v>117</v>
      </c>
      <c r="N999" s="585" t="s">
        <v>115</v>
      </c>
      <c r="Q999" s="578"/>
      <c r="R999" s="582" t="s">
        <v>117</v>
      </c>
      <c r="AE999" s="592" t="str">
        <f t="shared" si="118"/>
        <v>|</v>
      </c>
      <c r="AG999" s="573" t="s">
        <v>849</v>
      </c>
    </row>
    <row r="1000" spans="6:33" ht="24" customHeight="1">
      <c r="H1000" s="589" t="s">
        <v>154</v>
      </c>
      <c r="K1000" s="586">
        <f>K998/F989</f>
        <v>4615.2439024390242</v>
      </c>
      <c r="N1000" s="576"/>
      <c r="O1000" s="589" t="s">
        <v>154</v>
      </c>
      <c r="Q1000" s="578"/>
      <c r="R1000" s="586">
        <f>R998/M990</f>
        <v>3683.2030243902441</v>
      </c>
      <c r="AE1000" s="592" t="str">
        <f t="shared" si="118"/>
        <v>|</v>
      </c>
      <c r="AG1000" s="573" t="s">
        <v>849</v>
      </c>
    </row>
    <row r="1001" spans="6:33" ht="24" customHeight="1">
      <c r="K1001" s="582" t="s">
        <v>155</v>
      </c>
      <c r="N1001" s="576"/>
      <c r="Q1001" s="578"/>
      <c r="R1001" s="582" t="s">
        <v>155</v>
      </c>
      <c r="AE1001" s="592" t="str">
        <f t="shared" si="118"/>
        <v>|::</v>
      </c>
      <c r="AG1001" s="573" t="s">
        <v>636</v>
      </c>
    </row>
    <row r="1002" spans="6:33" ht="24" customHeight="1">
      <c r="F1002" s="574" t="s">
        <v>1511</v>
      </c>
      <c r="G1002" s="585" t="s">
        <v>122</v>
      </c>
      <c r="H1002" s="573" t="s">
        <v>1472</v>
      </c>
      <c r="AE1002" s="592">
        <f t="shared" si="118"/>
        <v>0</v>
      </c>
    </row>
    <row r="1003" spans="6:33" ht="24" customHeight="1">
      <c r="H1003" s="573" t="s">
        <v>1467</v>
      </c>
      <c r="AE1003" s="592">
        <f t="shared" si="118"/>
        <v>0</v>
      </c>
    </row>
    <row r="1004" spans="6:33" ht="24" customHeight="1">
      <c r="H1004" s="573" t="s">
        <v>1512</v>
      </c>
      <c r="AE1004" s="592" t="str">
        <f t="shared" si="118"/>
        <v>|</v>
      </c>
      <c r="AG1004" s="573" t="s">
        <v>849</v>
      </c>
    </row>
    <row r="1005" spans="6:33" ht="24" customHeight="1">
      <c r="H1005" s="582" t="s">
        <v>117</v>
      </c>
      <c r="AE1005" s="592"/>
      <c r="AG1005" s="573"/>
    </row>
    <row r="1006" spans="6:33" ht="24" customHeight="1">
      <c r="H1006" s="573" t="s">
        <v>1513</v>
      </c>
      <c r="AE1006" s="592" t="str">
        <f t="shared" si="118"/>
        <v>|</v>
      </c>
      <c r="AG1006" s="573" t="s">
        <v>849</v>
      </c>
    </row>
    <row r="1007" spans="6:33" ht="24" customHeight="1">
      <c r="H1007" s="573" t="s">
        <v>1471</v>
      </c>
      <c r="AE1007" s="592" t="str">
        <f t="shared" si="118"/>
        <v>|</v>
      </c>
      <c r="AG1007" s="573" t="s">
        <v>849</v>
      </c>
    </row>
    <row r="1008" spans="6:33" ht="24" customHeight="1">
      <c r="J1008" s="573" t="s">
        <v>117</v>
      </c>
      <c r="AE1008" s="592" t="str">
        <f t="shared" si="118"/>
        <v>|</v>
      </c>
      <c r="AG1008" s="573" t="s">
        <v>849</v>
      </c>
    </row>
    <row r="1009" spans="6:33" ht="24" customHeight="1">
      <c r="H1009" s="573" t="s">
        <v>1514</v>
      </c>
      <c r="AE1009" s="592" t="str">
        <f t="shared" si="118"/>
        <v>|</v>
      </c>
      <c r="AG1009" s="573" t="s">
        <v>849</v>
      </c>
    </row>
    <row r="1010" spans="6:33" ht="24" customHeight="1">
      <c r="H1010" s="573" t="s">
        <v>1515</v>
      </c>
      <c r="K1010" s="651">
        <v>1.1900000000000001E-2</v>
      </c>
      <c r="AE1010" s="592" t="str">
        <f t="shared" si="118"/>
        <v>|</v>
      </c>
      <c r="AG1010" s="573" t="s">
        <v>849</v>
      </c>
    </row>
    <row r="1011" spans="6:33" ht="24" customHeight="1">
      <c r="J1011" s="573" t="s">
        <v>115</v>
      </c>
      <c r="K1011" s="582" t="s">
        <v>117</v>
      </c>
      <c r="AE1011" s="592">
        <f t="shared" si="118"/>
        <v>0</v>
      </c>
    </row>
    <row r="1012" spans="6:33" ht="24" customHeight="1">
      <c r="H1012" s="573" t="s">
        <v>1516</v>
      </c>
      <c r="J1012" s="703" t="s">
        <v>115</v>
      </c>
      <c r="K1012" s="651">
        <v>1.18E-2</v>
      </c>
      <c r="AE1012" s="592">
        <f t="shared" si="118"/>
        <v>0</v>
      </c>
    </row>
    <row r="1013" spans="6:33" ht="24" customHeight="1">
      <c r="H1013" s="573" t="s">
        <v>251</v>
      </c>
      <c r="J1013" s="573" t="s">
        <v>115</v>
      </c>
      <c r="K1013" s="709" t="s">
        <v>117</v>
      </c>
      <c r="AE1013" s="592">
        <f t="shared" si="118"/>
        <v>0</v>
      </c>
    </row>
    <row r="1014" spans="6:33" ht="24" customHeight="1">
      <c r="AE1014" s="592">
        <f t="shared" ref="AE1014:AE1034" si="123">AG1014</f>
        <v>0</v>
      </c>
    </row>
    <row r="1015" spans="6:33" ht="24" customHeight="1">
      <c r="F1015" s="651">
        <v>1.14E-2</v>
      </c>
      <c r="G1015" s="585" t="s">
        <v>126</v>
      </c>
      <c r="H1015" s="573" t="s">
        <v>1483</v>
      </c>
      <c r="I1015" s="587">
        <f>C88</f>
        <v>111600</v>
      </c>
      <c r="J1015" s="573" t="s">
        <v>126</v>
      </c>
      <c r="K1015" s="587">
        <f>(F1015*I1015)</f>
        <v>1272.24</v>
      </c>
      <c r="AE1015" s="592">
        <f t="shared" si="123"/>
        <v>0</v>
      </c>
    </row>
    <row r="1016" spans="6:33" ht="24" customHeight="1">
      <c r="F1016" s="651">
        <v>1.1900000000000001E-2</v>
      </c>
      <c r="G1016" s="585" t="s">
        <v>126</v>
      </c>
      <c r="H1016" s="573" t="s">
        <v>1485</v>
      </c>
      <c r="I1016" s="587">
        <f>C89</f>
        <v>99400</v>
      </c>
      <c r="J1016" s="573" t="s">
        <v>126</v>
      </c>
      <c r="K1016" s="587">
        <f>(F1016*I1016)</f>
        <v>1182.8600000000001</v>
      </c>
      <c r="AE1016" s="592">
        <f t="shared" si="123"/>
        <v>0</v>
      </c>
    </row>
    <row r="1017" spans="6:33" ht="24" customHeight="1">
      <c r="F1017" s="651">
        <v>1.18E-2</v>
      </c>
      <c r="G1017" s="585" t="s">
        <v>126</v>
      </c>
      <c r="H1017" s="573" t="s">
        <v>1487</v>
      </c>
      <c r="I1017" s="587">
        <f>C90</f>
        <v>95000</v>
      </c>
      <c r="J1017" s="573" t="s">
        <v>126</v>
      </c>
      <c r="K1017" s="587">
        <f>(F1017*I1017)</f>
        <v>1121</v>
      </c>
      <c r="AE1017" s="592">
        <f t="shared" si="123"/>
        <v>0</v>
      </c>
    </row>
    <row r="1018" spans="6:33" ht="24" customHeight="1">
      <c r="F1018" s="651"/>
      <c r="H1018" s="573" t="s">
        <v>1489</v>
      </c>
      <c r="I1018" s="573" t="s">
        <v>115</v>
      </c>
      <c r="K1018" s="573" t="s">
        <v>115</v>
      </c>
      <c r="AE1018" s="592">
        <f t="shared" si="123"/>
        <v>0</v>
      </c>
    </row>
    <row r="1019" spans="6:33" ht="24" customHeight="1">
      <c r="F1019" s="651">
        <v>1.2150000000000001</v>
      </c>
      <c r="G1019" s="585" t="s">
        <v>140</v>
      </c>
      <c r="H1019" s="573" t="s">
        <v>1480</v>
      </c>
      <c r="I1019" s="587">
        <f>C31</f>
        <v>1155</v>
      </c>
      <c r="J1019" s="573" t="s">
        <v>140</v>
      </c>
      <c r="K1019" s="587">
        <f t="shared" ref="K1019:K1026" si="124">(F1019*I1019)</f>
        <v>1403.325</v>
      </c>
      <c r="AE1019" s="592">
        <f t="shared" si="123"/>
        <v>0</v>
      </c>
    </row>
    <row r="1020" spans="6:33" ht="24" customHeight="1">
      <c r="F1020" s="587">
        <v>1</v>
      </c>
      <c r="G1020" s="585" t="s">
        <v>1</v>
      </c>
      <c r="H1020" s="573" t="s">
        <v>1490</v>
      </c>
      <c r="I1020" s="587">
        <f>C598</f>
        <v>50.9</v>
      </c>
      <c r="J1020" s="573" t="s">
        <v>209</v>
      </c>
      <c r="K1020" s="587">
        <f t="shared" si="124"/>
        <v>50.9</v>
      </c>
      <c r="AE1020" s="592">
        <f t="shared" si="123"/>
        <v>0</v>
      </c>
    </row>
    <row r="1021" spans="6:33" ht="24" customHeight="1">
      <c r="F1021" s="587">
        <v>3</v>
      </c>
      <c r="G1021" s="585" t="s">
        <v>209</v>
      </c>
      <c r="H1021" s="573" t="s">
        <v>1482</v>
      </c>
      <c r="I1021" s="587">
        <f>C279</f>
        <v>79.099999999999994</v>
      </c>
      <c r="J1021" s="573" t="s">
        <v>209</v>
      </c>
      <c r="K1021" s="587">
        <f t="shared" si="124"/>
        <v>237.29999999999998</v>
      </c>
      <c r="AE1021" s="592">
        <f t="shared" si="123"/>
        <v>0</v>
      </c>
    </row>
    <row r="1022" spans="6:33" ht="24" customHeight="1">
      <c r="F1022" s="587">
        <v>2</v>
      </c>
      <c r="G1022" s="585" t="s">
        <v>209</v>
      </c>
      <c r="H1022" s="573" t="s">
        <v>1484</v>
      </c>
      <c r="I1022" s="587">
        <f>C284</f>
        <v>57.2</v>
      </c>
      <c r="J1022" s="573" t="s">
        <v>209</v>
      </c>
      <c r="K1022" s="587">
        <f t="shared" si="124"/>
        <v>114.4</v>
      </c>
      <c r="AE1022" s="592">
        <f t="shared" si="123"/>
        <v>0</v>
      </c>
    </row>
    <row r="1023" spans="6:33" ht="24" customHeight="1">
      <c r="F1023" s="587">
        <v>1</v>
      </c>
      <c r="G1023" s="585" t="s">
        <v>209</v>
      </c>
      <c r="H1023" s="573" t="s">
        <v>1486</v>
      </c>
      <c r="I1023" s="587">
        <f>C286</f>
        <v>159.69999999999999</v>
      </c>
      <c r="J1023" s="573" t="s">
        <v>209</v>
      </c>
      <c r="K1023" s="587">
        <f t="shared" si="124"/>
        <v>159.69999999999999</v>
      </c>
      <c r="AE1023" s="592">
        <f t="shared" si="123"/>
        <v>0</v>
      </c>
    </row>
    <row r="1024" spans="6:33" ht="24" customHeight="1">
      <c r="F1024" s="587">
        <v>1</v>
      </c>
      <c r="G1024" s="585" t="s">
        <v>209</v>
      </c>
      <c r="H1024" s="573" t="s">
        <v>1488</v>
      </c>
      <c r="I1024" s="587">
        <f>C288</f>
        <v>7.3</v>
      </c>
      <c r="J1024" s="573" t="s">
        <v>209</v>
      </c>
      <c r="K1024" s="587">
        <f t="shared" si="124"/>
        <v>7.3</v>
      </c>
      <c r="AE1024" s="592">
        <f t="shared" si="123"/>
        <v>0</v>
      </c>
    </row>
    <row r="1025" spans="6:31" ht="24" customHeight="1">
      <c r="F1025" s="587">
        <v>1</v>
      </c>
      <c r="G1025" s="585" t="s">
        <v>209</v>
      </c>
      <c r="H1025" s="573" t="s">
        <v>630</v>
      </c>
      <c r="I1025" s="587">
        <f>D598</f>
        <v>43.8</v>
      </c>
      <c r="J1025" s="573" t="s">
        <v>209</v>
      </c>
      <c r="K1025" s="587">
        <f t="shared" si="124"/>
        <v>43.8</v>
      </c>
      <c r="AE1025" s="592">
        <f t="shared" si="123"/>
        <v>0</v>
      </c>
    </row>
    <row r="1026" spans="6:31" ht="24" customHeight="1">
      <c r="F1026" s="587">
        <v>10</v>
      </c>
      <c r="G1026" s="585" t="s">
        <v>1492</v>
      </c>
      <c r="H1026" s="573" t="s">
        <v>1508</v>
      </c>
      <c r="I1026" s="587">
        <f>I996</f>
        <v>2.37</v>
      </c>
      <c r="J1026" s="573" t="s">
        <v>209</v>
      </c>
      <c r="K1026" s="587">
        <f t="shared" si="124"/>
        <v>23.700000000000003</v>
      </c>
      <c r="M1026" s="574" t="s">
        <v>1517</v>
      </c>
      <c r="N1026" s="585" t="s">
        <v>122</v>
      </c>
      <c r="O1026" s="573" t="s">
        <v>1518</v>
      </c>
      <c r="Q1026" s="578"/>
      <c r="AE1026" s="592">
        <f t="shared" si="123"/>
        <v>0</v>
      </c>
    </row>
    <row r="1027" spans="6:31" ht="24" customHeight="1">
      <c r="K1027" s="582" t="s">
        <v>117</v>
      </c>
      <c r="N1027" s="576"/>
      <c r="O1027" s="573" t="s">
        <v>1519</v>
      </c>
      <c r="Q1027" s="578"/>
      <c r="AE1027" s="592">
        <f t="shared" si="123"/>
        <v>0</v>
      </c>
    </row>
    <row r="1028" spans="6:31" ht="24" customHeight="1">
      <c r="H1028" s="573" t="s">
        <v>1520</v>
      </c>
      <c r="K1028" s="587">
        <f>SUM(K1015:K1026)</f>
        <v>5616.5249999999996</v>
      </c>
      <c r="N1028" s="576"/>
      <c r="O1028" s="573" t="s">
        <v>1521</v>
      </c>
      <c r="Q1028" s="578"/>
      <c r="AE1028" s="592">
        <f t="shared" si="123"/>
        <v>0</v>
      </c>
    </row>
    <row r="1029" spans="6:31" ht="24" customHeight="1">
      <c r="K1029" s="582" t="s">
        <v>117</v>
      </c>
      <c r="N1029" s="576"/>
      <c r="O1029" s="573" t="s">
        <v>1522</v>
      </c>
      <c r="Q1029" s="578"/>
      <c r="AE1029" s="592">
        <f t="shared" si="123"/>
        <v>0</v>
      </c>
    </row>
    <row r="1030" spans="6:31" ht="24" customHeight="1">
      <c r="H1030" s="589" t="s">
        <v>154</v>
      </c>
      <c r="K1030" s="586">
        <f>K1028/F1019</f>
        <v>4622.6543209876536</v>
      </c>
      <c r="N1030" s="576"/>
      <c r="O1030" s="573" t="s">
        <v>1523</v>
      </c>
      <c r="Q1030" s="578"/>
      <c r="AE1030" s="592">
        <f t="shared" si="123"/>
        <v>0</v>
      </c>
    </row>
    <row r="1031" spans="6:31" ht="24" customHeight="1">
      <c r="K1031" s="582" t="s">
        <v>155</v>
      </c>
      <c r="N1031" s="576"/>
      <c r="O1031" s="573" t="s">
        <v>1524</v>
      </c>
      <c r="Q1031" s="578"/>
      <c r="AE1031" s="592">
        <f t="shared" si="123"/>
        <v>0</v>
      </c>
    </row>
    <row r="1032" spans="6:31" ht="24" customHeight="1">
      <c r="H1032" s="710" t="s">
        <v>1525</v>
      </c>
      <c r="I1032" s="711"/>
      <c r="J1032" s="712"/>
      <c r="K1032" s="710">
        <v>2014</v>
      </c>
      <c r="N1032" s="576"/>
      <c r="O1032" s="582" t="s">
        <v>117</v>
      </c>
      <c r="Q1032" s="578"/>
      <c r="AE1032" s="592">
        <f t="shared" si="123"/>
        <v>0</v>
      </c>
    </row>
    <row r="1033" spans="6:31" ht="24" customHeight="1">
      <c r="F1033" s="574" t="s">
        <v>1517</v>
      </c>
      <c r="G1033" s="585" t="s">
        <v>122</v>
      </c>
      <c r="H1033" s="573" t="s">
        <v>1518</v>
      </c>
      <c r="N1033" s="576"/>
      <c r="O1033" s="573" t="s">
        <v>1497</v>
      </c>
      <c r="Q1033" s="578"/>
      <c r="AE1033" s="592">
        <f t="shared" si="123"/>
        <v>0</v>
      </c>
    </row>
    <row r="1034" spans="6:31" ht="24" customHeight="1">
      <c r="H1034" s="573" t="s">
        <v>1519</v>
      </c>
      <c r="N1034" s="576"/>
      <c r="O1034" s="573" t="s">
        <v>1526</v>
      </c>
      <c r="Q1034" s="578"/>
      <c r="AE1034" s="592">
        <f t="shared" si="123"/>
        <v>0</v>
      </c>
    </row>
    <row r="1035" spans="6:31" ht="24" customHeight="1">
      <c r="H1035" s="573" t="s">
        <v>1521</v>
      </c>
      <c r="N1035" s="576"/>
      <c r="Q1035" s="573" t="s">
        <v>117</v>
      </c>
      <c r="AE1035" s="592"/>
    </row>
    <row r="1036" spans="6:31" ht="24" customHeight="1">
      <c r="H1036" s="573" t="s">
        <v>1522</v>
      </c>
      <c r="N1036" s="576"/>
      <c r="O1036" s="573" t="s">
        <v>1527</v>
      </c>
      <c r="Q1036" s="578"/>
      <c r="AE1036" s="592">
        <f t="shared" ref="AE1036:AE1041" si="125">AG1036</f>
        <v>0</v>
      </c>
    </row>
    <row r="1037" spans="6:31" ht="24" customHeight="1">
      <c r="H1037" s="573" t="s">
        <v>1523</v>
      </c>
      <c r="N1037" s="576"/>
      <c r="O1037" s="573" t="s">
        <v>115</v>
      </c>
      <c r="P1037" s="573" t="s">
        <v>115</v>
      </c>
      <c r="Q1037" s="578"/>
      <c r="R1037" s="703" t="s">
        <v>115</v>
      </c>
      <c r="AE1037" s="592">
        <f t="shared" si="125"/>
        <v>0</v>
      </c>
    </row>
    <row r="1038" spans="6:31" ht="24" customHeight="1">
      <c r="H1038" s="573" t="s">
        <v>1524</v>
      </c>
      <c r="N1038" s="576"/>
      <c r="Q1038" s="573" t="s">
        <v>115</v>
      </c>
      <c r="R1038" s="573" t="s">
        <v>115</v>
      </c>
      <c r="AE1038" s="592">
        <f t="shared" si="125"/>
        <v>0</v>
      </c>
    </row>
    <row r="1039" spans="6:31" ht="24" customHeight="1">
      <c r="H1039" s="582" t="s">
        <v>117</v>
      </c>
      <c r="N1039" s="576"/>
      <c r="O1039" s="573" t="s">
        <v>1528</v>
      </c>
      <c r="Q1039" s="703" t="s">
        <v>115</v>
      </c>
      <c r="R1039" s="703" t="s">
        <v>115</v>
      </c>
      <c r="AE1039" s="592">
        <f t="shared" si="125"/>
        <v>0</v>
      </c>
    </row>
    <row r="1040" spans="6:31" ht="24" customHeight="1">
      <c r="H1040" s="573" t="s">
        <v>1497</v>
      </c>
      <c r="N1040" s="576"/>
      <c r="O1040" s="573" t="s">
        <v>1529</v>
      </c>
      <c r="Q1040" s="578"/>
      <c r="R1040" s="703" t="s">
        <v>1530</v>
      </c>
      <c r="AE1040" s="592">
        <f t="shared" si="125"/>
        <v>0</v>
      </c>
    </row>
    <row r="1041" spans="6:33" ht="24" customHeight="1">
      <c r="H1041" s="573" t="s">
        <v>1526</v>
      </c>
      <c r="N1041" s="576"/>
      <c r="Q1041" s="578"/>
      <c r="R1041" s="573" t="s">
        <v>115</v>
      </c>
      <c r="AE1041" s="592">
        <f t="shared" si="125"/>
        <v>0</v>
      </c>
    </row>
    <row r="1042" spans="6:33" ht="24" customHeight="1">
      <c r="J1042" s="573" t="s">
        <v>117</v>
      </c>
      <c r="N1042" s="576"/>
      <c r="Q1042" s="578"/>
      <c r="R1042" s="703" t="s">
        <v>115</v>
      </c>
      <c r="AB1042" s="574" t="s">
        <v>1517</v>
      </c>
      <c r="AC1042" s="585" t="s">
        <v>122</v>
      </c>
      <c r="AD1042" s="573" t="s">
        <v>1531</v>
      </c>
      <c r="AF1042" s="578"/>
    </row>
    <row r="1043" spans="6:33" ht="24" customHeight="1">
      <c r="H1043" s="573" t="s">
        <v>1527</v>
      </c>
      <c r="N1043" s="576"/>
      <c r="Q1043" s="578"/>
      <c r="R1043" s="573" t="s">
        <v>115</v>
      </c>
      <c r="AC1043" s="576"/>
      <c r="AD1043" s="573" t="s">
        <v>1519</v>
      </c>
      <c r="AF1043" s="578"/>
    </row>
    <row r="1044" spans="6:33" ht="24" customHeight="1">
      <c r="H1044" s="573" t="s">
        <v>115</v>
      </c>
      <c r="I1044" s="573" t="s">
        <v>115</v>
      </c>
      <c r="K1044" s="703" t="s">
        <v>115</v>
      </c>
      <c r="M1044" s="574" t="s">
        <v>1504</v>
      </c>
      <c r="N1044" s="585"/>
      <c r="O1044" s="573" t="s">
        <v>1532</v>
      </c>
      <c r="Q1044" s="578"/>
      <c r="R1044" s="573" t="s">
        <v>115</v>
      </c>
      <c r="AC1044" s="576"/>
      <c r="AD1044" s="573" t="s">
        <v>1521</v>
      </c>
      <c r="AF1044" s="578"/>
    </row>
    <row r="1045" spans="6:33" ht="24" customHeight="1">
      <c r="J1045" s="573" t="s">
        <v>115</v>
      </c>
      <c r="K1045" s="573" t="s">
        <v>115</v>
      </c>
      <c r="N1045" s="576"/>
      <c r="O1045" s="582" t="s">
        <v>117</v>
      </c>
      <c r="Q1045" s="578"/>
      <c r="AC1045" s="576"/>
      <c r="AD1045" s="573" t="s">
        <v>1522</v>
      </c>
      <c r="AF1045" s="578"/>
    </row>
    <row r="1046" spans="6:33" s="713" customFormat="1" ht="24" customHeight="1">
      <c r="F1046" s="575"/>
      <c r="G1046" s="576"/>
      <c r="H1046" s="573" t="s">
        <v>1528</v>
      </c>
      <c r="I1046" s="575"/>
      <c r="J1046" s="703" t="s">
        <v>115</v>
      </c>
      <c r="K1046" s="703" t="s">
        <v>115</v>
      </c>
      <c r="M1046" s="704">
        <v>1.153E-2</v>
      </c>
      <c r="N1046" s="705" t="s">
        <v>126</v>
      </c>
      <c r="O1046" s="706" t="s">
        <v>1533</v>
      </c>
      <c r="P1046" s="707">
        <f>C86</f>
        <v>34300</v>
      </c>
      <c r="Q1046" s="706" t="s">
        <v>126</v>
      </c>
      <c r="R1046" s="707">
        <f t="shared" ref="R1046:R1055" si="126">(M1046*P1046)</f>
        <v>395.47899999999998</v>
      </c>
      <c r="S1046" s="714"/>
      <c r="AB1046" s="575"/>
      <c r="AC1046" s="576"/>
      <c r="AD1046" s="573" t="s">
        <v>1523</v>
      </c>
      <c r="AE1046" s="575"/>
      <c r="AF1046" s="578"/>
      <c r="AG1046" s="575"/>
    </row>
    <row r="1047" spans="6:33" ht="24" customHeight="1">
      <c r="H1047" s="573" t="s">
        <v>1529</v>
      </c>
      <c r="K1047" s="703" t="s">
        <v>1530</v>
      </c>
      <c r="M1047" s="708">
        <v>1.35E-2</v>
      </c>
      <c r="N1047" s="585" t="s">
        <v>126</v>
      </c>
      <c r="O1047" s="573" t="s">
        <v>1533</v>
      </c>
      <c r="P1047" s="587">
        <f>P1046</f>
        <v>34300</v>
      </c>
      <c r="Q1047" s="573" t="s">
        <v>126</v>
      </c>
      <c r="R1047" s="587">
        <f t="shared" si="126"/>
        <v>463.05</v>
      </c>
      <c r="S1047" s="617"/>
      <c r="AC1047" s="576"/>
      <c r="AD1047" s="573" t="s">
        <v>1534</v>
      </c>
      <c r="AF1047" s="578"/>
    </row>
    <row r="1048" spans="6:33" ht="24" customHeight="1">
      <c r="K1048" s="573" t="s">
        <v>115</v>
      </c>
      <c r="M1048" s="708">
        <v>1.016</v>
      </c>
      <c r="N1048" s="585" t="s">
        <v>140</v>
      </c>
      <c r="O1048" s="573" t="s">
        <v>623</v>
      </c>
      <c r="P1048" s="587">
        <f>I1055</f>
        <v>387.4</v>
      </c>
      <c r="Q1048" s="573" t="s">
        <v>140</v>
      </c>
      <c r="R1048" s="587">
        <f t="shared" si="126"/>
        <v>393.59839999999997</v>
      </c>
      <c r="S1048" s="617"/>
      <c r="AC1048" s="576"/>
      <c r="AD1048" s="582" t="s">
        <v>117</v>
      </c>
      <c r="AF1048" s="578"/>
    </row>
    <row r="1049" spans="6:33" ht="24" customHeight="1">
      <c r="K1049" s="703" t="s">
        <v>115</v>
      </c>
      <c r="M1049" s="708">
        <v>1.64</v>
      </c>
      <c r="N1049" s="585" t="s">
        <v>140</v>
      </c>
      <c r="O1049" s="573" t="s">
        <v>624</v>
      </c>
      <c r="P1049" s="587">
        <f t="shared" ref="P1049:P1054" si="127">I1056</f>
        <v>963</v>
      </c>
      <c r="Q1049" s="573" t="s">
        <v>140</v>
      </c>
      <c r="R1049" s="587">
        <f t="shared" si="126"/>
        <v>1579.32</v>
      </c>
      <c r="S1049" s="617"/>
      <c r="AC1049" s="576"/>
      <c r="AD1049" s="573" t="s">
        <v>1535</v>
      </c>
      <c r="AF1049" s="578"/>
    </row>
    <row r="1050" spans="6:33" ht="24" customHeight="1">
      <c r="K1050" s="573" t="s">
        <v>115</v>
      </c>
      <c r="M1050" s="587">
        <v>2</v>
      </c>
      <c r="N1050" s="585" t="s">
        <v>209</v>
      </c>
      <c r="O1050" s="573" t="s">
        <v>625</v>
      </c>
      <c r="P1050" s="587">
        <f t="shared" si="127"/>
        <v>57.2</v>
      </c>
      <c r="Q1050" s="573" t="s">
        <v>209</v>
      </c>
      <c r="R1050" s="587">
        <f t="shared" si="126"/>
        <v>114.4</v>
      </c>
      <c r="S1050" s="617"/>
      <c r="AC1050" s="576"/>
      <c r="AD1050" s="573" t="s">
        <v>1536</v>
      </c>
      <c r="AF1050" s="578"/>
    </row>
    <row r="1051" spans="6:33" ht="24" customHeight="1">
      <c r="F1051" s="574" t="s">
        <v>1504</v>
      </c>
      <c r="G1051" s="585"/>
      <c r="H1051" s="573" t="s">
        <v>1532</v>
      </c>
      <c r="K1051" s="573" t="s">
        <v>115</v>
      </c>
      <c r="M1051" s="587">
        <v>3</v>
      </c>
      <c r="N1051" s="585" t="s">
        <v>209</v>
      </c>
      <c r="O1051" s="573" t="s">
        <v>1506</v>
      </c>
      <c r="P1051" s="587">
        <f t="shared" si="127"/>
        <v>79.099999999999994</v>
      </c>
      <c r="Q1051" s="573" t="s">
        <v>209</v>
      </c>
      <c r="R1051" s="587">
        <f t="shared" si="126"/>
        <v>237.29999999999998</v>
      </c>
      <c r="S1051" s="617"/>
      <c r="AC1051" s="576"/>
      <c r="AF1051" s="573" t="s">
        <v>117</v>
      </c>
    </row>
    <row r="1052" spans="6:33" ht="24" customHeight="1">
      <c r="H1052" s="582" t="s">
        <v>117</v>
      </c>
      <c r="M1052" s="587">
        <v>1</v>
      </c>
      <c r="N1052" s="585" t="s">
        <v>209</v>
      </c>
      <c r="O1052" s="573" t="s">
        <v>627</v>
      </c>
      <c r="P1052" s="587">
        <f t="shared" si="127"/>
        <v>159.69999999999999</v>
      </c>
      <c r="Q1052" s="573" t="s">
        <v>209</v>
      </c>
      <c r="R1052" s="587">
        <f t="shared" si="126"/>
        <v>159.69999999999999</v>
      </c>
      <c r="S1052" s="617"/>
      <c r="AC1052" s="576"/>
      <c r="AD1052" s="573" t="s">
        <v>1537</v>
      </c>
      <c r="AF1052" s="578"/>
    </row>
    <row r="1053" spans="6:33" ht="24" customHeight="1">
      <c r="F1053" s="704">
        <v>1.153E-2</v>
      </c>
      <c r="G1053" s="705" t="s">
        <v>126</v>
      </c>
      <c r="H1053" s="706" t="s">
        <v>621</v>
      </c>
      <c r="I1053" s="707">
        <f>C88</f>
        <v>111600</v>
      </c>
      <c r="J1053" s="706" t="s">
        <v>126</v>
      </c>
      <c r="K1053" s="707">
        <f t="shared" ref="K1053:K1063" si="128">(F1053*I1053)</f>
        <v>1286.748</v>
      </c>
      <c r="M1053" s="587">
        <v>1</v>
      </c>
      <c r="N1053" s="585" t="s">
        <v>209</v>
      </c>
      <c r="O1053" s="573" t="s">
        <v>628</v>
      </c>
      <c r="P1053" s="587">
        <f t="shared" si="127"/>
        <v>7.3</v>
      </c>
      <c r="Q1053" s="573" t="s">
        <v>209</v>
      </c>
      <c r="R1053" s="587">
        <f t="shared" si="126"/>
        <v>7.3</v>
      </c>
      <c r="S1053" s="617"/>
      <c r="AC1053" s="576"/>
      <c r="AD1053" s="573" t="s">
        <v>115</v>
      </c>
      <c r="AE1053" s="573" t="s">
        <v>115</v>
      </c>
      <c r="AF1053" s="578"/>
      <c r="AG1053" s="703" t="s">
        <v>115</v>
      </c>
    </row>
    <row r="1054" spans="6:33" ht="24" customHeight="1">
      <c r="F1054" s="708">
        <v>1.35E-2</v>
      </c>
      <c r="G1054" s="585" t="s">
        <v>126</v>
      </c>
      <c r="H1054" s="573" t="s">
        <v>622</v>
      </c>
      <c r="I1054" s="587">
        <f>C89</f>
        <v>99400</v>
      </c>
      <c r="J1054" s="573" t="s">
        <v>126</v>
      </c>
      <c r="K1054" s="587">
        <f t="shared" si="128"/>
        <v>1341.9</v>
      </c>
      <c r="M1054" s="587">
        <v>1</v>
      </c>
      <c r="N1054" s="585" t="s">
        <v>209</v>
      </c>
      <c r="O1054" s="573" t="s">
        <v>1538</v>
      </c>
      <c r="P1054" s="587">
        <f t="shared" si="127"/>
        <v>50.9</v>
      </c>
      <c r="Q1054" s="573" t="s">
        <v>209</v>
      </c>
      <c r="R1054" s="587">
        <f t="shared" si="126"/>
        <v>50.9</v>
      </c>
      <c r="S1054" s="617"/>
      <c r="AC1054" s="576"/>
      <c r="AF1054" s="573" t="s">
        <v>115</v>
      </c>
      <c r="AG1054" s="573" t="s">
        <v>115</v>
      </c>
    </row>
    <row r="1055" spans="6:33" ht="24" customHeight="1">
      <c r="F1055" s="708">
        <v>1.016</v>
      </c>
      <c r="G1055" s="585" t="s">
        <v>140</v>
      </c>
      <c r="H1055" s="573" t="s">
        <v>623</v>
      </c>
      <c r="I1055" s="587">
        <f>C783</f>
        <v>387.4</v>
      </c>
      <c r="J1055" s="573" t="s">
        <v>140</v>
      </c>
      <c r="K1055" s="587">
        <f t="shared" si="128"/>
        <v>393.59839999999997</v>
      </c>
      <c r="M1055" s="587">
        <v>1</v>
      </c>
      <c r="N1055" s="585" t="s">
        <v>209</v>
      </c>
      <c r="O1055" s="573" t="s">
        <v>630</v>
      </c>
      <c r="P1055" s="587">
        <f>P953</f>
        <v>43.8</v>
      </c>
      <c r="Q1055" s="573" t="s">
        <v>209</v>
      </c>
      <c r="R1055" s="587">
        <f t="shared" si="126"/>
        <v>43.8</v>
      </c>
      <c r="S1055" s="617"/>
      <c r="AC1055" s="576"/>
      <c r="AD1055" s="573" t="s">
        <v>1539</v>
      </c>
      <c r="AF1055" s="703" t="s">
        <v>115</v>
      </c>
      <c r="AG1055" s="703" t="s">
        <v>115</v>
      </c>
    </row>
    <row r="1056" spans="6:33" ht="24" customHeight="1">
      <c r="F1056" s="708">
        <v>1.64</v>
      </c>
      <c r="G1056" s="585" t="s">
        <v>140</v>
      </c>
      <c r="H1056" s="573" t="s">
        <v>624</v>
      </c>
      <c r="I1056" s="587">
        <f>D30</f>
        <v>963</v>
      </c>
      <c r="J1056" s="573" t="s">
        <v>140</v>
      </c>
      <c r="K1056" s="587">
        <f t="shared" si="128"/>
        <v>1579.32</v>
      </c>
      <c r="N1056" s="576"/>
      <c r="Q1056" s="578"/>
      <c r="R1056" s="582" t="s">
        <v>117</v>
      </c>
      <c r="S1056" s="715"/>
      <c r="AC1056" s="576"/>
      <c r="AD1056" s="573" t="s">
        <v>1540</v>
      </c>
      <c r="AF1056" s="578"/>
      <c r="AG1056" s="703" t="s">
        <v>1541</v>
      </c>
    </row>
    <row r="1057" spans="6:33" ht="24" customHeight="1">
      <c r="F1057" s="587">
        <v>2</v>
      </c>
      <c r="G1057" s="585" t="s">
        <v>209</v>
      </c>
      <c r="H1057" s="573" t="s">
        <v>625</v>
      </c>
      <c r="I1057" s="587">
        <f>C284</f>
        <v>57.2</v>
      </c>
      <c r="J1057" s="573" t="s">
        <v>209</v>
      </c>
      <c r="K1057" s="587">
        <f t="shared" si="128"/>
        <v>114.4</v>
      </c>
      <c r="N1057" s="576"/>
      <c r="O1057" s="574" t="s">
        <v>1542</v>
      </c>
      <c r="Q1057" s="578"/>
      <c r="R1057" s="587">
        <f>SUM(R1046:R1055)</f>
        <v>3444.8474000000006</v>
      </c>
      <c r="S1057" s="617"/>
      <c r="AC1057" s="576"/>
      <c r="AF1057" s="578"/>
      <c r="AG1057" s="573" t="s">
        <v>115</v>
      </c>
    </row>
    <row r="1058" spans="6:33" ht="24" customHeight="1">
      <c r="F1058" s="587">
        <v>3</v>
      </c>
      <c r="G1058" s="585" t="s">
        <v>209</v>
      </c>
      <c r="H1058" s="573" t="s">
        <v>1506</v>
      </c>
      <c r="I1058" s="587">
        <f>C279</f>
        <v>79.099999999999994</v>
      </c>
      <c r="J1058" s="573" t="s">
        <v>209</v>
      </c>
      <c r="K1058" s="587">
        <f t="shared" si="128"/>
        <v>237.29999999999998</v>
      </c>
      <c r="N1058" s="585" t="s">
        <v>115</v>
      </c>
      <c r="Q1058" s="578"/>
      <c r="R1058" s="582" t="s">
        <v>117</v>
      </c>
      <c r="S1058" s="715"/>
      <c r="AC1058" s="576"/>
      <c r="AF1058" s="578"/>
      <c r="AG1058" s="703" t="s">
        <v>115</v>
      </c>
    </row>
    <row r="1059" spans="6:33" ht="24" customHeight="1">
      <c r="F1059" s="587">
        <v>1</v>
      </c>
      <c r="G1059" s="585" t="s">
        <v>209</v>
      </c>
      <c r="H1059" s="573" t="s">
        <v>627</v>
      </c>
      <c r="I1059" s="587">
        <f>C286</f>
        <v>159.69999999999999</v>
      </c>
      <c r="J1059" s="573" t="s">
        <v>209</v>
      </c>
      <c r="K1059" s="587">
        <f t="shared" si="128"/>
        <v>159.69999999999999</v>
      </c>
      <c r="N1059" s="576"/>
      <c r="O1059" s="589" t="s">
        <v>154</v>
      </c>
      <c r="Q1059" s="578"/>
      <c r="R1059" s="586">
        <f>R1057/M1049</f>
        <v>2100.5167073170737</v>
      </c>
      <c r="S1059" s="617"/>
      <c r="AC1059" s="576"/>
      <c r="AF1059" s="578"/>
      <c r="AG1059" s="573" t="s">
        <v>115</v>
      </c>
    </row>
    <row r="1060" spans="6:33" ht="24" customHeight="1">
      <c r="F1060" s="587">
        <v>1</v>
      </c>
      <c r="G1060" s="585" t="s">
        <v>209</v>
      </c>
      <c r="H1060" s="573" t="s">
        <v>628</v>
      </c>
      <c r="I1060" s="587">
        <f>C288</f>
        <v>7.3</v>
      </c>
      <c r="J1060" s="573" t="s">
        <v>209</v>
      </c>
      <c r="K1060" s="587">
        <f t="shared" si="128"/>
        <v>7.3</v>
      </c>
      <c r="N1060" s="576"/>
      <c r="Q1060" s="578"/>
      <c r="R1060" s="582" t="s">
        <v>155</v>
      </c>
      <c r="S1060" s="715" t="s">
        <v>155</v>
      </c>
      <c r="AB1060" s="574" t="s">
        <v>1504</v>
      </c>
      <c r="AC1060" s="585"/>
      <c r="AD1060" s="573" t="s">
        <v>1543</v>
      </c>
      <c r="AF1060" s="578"/>
      <c r="AG1060" s="573" t="s">
        <v>115</v>
      </c>
    </row>
    <row r="1061" spans="6:33" ht="24" customHeight="1">
      <c r="F1061" s="587">
        <v>1</v>
      </c>
      <c r="G1061" s="585" t="s">
        <v>209</v>
      </c>
      <c r="H1061" s="573" t="s">
        <v>1507</v>
      </c>
      <c r="I1061" s="587">
        <f>C598</f>
        <v>50.9</v>
      </c>
      <c r="J1061" s="573" t="s">
        <v>209</v>
      </c>
      <c r="K1061" s="587">
        <f t="shared" si="128"/>
        <v>50.9</v>
      </c>
      <c r="M1061" s="574"/>
      <c r="N1061" s="585"/>
      <c r="O1061" s="573"/>
      <c r="Q1061" s="578"/>
      <c r="R1061" s="573" t="s">
        <v>115</v>
      </c>
      <c r="AC1061" s="576"/>
      <c r="AD1061" s="582" t="s">
        <v>117</v>
      </c>
      <c r="AF1061" s="578"/>
    </row>
    <row r="1062" spans="6:33" ht="24" customHeight="1">
      <c r="F1062" s="587">
        <v>1</v>
      </c>
      <c r="G1062" s="585" t="s">
        <v>209</v>
      </c>
      <c r="H1062" s="573" t="s">
        <v>630</v>
      </c>
      <c r="I1062" s="587">
        <f>D598</f>
        <v>43.8</v>
      </c>
      <c r="J1062" s="573" t="s">
        <v>209</v>
      </c>
      <c r="K1062" s="587">
        <f t="shared" si="128"/>
        <v>43.8</v>
      </c>
      <c r="M1062" s="574" t="s">
        <v>1504</v>
      </c>
      <c r="N1062" s="585"/>
      <c r="O1062" s="573" t="s">
        <v>1544</v>
      </c>
      <c r="Q1062" s="578"/>
      <c r="R1062" s="573" t="s">
        <v>115</v>
      </c>
      <c r="AB1062" s="704">
        <v>2.3060000000000001E-2</v>
      </c>
      <c r="AC1062" s="705" t="s">
        <v>126</v>
      </c>
      <c r="AD1062" s="706" t="s">
        <v>621</v>
      </c>
      <c r="AE1062" s="707">
        <f>I1053</f>
        <v>111600</v>
      </c>
      <c r="AF1062" s="706" t="s">
        <v>126</v>
      </c>
      <c r="AG1062" s="707">
        <f t="shared" ref="AG1062:AG1072" si="129">(AB1062*AE1062)</f>
        <v>2573.4960000000001</v>
      </c>
    </row>
    <row r="1063" spans="6:33" ht="24" customHeight="1">
      <c r="F1063" s="587">
        <v>58</v>
      </c>
      <c r="G1063" s="585" t="s">
        <v>1492</v>
      </c>
      <c r="H1063" s="573" t="s">
        <v>1508</v>
      </c>
      <c r="I1063" s="575">
        <f>I1026</f>
        <v>2.37</v>
      </c>
      <c r="J1063" s="573" t="s">
        <v>209</v>
      </c>
      <c r="K1063" s="587">
        <f t="shared" si="128"/>
        <v>137.46</v>
      </c>
      <c r="N1063" s="576"/>
      <c r="O1063" s="582" t="s">
        <v>117</v>
      </c>
      <c r="Q1063" s="578"/>
      <c r="AB1063" s="708">
        <v>1.856E-2</v>
      </c>
      <c r="AC1063" s="585" t="s">
        <v>126</v>
      </c>
      <c r="AD1063" s="573" t="s">
        <v>622</v>
      </c>
      <c r="AE1063" s="707">
        <f t="shared" ref="AE1063:AE1071" si="130">I1054</f>
        <v>99400</v>
      </c>
      <c r="AF1063" s="573" t="s">
        <v>126</v>
      </c>
      <c r="AG1063" s="587">
        <f t="shared" si="129"/>
        <v>1844.864</v>
      </c>
    </row>
    <row r="1064" spans="6:33" ht="24" customHeight="1">
      <c r="H1064" s="574" t="s">
        <v>1542</v>
      </c>
      <c r="K1064" s="587">
        <f>SUM(K1053:K1063)</f>
        <v>5352.4263999999994</v>
      </c>
      <c r="M1064" s="704">
        <v>1.153E-2</v>
      </c>
      <c r="N1064" s="705" t="s">
        <v>126</v>
      </c>
      <c r="O1064" s="706" t="s">
        <v>621</v>
      </c>
      <c r="P1064" s="707">
        <f>I1053</f>
        <v>111600</v>
      </c>
      <c r="Q1064" s="706" t="s">
        <v>126</v>
      </c>
      <c r="R1064" s="707">
        <f t="shared" ref="R1064:R1074" si="131">(M1064*P1064)</f>
        <v>1286.748</v>
      </c>
      <c r="AB1064" s="708">
        <v>1.4</v>
      </c>
      <c r="AC1064" s="585" t="s">
        <v>140</v>
      </c>
      <c r="AD1064" s="573" t="s">
        <v>623</v>
      </c>
      <c r="AE1064" s="707">
        <f t="shared" si="130"/>
        <v>387.4</v>
      </c>
      <c r="AF1064" s="573" t="s">
        <v>140</v>
      </c>
      <c r="AG1064" s="587">
        <f t="shared" si="129"/>
        <v>542.3599999999999</v>
      </c>
    </row>
    <row r="1065" spans="6:33" ht="24" customHeight="1">
      <c r="G1065" s="585" t="s">
        <v>115</v>
      </c>
      <c r="K1065" s="582" t="s">
        <v>117</v>
      </c>
      <c r="M1065" s="708">
        <v>1.52E-2</v>
      </c>
      <c r="N1065" s="585" t="s">
        <v>126</v>
      </c>
      <c r="O1065" s="573" t="s">
        <v>622</v>
      </c>
      <c r="P1065" s="707">
        <f t="shared" ref="P1065:P1073" si="132">I1054</f>
        <v>99400</v>
      </c>
      <c r="Q1065" s="573" t="s">
        <v>126</v>
      </c>
      <c r="R1065" s="587">
        <f t="shared" si="131"/>
        <v>1510.88</v>
      </c>
      <c r="AB1065" s="708">
        <v>2.2549999999999999</v>
      </c>
      <c r="AC1065" s="585" t="s">
        <v>140</v>
      </c>
      <c r="AD1065" s="573" t="s">
        <v>624</v>
      </c>
      <c r="AE1065" s="707">
        <f t="shared" si="130"/>
        <v>963</v>
      </c>
      <c r="AF1065" s="573" t="s">
        <v>140</v>
      </c>
      <c r="AG1065" s="587">
        <f t="shared" si="129"/>
        <v>2171.5650000000001</v>
      </c>
    </row>
    <row r="1066" spans="6:33" ht="24" customHeight="1">
      <c r="H1066" s="589" t="s">
        <v>154</v>
      </c>
      <c r="K1066" s="586">
        <f>K1064/F1056</f>
        <v>3263.6746341463413</v>
      </c>
      <c r="M1066" s="708">
        <v>1.26</v>
      </c>
      <c r="N1066" s="585" t="s">
        <v>140</v>
      </c>
      <c r="O1066" s="573" t="s">
        <v>623</v>
      </c>
      <c r="P1066" s="707">
        <f t="shared" si="132"/>
        <v>387.4</v>
      </c>
      <c r="Q1066" s="573" t="s">
        <v>140</v>
      </c>
      <c r="R1066" s="587">
        <f t="shared" si="131"/>
        <v>488.12399999999997</v>
      </c>
      <c r="AB1066" s="587">
        <v>4</v>
      </c>
      <c r="AC1066" s="585" t="s">
        <v>209</v>
      </c>
      <c r="AD1066" s="573" t="s">
        <v>625</v>
      </c>
      <c r="AE1066" s="707">
        <f t="shared" si="130"/>
        <v>57.2</v>
      </c>
      <c r="AF1066" s="573" t="s">
        <v>209</v>
      </c>
      <c r="AG1066" s="587">
        <f t="shared" si="129"/>
        <v>228.8</v>
      </c>
    </row>
    <row r="1067" spans="6:33" ht="24" customHeight="1">
      <c r="K1067" s="582" t="s">
        <v>155</v>
      </c>
      <c r="M1067" s="708">
        <v>1.845</v>
      </c>
      <c r="N1067" s="585" t="s">
        <v>140</v>
      </c>
      <c r="O1067" s="573" t="s">
        <v>624</v>
      </c>
      <c r="P1067" s="707">
        <f t="shared" si="132"/>
        <v>963</v>
      </c>
      <c r="Q1067" s="573" t="s">
        <v>140</v>
      </c>
      <c r="R1067" s="587">
        <f t="shared" si="131"/>
        <v>1776.7349999999999</v>
      </c>
      <c r="AB1067" s="587">
        <v>6</v>
      </c>
      <c r="AC1067" s="585" t="s">
        <v>209</v>
      </c>
      <c r="AD1067" s="573" t="s">
        <v>1506</v>
      </c>
      <c r="AE1067" s="707">
        <f t="shared" si="130"/>
        <v>79.099999999999994</v>
      </c>
      <c r="AF1067" s="573" t="s">
        <v>209</v>
      </c>
      <c r="AG1067" s="587">
        <f t="shared" si="129"/>
        <v>474.59999999999997</v>
      </c>
    </row>
    <row r="1068" spans="6:33" ht="24" customHeight="1">
      <c r="F1068" s="574" t="s">
        <v>1545</v>
      </c>
      <c r="H1068" s="573" t="s">
        <v>1546</v>
      </c>
      <c r="M1068" s="587">
        <v>2</v>
      </c>
      <c r="N1068" s="585" t="s">
        <v>209</v>
      </c>
      <c r="O1068" s="573" t="s">
        <v>625</v>
      </c>
      <c r="P1068" s="707">
        <f t="shared" si="132"/>
        <v>57.2</v>
      </c>
      <c r="Q1068" s="573" t="s">
        <v>209</v>
      </c>
      <c r="R1068" s="587">
        <f t="shared" si="131"/>
        <v>114.4</v>
      </c>
      <c r="AB1068" s="587">
        <v>1</v>
      </c>
      <c r="AC1068" s="585" t="s">
        <v>209</v>
      </c>
      <c r="AD1068" s="573" t="s">
        <v>627</v>
      </c>
      <c r="AE1068" s="707">
        <f t="shared" si="130"/>
        <v>159.69999999999999</v>
      </c>
      <c r="AF1068" s="573" t="s">
        <v>209</v>
      </c>
      <c r="AG1068" s="587">
        <f t="shared" si="129"/>
        <v>159.69999999999999</v>
      </c>
    </row>
    <row r="1069" spans="6:33" ht="24" customHeight="1">
      <c r="H1069" s="573" t="s">
        <v>1547</v>
      </c>
      <c r="M1069" s="587">
        <v>3</v>
      </c>
      <c r="N1069" s="585" t="s">
        <v>209</v>
      </c>
      <c r="O1069" s="573" t="s">
        <v>1506</v>
      </c>
      <c r="P1069" s="707">
        <f t="shared" si="132"/>
        <v>79.099999999999994</v>
      </c>
      <c r="Q1069" s="573" t="s">
        <v>209</v>
      </c>
      <c r="R1069" s="587">
        <f t="shared" si="131"/>
        <v>237.29999999999998</v>
      </c>
      <c r="AB1069" s="587">
        <v>2</v>
      </c>
      <c r="AC1069" s="585" t="s">
        <v>209</v>
      </c>
      <c r="AD1069" s="573" t="s">
        <v>628</v>
      </c>
      <c r="AE1069" s="707">
        <f t="shared" si="130"/>
        <v>7.3</v>
      </c>
      <c r="AF1069" s="573" t="s">
        <v>209</v>
      </c>
      <c r="AG1069" s="587">
        <f t="shared" si="129"/>
        <v>14.6</v>
      </c>
    </row>
    <row r="1070" spans="6:33" ht="24" customHeight="1">
      <c r="H1070" s="582" t="s">
        <v>117</v>
      </c>
      <c r="M1070" s="587">
        <v>1</v>
      </c>
      <c r="N1070" s="585" t="s">
        <v>209</v>
      </c>
      <c r="O1070" s="573" t="s">
        <v>627</v>
      </c>
      <c r="P1070" s="707">
        <f t="shared" si="132"/>
        <v>159.69999999999999</v>
      </c>
      <c r="Q1070" s="573" t="s">
        <v>209</v>
      </c>
      <c r="R1070" s="587">
        <f t="shared" si="131"/>
        <v>159.69999999999999</v>
      </c>
      <c r="AB1070" s="587">
        <v>2</v>
      </c>
      <c r="AC1070" s="585" t="s">
        <v>209</v>
      </c>
      <c r="AD1070" s="573" t="s">
        <v>1507</v>
      </c>
      <c r="AE1070" s="707">
        <f t="shared" si="130"/>
        <v>50.9</v>
      </c>
      <c r="AF1070" s="573" t="s">
        <v>209</v>
      </c>
      <c r="AG1070" s="587">
        <f t="shared" si="129"/>
        <v>101.8</v>
      </c>
    </row>
    <row r="1071" spans="6:33" ht="24" customHeight="1">
      <c r="F1071" s="708">
        <v>6.6499999999999997E-3</v>
      </c>
      <c r="G1071" s="585" t="s">
        <v>642</v>
      </c>
      <c r="H1071" s="573" t="s">
        <v>1548</v>
      </c>
      <c r="I1071" s="587">
        <f>C89</f>
        <v>99400</v>
      </c>
      <c r="J1071" s="573" t="s">
        <v>126</v>
      </c>
      <c r="K1071" s="587">
        <f t="shared" ref="K1071:K1078" si="133">(F1071*I1071)</f>
        <v>661.01</v>
      </c>
      <c r="M1071" s="587">
        <v>1</v>
      </c>
      <c r="N1071" s="585" t="s">
        <v>209</v>
      </c>
      <c r="O1071" s="573" t="s">
        <v>628</v>
      </c>
      <c r="P1071" s="707">
        <f t="shared" si="132"/>
        <v>7.3</v>
      </c>
      <c r="Q1071" s="573" t="s">
        <v>209</v>
      </c>
      <c r="R1071" s="587">
        <f t="shared" si="131"/>
        <v>7.3</v>
      </c>
      <c r="AB1071" s="587">
        <v>2</v>
      </c>
      <c r="AC1071" s="585" t="s">
        <v>209</v>
      </c>
      <c r="AD1071" s="573" t="s">
        <v>630</v>
      </c>
      <c r="AE1071" s="707">
        <f t="shared" si="130"/>
        <v>43.8</v>
      </c>
      <c r="AF1071" s="573" t="s">
        <v>209</v>
      </c>
      <c r="AG1071" s="587">
        <f t="shared" si="129"/>
        <v>87.6</v>
      </c>
    </row>
    <row r="1072" spans="6:33" ht="24" customHeight="1">
      <c r="F1072" s="708">
        <v>0.32346000000000003</v>
      </c>
      <c r="G1072" s="585" t="s">
        <v>140</v>
      </c>
      <c r="H1072" s="573" t="s">
        <v>1549</v>
      </c>
      <c r="I1072" s="655">
        <v>208.8</v>
      </c>
      <c r="J1072" s="573" t="s">
        <v>126</v>
      </c>
      <c r="K1072" s="587">
        <f t="shared" si="133"/>
        <v>67.538448000000002</v>
      </c>
      <c r="M1072" s="587">
        <v>1</v>
      </c>
      <c r="N1072" s="585" t="s">
        <v>209</v>
      </c>
      <c r="O1072" s="573" t="s">
        <v>1507</v>
      </c>
      <c r="P1072" s="707">
        <f t="shared" si="132"/>
        <v>50.9</v>
      </c>
      <c r="Q1072" s="573" t="s">
        <v>209</v>
      </c>
      <c r="R1072" s="587">
        <f t="shared" si="131"/>
        <v>50.9</v>
      </c>
      <c r="AB1072" s="587">
        <v>118</v>
      </c>
      <c r="AC1072" s="585" t="s">
        <v>209</v>
      </c>
      <c r="AD1072" s="573" t="s">
        <v>1508</v>
      </c>
      <c r="AE1072" s="707">
        <f>I1063</f>
        <v>2.37</v>
      </c>
      <c r="AF1072" s="578"/>
      <c r="AG1072" s="587">
        <f t="shared" si="129"/>
        <v>279.66000000000003</v>
      </c>
    </row>
    <row r="1073" spans="6:33" ht="24" customHeight="1">
      <c r="F1073" s="708">
        <v>0.47660000000000002</v>
      </c>
      <c r="G1073" s="585" t="s">
        <v>140</v>
      </c>
      <c r="H1073" s="573" t="s">
        <v>624</v>
      </c>
      <c r="I1073" s="587">
        <f>D31</f>
        <v>1078</v>
      </c>
      <c r="J1073" s="573" t="s">
        <v>140</v>
      </c>
      <c r="K1073" s="587">
        <f t="shared" si="133"/>
        <v>513.77480000000003</v>
      </c>
      <c r="M1073" s="587">
        <v>1</v>
      </c>
      <c r="N1073" s="585" t="s">
        <v>209</v>
      </c>
      <c r="O1073" s="573" t="s">
        <v>630</v>
      </c>
      <c r="P1073" s="707">
        <f t="shared" si="132"/>
        <v>43.8</v>
      </c>
      <c r="Q1073" s="573" t="s">
        <v>209</v>
      </c>
      <c r="R1073" s="587">
        <f t="shared" si="131"/>
        <v>43.8</v>
      </c>
      <c r="AC1073" s="576"/>
      <c r="AD1073" s="574" t="s">
        <v>1550</v>
      </c>
      <c r="AF1073" s="578"/>
      <c r="AG1073" s="587">
        <f>SUM(AG1062:AG1072)</f>
        <v>8479.0450000000001</v>
      </c>
    </row>
    <row r="1074" spans="6:33" ht="24" customHeight="1">
      <c r="F1074" s="587">
        <v>3</v>
      </c>
      <c r="G1074" s="585" t="s">
        <v>209</v>
      </c>
      <c r="H1074" s="573" t="s">
        <v>1551</v>
      </c>
      <c r="I1074" s="587">
        <f>C282</f>
        <v>43.6</v>
      </c>
      <c r="J1074" s="573" t="s">
        <v>209</v>
      </c>
      <c r="K1074" s="587">
        <f t="shared" si="133"/>
        <v>130.80000000000001</v>
      </c>
      <c r="M1074" s="587">
        <v>10</v>
      </c>
      <c r="N1074" s="576"/>
      <c r="O1074" s="573" t="s">
        <v>1509</v>
      </c>
      <c r="P1074" s="707">
        <f>I1078</f>
        <v>2.37</v>
      </c>
      <c r="Q1074" s="578"/>
      <c r="R1074" s="587">
        <f t="shared" si="131"/>
        <v>23.700000000000003</v>
      </c>
      <c r="AC1074" s="585" t="s">
        <v>115</v>
      </c>
      <c r="AF1074" s="578"/>
      <c r="AG1074" s="582" t="s">
        <v>117</v>
      </c>
    </row>
    <row r="1075" spans="6:33" ht="24" customHeight="1">
      <c r="F1075" s="587">
        <v>2</v>
      </c>
      <c r="G1075" s="585" t="s">
        <v>209</v>
      </c>
      <c r="H1075" s="573" t="s">
        <v>1552</v>
      </c>
      <c r="I1075" s="587">
        <f>C285</f>
        <v>35.1</v>
      </c>
      <c r="J1075" s="573" t="s">
        <v>209</v>
      </c>
      <c r="K1075" s="587">
        <f t="shared" si="133"/>
        <v>70.2</v>
      </c>
      <c r="N1075" s="576"/>
      <c r="O1075" s="574" t="s">
        <v>1553</v>
      </c>
      <c r="Q1075" s="578"/>
      <c r="R1075" s="587">
        <f>SUM(R1064:R1074)</f>
        <v>5699.5869999999995</v>
      </c>
      <c r="AC1075" s="576"/>
      <c r="AD1075" s="589" t="s">
        <v>154</v>
      </c>
      <c r="AF1075" s="578"/>
      <c r="AG1075" s="586">
        <f>AG1073/AB1065</f>
        <v>3760.1086474501112</v>
      </c>
    </row>
    <row r="1076" spans="6:33" ht="24" customHeight="1">
      <c r="F1076" s="587">
        <v>1</v>
      </c>
      <c r="G1076" s="585" t="s">
        <v>209</v>
      </c>
      <c r="H1076" s="573" t="s">
        <v>1554</v>
      </c>
      <c r="I1076" s="696">
        <f>I1060</f>
        <v>7.3</v>
      </c>
      <c r="J1076" s="573" t="s">
        <v>209</v>
      </c>
      <c r="K1076" s="587">
        <f t="shared" si="133"/>
        <v>7.3</v>
      </c>
      <c r="N1076" s="585" t="s">
        <v>115</v>
      </c>
      <c r="Q1076" s="578"/>
      <c r="R1076" s="582" t="s">
        <v>117</v>
      </c>
      <c r="AC1076" s="576"/>
      <c r="AF1076" s="578"/>
      <c r="AG1076" s="582" t="s">
        <v>155</v>
      </c>
    </row>
    <row r="1077" spans="6:33" ht="24" customHeight="1">
      <c r="F1077" s="587">
        <v>1</v>
      </c>
      <c r="G1077" s="585" t="s">
        <v>209</v>
      </c>
      <c r="H1077" s="573" t="s">
        <v>1555</v>
      </c>
      <c r="I1077" s="587">
        <f>C292</f>
        <v>8.9</v>
      </c>
      <c r="J1077" s="573" t="s">
        <v>209</v>
      </c>
      <c r="K1077" s="587">
        <f t="shared" si="133"/>
        <v>8.9</v>
      </c>
      <c r="N1077" s="576"/>
      <c r="O1077" s="589" t="s">
        <v>154</v>
      </c>
      <c r="Q1077" s="578"/>
      <c r="R1077" s="586">
        <f>R1075/M1067</f>
        <v>3089.2070460704604</v>
      </c>
      <c r="AE1077" s="592">
        <f t="shared" ref="AE1077:AE1140" si="134">AG1077</f>
        <v>0</v>
      </c>
    </row>
    <row r="1078" spans="6:33" ht="24" customHeight="1">
      <c r="F1078" s="587">
        <v>24</v>
      </c>
      <c r="H1078" s="573" t="s">
        <v>1508</v>
      </c>
      <c r="I1078" s="575">
        <f>I1063</f>
        <v>2.37</v>
      </c>
      <c r="J1078" s="573" t="s">
        <v>209</v>
      </c>
      <c r="K1078" s="587">
        <f t="shared" si="133"/>
        <v>56.88</v>
      </c>
      <c r="N1078" s="576"/>
      <c r="Q1078" s="578"/>
      <c r="R1078" s="582" t="s">
        <v>155</v>
      </c>
      <c r="AE1078" s="592">
        <f t="shared" si="134"/>
        <v>0</v>
      </c>
    </row>
    <row r="1079" spans="6:33" ht="24" customHeight="1">
      <c r="H1079" s="574" t="s">
        <v>1556</v>
      </c>
      <c r="K1079" s="587">
        <f>SUM(K1071:K1078)</f>
        <v>1516.4032480000003</v>
      </c>
      <c r="AE1079" s="592">
        <f t="shared" si="134"/>
        <v>0</v>
      </c>
    </row>
    <row r="1080" spans="6:33" ht="24" customHeight="1">
      <c r="K1080" s="582" t="s">
        <v>117</v>
      </c>
      <c r="AE1080" s="592">
        <f t="shared" si="134"/>
        <v>0</v>
      </c>
    </row>
    <row r="1081" spans="6:33" ht="24" customHeight="1">
      <c r="H1081" s="589" t="s">
        <v>154</v>
      </c>
      <c r="I1081" s="573" t="s">
        <v>115</v>
      </c>
      <c r="K1081" s="586">
        <f>K1079/F1073</f>
        <v>3181.710549727235</v>
      </c>
      <c r="AE1081" s="592">
        <f t="shared" si="134"/>
        <v>0</v>
      </c>
    </row>
    <row r="1082" spans="6:33" ht="24" customHeight="1">
      <c r="K1082" s="582" t="s">
        <v>155</v>
      </c>
      <c r="AE1082" s="592">
        <f t="shared" si="134"/>
        <v>0</v>
      </c>
    </row>
    <row r="1083" spans="6:33" ht="24" customHeight="1">
      <c r="F1083" s="574" t="s">
        <v>1557</v>
      </c>
      <c r="G1083" s="585" t="s">
        <v>122</v>
      </c>
      <c r="H1083" s="573" t="s">
        <v>1546</v>
      </c>
      <c r="AE1083" s="592">
        <f t="shared" si="134"/>
        <v>0</v>
      </c>
    </row>
    <row r="1084" spans="6:33" ht="24" customHeight="1">
      <c r="H1084" s="573" t="s">
        <v>1558</v>
      </c>
      <c r="N1084" s="573" t="s">
        <v>1472</v>
      </c>
      <c r="AE1084" s="592">
        <f t="shared" si="134"/>
        <v>0</v>
      </c>
    </row>
    <row r="1085" spans="6:33" ht="24" customHeight="1">
      <c r="H1085" s="582" t="s">
        <v>117</v>
      </c>
      <c r="N1085" s="573" t="s">
        <v>1467</v>
      </c>
      <c r="AE1085" s="592">
        <f t="shared" si="134"/>
        <v>0</v>
      </c>
    </row>
    <row r="1086" spans="6:33" ht="24" customHeight="1">
      <c r="F1086" s="708">
        <v>5.4000000000000003E-3</v>
      </c>
      <c r="G1086" s="585" t="s">
        <v>642</v>
      </c>
      <c r="H1086" s="573" t="s">
        <v>1548</v>
      </c>
      <c r="I1086" s="587">
        <f>C89</f>
        <v>99400</v>
      </c>
      <c r="J1086" s="573" t="s">
        <v>126</v>
      </c>
      <c r="K1086" s="587">
        <f t="shared" ref="K1086:K1093" si="135">(F1086*I1086)</f>
        <v>536.76</v>
      </c>
      <c r="N1086" s="573" t="s">
        <v>1559</v>
      </c>
      <c r="AE1086" s="592">
        <f t="shared" si="134"/>
        <v>0</v>
      </c>
    </row>
    <row r="1087" spans="6:33" ht="24" customHeight="1">
      <c r="F1087" s="708">
        <v>0.23871000000000001</v>
      </c>
      <c r="G1087" s="585" t="s">
        <v>140</v>
      </c>
      <c r="H1087" s="641" t="str">
        <f>H1072</f>
        <v>frosted glass 4mmthick</v>
      </c>
      <c r="I1087" s="696">
        <f>I1072</f>
        <v>208.8</v>
      </c>
      <c r="J1087" s="573" t="s">
        <v>126</v>
      </c>
      <c r="K1087" s="587">
        <f t="shared" si="135"/>
        <v>49.842648000000004</v>
      </c>
      <c r="AE1087" s="592">
        <f t="shared" si="134"/>
        <v>0</v>
      </c>
    </row>
    <row r="1088" spans="6:33" ht="24" customHeight="1">
      <c r="F1088" s="708">
        <v>0.36199999999999999</v>
      </c>
      <c r="G1088" s="585" t="s">
        <v>140</v>
      </c>
      <c r="H1088" s="573" t="s">
        <v>624</v>
      </c>
      <c r="I1088" s="587">
        <f>D31</f>
        <v>1078</v>
      </c>
      <c r="J1088" s="573" t="s">
        <v>140</v>
      </c>
      <c r="K1088" s="587">
        <f t="shared" si="135"/>
        <v>390.23599999999999</v>
      </c>
      <c r="AE1088" s="592">
        <f t="shared" si="134"/>
        <v>0</v>
      </c>
    </row>
    <row r="1089" spans="6:31" ht="24" customHeight="1">
      <c r="F1089" s="587">
        <v>3</v>
      </c>
      <c r="G1089" s="585" t="s">
        <v>209</v>
      </c>
      <c r="H1089" s="573" t="s">
        <v>1551</v>
      </c>
      <c r="I1089" s="587">
        <f>C282</f>
        <v>43.6</v>
      </c>
      <c r="J1089" s="573" t="s">
        <v>209</v>
      </c>
      <c r="K1089" s="587">
        <f t="shared" si="135"/>
        <v>130.80000000000001</v>
      </c>
      <c r="M1089" s="651">
        <v>2.2800000000000001E-2</v>
      </c>
      <c r="N1089" s="585" t="s">
        <v>126</v>
      </c>
      <c r="O1089" s="573" t="s">
        <v>1483</v>
      </c>
      <c r="P1089" s="587">
        <f>I1053</f>
        <v>111600</v>
      </c>
      <c r="Q1089" s="573" t="s">
        <v>126</v>
      </c>
      <c r="R1089" s="587">
        <f>P1089*M1089</f>
        <v>2544.48</v>
      </c>
      <c r="AE1089" s="592">
        <f t="shared" si="134"/>
        <v>0</v>
      </c>
    </row>
    <row r="1090" spans="6:31" ht="24" customHeight="1">
      <c r="F1090" s="587">
        <v>2</v>
      </c>
      <c r="G1090" s="585" t="s">
        <v>209</v>
      </c>
      <c r="H1090" s="573" t="s">
        <v>1552</v>
      </c>
      <c r="I1090" s="587">
        <f>C285</f>
        <v>35.1</v>
      </c>
      <c r="J1090" s="573" t="s">
        <v>209</v>
      </c>
      <c r="K1090" s="587">
        <f t="shared" si="135"/>
        <v>70.2</v>
      </c>
      <c r="M1090" s="651">
        <v>4.2999999999999997E-2</v>
      </c>
      <c r="N1090" s="585" t="s">
        <v>126</v>
      </c>
      <c r="O1090" s="573" t="s">
        <v>1485</v>
      </c>
      <c r="P1090" s="587">
        <f>I1054</f>
        <v>99400</v>
      </c>
      <c r="Q1090" s="573" t="s">
        <v>126</v>
      </c>
      <c r="R1090" s="587">
        <f t="shared" ref="R1090:R1100" si="136">P1090*M1090</f>
        <v>4274.2</v>
      </c>
      <c r="AE1090" s="592">
        <f t="shared" si="134"/>
        <v>0</v>
      </c>
    </row>
    <row r="1091" spans="6:31" ht="24" customHeight="1">
      <c r="F1091" s="587">
        <v>1</v>
      </c>
      <c r="G1091" s="585" t="s">
        <v>209</v>
      </c>
      <c r="H1091" s="573" t="s">
        <v>1554</v>
      </c>
      <c r="I1091" s="696">
        <f>I1076</f>
        <v>7.3</v>
      </c>
      <c r="J1091" s="573" t="s">
        <v>209</v>
      </c>
      <c r="K1091" s="587">
        <f t="shared" si="135"/>
        <v>7.3</v>
      </c>
      <c r="M1091" s="651">
        <v>4.0800000000000003E-2</v>
      </c>
      <c r="N1091" s="585" t="s">
        <v>126</v>
      </c>
      <c r="O1091" s="573" t="s">
        <v>1487</v>
      </c>
      <c r="P1091" s="587">
        <f>I1017</f>
        <v>95000</v>
      </c>
      <c r="Q1091" s="573" t="s">
        <v>126</v>
      </c>
      <c r="R1091" s="587">
        <f t="shared" si="136"/>
        <v>3876.0000000000005</v>
      </c>
      <c r="AE1091" s="592">
        <f t="shared" si="134"/>
        <v>0</v>
      </c>
    </row>
    <row r="1092" spans="6:31" ht="24" customHeight="1">
      <c r="F1092" s="587">
        <v>1</v>
      </c>
      <c r="G1092" s="585" t="s">
        <v>209</v>
      </c>
      <c r="H1092" s="573" t="s">
        <v>1555</v>
      </c>
      <c r="I1092" s="587">
        <f>C292</f>
        <v>8.9</v>
      </c>
      <c r="J1092" s="573" t="s">
        <v>209</v>
      </c>
      <c r="K1092" s="587">
        <f t="shared" si="135"/>
        <v>8.9</v>
      </c>
      <c r="M1092" s="651"/>
      <c r="N1092" s="576"/>
      <c r="O1092" s="573" t="s">
        <v>1560</v>
      </c>
      <c r="P1092" s="587"/>
      <c r="Q1092" s="578"/>
      <c r="R1092" s="587">
        <f t="shared" si="136"/>
        <v>0</v>
      </c>
      <c r="AE1092" s="592">
        <f t="shared" si="134"/>
        <v>0</v>
      </c>
    </row>
    <row r="1093" spans="6:31" ht="24" customHeight="1">
      <c r="F1093" s="587">
        <v>10</v>
      </c>
      <c r="H1093" s="573" t="s">
        <v>1508</v>
      </c>
      <c r="I1093" s="587">
        <f>I1078</f>
        <v>2.37</v>
      </c>
      <c r="J1093" s="573" t="s">
        <v>209</v>
      </c>
      <c r="K1093" s="587">
        <f t="shared" si="135"/>
        <v>23.700000000000003</v>
      </c>
      <c r="M1093" s="651">
        <v>3.4424999999999999</v>
      </c>
      <c r="N1093" s="585" t="s">
        <v>140</v>
      </c>
      <c r="O1093" s="573" t="s">
        <v>1480</v>
      </c>
      <c r="P1093" s="587">
        <f>I1019</f>
        <v>1155</v>
      </c>
      <c r="Q1093" s="573" t="s">
        <v>140</v>
      </c>
      <c r="R1093" s="587">
        <f t="shared" si="136"/>
        <v>3976.0875000000001</v>
      </c>
      <c r="AE1093" s="592">
        <f t="shared" si="134"/>
        <v>0</v>
      </c>
    </row>
    <row r="1094" spans="6:31" ht="24" customHeight="1">
      <c r="K1094" s="582" t="s">
        <v>117</v>
      </c>
      <c r="M1094" s="587">
        <v>2</v>
      </c>
      <c r="N1094" s="585" t="s">
        <v>1</v>
      </c>
      <c r="O1094" s="573" t="s">
        <v>1490</v>
      </c>
      <c r="P1094" s="587">
        <f t="shared" ref="P1094:P1099" si="137">I1020</f>
        <v>50.9</v>
      </c>
      <c r="Q1094" s="573" t="s">
        <v>209</v>
      </c>
      <c r="R1094" s="587">
        <f t="shared" si="136"/>
        <v>101.8</v>
      </c>
      <c r="AE1094" s="592">
        <f t="shared" si="134"/>
        <v>0</v>
      </c>
    </row>
    <row r="1095" spans="6:31" ht="24" customHeight="1">
      <c r="H1095" s="574" t="s">
        <v>1561</v>
      </c>
      <c r="K1095" s="587">
        <f>SUM(K1082:K1093)</f>
        <v>1217.7386480000002</v>
      </c>
      <c r="M1095" s="587">
        <v>6</v>
      </c>
      <c r="N1095" s="585" t="s">
        <v>209</v>
      </c>
      <c r="O1095" s="573" t="s">
        <v>1482</v>
      </c>
      <c r="P1095" s="587">
        <f t="shared" si="137"/>
        <v>79.099999999999994</v>
      </c>
      <c r="Q1095" s="573" t="s">
        <v>209</v>
      </c>
      <c r="R1095" s="587">
        <f t="shared" si="136"/>
        <v>474.59999999999997</v>
      </c>
      <c r="AE1095" s="592">
        <f t="shared" si="134"/>
        <v>0</v>
      </c>
    </row>
    <row r="1096" spans="6:31" ht="24" customHeight="1">
      <c r="K1096" s="582" t="s">
        <v>117</v>
      </c>
      <c r="M1096" s="587">
        <v>4</v>
      </c>
      <c r="N1096" s="585" t="s">
        <v>209</v>
      </c>
      <c r="O1096" s="573" t="s">
        <v>1484</v>
      </c>
      <c r="P1096" s="587">
        <f t="shared" si="137"/>
        <v>57.2</v>
      </c>
      <c r="Q1096" s="573" t="s">
        <v>209</v>
      </c>
      <c r="R1096" s="587">
        <f t="shared" si="136"/>
        <v>228.8</v>
      </c>
      <c r="AE1096" s="592">
        <f t="shared" si="134"/>
        <v>0</v>
      </c>
    </row>
    <row r="1097" spans="6:31" ht="24" customHeight="1">
      <c r="H1097" s="589" t="s">
        <v>154</v>
      </c>
      <c r="I1097" s="573" t="s">
        <v>115</v>
      </c>
      <c r="K1097" s="586">
        <f>K1095/F1088</f>
        <v>3363.9189171270727</v>
      </c>
      <c r="M1097" s="587">
        <v>1</v>
      </c>
      <c r="N1097" s="585" t="s">
        <v>209</v>
      </c>
      <c r="O1097" s="573" t="s">
        <v>1486</v>
      </c>
      <c r="P1097" s="587">
        <f t="shared" si="137"/>
        <v>159.69999999999999</v>
      </c>
      <c r="Q1097" s="573" t="s">
        <v>209</v>
      </c>
      <c r="R1097" s="587">
        <f t="shared" si="136"/>
        <v>159.69999999999999</v>
      </c>
      <c r="AE1097" s="592">
        <f t="shared" si="134"/>
        <v>0</v>
      </c>
    </row>
    <row r="1098" spans="6:31" ht="24" customHeight="1">
      <c r="K1098" s="582" t="s">
        <v>155</v>
      </c>
      <c r="M1098" s="587">
        <v>2</v>
      </c>
      <c r="N1098" s="585" t="s">
        <v>209</v>
      </c>
      <c r="O1098" s="573" t="s">
        <v>1488</v>
      </c>
      <c r="P1098" s="587">
        <f t="shared" si="137"/>
        <v>7.3</v>
      </c>
      <c r="Q1098" s="573" t="s">
        <v>209</v>
      </c>
      <c r="R1098" s="587">
        <f t="shared" si="136"/>
        <v>14.6</v>
      </c>
      <c r="AE1098" s="592">
        <f t="shared" si="134"/>
        <v>0</v>
      </c>
    </row>
    <row r="1099" spans="6:31" ht="24" customHeight="1">
      <c r="F1099" s="574" t="s">
        <v>1562</v>
      </c>
      <c r="G1099" s="585" t="s">
        <v>122</v>
      </c>
      <c r="H1099" s="573" t="s">
        <v>1563</v>
      </c>
      <c r="M1099" s="587">
        <v>2</v>
      </c>
      <c r="N1099" s="585" t="s">
        <v>209</v>
      </c>
      <c r="O1099" s="573" t="s">
        <v>630</v>
      </c>
      <c r="P1099" s="587">
        <f t="shared" si="137"/>
        <v>43.8</v>
      </c>
      <c r="Q1099" s="573" t="s">
        <v>209</v>
      </c>
      <c r="R1099" s="587">
        <f t="shared" si="136"/>
        <v>87.6</v>
      </c>
      <c r="AE1099" s="592">
        <f t="shared" si="134"/>
        <v>0</v>
      </c>
    </row>
    <row r="1100" spans="6:31" ht="24" customHeight="1">
      <c r="H1100" s="573" t="s">
        <v>1564</v>
      </c>
      <c r="M1100" s="587">
        <v>10</v>
      </c>
      <c r="N1100" s="576"/>
      <c r="O1100" s="573" t="s">
        <v>1509</v>
      </c>
      <c r="P1100" s="587">
        <f>P1074</f>
        <v>2.37</v>
      </c>
      <c r="Q1100" s="578"/>
      <c r="R1100" s="587">
        <f t="shared" si="136"/>
        <v>23.700000000000003</v>
      </c>
      <c r="AE1100" s="592">
        <f t="shared" si="134"/>
        <v>0</v>
      </c>
    </row>
    <row r="1101" spans="6:31" ht="24" customHeight="1">
      <c r="H1101" s="582" t="s">
        <v>117</v>
      </c>
      <c r="N1101" s="576"/>
      <c r="O1101" s="573" t="s">
        <v>1510</v>
      </c>
      <c r="Q1101" s="578"/>
      <c r="R1101" s="587">
        <f>SUM(R1089:R1100)+0.31</f>
        <v>15761.877500000001</v>
      </c>
      <c r="AE1101" s="592">
        <f t="shared" si="134"/>
        <v>0</v>
      </c>
    </row>
    <row r="1102" spans="6:31" ht="24" customHeight="1">
      <c r="F1102" s="708">
        <v>5.3E-3</v>
      </c>
      <c r="G1102" s="585" t="s">
        <v>642</v>
      </c>
      <c r="H1102" s="573" t="s">
        <v>1548</v>
      </c>
      <c r="I1102" s="587">
        <f>C89</f>
        <v>99400</v>
      </c>
      <c r="J1102" s="573" t="s">
        <v>126</v>
      </c>
      <c r="K1102" s="587">
        <f t="shared" ref="K1102:K1108" si="138">(F1102*I1102)</f>
        <v>526.82000000000005</v>
      </c>
      <c r="N1102" s="576"/>
      <c r="Q1102" s="578"/>
      <c r="R1102" s="582" t="s">
        <v>117</v>
      </c>
      <c r="AE1102" s="592"/>
    </row>
    <row r="1103" spans="6:31" ht="24" customHeight="1">
      <c r="F1103" s="708">
        <v>0.27450000000000002</v>
      </c>
      <c r="G1103" s="585" t="s">
        <v>140</v>
      </c>
      <c r="H1103" s="573" t="str">
        <f>H1087</f>
        <v>frosted glass 4mmthick</v>
      </c>
      <c r="I1103" s="615">
        <f>I1072</f>
        <v>208.8</v>
      </c>
      <c r="J1103" s="573" t="s">
        <v>126</v>
      </c>
      <c r="K1103" s="587">
        <f t="shared" si="138"/>
        <v>57.315600000000011</v>
      </c>
      <c r="N1103" s="576"/>
      <c r="O1103" s="589" t="s">
        <v>154</v>
      </c>
      <c r="Q1103" s="578"/>
      <c r="R1103" s="586">
        <f>R1101/M1093</f>
        <v>4578.6136528685547</v>
      </c>
      <c r="AE1103" s="592">
        <f t="shared" si="134"/>
        <v>0</v>
      </c>
    </row>
    <row r="1104" spans="6:31" ht="24" customHeight="1">
      <c r="F1104" s="708">
        <v>0.4</v>
      </c>
      <c r="G1104" s="585" t="s">
        <v>140</v>
      </c>
      <c r="H1104" s="573" t="s">
        <v>624</v>
      </c>
      <c r="I1104" s="587">
        <f>D32</f>
        <v>901</v>
      </c>
      <c r="J1104" s="573" t="s">
        <v>140</v>
      </c>
      <c r="K1104" s="587">
        <f t="shared" si="138"/>
        <v>360.40000000000003</v>
      </c>
      <c r="N1104" s="576"/>
      <c r="Q1104" s="578"/>
      <c r="R1104" s="582" t="s">
        <v>155</v>
      </c>
      <c r="AE1104" s="592">
        <f t="shared" si="134"/>
        <v>0</v>
      </c>
    </row>
    <row r="1105" spans="6:31" ht="24" customHeight="1">
      <c r="F1105" s="587">
        <v>2</v>
      </c>
      <c r="G1105" s="585" t="s">
        <v>1565</v>
      </c>
      <c r="H1105" s="573" t="s">
        <v>1566</v>
      </c>
      <c r="I1105" s="587">
        <f>C305</f>
        <v>8.5</v>
      </c>
      <c r="J1105" s="573" t="s">
        <v>1565</v>
      </c>
      <c r="K1105" s="587">
        <f t="shared" si="138"/>
        <v>17</v>
      </c>
      <c r="AE1105" s="592">
        <f t="shared" si="134"/>
        <v>0</v>
      </c>
    </row>
    <row r="1106" spans="6:31" ht="24" customHeight="1">
      <c r="F1106" s="587">
        <v>1</v>
      </c>
      <c r="G1106" s="585" t="s">
        <v>209</v>
      </c>
      <c r="H1106" s="573" t="s">
        <v>1567</v>
      </c>
      <c r="I1106" s="587">
        <f>C293</f>
        <v>6.1</v>
      </c>
      <c r="J1106" s="573" t="s">
        <v>209</v>
      </c>
      <c r="K1106" s="587">
        <f t="shared" si="138"/>
        <v>6.1</v>
      </c>
      <c r="AE1106" s="592">
        <f t="shared" si="134"/>
        <v>0</v>
      </c>
    </row>
    <row r="1107" spans="6:31" ht="24" customHeight="1">
      <c r="F1107" s="587">
        <v>1</v>
      </c>
      <c r="G1107" s="585" t="s">
        <v>209</v>
      </c>
      <c r="H1107" s="573" t="s">
        <v>1568</v>
      </c>
      <c r="I1107" s="615">
        <f>C291</f>
        <v>11.8</v>
      </c>
      <c r="J1107" s="573" t="s">
        <v>209</v>
      </c>
      <c r="K1107" s="587">
        <f t="shared" si="138"/>
        <v>11.8</v>
      </c>
      <c r="O1107" s="573" t="s">
        <v>1569</v>
      </c>
      <c r="AE1107" s="592">
        <f t="shared" si="134"/>
        <v>0</v>
      </c>
    </row>
    <row r="1108" spans="6:31" ht="24" customHeight="1">
      <c r="F1108" s="587">
        <v>10</v>
      </c>
      <c r="H1108" s="573" t="s">
        <v>1508</v>
      </c>
      <c r="I1108" s="587">
        <f>I1093</f>
        <v>2.37</v>
      </c>
      <c r="J1108" s="573" t="s">
        <v>209</v>
      </c>
      <c r="K1108" s="587">
        <f t="shared" si="138"/>
        <v>23.700000000000003</v>
      </c>
      <c r="AE1108" s="592">
        <f t="shared" si="134"/>
        <v>0</v>
      </c>
    </row>
    <row r="1109" spans="6:31" ht="24" customHeight="1">
      <c r="K1109" s="582" t="s">
        <v>117</v>
      </c>
      <c r="AE1109" s="592">
        <f t="shared" si="134"/>
        <v>0</v>
      </c>
    </row>
    <row r="1110" spans="6:31" ht="24" customHeight="1">
      <c r="H1110" s="574" t="s">
        <v>1570</v>
      </c>
      <c r="K1110" s="587">
        <f>SUM(K1098:K1108)</f>
        <v>1003.1356000000002</v>
      </c>
      <c r="AE1110" s="592">
        <f t="shared" si="134"/>
        <v>0</v>
      </c>
    </row>
    <row r="1111" spans="6:31" ht="24" customHeight="1">
      <c r="K1111" s="582" t="s">
        <v>117</v>
      </c>
      <c r="M1111" s="716">
        <v>2.2800000000000001E-2</v>
      </c>
      <c r="N1111" s="717" t="s">
        <v>126</v>
      </c>
      <c r="O1111" s="686" t="s">
        <v>1571</v>
      </c>
      <c r="P1111" s="686">
        <f>P1089</f>
        <v>111600</v>
      </c>
      <c r="Q1111" s="718" t="s">
        <v>126</v>
      </c>
      <c r="R1111" s="686">
        <f>P1111*M1111</f>
        <v>2544.48</v>
      </c>
      <c r="AE1111" s="592">
        <f t="shared" si="134"/>
        <v>0</v>
      </c>
    </row>
    <row r="1112" spans="6:31" ht="24" customHeight="1">
      <c r="H1112" s="589" t="s">
        <v>154</v>
      </c>
      <c r="I1112" s="573" t="s">
        <v>115</v>
      </c>
      <c r="K1112" s="586">
        <f>K1110/F1104</f>
        <v>2507.8390000000004</v>
      </c>
      <c r="M1112" s="716">
        <v>3.5400000000000001E-2</v>
      </c>
      <c r="N1112" s="717" t="s">
        <v>126</v>
      </c>
      <c r="O1112" s="686" t="s">
        <v>1572</v>
      </c>
      <c r="P1112" s="686">
        <f>P1090</f>
        <v>99400</v>
      </c>
      <c r="Q1112" s="718" t="s">
        <v>126</v>
      </c>
      <c r="R1112" s="686">
        <f t="shared" ref="R1112:R1121" si="139">P1112*M1112</f>
        <v>3518.76</v>
      </c>
      <c r="AE1112" s="592">
        <f t="shared" si="134"/>
        <v>0</v>
      </c>
    </row>
    <row r="1113" spans="6:31" ht="24" customHeight="1">
      <c r="F1113" s="573" t="s">
        <v>115</v>
      </c>
      <c r="M1113" s="719">
        <v>3.2300000000000002E-2</v>
      </c>
      <c r="N1113" s="717" t="s">
        <v>126</v>
      </c>
      <c r="O1113" s="686" t="s">
        <v>1573</v>
      </c>
      <c r="P1113" s="686">
        <f>P1091</f>
        <v>95000</v>
      </c>
      <c r="Q1113" s="718" t="s">
        <v>126</v>
      </c>
      <c r="R1113" s="686">
        <f t="shared" si="139"/>
        <v>3068.5</v>
      </c>
      <c r="AE1113" s="592">
        <f t="shared" si="134"/>
        <v>0</v>
      </c>
    </row>
    <row r="1114" spans="6:31" ht="24" customHeight="1">
      <c r="K1114" s="582" t="s">
        <v>155</v>
      </c>
      <c r="M1114" s="720">
        <v>2.835</v>
      </c>
      <c r="N1114" s="717" t="s">
        <v>140</v>
      </c>
      <c r="O1114" s="686" t="s">
        <v>1574</v>
      </c>
      <c r="P1114" s="686">
        <f t="shared" ref="P1114:P1120" si="140">P1093</f>
        <v>1155</v>
      </c>
      <c r="Q1114" s="718" t="s">
        <v>140</v>
      </c>
      <c r="R1114" s="686">
        <f t="shared" si="139"/>
        <v>3274.4250000000002</v>
      </c>
      <c r="AE1114" s="592">
        <f t="shared" si="134"/>
        <v>0</v>
      </c>
    </row>
    <row r="1115" spans="6:31" ht="24" customHeight="1">
      <c r="F1115" s="620">
        <v>22.3</v>
      </c>
      <c r="H1115" s="573" t="s">
        <v>1575</v>
      </c>
      <c r="L1115" s="573" t="s">
        <v>115</v>
      </c>
      <c r="M1115" s="686">
        <v>2</v>
      </c>
      <c r="N1115" s="717" t="s">
        <v>1576</v>
      </c>
      <c r="O1115" s="686" t="s">
        <v>1577</v>
      </c>
      <c r="P1115" s="686">
        <f t="shared" si="140"/>
        <v>50.9</v>
      </c>
      <c r="Q1115" s="718" t="s">
        <v>227</v>
      </c>
      <c r="R1115" s="686">
        <f t="shared" si="139"/>
        <v>101.8</v>
      </c>
      <c r="AE1115" s="592">
        <f t="shared" si="134"/>
        <v>0</v>
      </c>
    </row>
    <row r="1116" spans="6:31" ht="24" customHeight="1">
      <c r="H1116" s="582" t="s">
        <v>117</v>
      </c>
      <c r="I1116" s="582" t="s">
        <v>117</v>
      </c>
      <c r="J1116" s="573" t="s">
        <v>117</v>
      </c>
      <c r="M1116" s="686">
        <v>6</v>
      </c>
      <c r="N1116" s="717" t="s">
        <v>1576</v>
      </c>
      <c r="O1116" s="686" t="s">
        <v>1578</v>
      </c>
      <c r="P1116" s="686">
        <f t="shared" si="140"/>
        <v>79.099999999999994</v>
      </c>
      <c r="Q1116" s="718" t="s">
        <v>227</v>
      </c>
      <c r="R1116" s="686">
        <f t="shared" si="139"/>
        <v>474.59999999999997</v>
      </c>
      <c r="AE1116" s="592">
        <f t="shared" si="134"/>
        <v>0</v>
      </c>
    </row>
    <row r="1117" spans="6:31" ht="24" customHeight="1">
      <c r="M1117" s="686">
        <v>4</v>
      </c>
      <c r="N1117" s="717" t="s">
        <v>1576</v>
      </c>
      <c r="O1117" s="686" t="s">
        <v>1579</v>
      </c>
      <c r="P1117" s="686">
        <f t="shared" si="140"/>
        <v>57.2</v>
      </c>
      <c r="Q1117" s="718" t="s">
        <v>227</v>
      </c>
      <c r="R1117" s="686">
        <f t="shared" si="139"/>
        <v>228.8</v>
      </c>
      <c r="AE1117" s="592"/>
    </row>
    <row r="1118" spans="6:31" ht="24" customHeight="1">
      <c r="H1118" s="573" t="s">
        <v>1580</v>
      </c>
      <c r="M1118" s="686">
        <v>1</v>
      </c>
      <c r="N1118" s="717" t="s">
        <v>1576</v>
      </c>
      <c r="O1118" s="686" t="s">
        <v>1581</v>
      </c>
      <c r="P1118" s="686">
        <f t="shared" si="140"/>
        <v>159.69999999999999</v>
      </c>
      <c r="Q1118" s="718" t="s">
        <v>227</v>
      </c>
      <c r="R1118" s="686">
        <f t="shared" si="139"/>
        <v>159.69999999999999</v>
      </c>
      <c r="AE1118" s="592">
        <f t="shared" si="134"/>
        <v>0</v>
      </c>
    </row>
    <row r="1119" spans="6:31" ht="24" customHeight="1">
      <c r="H1119" s="573" t="s">
        <v>1582</v>
      </c>
      <c r="M1119" s="686">
        <v>2</v>
      </c>
      <c r="N1119" s="717" t="s">
        <v>1576</v>
      </c>
      <c r="O1119" s="686" t="s">
        <v>628</v>
      </c>
      <c r="P1119" s="686">
        <f t="shared" si="140"/>
        <v>7.3</v>
      </c>
      <c r="Q1119" s="718" t="s">
        <v>227</v>
      </c>
      <c r="R1119" s="686">
        <f t="shared" si="139"/>
        <v>14.6</v>
      </c>
      <c r="AE1119" s="592">
        <f t="shared" si="134"/>
        <v>0</v>
      </c>
    </row>
    <row r="1120" spans="6:31" ht="24" customHeight="1">
      <c r="H1120" s="573" t="s">
        <v>1583</v>
      </c>
      <c r="M1120" s="686">
        <v>2</v>
      </c>
      <c r="N1120" s="717" t="s">
        <v>1576</v>
      </c>
      <c r="O1120" s="686" t="s">
        <v>630</v>
      </c>
      <c r="P1120" s="686">
        <f t="shared" si="140"/>
        <v>43.8</v>
      </c>
      <c r="Q1120" s="718" t="s">
        <v>227</v>
      </c>
      <c r="R1120" s="686">
        <f t="shared" si="139"/>
        <v>87.6</v>
      </c>
      <c r="AE1120" s="592">
        <f t="shared" si="134"/>
        <v>0</v>
      </c>
    </row>
    <row r="1121" spans="6:62" ht="24" customHeight="1">
      <c r="H1121" s="573" t="s">
        <v>1584</v>
      </c>
      <c r="M1121" s="587">
        <v>118</v>
      </c>
      <c r="N1121" s="576"/>
      <c r="O1121" s="573" t="s">
        <v>1509</v>
      </c>
      <c r="P1121" s="587">
        <f>P1100</f>
        <v>2.37</v>
      </c>
      <c r="Q1121" s="578"/>
      <c r="R1121" s="587">
        <f t="shared" si="139"/>
        <v>279.66000000000003</v>
      </c>
      <c r="AE1121" s="592">
        <f t="shared" si="134"/>
        <v>0</v>
      </c>
    </row>
    <row r="1122" spans="6:62" ht="24" customHeight="1">
      <c r="H1122" s="573" t="s">
        <v>1585</v>
      </c>
      <c r="M1122" s="686"/>
      <c r="N1122" s="646"/>
      <c r="O1122" s="619" t="s">
        <v>154</v>
      </c>
      <c r="P1122" s="686"/>
      <c r="Q1122" s="718"/>
      <c r="R1122" s="619">
        <f>SUM(R1111:R1121)</f>
        <v>13752.925000000001</v>
      </c>
      <c r="AE1122" s="592">
        <f t="shared" si="134"/>
        <v>0</v>
      </c>
    </row>
    <row r="1123" spans="6:62" ht="24" customHeight="1">
      <c r="J1123" s="573" t="s">
        <v>115</v>
      </c>
      <c r="K1123" s="651">
        <v>3.32E-2</v>
      </c>
      <c r="M1123" s="686"/>
      <c r="N1123" s="646"/>
      <c r="O1123" s="619"/>
      <c r="P1123" s="686"/>
      <c r="Q1123" s="718"/>
      <c r="R1123" s="721" t="s">
        <v>1586</v>
      </c>
      <c r="AE1123" s="592">
        <f t="shared" si="134"/>
        <v>0</v>
      </c>
      <c r="BJ1123" s="575" t="s">
        <v>1587</v>
      </c>
    </row>
    <row r="1124" spans="6:62" ht="24" customHeight="1">
      <c r="H1124" s="573" t="s">
        <v>1588</v>
      </c>
      <c r="J1124" s="703" t="s">
        <v>115</v>
      </c>
      <c r="K1124" s="703" t="s">
        <v>115</v>
      </c>
      <c r="M1124" s="686"/>
      <c r="N1124" s="646"/>
      <c r="O1124" s="619" t="s">
        <v>1589</v>
      </c>
      <c r="P1124" s="686"/>
      <c r="Q1124" s="718"/>
      <c r="R1124" s="619">
        <f>R1122/2.835</f>
        <v>4851.1199294532635</v>
      </c>
      <c r="AE1124" s="592">
        <f t="shared" si="134"/>
        <v>0</v>
      </c>
    </row>
    <row r="1125" spans="6:62" ht="24" customHeight="1">
      <c r="H1125" s="573" t="s">
        <v>1590</v>
      </c>
      <c r="K1125" s="703" t="s">
        <v>115</v>
      </c>
      <c r="M1125" s="686"/>
      <c r="N1125" s="646"/>
      <c r="Q1125" s="578"/>
      <c r="R1125" s="622" t="s">
        <v>1586</v>
      </c>
      <c r="AE1125" s="592">
        <f t="shared" si="134"/>
        <v>0</v>
      </c>
    </row>
    <row r="1126" spans="6:62" ht="24" customHeight="1">
      <c r="AE1126" s="592">
        <f t="shared" si="134"/>
        <v>0</v>
      </c>
    </row>
    <row r="1127" spans="6:62" ht="24" customHeight="1">
      <c r="F1127" s="708">
        <v>1.18E-2</v>
      </c>
      <c r="G1127" s="585" t="s">
        <v>126</v>
      </c>
      <c r="H1127" s="573" t="s">
        <v>621</v>
      </c>
      <c r="I1127" s="587">
        <f>C88</f>
        <v>111600</v>
      </c>
      <c r="J1127" s="573" t="s">
        <v>126</v>
      </c>
      <c r="K1127" s="587">
        <f t="shared" ref="K1127:K1136" si="141">(F1127*I1127)</f>
        <v>1316.8799999999999</v>
      </c>
      <c r="AE1127" s="592">
        <f t="shared" si="134"/>
        <v>0</v>
      </c>
    </row>
    <row r="1128" spans="6:62" ht="24" customHeight="1">
      <c r="F1128" s="708">
        <v>3.32E-2</v>
      </c>
      <c r="G1128" s="585" t="s">
        <v>126</v>
      </c>
      <c r="H1128" s="573" t="s">
        <v>622</v>
      </c>
      <c r="I1128" s="587">
        <f>C89</f>
        <v>99400</v>
      </c>
      <c r="J1128" s="573" t="s">
        <v>126</v>
      </c>
      <c r="K1128" s="587">
        <f t="shared" si="141"/>
        <v>3300.08</v>
      </c>
      <c r="AE1128" s="592">
        <f t="shared" si="134"/>
        <v>0</v>
      </c>
    </row>
    <row r="1129" spans="6:62" ht="24" customHeight="1">
      <c r="F1129" s="708">
        <v>1.8550000000000001E-2</v>
      </c>
      <c r="G1129" s="585" t="s">
        <v>126</v>
      </c>
      <c r="H1129" s="573" t="s">
        <v>1591</v>
      </c>
      <c r="I1129" s="587">
        <f>C30</f>
        <v>10275</v>
      </c>
      <c r="J1129" s="573" t="s">
        <v>126</v>
      </c>
      <c r="K1129" s="587">
        <f t="shared" si="141"/>
        <v>190.60124999999999</v>
      </c>
      <c r="AE1129" s="592">
        <f t="shared" si="134"/>
        <v>0</v>
      </c>
    </row>
    <row r="1130" spans="6:62" ht="24" customHeight="1">
      <c r="F1130" s="708">
        <v>1.46</v>
      </c>
      <c r="G1130" s="585" t="s">
        <v>140</v>
      </c>
      <c r="H1130" s="573" t="s">
        <v>1592</v>
      </c>
      <c r="I1130" s="722">
        <v>269.10000000000002</v>
      </c>
      <c r="J1130" s="573" t="s">
        <v>140</v>
      </c>
      <c r="K1130" s="587">
        <f t="shared" si="141"/>
        <v>392.88600000000002</v>
      </c>
      <c r="AE1130" s="592">
        <f t="shared" si="134"/>
        <v>0</v>
      </c>
    </row>
    <row r="1131" spans="6:62" ht="24" customHeight="1">
      <c r="F1131" s="708">
        <v>2.0499999999999998</v>
      </c>
      <c r="G1131" s="585" t="s">
        <v>140</v>
      </c>
      <c r="H1131" s="573" t="s">
        <v>1593</v>
      </c>
      <c r="I1131" s="587">
        <f>D30</f>
        <v>963</v>
      </c>
      <c r="J1131" s="573" t="s">
        <v>140</v>
      </c>
      <c r="K1131" s="587">
        <f t="shared" si="141"/>
        <v>1974.1499999999999</v>
      </c>
      <c r="AE1131" s="592">
        <f t="shared" si="134"/>
        <v>0</v>
      </c>
    </row>
    <row r="1132" spans="6:62" ht="24" customHeight="1">
      <c r="F1132" s="587">
        <v>2</v>
      </c>
      <c r="G1132" s="585" t="s">
        <v>209</v>
      </c>
      <c r="H1132" s="573" t="s">
        <v>1594</v>
      </c>
      <c r="I1132" s="629">
        <f>C285</f>
        <v>35.1</v>
      </c>
      <c r="J1132" s="573" t="s">
        <v>209</v>
      </c>
      <c r="K1132" s="587">
        <f t="shared" si="141"/>
        <v>70.2</v>
      </c>
      <c r="AE1132" s="592">
        <f t="shared" si="134"/>
        <v>0</v>
      </c>
    </row>
    <row r="1133" spans="6:62" ht="24" customHeight="1">
      <c r="F1133" s="587">
        <v>6</v>
      </c>
      <c r="G1133" s="585" t="s">
        <v>209</v>
      </c>
      <c r="H1133" s="573" t="s">
        <v>1551</v>
      </c>
      <c r="I1133" s="587">
        <f>C282</f>
        <v>43.6</v>
      </c>
      <c r="J1133" s="573" t="s">
        <v>209</v>
      </c>
      <c r="K1133" s="587">
        <f t="shared" si="141"/>
        <v>261.60000000000002</v>
      </c>
      <c r="AE1133" s="592">
        <f t="shared" si="134"/>
        <v>0</v>
      </c>
    </row>
    <row r="1134" spans="6:62" ht="24" customHeight="1">
      <c r="F1134" s="587">
        <v>2</v>
      </c>
      <c r="G1134" s="585" t="s">
        <v>209</v>
      </c>
      <c r="H1134" s="573" t="s">
        <v>3091</v>
      </c>
      <c r="I1134" s="593">
        <v>53.8</v>
      </c>
      <c r="J1134" s="573" t="s">
        <v>209</v>
      </c>
      <c r="K1134" s="587">
        <f t="shared" si="141"/>
        <v>107.6</v>
      </c>
      <c r="AE1134" s="592">
        <f t="shared" si="134"/>
        <v>0</v>
      </c>
    </row>
    <row r="1135" spans="6:62" ht="24" customHeight="1">
      <c r="F1135" s="587">
        <v>1</v>
      </c>
      <c r="G1135" s="585" t="s">
        <v>209</v>
      </c>
      <c r="H1135" s="680" t="s">
        <v>1596</v>
      </c>
      <c r="I1135" s="680">
        <v>63.2</v>
      </c>
      <c r="J1135" s="573" t="s">
        <v>209</v>
      </c>
      <c r="K1135" s="587">
        <f t="shared" si="141"/>
        <v>63.2</v>
      </c>
      <c r="AE1135" s="592">
        <f t="shared" si="134"/>
        <v>0</v>
      </c>
    </row>
    <row r="1136" spans="6:62" ht="24" customHeight="1">
      <c r="F1136" s="587">
        <v>2.52</v>
      </c>
      <c r="G1136" s="585" t="s">
        <v>140</v>
      </c>
      <c r="H1136" s="573" t="s">
        <v>1597</v>
      </c>
      <c r="I1136" s="587">
        <f>K1167</f>
        <v>157.19</v>
      </c>
      <c r="J1136" s="573" t="s">
        <v>140</v>
      </c>
      <c r="K1136" s="587">
        <f t="shared" si="141"/>
        <v>396.11880000000002</v>
      </c>
      <c r="AE1136" s="592">
        <f t="shared" si="134"/>
        <v>0</v>
      </c>
    </row>
    <row r="1137" spans="6:31" ht="24" customHeight="1">
      <c r="H1137" s="573" t="s">
        <v>1598</v>
      </c>
      <c r="I1137" s="574" t="s">
        <v>129</v>
      </c>
      <c r="K1137" s="587">
        <v>0.21</v>
      </c>
      <c r="AE1137" s="592">
        <f t="shared" si="134"/>
        <v>0</v>
      </c>
    </row>
    <row r="1138" spans="6:31" ht="24" customHeight="1">
      <c r="K1138" s="582" t="s">
        <v>117</v>
      </c>
      <c r="AE1138" s="592">
        <f t="shared" si="134"/>
        <v>0</v>
      </c>
    </row>
    <row r="1139" spans="6:31" ht="24" customHeight="1">
      <c r="H1139" s="574" t="s">
        <v>1599</v>
      </c>
      <c r="K1139" s="587">
        <f>SUM(K1127:K1137)</f>
        <v>8073.5260500000004</v>
      </c>
      <c r="M1139" s="645" t="s">
        <v>1600</v>
      </c>
      <c r="N1139" s="645"/>
      <c r="O1139" s="645"/>
      <c r="P1139" s="645"/>
      <c r="Q1139" s="645"/>
      <c r="R1139" s="645"/>
      <c r="S1139" s="645"/>
      <c r="AE1139" s="592">
        <f t="shared" si="134"/>
        <v>0</v>
      </c>
    </row>
    <row r="1140" spans="6:31" ht="24" customHeight="1">
      <c r="G1140" s="585" t="s">
        <v>115</v>
      </c>
      <c r="K1140" s="582" t="s">
        <v>117</v>
      </c>
      <c r="O1140" s="582" t="s">
        <v>117</v>
      </c>
      <c r="Q1140" s="578"/>
      <c r="AE1140" s="592">
        <f t="shared" si="134"/>
        <v>0</v>
      </c>
    </row>
    <row r="1141" spans="6:31" ht="24" customHeight="1">
      <c r="H1141" s="589" t="s">
        <v>154</v>
      </c>
      <c r="K1141" s="586">
        <f>K1139/2.52</f>
        <v>3203.7801785714287</v>
      </c>
      <c r="N1141" s="579">
        <v>0.45300000000000001</v>
      </c>
      <c r="O1141" s="573" t="s">
        <v>1382</v>
      </c>
      <c r="P1141" s="587">
        <f>C73</f>
        <v>1644.69</v>
      </c>
      <c r="Q1141" s="573" t="s">
        <v>126</v>
      </c>
      <c r="R1141" s="587">
        <f>P1141*N1141</f>
        <v>745.04457000000002</v>
      </c>
      <c r="AE1141" s="592">
        <f t="shared" ref="AE1141:AE1203" si="142">AG1141</f>
        <v>0</v>
      </c>
    </row>
    <row r="1142" spans="6:31" ht="24" customHeight="1">
      <c r="K1142" s="582" t="s">
        <v>155</v>
      </c>
      <c r="N1142" s="579">
        <v>0.30199999999999999</v>
      </c>
      <c r="O1142" s="573" t="s">
        <v>1601</v>
      </c>
      <c r="P1142" s="587">
        <f>C71</f>
        <v>1200.69</v>
      </c>
      <c r="Q1142" s="573" t="str">
        <f>Q1141</f>
        <v>CUM</v>
      </c>
      <c r="R1142" s="587">
        <f t="shared" ref="R1142:R1147" si="143">P1142*N1142</f>
        <v>362.60838000000001</v>
      </c>
      <c r="AE1142" s="592">
        <f t="shared" si="142"/>
        <v>0</v>
      </c>
    </row>
    <row r="1143" spans="6:31" ht="24" customHeight="1">
      <c r="G1143" s="585" t="s">
        <v>122</v>
      </c>
      <c r="H1143" s="573" t="s">
        <v>1602</v>
      </c>
      <c r="N1143" s="575">
        <v>0.44</v>
      </c>
      <c r="O1143" s="573" t="s">
        <v>127</v>
      </c>
      <c r="P1143" s="587">
        <f>C78</f>
        <v>1322.8</v>
      </c>
      <c r="Q1143" s="573" t="s">
        <v>126</v>
      </c>
      <c r="R1143" s="587">
        <f t="shared" si="143"/>
        <v>582.03200000000004</v>
      </c>
      <c r="AE1143" s="592">
        <f t="shared" si="142"/>
        <v>0</v>
      </c>
    </row>
    <row r="1144" spans="6:31" ht="24" customHeight="1">
      <c r="H1144" s="582" t="s">
        <v>117</v>
      </c>
      <c r="I1144" s="582" t="s">
        <v>117</v>
      </c>
      <c r="N1144" s="575">
        <v>0.37</v>
      </c>
      <c r="O1144" s="573" t="s">
        <v>1124</v>
      </c>
      <c r="P1144" s="587">
        <f>I808</f>
        <v>5800</v>
      </c>
      <c r="Q1144" s="573" t="s">
        <v>1123</v>
      </c>
      <c r="R1144" s="587">
        <f t="shared" si="143"/>
        <v>2146</v>
      </c>
      <c r="AE1144" s="592">
        <f t="shared" si="142"/>
        <v>0</v>
      </c>
    </row>
    <row r="1145" spans="6:31" ht="24" customHeight="1">
      <c r="F1145" s="587">
        <v>0.77</v>
      </c>
      <c r="G1145" s="585" t="s">
        <v>1603</v>
      </c>
      <c r="H1145" s="573" t="s">
        <v>1604</v>
      </c>
      <c r="I1145" s="587">
        <f>C194</f>
        <v>266</v>
      </c>
      <c r="J1145" s="573" t="s">
        <v>1603</v>
      </c>
      <c r="K1145" s="587">
        <f>(F1145*I1145)</f>
        <v>204.82</v>
      </c>
      <c r="N1145" s="575">
        <v>0.35</v>
      </c>
      <c r="O1145" s="573" t="s">
        <v>1131</v>
      </c>
      <c r="P1145" s="587">
        <f>C11</f>
        <v>718</v>
      </c>
      <c r="Q1145" s="573" t="s">
        <v>209</v>
      </c>
      <c r="R1145" s="587">
        <f t="shared" si="143"/>
        <v>251.29999999999998</v>
      </c>
      <c r="AE1145" s="592">
        <f t="shared" si="142"/>
        <v>0</v>
      </c>
    </row>
    <row r="1146" spans="6:31" ht="24" customHeight="1">
      <c r="F1146" s="587">
        <v>0.61</v>
      </c>
      <c r="G1146" s="585" t="s">
        <v>1603</v>
      </c>
      <c r="H1146" s="573" t="s">
        <v>1605</v>
      </c>
      <c r="I1146" s="587">
        <f>C193</f>
        <v>25</v>
      </c>
      <c r="J1146" s="573" t="s">
        <v>1603</v>
      </c>
      <c r="K1146" s="587">
        <f>(F1146*I1146)</f>
        <v>15.25</v>
      </c>
      <c r="N1146" s="575">
        <v>2.12</v>
      </c>
      <c r="O1146" s="573" t="s">
        <v>1606</v>
      </c>
      <c r="P1146" s="587">
        <f>C12</f>
        <v>502</v>
      </c>
      <c r="Q1146" s="573" t="s">
        <v>209</v>
      </c>
      <c r="R1146" s="587">
        <f t="shared" si="143"/>
        <v>1064.24</v>
      </c>
      <c r="AE1146" s="592">
        <f t="shared" si="142"/>
        <v>0</v>
      </c>
    </row>
    <row r="1147" spans="6:31" ht="24" customHeight="1">
      <c r="F1147" s="587">
        <v>0.7</v>
      </c>
      <c r="G1147" s="585" t="s">
        <v>233</v>
      </c>
      <c r="H1147" s="573" t="s">
        <v>300</v>
      </c>
      <c r="I1147" s="587">
        <f>C14</f>
        <v>615</v>
      </c>
      <c r="J1147" s="573" t="s">
        <v>206</v>
      </c>
      <c r="K1147" s="587">
        <f>(F1147*I1147)</f>
        <v>430.5</v>
      </c>
      <c r="N1147" s="575">
        <v>3.53</v>
      </c>
      <c r="O1147" s="573" t="s">
        <v>1607</v>
      </c>
      <c r="P1147" s="587">
        <f>C13</f>
        <v>412</v>
      </c>
      <c r="Q1147" s="573" t="s">
        <v>209</v>
      </c>
      <c r="R1147" s="587">
        <f t="shared" si="143"/>
        <v>1454.36</v>
      </c>
      <c r="AE1147" s="592">
        <f t="shared" si="142"/>
        <v>0</v>
      </c>
    </row>
    <row r="1148" spans="6:31" ht="24" customHeight="1">
      <c r="F1148" s="587"/>
      <c r="G1148" s="585"/>
      <c r="H1148" s="573"/>
      <c r="I1148" s="587"/>
      <c r="J1148" s="573"/>
      <c r="K1148" s="587"/>
      <c r="O1148" s="573" t="s">
        <v>689</v>
      </c>
      <c r="P1148" s="587"/>
      <c r="Q1148" s="578"/>
      <c r="R1148" s="685">
        <f>K819</f>
        <v>70.7</v>
      </c>
      <c r="AE1148" s="592"/>
    </row>
    <row r="1149" spans="6:31" ht="24" customHeight="1">
      <c r="F1149" s="587">
        <v>0.7</v>
      </c>
      <c r="G1149" s="585" t="s">
        <v>233</v>
      </c>
      <c r="H1149" s="573" t="s">
        <v>292</v>
      </c>
      <c r="I1149" s="587">
        <f>C12</f>
        <v>502</v>
      </c>
      <c r="J1149" s="573" t="s">
        <v>206</v>
      </c>
      <c r="K1149" s="587">
        <f>(F1149*I1149)</f>
        <v>351.4</v>
      </c>
      <c r="M1149" s="691" t="s">
        <v>166</v>
      </c>
      <c r="O1149" s="575" t="s">
        <v>1387</v>
      </c>
      <c r="P1149" s="661">
        <f>V1134</f>
        <v>0</v>
      </c>
      <c r="R1149" s="575">
        <v>270</v>
      </c>
      <c r="AE1149" s="592">
        <f t="shared" si="142"/>
        <v>0</v>
      </c>
    </row>
    <row r="1150" spans="6:31" ht="43.5" customHeight="1">
      <c r="G1150" s="585" t="s">
        <v>129</v>
      </c>
      <c r="H1150" s="573" t="s">
        <v>182</v>
      </c>
      <c r="J1150" s="573" t="s">
        <v>129</v>
      </c>
      <c r="K1150" s="587">
        <v>1.5</v>
      </c>
      <c r="M1150" s="691" t="s">
        <v>166</v>
      </c>
      <c r="O1150" s="575" t="s">
        <v>1390</v>
      </c>
      <c r="P1150" s="661">
        <f>V1135</f>
        <v>0</v>
      </c>
      <c r="R1150" s="575">
        <v>150</v>
      </c>
      <c r="AE1150" s="592">
        <f t="shared" si="142"/>
        <v>0</v>
      </c>
    </row>
    <row r="1151" spans="6:31" ht="24" customHeight="1">
      <c r="K1151" s="582" t="s">
        <v>117</v>
      </c>
      <c r="M1151" s="691" t="s">
        <v>166</v>
      </c>
      <c r="O1151" s="575" t="s">
        <v>236</v>
      </c>
      <c r="P1151" s="661">
        <f>V1136</f>
        <v>0</v>
      </c>
      <c r="R1151" s="575">
        <v>0.35</v>
      </c>
      <c r="AE1151" s="592">
        <f t="shared" si="142"/>
        <v>0</v>
      </c>
    </row>
    <row r="1152" spans="6:31" ht="24" customHeight="1">
      <c r="H1152" s="574" t="s">
        <v>1608</v>
      </c>
      <c r="K1152" s="587">
        <f>SUM(K1145:K1150)</f>
        <v>1003.4699999999999</v>
      </c>
      <c r="Q1152" s="578"/>
      <c r="R1152" s="575">
        <f>SUM(R1141:R1151)</f>
        <v>7096.6349500000006</v>
      </c>
      <c r="AE1152" s="592">
        <f t="shared" si="142"/>
        <v>0</v>
      </c>
    </row>
    <row r="1153" spans="6:31" ht="24" customHeight="1">
      <c r="K1153" s="582" t="s">
        <v>117</v>
      </c>
      <c r="X1153" s="619">
        <f>SUM(X1141:X1152)</f>
        <v>0</v>
      </c>
      <c r="AE1153" s="592">
        <f t="shared" si="142"/>
        <v>0</v>
      </c>
    </row>
    <row r="1154" spans="6:31" ht="24" customHeight="1">
      <c r="H1154" s="589" t="s">
        <v>154</v>
      </c>
      <c r="K1154" s="586">
        <f>(K1152/10)</f>
        <v>100.34699999999999</v>
      </c>
      <c r="AE1154" s="592">
        <f t="shared" si="142"/>
        <v>0</v>
      </c>
    </row>
    <row r="1155" spans="6:31" ht="24" customHeight="1">
      <c r="K1155" s="582" t="s">
        <v>155</v>
      </c>
      <c r="Q1155" s="578"/>
      <c r="R1155" s="685"/>
      <c r="AE1155" s="592">
        <f t="shared" si="142"/>
        <v>0</v>
      </c>
    </row>
    <row r="1156" spans="6:31" ht="24" customHeight="1">
      <c r="O1156" s="575" t="s">
        <v>1609</v>
      </c>
      <c r="Q1156" s="578"/>
      <c r="R1156" s="587">
        <f>SUM(R1152:R1155)</f>
        <v>7096.6349500000006</v>
      </c>
      <c r="AE1156" s="592">
        <f t="shared" si="142"/>
        <v>0</v>
      </c>
    </row>
    <row r="1157" spans="6:31" ht="24" customHeight="1">
      <c r="F1157" s="573" t="s">
        <v>115</v>
      </c>
      <c r="G1157" s="585" t="s">
        <v>122</v>
      </c>
      <c r="H1157" s="573" t="s">
        <v>1610</v>
      </c>
      <c r="Q1157" s="578"/>
      <c r="R1157" s="582" t="s">
        <v>117</v>
      </c>
      <c r="AE1157" s="592">
        <f t="shared" si="142"/>
        <v>0</v>
      </c>
    </row>
    <row r="1158" spans="6:31" ht="24" customHeight="1">
      <c r="H1158" s="582" t="s">
        <v>117</v>
      </c>
      <c r="I1158" s="582" t="s">
        <v>117</v>
      </c>
      <c r="O1158" s="573" t="s">
        <v>482</v>
      </c>
      <c r="Q1158" s="578"/>
      <c r="R1158" s="586">
        <f>R1156+C22</f>
        <v>7186.5349500000002</v>
      </c>
      <c r="S1158" s="579">
        <f>C22</f>
        <v>89.9</v>
      </c>
      <c r="T1158" s="579">
        <f>C23</f>
        <v>177</v>
      </c>
      <c r="AE1158" s="592">
        <f t="shared" si="142"/>
        <v>0</v>
      </c>
    </row>
    <row r="1159" spans="6:31" ht="24" customHeight="1">
      <c r="F1159" s="587">
        <v>1.2</v>
      </c>
      <c r="G1159" s="585" t="s">
        <v>1603</v>
      </c>
      <c r="H1159" s="573" t="s">
        <v>1611</v>
      </c>
      <c r="I1159" s="587">
        <f>C194</f>
        <v>266</v>
      </c>
      <c r="J1159" s="573" t="s">
        <v>1603</v>
      </c>
      <c r="K1159" s="587">
        <f>(F1159*I1159)</f>
        <v>319.2</v>
      </c>
      <c r="O1159" s="573" t="s">
        <v>486</v>
      </c>
      <c r="Q1159" s="578"/>
      <c r="R1159" s="586">
        <f>R1158+C23</f>
        <v>7363.5349500000002</v>
      </c>
      <c r="S1159" s="579">
        <f>R1156-5363.9</f>
        <v>1732.7349500000009</v>
      </c>
      <c r="AE1159" s="592">
        <f t="shared" si="142"/>
        <v>0</v>
      </c>
    </row>
    <row r="1160" spans="6:31" ht="24" customHeight="1">
      <c r="F1160" s="587">
        <v>0.9</v>
      </c>
      <c r="G1160" s="585" t="s">
        <v>1603</v>
      </c>
      <c r="H1160" s="573" t="s">
        <v>1605</v>
      </c>
      <c r="I1160" s="587">
        <f>C193</f>
        <v>25</v>
      </c>
      <c r="J1160" s="573" t="s">
        <v>1603</v>
      </c>
      <c r="K1160" s="587">
        <f>(F1160*I1160)</f>
        <v>22.5</v>
      </c>
      <c r="O1160" s="573" t="s">
        <v>489</v>
      </c>
      <c r="Q1160" s="578"/>
      <c r="R1160" s="586">
        <f>R1159+C23</f>
        <v>7540.5349500000002</v>
      </c>
      <c r="AE1160" s="592">
        <f t="shared" si="142"/>
        <v>0</v>
      </c>
    </row>
    <row r="1161" spans="6:31" ht="24" customHeight="1">
      <c r="F1161" s="587">
        <v>1.1000000000000001</v>
      </c>
      <c r="G1161" s="585" t="s">
        <v>233</v>
      </c>
      <c r="H1161" s="573" t="s">
        <v>300</v>
      </c>
      <c r="I1161" s="587">
        <f>C14</f>
        <v>615</v>
      </c>
      <c r="J1161" s="573" t="s">
        <v>206</v>
      </c>
      <c r="K1161" s="587">
        <f>(F1161*I1161)</f>
        <v>676.5</v>
      </c>
      <c r="O1161" s="573" t="s">
        <v>491</v>
      </c>
      <c r="Q1161" s="578"/>
      <c r="R1161" s="586">
        <f>R1160+C23</f>
        <v>7717.5349500000002</v>
      </c>
      <c r="AE1161" s="592">
        <f t="shared" si="142"/>
        <v>0</v>
      </c>
    </row>
    <row r="1162" spans="6:31" ht="24" customHeight="1">
      <c r="F1162" s="587">
        <v>1.1000000000000001</v>
      </c>
      <c r="G1162" s="585" t="s">
        <v>233</v>
      </c>
      <c r="H1162" s="573" t="s">
        <v>292</v>
      </c>
      <c r="I1162" s="587">
        <f>C12</f>
        <v>502</v>
      </c>
      <c r="J1162" s="573" t="s">
        <v>206</v>
      </c>
      <c r="K1162" s="587">
        <f>(F1162*I1162)</f>
        <v>552.20000000000005</v>
      </c>
      <c r="O1162" s="573" t="s">
        <v>576</v>
      </c>
      <c r="Q1162" s="578"/>
      <c r="R1162" s="586">
        <f>R1161+C23</f>
        <v>7894.5349500000002</v>
      </c>
      <c r="AE1162" s="592">
        <f t="shared" si="142"/>
        <v>0</v>
      </c>
    </row>
    <row r="1163" spans="6:31" ht="24" customHeight="1">
      <c r="G1163" s="585" t="s">
        <v>129</v>
      </c>
      <c r="H1163" s="573" t="s">
        <v>182</v>
      </c>
      <c r="J1163" s="573" t="s">
        <v>129</v>
      </c>
      <c r="K1163" s="587">
        <v>1.5</v>
      </c>
      <c r="O1163" s="573" t="s">
        <v>798</v>
      </c>
      <c r="R1163" s="586">
        <f>R1162+C23</f>
        <v>8071.5349500000002</v>
      </c>
      <c r="AE1163" s="592">
        <f t="shared" si="142"/>
        <v>0</v>
      </c>
    </row>
    <row r="1164" spans="6:31" ht="24" customHeight="1">
      <c r="K1164" s="582" t="s">
        <v>117</v>
      </c>
      <c r="O1164" s="573" t="s">
        <v>799</v>
      </c>
      <c r="R1164" s="586">
        <f>R1163+C23</f>
        <v>8248.5349500000011</v>
      </c>
      <c r="AE1164" s="592">
        <f t="shared" si="142"/>
        <v>0</v>
      </c>
    </row>
    <row r="1165" spans="6:31" ht="24" customHeight="1">
      <c r="H1165" s="574" t="s">
        <v>1608</v>
      </c>
      <c r="K1165" s="587">
        <f>SUM(K1159:K1163)</f>
        <v>1571.9</v>
      </c>
      <c r="O1165" s="573" t="s">
        <v>800</v>
      </c>
      <c r="R1165" s="586">
        <f>R1164+C23</f>
        <v>8425.5349500000011</v>
      </c>
      <c r="AE1165" s="592">
        <f t="shared" si="142"/>
        <v>0</v>
      </c>
    </row>
    <row r="1166" spans="6:31" ht="24" customHeight="1">
      <c r="K1166" s="582" t="s">
        <v>117</v>
      </c>
      <c r="O1166" s="573" t="s">
        <v>981</v>
      </c>
      <c r="R1166" s="586">
        <f>R1165+C23</f>
        <v>8602.5349500000011</v>
      </c>
      <c r="AE1166" s="592">
        <f t="shared" si="142"/>
        <v>0</v>
      </c>
    </row>
    <row r="1167" spans="6:31" ht="24" customHeight="1">
      <c r="H1167" s="589" t="s">
        <v>154</v>
      </c>
      <c r="K1167" s="586">
        <f>(K1165/10)</f>
        <v>157.19</v>
      </c>
      <c r="O1167" s="573" t="s">
        <v>802</v>
      </c>
      <c r="R1167" s="586">
        <f>R1166+C23</f>
        <v>8779.5349500000011</v>
      </c>
      <c r="AE1167" s="592">
        <f t="shared" si="142"/>
        <v>0</v>
      </c>
    </row>
    <row r="1168" spans="6:31" ht="24" customHeight="1">
      <c r="K1168" s="582" t="s">
        <v>155</v>
      </c>
      <c r="O1168" s="575" t="s">
        <v>1612</v>
      </c>
      <c r="R1168" s="586">
        <f>R1167+C23</f>
        <v>8956.5349500000011</v>
      </c>
      <c r="AE1168" s="592">
        <f t="shared" si="142"/>
        <v>0</v>
      </c>
    </row>
    <row r="1169" spans="6:33" ht="24" customHeight="1">
      <c r="R1169" s="586">
        <f>R1168+C23</f>
        <v>9133.5349500000011</v>
      </c>
      <c r="AE1169" s="592">
        <f t="shared" si="142"/>
        <v>0</v>
      </c>
    </row>
    <row r="1170" spans="6:33" ht="24" customHeight="1">
      <c r="F1170" s="679">
        <v>23.3</v>
      </c>
      <c r="H1170" s="657" t="s">
        <v>1613</v>
      </c>
      <c r="I1170" s="657" t="s">
        <v>484</v>
      </c>
      <c r="K1170" s="723">
        <v>52</v>
      </c>
      <c r="R1170" s="586">
        <f>R1169+C23</f>
        <v>9310.5349500000011</v>
      </c>
      <c r="S1170" s="575"/>
      <c r="AE1170" s="592">
        <f t="shared" si="142"/>
        <v>0</v>
      </c>
    </row>
    <row r="1171" spans="6:33" ht="24" customHeight="1">
      <c r="M1171" s="579"/>
      <c r="O1171" s="619" t="s">
        <v>1362</v>
      </c>
      <c r="R1171" s="586">
        <f>R1170+C23</f>
        <v>9487.5349500000011</v>
      </c>
      <c r="S1171" s="575"/>
      <c r="AE1171" s="592">
        <f t="shared" si="142"/>
        <v>0</v>
      </c>
    </row>
    <row r="1172" spans="6:33" ht="24" customHeight="1">
      <c r="M1172" s="579">
        <v>0.443</v>
      </c>
      <c r="N1172" s="575" t="s">
        <v>642</v>
      </c>
      <c r="O1172" s="575" t="s">
        <v>1365</v>
      </c>
      <c r="P1172" s="575">
        <f t="shared" ref="P1172:P1178" si="144">P1141</f>
        <v>1644.69</v>
      </c>
      <c r="R1172" s="575">
        <f>P1172*M1172</f>
        <v>728.59766999999999</v>
      </c>
      <c r="S1172" s="575"/>
      <c r="AE1172" s="592">
        <f t="shared" si="142"/>
        <v>0</v>
      </c>
    </row>
    <row r="1173" spans="6:33" ht="24" customHeight="1">
      <c r="F1173" s="574" t="s">
        <v>228</v>
      </c>
      <c r="G1173" s="585" t="s">
        <v>122</v>
      </c>
      <c r="H1173" s="573" t="s">
        <v>1614</v>
      </c>
      <c r="M1173" s="579">
        <v>0.29499999999999998</v>
      </c>
      <c r="N1173" s="575" t="s">
        <v>642</v>
      </c>
      <c r="O1173" s="575" t="s">
        <v>1368</v>
      </c>
      <c r="P1173" s="575">
        <f t="shared" si="144"/>
        <v>1200.69</v>
      </c>
      <c r="R1173" s="575">
        <f t="shared" ref="R1173:R1179" si="145">P1173*M1173</f>
        <v>354.20355000000001</v>
      </c>
      <c r="S1173" s="575"/>
      <c r="AE1173" s="592">
        <f t="shared" si="142"/>
        <v>0</v>
      </c>
    </row>
    <row r="1174" spans="6:33" ht="24" customHeight="1">
      <c r="H1174" s="573" t="s">
        <v>229</v>
      </c>
      <c r="M1174" s="579">
        <v>0.43</v>
      </c>
      <c r="N1174" s="575" t="s">
        <v>642</v>
      </c>
      <c r="O1174" s="575" t="s">
        <v>1372</v>
      </c>
      <c r="P1174" s="575">
        <f t="shared" si="144"/>
        <v>1322.8</v>
      </c>
      <c r="R1174" s="575">
        <f t="shared" si="145"/>
        <v>568.80399999999997</v>
      </c>
      <c r="S1174" s="575"/>
      <c r="AE1174" s="592">
        <f t="shared" si="142"/>
        <v>0</v>
      </c>
    </row>
    <row r="1175" spans="6:33" ht="24" customHeight="1">
      <c r="H1175" s="582" t="s">
        <v>117</v>
      </c>
      <c r="I1175" s="582" t="s">
        <v>117</v>
      </c>
      <c r="M1175" s="579">
        <v>0.39</v>
      </c>
      <c r="N1175" s="575" t="s">
        <v>1123</v>
      </c>
      <c r="O1175" s="575" t="s">
        <v>1124</v>
      </c>
      <c r="P1175" s="575">
        <f t="shared" si="144"/>
        <v>5800</v>
      </c>
      <c r="R1175" s="575">
        <f t="shared" si="145"/>
        <v>2262</v>
      </c>
      <c r="S1175" s="575"/>
      <c r="AE1175" s="592">
        <f t="shared" si="142"/>
        <v>0</v>
      </c>
    </row>
    <row r="1176" spans="6:33" ht="24" customHeight="1">
      <c r="F1176" s="652">
        <v>0.53339999999999999</v>
      </c>
      <c r="G1176" s="585" t="s">
        <v>174</v>
      </c>
      <c r="H1176" s="641" t="s">
        <v>230</v>
      </c>
      <c r="I1176" s="615">
        <v>208.8</v>
      </c>
      <c r="J1176" s="573" t="s">
        <v>174</v>
      </c>
      <c r="K1176" s="587">
        <f>(F1176*I1176)</f>
        <v>111.37392</v>
      </c>
      <c r="M1176" s="579">
        <v>0.35</v>
      </c>
      <c r="N1176" s="575" t="s">
        <v>240</v>
      </c>
      <c r="O1176" s="575" t="s">
        <v>1131</v>
      </c>
      <c r="P1176" s="575">
        <f t="shared" si="144"/>
        <v>718</v>
      </c>
      <c r="Q1176" s="575">
        <f>D1174</f>
        <v>0</v>
      </c>
      <c r="R1176" s="575">
        <f t="shared" si="145"/>
        <v>251.29999999999998</v>
      </c>
      <c r="S1176" s="575"/>
      <c r="AE1176" s="592">
        <f t="shared" si="142"/>
        <v>0</v>
      </c>
    </row>
    <row r="1177" spans="6:33" ht="24" customHeight="1">
      <c r="F1177" s="587">
        <v>4.24</v>
      </c>
      <c r="G1177" s="585" t="s">
        <v>231</v>
      </c>
      <c r="H1177" s="724" t="s">
        <v>232</v>
      </c>
      <c r="I1177" s="615">
        <v>35.61</v>
      </c>
      <c r="J1177" s="573" t="s">
        <v>231</v>
      </c>
      <c r="K1177" s="587">
        <f>(F1177*I1177)</f>
        <v>150.9864</v>
      </c>
      <c r="M1177" s="579">
        <v>2.12</v>
      </c>
      <c r="N1177" s="575" t="s">
        <v>240</v>
      </c>
      <c r="O1177" s="575" t="s">
        <v>1134</v>
      </c>
      <c r="P1177" s="575">
        <f t="shared" si="144"/>
        <v>502</v>
      </c>
      <c r="R1177" s="575">
        <f t="shared" si="145"/>
        <v>1064.24</v>
      </c>
      <c r="S1177" s="575"/>
      <c r="AE1177" s="592">
        <f t="shared" si="142"/>
        <v>0</v>
      </c>
    </row>
    <row r="1178" spans="6:33" ht="24" customHeight="1">
      <c r="F1178" s="587">
        <v>16</v>
      </c>
      <c r="G1178" s="585" t="s">
        <v>233</v>
      </c>
      <c r="H1178" s="724" t="s">
        <v>234</v>
      </c>
      <c r="I1178" s="615">
        <v>1</v>
      </c>
      <c r="J1178" s="573" t="s">
        <v>227</v>
      </c>
      <c r="K1178" s="587">
        <f>(F1178*I1178)</f>
        <v>16</v>
      </c>
      <c r="M1178" s="579">
        <v>3.53</v>
      </c>
      <c r="N1178" s="575" t="s">
        <v>240</v>
      </c>
      <c r="O1178" s="575" t="s">
        <v>1138</v>
      </c>
      <c r="P1178" s="575">
        <f t="shared" si="144"/>
        <v>412</v>
      </c>
      <c r="R1178" s="575">
        <f t="shared" si="145"/>
        <v>1454.36</v>
      </c>
      <c r="S1178" s="575"/>
      <c r="AE1178" s="592">
        <f t="shared" si="142"/>
        <v>0</v>
      </c>
    </row>
    <row r="1179" spans="6:33" ht="24" customHeight="1">
      <c r="F1179" s="652">
        <v>0.53339999999999999</v>
      </c>
      <c r="G1179" s="585" t="s">
        <v>174</v>
      </c>
      <c r="H1179" s="573" t="s">
        <v>235</v>
      </c>
      <c r="I1179" s="587">
        <f>0.25/1.08*D16</f>
        <v>166.2037037037037</v>
      </c>
      <c r="J1179" s="573" t="s">
        <v>174</v>
      </c>
      <c r="K1179" s="587">
        <f>(F1179*I1179)</f>
        <v>88.653055555555554</v>
      </c>
      <c r="M1179" s="579">
        <v>1</v>
      </c>
      <c r="N1179" s="575" t="s">
        <v>642</v>
      </c>
      <c r="O1179" s="575" t="s">
        <v>1384</v>
      </c>
      <c r="P1179" s="575">
        <f>R1148</f>
        <v>70.7</v>
      </c>
      <c r="R1179" s="575">
        <f t="shared" si="145"/>
        <v>70.7</v>
      </c>
      <c r="S1179" s="575"/>
      <c r="AE1179" s="592">
        <f t="shared" si="142"/>
        <v>0</v>
      </c>
    </row>
    <row r="1180" spans="6:33" ht="24" customHeight="1">
      <c r="G1180" s="585" t="s">
        <v>129</v>
      </c>
      <c r="H1180" s="573" t="s">
        <v>236</v>
      </c>
      <c r="J1180" s="573" t="s">
        <v>129</v>
      </c>
      <c r="K1180" s="587"/>
      <c r="M1180" s="691" t="s">
        <v>166</v>
      </c>
      <c r="O1180" s="575" t="s">
        <v>1387</v>
      </c>
      <c r="P1180" s="691" t="s">
        <v>166</v>
      </c>
      <c r="R1180" s="575">
        <v>270</v>
      </c>
      <c r="S1180" s="575"/>
      <c r="AE1180" s="592">
        <f t="shared" si="142"/>
        <v>0</v>
      </c>
    </row>
    <row r="1181" spans="6:33" ht="24" customHeight="1">
      <c r="H1181" s="573" t="s">
        <v>237</v>
      </c>
      <c r="M1181" s="691" t="s">
        <v>166</v>
      </c>
      <c r="O1181" s="575" t="s">
        <v>1390</v>
      </c>
      <c r="P1181" s="691" t="s">
        <v>166</v>
      </c>
      <c r="R1181" s="575">
        <v>150</v>
      </c>
      <c r="S1181" s="575"/>
      <c r="AE1181" s="592">
        <f t="shared" si="142"/>
        <v>0</v>
      </c>
    </row>
    <row r="1182" spans="6:33" ht="24" customHeight="1">
      <c r="K1182" s="582" t="s">
        <v>117</v>
      </c>
      <c r="M1182" s="691" t="s">
        <v>166</v>
      </c>
      <c r="O1182" s="575" t="s">
        <v>236</v>
      </c>
      <c r="P1182" s="691" t="s">
        <v>166</v>
      </c>
      <c r="R1182" s="575">
        <v>0.45</v>
      </c>
      <c r="S1182" s="575">
        <f>C22</f>
        <v>89.9</v>
      </c>
      <c r="T1182" s="575">
        <f>C23</f>
        <v>177</v>
      </c>
      <c r="AE1182" s="592" t="str">
        <f t="shared" si="142"/>
        <v>|</v>
      </c>
      <c r="AG1182" s="573" t="s">
        <v>849</v>
      </c>
    </row>
    <row r="1183" spans="6:33" ht="24" customHeight="1">
      <c r="H1183" s="574" t="s">
        <v>238</v>
      </c>
      <c r="K1183" s="587">
        <f>SUM(K1176:K1180)</f>
        <v>367.01337555555557</v>
      </c>
      <c r="M1183" s="579"/>
      <c r="O1183" s="575" t="s">
        <v>1087</v>
      </c>
      <c r="R1183" s="619">
        <f>SUM(R1172:R1182)</f>
        <v>7174.6552199999987</v>
      </c>
      <c r="S1183" s="575"/>
      <c r="AE1183" s="592" t="str">
        <f t="shared" si="142"/>
        <v>|</v>
      </c>
      <c r="AG1183" s="573" t="s">
        <v>849</v>
      </c>
    </row>
    <row r="1184" spans="6:33" ht="24" customHeight="1">
      <c r="K1184" s="582" t="s">
        <v>117</v>
      </c>
      <c r="M1184" s="579"/>
      <c r="O1184" s="575" t="s">
        <v>482</v>
      </c>
      <c r="R1184" s="575">
        <f>R1183+C22</f>
        <v>7264.5552199999984</v>
      </c>
      <c r="AE1184" s="592" t="str">
        <f t="shared" si="142"/>
        <v>|</v>
      </c>
      <c r="AG1184" s="573" t="s">
        <v>849</v>
      </c>
    </row>
    <row r="1185" spans="6:37" ht="24" customHeight="1">
      <c r="H1185" s="574" t="s">
        <v>239</v>
      </c>
      <c r="K1185" s="586">
        <f>ROUND(K1183/0.5334,1)+0.1</f>
        <v>688.2</v>
      </c>
      <c r="R1185" s="575">
        <f>R1184+T1182</f>
        <v>7441.5552199999984</v>
      </c>
      <c r="AE1185" s="592" t="str">
        <f t="shared" si="142"/>
        <v>|</v>
      </c>
      <c r="AG1185" s="573" t="s">
        <v>849</v>
      </c>
    </row>
    <row r="1186" spans="6:37" ht="24" customHeight="1">
      <c r="F1186" s="573" t="s">
        <v>115</v>
      </c>
      <c r="K1186" s="582" t="s">
        <v>155</v>
      </c>
      <c r="Y1186" s="679">
        <v>15.1</v>
      </c>
      <c r="Z1186" s="585" t="s">
        <v>1011</v>
      </c>
      <c r="AA1186" s="577" t="s">
        <v>1615</v>
      </c>
      <c r="AC1186" s="580"/>
      <c r="AE1186" s="592" t="str">
        <f t="shared" si="142"/>
        <v>C.</v>
      </c>
      <c r="AF1186" s="679">
        <v>15.1</v>
      </c>
      <c r="AG1186" s="585" t="s">
        <v>1011</v>
      </c>
      <c r="AH1186" s="152" t="s">
        <v>1616</v>
      </c>
      <c r="AJ1186" s="580"/>
    </row>
    <row r="1187" spans="6:37" ht="24" customHeight="1">
      <c r="F1187" s="573" t="s">
        <v>115</v>
      </c>
      <c r="G1187" s="585" t="s">
        <v>115</v>
      </c>
      <c r="H1187" s="573" t="s">
        <v>115</v>
      </c>
      <c r="Z1187" s="576"/>
      <c r="AA1187" s="573" t="s">
        <v>950</v>
      </c>
      <c r="AC1187" s="580"/>
      <c r="AE1187" s="592">
        <f t="shared" si="142"/>
        <v>0</v>
      </c>
      <c r="AG1187" s="576"/>
      <c r="AH1187" s="573" t="s">
        <v>950</v>
      </c>
      <c r="AJ1187" s="580"/>
    </row>
    <row r="1188" spans="6:37" ht="53.25" customHeight="1">
      <c r="F1188" s="574" t="s">
        <v>392</v>
      </c>
      <c r="G1188" s="585" t="s">
        <v>122</v>
      </c>
      <c r="H1188" s="573" t="s">
        <v>1617</v>
      </c>
      <c r="Y1188" s="587">
        <v>10</v>
      </c>
      <c r="Z1188" s="585" t="s">
        <v>174</v>
      </c>
      <c r="AA1188" s="633" t="s">
        <v>1618</v>
      </c>
      <c r="AB1188" s="593">
        <v>1706</v>
      </c>
      <c r="AC1188" s="574" t="s">
        <v>174</v>
      </c>
      <c r="AD1188" s="587">
        <f>(Y1188*AB1188)</f>
        <v>17060</v>
      </c>
      <c r="AE1188" s="592" t="str">
        <f t="shared" si="142"/>
        <v>Sqm</v>
      </c>
      <c r="AF1188" s="587">
        <v>10</v>
      </c>
      <c r="AG1188" s="585" t="s">
        <v>174</v>
      </c>
      <c r="AH1188" s="633" t="s">
        <v>1619</v>
      </c>
      <c r="AI1188" s="593">
        <v>844</v>
      </c>
      <c r="AJ1188" s="574" t="s">
        <v>174</v>
      </c>
      <c r="AK1188" s="587">
        <f>(AF1188*AI1188)</f>
        <v>8440</v>
      </c>
    </row>
    <row r="1189" spans="6:37" ht="24" customHeight="1">
      <c r="H1189" s="573" t="s">
        <v>1620</v>
      </c>
      <c r="Y1189" s="587">
        <v>0.12</v>
      </c>
      <c r="Z1189" s="585" t="s">
        <v>126</v>
      </c>
      <c r="AA1189" s="573" t="s">
        <v>1018</v>
      </c>
      <c r="AB1189" s="725">
        <f>P1333</f>
        <v>4193.8</v>
      </c>
      <c r="AC1189" s="574" t="s">
        <v>126</v>
      </c>
      <c r="AD1189" s="587">
        <f>(Y1189*AB1189)</f>
        <v>503.25600000000003</v>
      </c>
      <c r="AE1189" s="592" t="str">
        <f t="shared" si="142"/>
        <v>CUM</v>
      </c>
      <c r="AF1189" s="587">
        <v>0.12</v>
      </c>
      <c r="AG1189" s="585" t="s">
        <v>126</v>
      </c>
      <c r="AH1189" s="573" t="s">
        <v>1018</v>
      </c>
      <c r="AI1189" s="593">
        <f>AB1189</f>
        <v>4193.8</v>
      </c>
      <c r="AJ1189" s="574" t="s">
        <v>126</v>
      </c>
      <c r="AK1189" s="587">
        <f>(AF1189*AI1189)</f>
        <v>503.25600000000003</v>
      </c>
    </row>
    <row r="1190" spans="6:37" ht="24" customHeight="1">
      <c r="H1190" s="582" t="s">
        <v>117</v>
      </c>
      <c r="Y1190" s="587">
        <v>1</v>
      </c>
      <c r="Z1190" s="585" t="s">
        <v>233</v>
      </c>
      <c r="AA1190" s="573" t="s">
        <v>954</v>
      </c>
      <c r="AB1190" s="725">
        <f>P1334</f>
        <v>769</v>
      </c>
      <c r="AC1190" s="574" t="s">
        <v>227</v>
      </c>
      <c r="AD1190" s="587">
        <f>(Y1190*AB1190)</f>
        <v>769</v>
      </c>
      <c r="AE1190" s="592" t="str">
        <f t="shared" si="142"/>
        <v>No.</v>
      </c>
      <c r="AF1190" s="587">
        <v>1</v>
      </c>
      <c r="AG1190" s="585" t="s">
        <v>233</v>
      </c>
      <c r="AH1190" s="573" t="s">
        <v>954</v>
      </c>
      <c r="AI1190" s="593">
        <f>AB1190</f>
        <v>769</v>
      </c>
      <c r="AJ1190" s="574" t="s">
        <v>227</v>
      </c>
      <c r="AK1190" s="587">
        <f>(AF1190*AI1190)</f>
        <v>769</v>
      </c>
    </row>
    <row r="1191" spans="6:37" ht="24" customHeight="1">
      <c r="F1191" s="587">
        <v>1</v>
      </c>
      <c r="G1191" s="585" t="s">
        <v>148</v>
      </c>
      <c r="H1191" s="573" t="s">
        <v>3092</v>
      </c>
      <c r="I1191" s="726">
        <v>61.5</v>
      </c>
      <c r="J1191" s="573" t="s">
        <v>148</v>
      </c>
      <c r="K1191" s="586">
        <f>(F1191*I1191)</f>
        <v>61.5</v>
      </c>
      <c r="Y1191" s="587">
        <v>1</v>
      </c>
      <c r="Z1191" s="585" t="s">
        <v>233</v>
      </c>
      <c r="AA1191" s="573" t="s">
        <v>1622</v>
      </c>
      <c r="AB1191" s="725">
        <f>P1335</f>
        <v>502</v>
      </c>
      <c r="AC1191" s="574" t="s">
        <v>227</v>
      </c>
      <c r="AD1191" s="587">
        <f>(Y1191*AB1191)</f>
        <v>502</v>
      </c>
      <c r="AE1191" s="592" t="str">
        <f t="shared" si="142"/>
        <v>No.</v>
      </c>
      <c r="AF1191" s="587">
        <v>1</v>
      </c>
      <c r="AG1191" s="585" t="s">
        <v>233</v>
      </c>
      <c r="AH1191" s="573" t="s">
        <v>1622</v>
      </c>
      <c r="AI1191" s="593">
        <f>AE10</f>
        <v>718</v>
      </c>
      <c r="AJ1191" s="574" t="s">
        <v>227</v>
      </c>
      <c r="AK1191" s="587">
        <f>(AF1191*AI1191)</f>
        <v>718</v>
      </c>
    </row>
    <row r="1192" spans="6:37" ht="24" customHeight="1">
      <c r="K1192" s="582" t="s">
        <v>155</v>
      </c>
      <c r="Y1192" s="587"/>
      <c r="Z1192" s="585" t="s">
        <v>129</v>
      </c>
      <c r="AA1192" s="573" t="s">
        <v>958</v>
      </c>
      <c r="AC1192" s="574" t="s">
        <v>129</v>
      </c>
      <c r="AD1192" s="587">
        <v>0.33</v>
      </c>
      <c r="AF1192" s="587"/>
      <c r="AG1192" s="585" t="s">
        <v>129</v>
      </c>
      <c r="AH1192" s="573" t="s">
        <v>958</v>
      </c>
      <c r="AJ1192" s="574" t="s">
        <v>129</v>
      </c>
      <c r="AK1192" s="587">
        <v>0.33</v>
      </c>
    </row>
    <row r="1193" spans="6:37" ht="24" customHeight="1">
      <c r="F1193" s="574">
        <v>39</v>
      </c>
      <c r="H1193" s="641" t="s">
        <v>1623</v>
      </c>
      <c r="I1193" s="593">
        <v>54.5</v>
      </c>
      <c r="J1193" s="573" t="s">
        <v>148</v>
      </c>
      <c r="K1193" s="727">
        <f>I1193</f>
        <v>54.5</v>
      </c>
      <c r="Y1193" s="587"/>
      <c r="Z1193" s="576"/>
      <c r="AA1193" s="573" t="s">
        <v>960</v>
      </c>
      <c r="AD1193" s="580"/>
      <c r="AE1193" s="582" t="s">
        <v>117</v>
      </c>
      <c r="AF1193" s="587"/>
      <c r="AG1193" s="576"/>
      <c r="AH1193" s="573" t="s">
        <v>960</v>
      </c>
      <c r="AK1193" s="580"/>
    </row>
    <row r="1194" spans="6:37" ht="24" customHeight="1">
      <c r="F1194" s="574" t="s">
        <v>396</v>
      </c>
      <c r="G1194" s="585" t="s">
        <v>122</v>
      </c>
      <c r="H1194" s="573" t="s">
        <v>1624</v>
      </c>
      <c r="I1194" s="573" t="s">
        <v>115</v>
      </c>
      <c r="J1194" s="573" t="s">
        <v>206</v>
      </c>
      <c r="K1194" s="728">
        <v>9.6</v>
      </c>
      <c r="Y1194" s="587"/>
      <c r="Z1194" s="576"/>
      <c r="AA1194" s="574" t="s">
        <v>1028</v>
      </c>
      <c r="AC1194" s="580"/>
      <c r="AD1194" s="587">
        <f>SUM(AD1188:AD1193)</f>
        <v>18834.586000000003</v>
      </c>
      <c r="AE1194" s="587">
        <f>SUM(AE1188:AE1192)</f>
        <v>0</v>
      </c>
      <c r="AF1194" s="587"/>
      <c r="AG1194" s="576"/>
      <c r="AH1194" s="574" t="s">
        <v>1028</v>
      </c>
      <c r="AJ1194" s="580"/>
      <c r="AK1194" s="587">
        <f>SUM(AK1188:AK1193)</f>
        <v>10430.585999999999</v>
      </c>
    </row>
    <row r="1195" spans="6:37" ht="24" customHeight="1">
      <c r="H1195" s="573" t="s">
        <v>1625</v>
      </c>
      <c r="K1195" s="582" t="s">
        <v>155</v>
      </c>
      <c r="Z1195" s="576"/>
      <c r="AC1195" s="580"/>
      <c r="AD1195" s="582" t="s">
        <v>117</v>
      </c>
      <c r="AE1195" s="582" t="s">
        <v>117</v>
      </c>
      <c r="AG1195" s="576"/>
      <c r="AJ1195" s="580"/>
      <c r="AK1195" s="582" t="s">
        <v>117</v>
      </c>
    </row>
    <row r="1196" spans="6:37" ht="24" customHeight="1">
      <c r="Z1196" s="576"/>
      <c r="AA1196" s="574" t="s">
        <v>1033</v>
      </c>
      <c r="AD1196" s="586">
        <f>AD1194/10</f>
        <v>1883.4586000000004</v>
      </c>
      <c r="AG1196" s="576"/>
      <c r="AH1196" s="574" t="s">
        <v>1033</v>
      </c>
      <c r="AK1196" s="586">
        <f>AK1194/10</f>
        <v>1043.0585999999998</v>
      </c>
    </row>
    <row r="1197" spans="6:37" ht="24" customHeight="1">
      <c r="F1197" s="574" t="s">
        <v>408</v>
      </c>
      <c r="G1197" s="585" t="s">
        <v>122</v>
      </c>
      <c r="H1197" s="573" t="s">
        <v>1626</v>
      </c>
      <c r="Z1197" s="576"/>
      <c r="AA1197" s="573" t="s">
        <v>482</v>
      </c>
      <c r="AC1197" s="580">
        <f>C22*0.01</f>
        <v>0.89900000000000002</v>
      </c>
      <c r="AD1197" s="587">
        <f>AD1196+AC1197</f>
        <v>1884.3576000000003</v>
      </c>
      <c r="AG1197" s="576"/>
      <c r="AH1197" s="573" t="s">
        <v>482</v>
      </c>
      <c r="AJ1197" s="580">
        <f>AC1197</f>
        <v>0.89900000000000002</v>
      </c>
      <c r="AK1197" s="587">
        <f>AK1196+AJ1197</f>
        <v>1043.9575999999997</v>
      </c>
    </row>
    <row r="1198" spans="6:37" ht="24" customHeight="1">
      <c r="H1198" s="573" t="s">
        <v>1627</v>
      </c>
      <c r="Z1198" s="576"/>
      <c r="AA1198" s="573" t="s">
        <v>486</v>
      </c>
      <c r="AC1198" s="580">
        <f>C23*0.01</f>
        <v>1.77</v>
      </c>
      <c r="AD1198" s="587">
        <f>AD1197+AC1198</f>
        <v>1886.1276000000003</v>
      </c>
      <c r="AG1198" s="576"/>
      <c r="AH1198" s="573" t="s">
        <v>486</v>
      </c>
      <c r="AJ1198" s="580">
        <f t="shared" ref="AJ1198:AJ1206" si="146">AC1198</f>
        <v>1.77</v>
      </c>
      <c r="AK1198" s="587">
        <f>AK1197+AJ1198</f>
        <v>1045.7275999999997</v>
      </c>
    </row>
    <row r="1199" spans="6:37" ht="24" customHeight="1">
      <c r="H1199" s="582" t="s">
        <v>117</v>
      </c>
      <c r="Z1199" s="576"/>
      <c r="AA1199" s="573" t="s">
        <v>489</v>
      </c>
      <c r="AC1199" s="580">
        <f t="shared" ref="AC1199:AC1208" si="147">AC1198</f>
        <v>1.77</v>
      </c>
      <c r="AD1199" s="587">
        <f t="shared" ref="AD1199:AD1208" si="148">+AD1198+AC1199</f>
        <v>1887.8976000000002</v>
      </c>
      <c r="AG1199" s="576"/>
      <c r="AH1199" s="573" t="s">
        <v>489</v>
      </c>
      <c r="AJ1199" s="580">
        <f t="shared" si="146"/>
        <v>1.77</v>
      </c>
      <c r="AK1199" s="587">
        <f t="shared" ref="AK1199:AK1206" si="149">+AK1198+AJ1199</f>
        <v>1047.4975999999997</v>
      </c>
    </row>
    <row r="1200" spans="6:37" ht="24" customHeight="1">
      <c r="F1200" s="587">
        <v>0.22</v>
      </c>
      <c r="G1200" s="585" t="s">
        <v>126</v>
      </c>
      <c r="H1200" s="573" t="s">
        <v>134</v>
      </c>
      <c r="I1200" s="587">
        <f>K40</f>
        <v>3497.8</v>
      </c>
      <c r="J1200" s="573" t="s">
        <v>126</v>
      </c>
      <c r="K1200" s="587">
        <f>(F1200*I1200)</f>
        <v>769.51600000000008</v>
      </c>
      <c r="Z1200" s="576"/>
      <c r="AA1200" s="573" t="s">
        <v>491</v>
      </c>
      <c r="AC1200" s="580">
        <f t="shared" si="147"/>
        <v>1.77</v>
      </c>
      <c r="AD1200" s="587">
        <f t="shared" si="148"/>
        <v>1889.6676000000002</v>
      </c>
      <c r="AG1200" s="576"/>
      <c r="AH1200" s="573" t="s">
        <v>491</v>
      </c>
      <c r="AJ1200" s="580">
        <f t="shared" si="146"/>
        <v>1.77</v>
      </c>
      <c r="AK1200" s="587">
        <f t="shared" si="149"/>
        <v>1049.2675999999997</v>
      </c>
    </row>
    <row r="1201" spans="6:46" ht="24" customHeight="1">
      <c r="F1201" s="587">
        <v>2.2000000000000002</v>
      </c>
      <c r="G1201" s="585" t="s">
        <v>1</v>
      </c>
      <c r="H1201" s="573" t="s">
        <v>144</v>
      </c>
      <c r="I1201" s="587">
        <f>(C10)</f>
        <v>769</v>
      </c>
      <c r="J1201" s="573" t="s">
        <v>1</v>
      </c>
      <c r="K1201" s="587">
        <f>(F1201*I1201)</f>
        <v>1691.8000000000002</v>
      </c>
      <c r="Z1201" s="576"/>
      <c r="AA1201" s="573" t="s">
        <v>871</v>
      </c>
      <c r="AC1201" s="580">
        <f t="shared" si="147"/>
        <v>1.77</v>
      </c>
      <c r="AD1201" s="587">
        <f t="shared" si="148"/>
        <v>1891.4376000000002</v>
      </c>
      <c r="AG1201" s="576"/>
      <c r="AH1201" s="573" t="s">
        <v>871</v>
      </c>
      <c r="AJ1201" s="580">
        <f t="shared" si="146"/>
        <v>1.77</v>
      </c>
      <c r="AK1201" s="587">
        <f t="shared" si="149"/>
        <v>1051.0375999999997</v>
      </c>
    </row>
    <row r="1202" spans="6:46" ht="24" customHeight="1">
      <c r="F1202" s="587">
        <v>0.5</v>
      </c>
      <c r="G1202" s="585" t="s">
        <v>1</v>
      </c>
      <c r="H1202" s="573" t="s">
        <v>1628</v>
      </c>
      <c r="I1202" s="587">
        <f>(C12)</f>
        <v>502</v>
      </c>
      <c r="J1202" s="573" t="s">
        <v>1</v>
      </c>
      <c r="K1202" s="587">
        <f>(F1202*I1202)</f>
        <v>251</v>
      </c>
      <c r="Z1202" s="576"/>
      <c r="AA1202" s="575">
        <v>5</v>
      </c>
      <c r="AC1202" s="580">
        <f t="shared" si="147"/>
        <v>1.77</v>
      </c>
      <c r="AD1202" s="587">
        <f t="shared" si="148"/>
        <v>1893.2076000000002</v>
      </c>
      <c r="AE1202" s="592">
        <f t="shared" si="142"/>
        <v>0</v>
      </c>
      <c r="AG1202" s="576"/>
      <c r="AH1202" s="575">
        <v>5</v>
      </c>
      <c r="AJ1202" s="580">
        <f t="shared" si="146"/>
        <v>1.77</v>
      </c>
      <c r="AK1202" s="587">
        <f t="shared" si="149"/>
        <v>1052.8075999999996</v>
      </c>
    </row>
    <row r="1203" spans="6:46" ht="24" customHeight="1">
      <c r="F1203" s="587">
        <v>3.2</v>
      </c>
      <c r="G1203" s="585" t="s">
        <v>1</v>
      </c>
      <c r="H1203" s="573" t="s">
        <v>147</v>
      </c>
      <c r="I1203" s="587">
        <f>(C13)</f>
        <v>412</v>
      </c>
      <c r="J1203" s="573" t="s">
        <v>1</v>
      </c>
      <c r="K1203" s="587">
        <f>(F1203*I1203)</f>
        <v>1318.4</v>
      </c>
      <c r="AA1203" s="575">
        <v>6</v>
      </c>
      <c r="AC1203" s="580">
        <f t="shared" si="147"/>
        <v>1.77</v>
      </c>
      <c r="AD1203" s="587">
        <f t="shared" si="148"/>
        <v>1894.9776000000002</v>
      </c>
      <c r="AE1203" s="592">
        <f t="shared" si="142"/>
        <v>0</v>
      </c>
      <c r="AH1203" s="575">
        <v>6</v>
      </c>
      <c r="AJ1203" s="580">
        <f t="shared" si="146"/>
        <v>1.77</v>
      </c>
      <c r="AK1203" s="587">
        <f t="shared" si="149"/>
        <v>1054.5775999999996</v>
      </c>
    </row>
    <row r="1204" spans="6:46" ht="24" customHeight="1">
      <c r="F1204" s="587"/>
      <c r="G1204" s="585"/>
      <c r="H1204" s="573"/>
      <c r="I1204" s="587"/>
      <c r="J1204" s="573"/>
      <c r="K1204" s="587"/>
      <c r="AA1204" s="575">
        <v>7</v>
      </c>
      <c r="AC1204" s="580">
        <f t="shared" si="147"/>
        <v>1.77</v>
      </c>
      <c r="AD1204" s="587">
        <f t="shared" si="148"/>
        <v>1896.7476000000001</v>
      </c>
      <c r="AE1204" s="592"/>
      <c r="AH1204" s="575">
        <v>7</v>
      </c>
      <c r="AJ1204" s="580">
        <f t="shared" si="146"/>
        <v>1.77</v>
      </c>
      <c r="AK1204" s="587">
        <f t="shared" si="149"/>
        <v>1056.3475999999996</v>
      </c>
    </row>
    <row r="1205" spans="6:46" ht="24" customHeight="1">
      <c r="F1205" s="587"/>
      <c r="G1205" s="585"/>
      <c r="H1205" s="573"/>
      <c r="I1205" s="587"/>
      <c r="J1205" s="573"/>
      <c r="K1205" s="587"/>
      <c r="AA1205" s="575">
        <v>8</v>
      </c>
      <c r="AC1205" s="580">
        <f t="shared" si="147"/>
        <v>1.77</v>
      </c>
      <c r="AD1205" s="587">
        <f t="shared" si="148"/>
        <v>1898.5176000000001</v>
      </c>
      <c r="AE1205" s="592"/>
      <c r="AH1205" s="575">
        <v>8</v>
      </c>
      <c r="AJ1205" s="580">
        <f t="shared" si="146"/>
        <v>1.77</v>
      </c>
      <c r="AK1205" s="587">
        <f t="shared" si="149"/>
        <v>1058.1175999999996</v>
      </c>
    </row>
    <row r="1206" spans="6:46" ht="24" customHeight="1">
      <c r="F1206" s="587"/>
      <c r="G1206" s="585"/>
      <c r="H1206" s="573"/>
      <c r="I1206" s="587"/>
      <c r="J1206" s="573"/>
      <c r="K1206" s="587"/>
      <c r="AA1206" s="575">
        <v>9</v>
      </c>
      <c r="AC1206" s="580">
        <f t="shared" si="147"/>
        <v>1.77</v>
      </c>
      <c r="AD1206" s="587">
        <f t="shared" si="148"/>
        <v>1900.2876000000001</v>
      </c>
      <c r="AE1206" s="592"/>
      <c r="AH1206" s="575">
        <v>9</v>
      </c>
      <c r="AJ1206" s="580">
        <f t="shared" si="146"/>
        <v>1.77</v>
      </c>
      <c r="AK1206" s="587">
        <f t="shared" si="149"/>
        <v>1059.8875999999996</v>
      </c>
    </row>
    <row r="1207" spans="6:46" ht="24" customHeight="1">
      <c r="F1207" s="587"/>
      <c r="G1207" s="585"/>
      <c r="H1207" s="573"/>
      <c r="I1207" s="587"/>
      <c r="J1207" s="573"/>
      <c r="K1207" s="587"/>
      <c r="AA1207" s="575">
        <v>10</v>
      </c>
      <c r="AC1207" s="580">
        <f t="shared" si="147"/>
        <v>1.77</v>
      </c>
      <c r="AD1207" s="587">
        <f t="shared" si="148"/>
        <v>1902.0576000000001</v>
      </c>
      <c r="AE1207" s="592"/>
      <c r="AG1207" s="573"/>
    </row>
    <row r="1208" spans="6:46" ht="24" customHeight="1">
      <c r="F1208" s="587"/>
      <c r="G1208" s="585"/>
      <c r="H1208" s="573"/>
      <c r="I1208" s="587"/>
      <c r="J1208" s="573"/>
      <c r="K1208" s="587"/>
      <c r="AA1208" s="575">
        <v>11</v>
      </c>
      <c r="AC1208" s="580">
        <f t="shared" si="147"/>
        <v>1.77</v>
      </c>
      <c r="AD1208" s="587">
        <f t="shared" si="148"/>
        <v>1903.8276000000001</v>
      </c>
      <c r="AE1208" s="592"/>
      <c r="AG1208" s="573"/>
    </row>
    <row r="1209" spans="6:46" ht="24" customHeight="1">
      <c r="G1209" s="585" t="s">
        <v>129</v>
      </c>
      <c r="H1209" s="573" t="s">
        <v>130</v>
      </c>
      <c r="I1209" s="573" t="s">
        <v>115</v>
      </c>
      <c r="J1209" s="573" t="s">
        <v>129</v>
      </c>
      <c r="K1209" s="587">
        <v>5</v>
      </c>
      <c r="N1209" s="576"/>
      <c r="Q1209" s="580"/>
      <c r="Y1209" s="620">
        <v>29.5</v>
      </c>
      <c r="Z1209" s="585" t="s">
        <v>122</v>
      </c>
      <c r="AA1209" s="577" t="s">
        <v>1630</v>
      </c>
      <c r="AE1209" s="592" t="str">
        <f t="shared" ref="AE1209:AE1277" si="150">AG1209</f>
        <v>|</v>
      </c>
      <c r="AG1209" s="573" t="s">
        <v>849</v>
      </c>
    </row>
    <row r="1210" spans="6:46" ht="24" customHeight="1">
      <c r="K1210" s="582" t="s">
        <v>117</v>
      </c>
      <c r="N1210" s="576"/>
      <c r="Q1210" s="580"/>
      <c r="Z1210" s="576"/>
      <c r="AA1210" s="577" t="s">
        <v>1631</v>
      </c>
      <c r="AE1210" s="592" t="str">
        <f t="shared" si="150"/>
        <v>|</v>
      </c>
      <c r="AG1210" s="573" t="s">
        <v>849</v>
      </c>
    </row>
    <row r="1211" spans="6:46" ht="24" customHeight="1">
      <c r="H1211" s="573" t="s">
        <v>153</v>
      </c>
      <c r="K1211" s="587">
        <f>SUM(K1200:K1209)</f>
        <v>4035.7160000000003</v>
      </c>
      <c r="N1211" s="576"/>
      <c r="Q1211" s="580"/>
      <c r="Z1211" s="576"/>
      <c r="AA1211" s="573"/>
      <c r="AE1211" s="592" t="str">
        <f t="shared" si="150"/>
        <v>|</v>
      </c>
      <c r="AG1211" s="573" t="s">
        <v>849</v>
      </c>
    </row>
    <row r="1212" spans="6:46" ht="36.75" customHeight="1">
      <c r="F1212" s="575" t="s">
        <v>115</v>
      </c>
      <c r="K1212" s="582" t="s">
        <v>117</v>
      </c>
      <c r="N1212" s="576"/>
      <c r="O1212" s="729" t="s">
        <v>1632</v>
      </c>
      <c r="Q1212" s="580"/>
      <c r="Z1212" s="576"/>
      <c r="AA1212" s="582" t="s">
        <v>117</v>
      </c>
      <c r="AB1212" s="582" t="s">
        <v>117</v>
      </c>
      <c r="AC1212" s="578">
        <f>54.96*10.764</f>
        <v>591.58943999999997</v>
      </c>
      <c r="AE1212" s="592" t="str">
        <f t="shared" si="150"/>
        <v>|</v>
      </c>
      <c r="AG1212" s="573" t="s">
        <v>849</v>
      </c>
    </row>
    <row r="1213" spans="6:46" ht="30" customHeight="1">
      <c r="H1213" s="589" t="s">
        <v>154</v>
      </c>
      <c r="K1213" s="586">
        <f>(K1211/10)</f>
        <v>403.57160000000005</v>
      </c>
      <c r="N1213" s="576"/>
      <c r="Q1213" s="580"/>
      <c r="Y1213" s="587">
        <v>10</v>
      </c>
      <c r="Z1213" s="585" t="s">
        <v>140</v>
      </c>
      <c r="AA1213" s="637" t="s">
        <v>1633</v>
      </c>
      <c r="AB1213" s="615">
        <v>591.59</v>
      </c>
      <c r="AC1213" s="573" t="s">
        <v>140</v>
      </c>
      <c r="AD1213" s="587">
        <f>(Y1213*AB1213)</f>
        <v>5915.9000000000005</v>
      </c>
      <c r="AE1213" s="592" t="str">
        <f t="shared" si="150"/>
        <v>|</v>
      </c>
      <c r="AG1213" s="573" t="s">
        <v>849</v>
      </c>
    </row>
    <row r="1214" spans="6:46" ht="24" customHeight="1">
      <c r="K1214" s="582" t="s">
        <v>155</v>
      </c>
      <c r="N1214" s="576"/>
      <c r="Q1214" s="580"/>
      <c r="S1214" s="730" t="s">
        <v>1634</v>
      </c>
      <c r="Y1214" s="587">
        <v>0.21</v>
      </c>
      <c r="Z1214" s="585" t="s">
        <v>126</v>
      </c>
      <c r="AA1214" s="573" t="s">
        <v>142</v>
      </c>
      <c r="AB1214" s="629">
        <f t="shared" ref="AB1214:AB1226" si="151">AB1242</f>
        <v>4193.8</v>
      </c>
      <c r="AC1214" s="573" t="s">
        <v>126</v>
      </c>
      <c r="AD1214" s="587">
        <f>(Y1214*AB1214)</f>
        <v>880.69799999999998</v>
      </c>
      <c r="AE1214" s="592" t="str">
        <f t="shared" si="150"/>
        <v>|</v>
      </c>
      <c r="AG1214" s="573" t="s">
        <v>849</v>
      </c>
      <c r="AQ1214" s="576"/>
      <c r="AR1214" s="729" t="s">
        <v>3093</v>
      </c>
      <c r="AT1214" s="580"/>
    </row>
    <row r="1215" spans="6:46" ht="56.25" customHeight="1">
      <c r="F1215" s="574" t="s">
        <v>1635</v>
      </c>
      <c r="G1215" s="585" t="s">
        <v>122</v>
      </c>
      <c r="H1215" s="573" t="s">
        <v>1636</v>
      </c>
      <c r="M1215" s="587">
        <v>10</v>
      </c>
      <c r="N1215" s="585" t="s">
        <v>140</v>
      </c>
      <c r="O1215" s="641" t="s">
        <v>1637</v>
      </c>
      <c r="P1215" s="614">
        <v>599</v>
      </c>
      <c r="Q1215" s="574" t="s">
        <v>140</v>
      </c>
      <c r="R1215" s="587">
        <f>M1215*P1215</f>
        <v>5990</v>
      </c>
      <c r="S1215" s="579">
        <v>694.02</v>
      </c>
      <c r="T1215" s="575">
        <f>S1215*M1215</f>
        <v>6940.2</v>
      </c>
      <c r="Z1215" s="576"/>
      <c r="AA1215" s="573" t="s">
        <v>160</v>
      </c>
      <c r="AB1215" s="629" t="str">
        <f t="shared" si="151"/>
        <v/>
      </c>
      <c r="AC1215" s="578"/>
      <c r="AD1215" s="573" t="s">
        <v>115</v>
      </c>
      <c r="AE1215" s="592" t="str">
        <f t="shared" si="150"/>
        <v>|</v>
      </c>
      <c r="AG1215" s="573" t="s">
        <v>849</v>
      </c>
      <c r="AQ1215" s="576"/>
      <c r="AR1215" s="731" t="s">
        <v>3094</v>
      </c>
      <c r="AT1215" s="580"/>
    </row>
    <row r="1216" spans="6:46" ht="24" customHeight="1">
      <c r="H1216" s="573" t="s">
        <v>1638</v>
      </c>
      <c r="M1216" s="587">
        <v>0.21</v>
      </c>
      <c r="N1216" s="585" t="s">
        <v>126</v>
      </c>
      <c r="O1216" s="573" t="s">
        <v>142</v>
      </c>
      <c r="P1216" s="587">
        <f>I1220</f>
        <v>4193.8</v>
      </c>
      <c r="Q1216" s="574" t="s">
        <v>126</v>
      </c>
      <c r="R1216" s="587">
        <f t="shared" ref="R1216:R1225" si="152">(M1216*P1216)</f>
        <v>880.69799999999998</v>
      </c>
      <c r="T1216" s="575">
        <f>R1216</f>
        <v>880.69799999999998</v>
      </c>
      <c r="Y1216" s="587">
        <v>1.1000000000000001</v>
      </c>
      <c r="Z1216" s="585" t="s">
        <v>1</v>
      </c>
      <c r="AA1216" s="573" t="s">
        <v>144</v>
      </c>
      <c r="AB1216" s="629">
        <f t="shared" si="151"/>
        <v>769</v>
      </c>
      <c r="AC1216" s="573" t="s">
        <v>1</v>
      </c>
      <c r="AD1216" s="587">
        <f>(Y1216*AB1216)</f>
        <v>845.90000000000009</v>
      </c>
      <c r="AE1216" s="592" t="str">
        <f t="shared" si="150"/>
        <v>|</v>
      </c>
      <c r="AG1216" s="573" t="s">
        <v>849</v>
      </c>
      <c r="AQ1216" s="576"/>
      <c r="AT1216" s="580"/>
    </row>
    <row r="1217" spans="6:47" ht="24" customHeight="1">
      <c r="H1217" s="582" t="s">
        <v>117</v>
      </c>
      <c r="M1217" s="587">
        <v>1.1000000000000001</v>
      </c>
      <c r="N1217" s="585" t="s">
        <v>1</v>
      </c>
      <c r="O1217" s="573" t="s">
        <v>144</v>
      </c>
      <c r="P1217" s="587">
        <f>I1222</f>
        <v>769</v>
      </c>
      <c r="Q1217" s="574" t="s">
        <v>1</v>
      </c>
      <c r="R1217" s="587">
        <f t="shared" si="152"/>
        <v>845.90000000000009</v>
      </c>
      <c r="T1217" s="575">
        <f t="shared" ref="T1217:T1225" si="153">R1217</f>
        <v>845.90000000000009</v>
      </c>
      <c r="Y1217" s="587">
        <v>1.1000000000000001</v>
      </c>
      <c r="Z1217" s="585" t="s">
        <v>1</v>
      </c>
      <c r="AA1217" s="573" t="s">
        <v>145</v>
      </c>
      <c r="AB1217" s="629">
        <f t="shared" si="151"/>
        <v>718</v>
      </c>
      <c r="AC1217" s="573" t="s">
        <v>1</v>
      </c>
      <c r="AD1217" s="587">
        <f>(Y1217*AB1217)</f>
        <v>789.80000000000007</v>
      </c>
      <c r="AE1217" s="592" t="str">
        <f t="shared" si="150"/>
        <v>|</v>
      </c>
      <c r="AG1217" s="573" t="s">
        <v>849</v>
      </c>
      <c r="AP1217" s="587">
        <v>10</v>
      </c>
      <c r="AQ1217" s="585" t="s">
        <v>174</v>
      </c>
      <c r="AR1217" s="641" t="s">
        <v>3095</v>
      </c>
      <c r="AS1217" s="614">
        <v>542</v>
      </c>
      <c r="AT1217" s="574" t="s">
        <v>174</v>
      </c>
      <c r="AU1217" s="587">
        <f>AP1217*AS1217</f>
        <v>5420</v>
      </c>
    </row>
    <row r="1218" spans="6:47" ht="6" customHeight="1">
      <c r="F1218" s="587">
        <v>160</v>
      </c>
      <c r="G1218" s="585" t="s">
        <v>1576</v>
      </c>
      <c r="H1218" s="573" t="s">
        <v>1639</v>
      </c>
      <c r="I1218" s="587">
        <f>(C137)</f>
        <v>11559</v>
      </c>
      <c r="J1218" s="573" t="s">
        <v>498</v>
      </c>
      <c r="K1218" s="587">
        <f>(F1218*I1218)/1000</f>
        <v>1849.44</v>
      </c>
      <c r="M1218" s="587">
        <v>1.1000000000000001</v>
      </c>
      <c r="N1218" s="585" t="s">
        <v>1</v>
      </c>
      <c r="O1218" s="573" t="s">
        <v>145</v>
      </c>
      <c r="P1218" s="587">
        <f>I1223</f>
        <v>718</v>
      </c>
      <c r="Q1218" s="574" t="s">
        <v>1</v>
      </c>
      <c r="R1218" s="587">
        <f t="shared" si="152"/>
        <v>789.80000000000007</v>
      </c>
      <c r="T1218" s="575">
        <f t="shared" si="153"/>
        <v>789.80000000000007</v>
      </c>
      <c r="Y1218" s="587">
        <v>2.2000000000000002</v>
      </c>
      <c r="Z1218" s="585" t="s">
        <v>1</v>
      </c>
      <c r="AA1218" s="573" t="s">
        <v>146</v>
      </c>
      <c r="AB1218" s="629">
        <f t="shared" si="151"/>
        <v>502</v>
      </c>
      <c r="AC1218" s="573" t="s">
        <v>1</v>
      </c>
      <c r="AD1218" s="587">
        <f>(Y1218*AB1218)</f>
        <v>1104.4000000000001</v>
      </c>
      <c r="AE1218" s="592" t="str">
        <f t="shared" si="150"/>
        <v>|</v>
      </c>
      <c r="AG1218" s="573" t="s">
        <v>849</v>
      </c>
      <c r="AP1218" s="587"/>
      <c r="AQ1218" s="585"/>
      <c r="AR1218" s="573"/>
      <c r="AS1218" s="587"/>
      <c r="AT1218" s="574"/>
      <c r="AU1218" s="587"/>
    </row>
    <row r="1219" spans="6:47" ht="24" customHeight="1">
      <c r="H1219" s="573" t="s">
        <v>1640</v>
      </c>
      <c r="I1219" s="573" t="s">
        <v>115</v>
      </c>
      <c r="K1219" s="573" t="s">
        <v>115</v>
      </c>
      <c r="M1219" s="587">
        <v>2.2000000000000002</v>
      </c>
      <c r="N1219" s="585" t="s">
        <v>1</v>
      </c>
      <c r="O1219" s="573" t="s">
        <v>146</v>
      </c>
      <c r="P1219" s="587">
        <f>I1224</f>
        <v>502</v>
      </c>
      <c r="Q1219" s="574" t="s">
        <v>1</v>
      </c>
      <c r="R1219" s="587">
        <f t="shared" si="152"/>
        <v>1104.4000000000001</v>
      </c>
      <c r="T1219" s="575">
        <f t="shared" si="153"/>
        <v>1104.4000000000001</v>
      </c>
      <c r="Y1219" s="587">
        <v>2.2000000000000002</v>
      </c>
      <c r="Z1219" s="585" t="s">
        <v>1</v>
      </c>
      <c r="AA1219" s="573" t="s">
        <v>147</v>
      </c>
      <c r="AB1219" s="629">
        <f t="shared" si="151"/>
        <v>412</v>
      </c>
      <c r="AC1219" s="573" t="s">
        <v>1</v>
      </c>
      <c r="AD1219" s="587">
        <f>(Y1219*AB1219)</f>
        <v>906.40000000000009</v>
      </c>
      <c r="AE1219" s="592" t="str">
        <f t="shared" si="150"/>
        <v>|</v>
      </c>
      <c r="AG1219" s="573" t="s">
        <v>849</v>
      </c>
      <c r="AP1219" s="587">
        <v>1.8</v>
      </c>
      <c r="AQ1219" s="585" t="s">
        <v>1492</v>
      </c>
      <c r="AR1219" s="573" t="s">
        <v>144</v>
      </c>
      <c r="AS1219" s="587">
        <f>AB1216</f>
        <v>769</v>
      </c>
      <c r="AT1219" s="574" t="s">
        <v>1</v>
      </c>
      <c r="AU1219" s="587">
        <f>AP1219*AS1219</f>
        <v>1384.2</v>
      </c>
    </row>
    <row r="1220" spans="6:47" ht="24" customHeight="1">
      <c r="F1220" s="587">
        <v>0.21</v>
      </c>
      <c r="G1220" s="585" t="s">
        <v>126</v>
      </c>
      <c r="H1220" s="573" t="s">
        <v>142</v>
      </c>
      <c r="I1220" s="587">
        <f>(K32)</f>
        <v>4193.8</v>
      </c>
      <c r="J1220" s="573" t="s">
        <v>126</v>
      </c>
      <c r="K1220" s="587">
        <f>(F1220*I1220)</f>
        <v>880.69799999999998</v>
      </c>
      <c r="M1220" s="587">
        <v>2.2000000000000002</v>
      </c>
      <c r="N1220" s="585" t="s">
        <v>1</v>
      </c>
      <c r="O1220" s="573" t="s">
        <v>147</v>
      </c>
      <c r="P1220" s="587">
        <f>I1225</f>
        <v>412</v>
      </c>
      <c r="Q1220" s="574" t="s">
        <v>1</v>
      </c>
      <c r="R1220" s="587">
        <f t="shared" si="152"/>
        <v>906.40000000000009</v>
      </c>
      <c r="T1220" s="575">
        <f t="shared" si="153"/>
        <v>906.40000000000009</v>
      </c>
      <c r="Y1220" s="617">
        <v>20</v>
      </c>
      <c r="Z1220" s="585" t="s">
        <v>148</v>
      </c>
      <c r="AA1220" s="573" t="s">
        <v>125</v>
      </c>
      <c r="AB1220" s="629">
        <f t="shared" si="151"/>
        <v>5800</v>
      </c>
      <c r="AC1220" s="573" t="s">
        <v>124</v>
      </c>
      <c r="AD1220" s="587">
        <f>(Y1220*AB1220)/1000</f>
        <v>116</v>
      </c>
      <c r="AE1220" s="592" t="str">
        <f t="shared" si="150"/>
        <v>|</v>
      </c>
      <c r="AG1220" s="573" t="s">
        <v>849</v>
      </c>
      <c r="AP1220" s="587">
        <v>3.6</v>
      </c>
      <c r="AQ1220" s="585" t="s">
        <v>1492</v>
      </c>
      <c r="AR1220" s="573" t="s">
        <v>145</v>
      </c>
      <c r="AS1220" s="587">
        <f>AB1217</f>
        <v>718</v>
      </c>
      <c r="AT1220" s="574" t="s">
        <v>1</v>
      </c>
      <c r="AU1220" s="587">
        <f>AP1220*AS1220</f>
        <v>2584.8000000000002</v>
      </c>
    </row>
    <row r="1221" spans="6:47" ht="24" customHeight="1">
      <c r="H1221" s="573" t="s">
        <v>160</v>
      </c>
      <c r="I1221" s="573" t="s">
        <v>115</v>
      </c>
      <c r="K1221" s="573" t="s">
        <v>115</v>
      </c>
      <c r="M1221" s="617">
        <v>20</v>
      </c>
      <c r="N1221" s="585" t="s">
        <v>148</v>
      </c>
      <c r="O1221" s="573" t="s">
        <v>125</v>
      </c>
      <c r="P1221" s="587">
        <f>I1226</f>
        <v>5800</v>
      </c>
      <c r="Q1221" s="574" t="s">
        <v>124</v>
      </c>
      <c r="R1221" s="587">
        <f>(M1221*P1221)/1000</f>
        <v>116</v>
      </c>
      <c r="T1221" s="575">
        <f t="shared" si="153"/>
        <v>116</v>
      </c>
      <c r="Y1221" s="617">
        <v>2</v>
      </c>
      <c r="Z1221" s="585" t="s">
        <v>148</v>
      </c>
      <c r="AA1221" s="573" t="s">
        <v>1641</v>
      </c>
      <c r="AB1221" s="629">
        <f t="shared" si="151"/>
        <v>36.1</v>
      </c>
      <c r="AC1221" s="573" t="s">
        <v>148</v>
      </c>
      <c r="AD1221" s="587">
        <f>(Y1221*AB1221)</f>
        <v>72.2</v>
      </c>
      <c r="AE1221" s="592" t="str">
        <f t="shared" si="150"/>
        <v>|</v>
      </c>
      <c r="AG1221" s="573" t="s">
        <v>849</v>
      </c>
      <c r="AP1221" s="587">
        <v>2.2000000000000002</v>
      </c>
      <c r="AQ1221" s="585" t="s">
        <v>1492</v>
      </c>
      <c r="AR1221" s="573" t="s">
        <v>146</v>
      </c>
      <c r="AS1221" s="587">
        <f>AB1218</f>
        <v>502</v>
      </c>
      <c r="AT1221" s="574" t="s">
        <v>1</v>
      </c>
      <c r="AU1221" s="587">
        <f>AP1221*AS1221</f>
        <v>1104.4000000000001</v>
      </c>
    </row>
    <row r="1222" spans="6:47" ht="24" customHeight="1">
      <c r="F1222" s="587">
        <v>1.1000000000000001</v>
      </c>
      <c r="G1222" s="585" t="s">
        <v>1</v>
      </c>
      <c r="H1222" s="573" t="s">
        <v>144</v>
      </c>
      <c r="I1222" s="587">
        <f>(C10)</f>
        <v>769</v>
      </c>
      <c r="J1222" s="573" t="s">
        <v>1</v>
      </c>
      <c r="K1222" s="587">
        <f>(F1222*I1222)</f>
        <v>845.90000000000009</v>
      </c>
      <c r="M1222" s="617">
        <v>2</v>
      </c>
      <c r="N1222" s="585" t="s">
        <v>148</v>
      </c>
      <c r="O1222" s="641" t="s">
        <v>1642</v>
      </c>
      <c r="P1222" s="593">
        <f>(22.2+26.8)/2</f>
        <v>24.5</v>
      </c>
      <c r="Q1222" s="574" t="s">
        <v>148</v>
      </c>
      <c r="R1222" s="587">
        <f t="shared" si="152"/>
        <v>49</v>
      </c>
      <c r="T1222" s="575">
        <f t="shared" si="153"/>
        <v>49</v>
      </c>
      <c r="Y1222" s="587">
        <v>1.6</v>
      </c>
      <c r="Z1222" s="585" t="s">
        <v>1</v>
      </c>
      <c r="AA1222" s="573" t="s">
        <v>145</v>
      </c>
      <c r="AB1222" s="629">
        <f t="shared" si="151"/>
        <v>718</v>
      </c>
      <c r="AC1222" s="573" t="s">
        <v>1</v>
      </c>
      <c r="AD1222" s="587">
        <f>(Y1222*AB1222)</f>
        <v>1148.8</v>
      </c>
      <c r="AE1222" s="592" t="str">
        <f t="shared" si="150"/>
        <v>|</v>
      </c>
      <c r="AG1222" s="573" t="s">
        <v>849</v>
      </c>
      <c r="AP1222" s="587">
        <v>0.5</v>
      </c>
      <c r="AQ1222" s="585" t="s">
        <v>1492</v>
      </c>
      <c r="AR1222" s="573" t="s">
        <v>3096</v>
      </c>
      <c r="AS1222" s="587">
        <f>AE21</f>
        <v>591</v>
      </c>
      <c r="AT1222" s="574" t="s">
        <v>1</v>
      </c>
      <c r="AU1222" s="587">
        <f>AP1222*AS1222</f>
        <v>295.5</v>
      </c>
    </row>
    <row r="1223" spans="6:47" ht="24" customHeight="1">
      <c r="F1223" s="587">
        <v>1.1000000000000001</v>
      </c>
      <c r="G1223" s="585" t="s">
        <v>1</v>
      </c>
      <c r="H1223" s="573" t="s">
        <v>145</v>
      </c>
      <c r="I1223" s="587">
        <f>(C11)</f>
        <v>718</v>
      </c>
      <c r="J1223" s="573" t="s">
        <v>1</v>
      </c>
      <c r="K1223" s="587">
        <f>(F1223*I1223)</f>
        <v>789.80000000000007</v>
      </c>
      <c r="M1223" s="587">
        <v>1.6</v>
      </c>
      <c r="N1223" s="585" t="s">
        <v>1</v>
      </c>
      <c r="O1223" s="573" t="s">
        <v>145</v>
      </c>
      <c r="P1223" s="587">
        <f>P1218</f>
        <v>718</v>
      </c>
      <c r="Q1223" s="574" t="s">
        <v>1</v>
      </c>
      <c r="R1223" s="587">
        <f t="shared" si="152"/>
        <v>1148.8</v>
      </c>
      <c r="T1223" s="575">
        <f t="shared" si="153"/>
        <v>1148.8</v>
      </c>
      <c r="Y1223" s="587">
        <v>0.5</v>
      </c>
      <c r="Z1223" s="585" t="s">
        <v>1</v>
      </c>
      <c r="AA1223" s="573" t="s">
        <v>146</v>
      </c>
      <c r="AB1223" s="629">
        <f t="shared" si="151"/>
        <v>502</v>
      </c>
      <c r="AC1223" s="573" t="s">
        <v>1</v>
      </c>
      <c r="AD1223" s="587">
        <f>(Y1223*AB1223)</f>
        <v>251</v>
      </c>
      <c r="AE1223" s="592" t="str">
        <f t="shared" si="150"/>
        <v>|</v>
      </c>
      <c r="AG1223" s="573" t="s">
        <v>849</v>
      </c>
      <c r="AP1223" s="587">
        <v>0.08</v>
      </c>
      <c r="AQ1223" s="585" t="s">
        <v>642</v>
      </c>
      <c r="AR1223" s="641" t="s">
        <v>3097</v>
      </c>
      <c r="AS1223" s="593">
        <f>K144</f>
        <v>1348.5</v>
      </c>
      <c r="AT1223" s="574" t="s">
        <v>642</v>
      </c>
      <c r="AU1223" s="587">
        <f>AP1223*AS1223</f>
        <v>107.88</v>
      </c>
    </row>
    <row r="1224" spans="6:47" ht="42" customHeight="1">
      <c r="F1224" s="587">
        <v>2.2000000000000002</v>
      </c>
      <c r="G1224" s="585" t="s">
        <v>1</v>
      </c>
      <c r="H1224" s="573" t="s">
        <v>146</v>
      </c>
      <c r="I1224" s="587">
        <f>(C12)</f>
        <v>502</v>
      </c>
      <c r="J1224" s="573" t="s">
        <v>1</v>
      </c>
      <c r="K1224" s="587">
        <f>(F1224*I1224)</f>
        <v>1104.4000000000001</v>
      </c>
      <c r="M1224" s="587">
        <v>0.5</v>
      </c>
      <c r="N1224" s="585" t="s">
        <v>1</v>
      </c>
      <c r="O1224" s="573" t="s">
        <v>146</v>
      </c>
      <c r="P1224" s="587">
        <f>P1219</f>
        <v>502</v>
      </c>
      <c r="Q1224" s="574" t="s">
        <v>1</v>
      </c>
      <c r="R1224" s="587">
        <f t="shared" si="152"/>
        <v>251</v>
      </c>
      <c r="T1224" s="575">
        <f t="shared" si="153"/>
        <v>251</v>
      </c>
      <c r="Y1224" s="587">
        <v>1.1000000000000001</v>
      </c>
      <c r="Z1224" s="585" t="s">
        <v>1</v>
      </c>
      <c r="AA1224" s="573" t="s">
        <v>147</v>
      </c>
      <c r="AB1224" s="629">
        <f t="shared" si="151"/>
        <v>412</v>
      </c>
      <c r="AC1224" s="573" t="s">
        <v>1</v>
      </c>
      <c r="AD1224" s="587">
        <f>(Y1224*AB1224)</f>
        <v>453.20000000000005</v>
      </c>
      <c r="AE1224" s="592" t="str">
        <f t="shared" si="150"/>
        <v>|</v>
      </c>
      <c r="AG1224" s="573" t="s">
        <v>849</v>
      </c>
      <c r="AR1224" s="589" t="s">
        <v>153</v>
      </c>
      <c r="AU1224" s="586">
        <f>SUM(AU1217:AU1223)</f>
        <v>10896.779999999999</v>
      </c>
    </row>
    <row r="1225" spans="6:47" ht="36" customHeight="1">
      <c r="F1225" s="587">
        <v>2.2000000000000002</v>
      </c>
      <c r="G1225" s="585" t="s">
        <v>1</v>
      </c>
      <c r="H1225" s="573" t="s">
        <v>147</v>
      </c>
      <c r="I1225" s="587">
        <f>(C13)</f>
        <v>412</v>
      </c>
      <c r="J1225" s="573" t="s">
        <v>1</v>
      </c>
      <c r="K1225" s="587">
        <f>(F1225*I1225)</f>
        <v>906.40000000000009</v>
      </c>
      <c r="M1225" s="587">
        <v>1.1000000000000001</v>
      </c>
      <c r="N1225" s="585" t="s">
        <v>1</v>
      </c>
      <c r="O1225" s="573" t="s">
        <v>147</v>
      </c>
      <c r="P1225" s="587">
        <f>P1220</f>
        <v>412</v>
      </c>
      <c r="Q1225" s="574" t="s">
        <v>1</v>
      </c>
      <c r="R1225" s="587">
        <f t="shared" si="152"/>
        <v>453.20000000000005</v>
      </c>
      <c r="T1225" s="575">
        <f t="shared" si="153"/>
        <v>453.20000000000005</v>
      </c>
      <c r="Z1225" s="585" t="s">
        <v>129</v>
      </c>
      <c r="AA1225" s="573" t="s">
        <v>130</v>
      </c>
      <c r="AB1225" s="629">
        <f t="shared" si="151"/>
        <v>0</v>
      </c>
      <c r="AC1225" s="573" t="s">
        <v>129</v>
      </c>
      <c r="AD1225" s="587">
        <v>0</v>
      </c>
      <c r="AE1225" s="592" t="str">
        <f t="shared" si="150"/>
        <v>|</v>
      </c>
      <c r="AG1225" s="573" t="s">
        <v>849</v>
      </c>
      <c r="AP1225" s="587"/>
      <c r="AQ1225" s="585"/>
      <c r="AR1225" s="589" t="s">
        <v>3098</v>
      </c>
      <c r="AS1225" s="587"/>
      <c r="AT1225" s="574"/>
      <c r="AU1225" s="589">
        <f>AU1224/10</f>
        <v>1089.6779999999999</v>
      </c>
    </row>
    <row r="1226" spans="6:47" ht="24" customHeight="1">
      <c r="F1226" s="617">
        <v>22</v>
      </c>
      <c r="G1226" s="585" t="s">
        <v>148</v>
      </c>
      <c r="H1226" s="573" t="s">
        <v>125</v>
      </c>
      <c r="I1226" s="587">
        <f>(C67)</f>
        <v>5800</v>
      </c>
      <c r="J1226" s="573" t="s">
        <v>124</v>
      </c>
      <c r="K1226" s="587">
        <f>(F1226*I1226)/1000</f>
        <v>127.6</v>
      </c>
      <c r="N1226" s="585" t="s">
        <v>129</v>
      </c>
      <c r="O1226" s="573" t="s">
        <v>130</v>
      </c>
      <c r="Q1226" s="574" t="s">
        <v>129</v>
      </c>
      <c r="R1226" s="587">
        <v>4.5999999999999996</v>
      </c>
      <c r="S1226" s="579">
        <f>3.27-0.52</f>
        <v>2.75</v>
      </c>
      <c r="T1226" s="575">
        <v>2.74</v>
      </c>
      <c r="Z1226" s="576"/>
      <c r="AB1226" s="629">
        <f t="shared" si="151"/>
        <v>0</v>
      </c>
      <c r="AC1226" s="578"/>
      <c r="AD1226" s="582" t="s">
        <v>117</v>
      </c>
      <c r="AE1226" s="592" t="str">
        <f t="shared" si="150"/>
        <v>|</v>
      </c>
      <c r="AG1226" s="573" t="s">
        <v>849</v>
      </c>
      <c r="AP1226" s="587"/>
      <c r="AQ1226" s="585"/>
      <c r="AT1226" s="580"/>
      <c r="AU1226" s="587"/>
    </row>
    <row r="1227" spans="6:47" ht="24" customHeight="1">
      <c r="F1227" s="587">
        <v>1.6</v>
      </c>
      <c r="G1227" s="585" t="s">
        <v>1</v>
      </c>
      <c r="H1227" s="573" t="s">
        <v>145</v>
      </c>
      <c r="I1227" s="587">
        <f>(C11)</f>
        <v>718</v>
      </c>
      <c r="J1227" s="573" t="s">
        <v>1</v>
      </c>
      <c r="K1227" s="587">
        <f>(F1227*I1227)</f>
        <v>1148.8</v>
      </c>
      <c r="N1227" s="576"/>
      <c r="Q1227" s="580"/>
      <c r="R1227" s="582" t="s">
        <v>117</v>
      </c>
      <c r="Z1227" s="576"/>
      <c r="AA1227" s="573" t="s">
        <v>153</v>
      </c>
      <c r="AC1227" s="578"/>
      <c r="AD1227" s="587">
        <f>SUM(AD1213:AD1225)</f>
        <v>12484.298000000001</v>
      </c>
      <c r="AE1227" s="592" t="str">
        <f t="shared" si="150"/>
        <v>|::</v>
      </c>
      <c r="AG1227" s="573" t="s">
        <v>636</v>
      </c>
      <c r="AP1227" s="587"/>
      <c r="AQ1227" s="585"/>
      <c r="AR1227" s="573"/>
      <c r="AS1227" s="587"/>
      <c r="AT1227" s="574"/>
      <c r="AU1227" s="582"/>
    </row>
    <row r="1228" spans="6:47" ht="24" customHeight="1">
      <c r="F1228" s="587">
        <v>0.5</v>
      </c>
      <c r="G1228" s="585" t="s">
        <v>1</v>
      </c>
      <c r="H1228" s="573" t="s">
        <v>146</v>
      </c>
      <c r="I1228" s="587">
        <f>(C12)</f>
        <v>502</v>
      </c>
      <c r="J1228" s="573" t="s">
        <v>1</v>
      </c>
      <c r="K1228" s="587">
        <f>(F1228*I1228)</f>
        <v>251</v>
      </c>
      <c r="N1228" s="576"/>
      <c r="O1228" s="573" t="s">
        <v>153</v>
      </c>
      <c r="Q1228" s="580"/>
      <c r="R1228" s="587">
        <f>SUM(R1215:R1226)</f>
        <v>12539.797999999999</v>
      </c>
      <c r="T1228" s="587">
        <f>SUM(T1215:T1227)</f>
        <v>13488.137999999999</v>
      </c>
      <c r="Z1228" s="576"/>
      <c r="AC1228" s="578"/>
      <c r="AD1228" s="582" t="s">
        <v>117</v>
      </c>
      <c r="AE1228" s="592">
        <f t="shared" si="150"/>
        <v>0</v>
      </c>
      <c r="AQ1228" s="585"/>
      <c r="AR1228" s="573"/>
      <c r="AT1228" s="574"/>
      <c r="AU1228" s="587"/>
    </row>
    <row r="1229" spans="6:47" ht="24" customHeight="1">
      <c r="F1229" s="587">
        <v>1.1000000000000001</v>
      </c>
      <c r="G1229" s="585" t="s">
        <v>1</v>
      </c>
      <c r="H1229" s="573" t="s">
        <v>147</v>
      </c>
      <c r="I1229" s="587">
        <f>(C13)</f>
        <v>412</v>
      </c>
      <c r="J1229" s="573" t="s">
        <v>1</v>
      </c>
      <c r="K1229" s="587">
        <f>(F1229*I1229)</f>
        <v>453.20000000000005</v>
      </c>
      <c r="N1229" s="576"/>
      <c r="Q1229" s="580"/>
      <c r="R1229" s="582" t="s">
        <v>117</v>
      </c>
      <c r="Z1229" s="576"/>
      <c r="AA1229" s="589" t="s">
        <v>154</v>
      </c>
      <c r="AC1229" s="578"/>
      <c r="AD1229" s="586">
        <f>(AD1227/10)</f>
        <v>1248.4298000000001</v>
      </c>
      <c r="AE1229" s="592">
        <f t="shared" si="150"/>
        <v>0</v>
      </c>
      <c r="AQ1229" s="576"/>
      <c r="AT1229" s="580"/>
    </row>
    <row r="1230" spans="6:47" ht="24" customHeight="1">
      <c r="F1230" s="573" t="s">
        <v>251</v>
      </c>
      <c r="H1230" s="573" t="s">
        <v>1643</v>
      </c>
      <c r="I1230" s="573" t="s">
        <v>115</v>
      </c>
      <c r="K1230" s="573" t="s">
        <v>115</v>
      </c>
      <c r="N1230" s="576"/>
      <c r="O1230" s="577" t="s">
        <v>154</v>
      </c>
      <c r="Q1230" s="580"/>
      <c r="R1230" s="586">
        <f>(R1228/10)</f>
        <v>1253.9797999999998</v>
      </c>
      <c r="S1230" s="579">
        <f>R1230-975.62</f>
        <v>278.35979999999984</v>
      </c>
      <c r="T1230" s="586">
        <f>(T1228/10)</f>
        <v>1348.8137999999999</v>
      </c>
      <c r="Z1230" s="576"/>
      <c r="AC1230" s="578"/>
      <c r="AD1230" s="582" t="s">
        <v>155</v>
      </c>
      <c r="AE1230" s="592" t="str">
        <f t="shared" si="150"/>
        <v>|</v>
      </c>
      <c r="AG1230" s="573" t="s">
        <v>849</v>
      </c>
      <c r="AQ1230" s="576"/>
    </row>
    <row r="1231" spans="6:47" ht="24" customHeight="1">
      <c r="F1231" s="587">
        <v>1</v>
      </c>
      <c r="G1231" s="585" t="s">
        <v>129</v>
      </c>
      <c r="H1231" s="573" t="s">
        <v>1644</v>
      </c>
      <c r="I1231" s="587">
        <f>(C57)</f>
        <v>35</v>
      </c>
      <c r="J1231" s="573" t="s">
        <v>129</v>
      </c>
      <c r="K1231" s="587">
        <f>(F1231*I1231)</f>
        <v>35</v>
      </c>
      <c r="N1231" s="576"/>
      <c r="O1231" s="729" t="s">
        <v>1645</v>
      </c>
      <c r="P1231" s="619" t="s">
        <v>1646</v>
      </c>
      <c r="Q1231" s="580"/>
      <c r="AE1231" s="592" t="str">
        <f t="shared" si="150"/>
        <v>|</v>
      </c>
      <c r="AG1231" s="573" t="s">
        <v>849</v>
      </c>
      <c r="AQ1231" s="576"/>
      <c r="AT1231" s="580"/>
    </row>
    <row r="1232" spans="6:47" ht="24" customHeight="1">
      <c r="F1232" s="587">
        <v>1</v>
      </c>
      <c r="G1232" s="585" t="s">
        <v>129</v>
      </c>
      <c r="H1232" s="573" t="s">
        <v>1647</v>
      </c>
      <c r="I1232" s="587">
        <f>(C58)</f>
        <v>15</v>
      </c>
      <c r="J1232" s="573" t="s">
        <v>129</v>
      </c>
      <c r="K1232" s="587">
        <f>(F1232*I1232)</f>
        <v>15</v>
      </c>
      <c r="N1232" s="576"/>
      <c r="Q1232" s="580"/>
      <c r="AE1232" s="592" t="str">
        <f t="shared" si="150"/>
        <v>|</v>
      </c>
      <c r="AG1232" s="573" t="s">
        <v>849</v>
      </c>
    </row>
    <row r="1233" spans="6:33" ht="24" customHeight="1">
      <c r="F1233" s="587">
        <v>1</v>
      </c>
      <c r="G1233" s="585" t="s">
        <v>129</v>
      </c>
      <c r="H1233" s="573" t="s">
        <v>1648</v>
      </c>
      <c r="I1233" s="587">
        <f>(C28)</f>
        <v>84.8</v>
      </c>
      <c r="J1233" s="573" t="s">
        <v>129</v>
      </c>
      <c r="K1233" s="587">
        <f>(F1233*I1233)</f>
        <v>84.8</v>
      </c>
      <c r="M1233" s="732"/>
      <c r="N1233" s="733"/>
      <c r="O1233" s="732"/>
      <c r="P1233" s="732"/>
      <c r="Q1233" s="580"/>
      <c r="AE1233" s="592" t="str">
        <f t="shared" si="150"/>
        <v>|</v>
      </c>
      <c r="AG1233" s="573" t="s">
        <v>849</v>
      </c>
    </row>
    <row r="1234" spans="6:33" ht="24" customHeight="1">
      <c r="F1234" s="587">
        <v>1.1000000000000001</v>
      </c>
      <c r="G1234" s="585" t="s">
        <v>1</v>
      </c>
      <c r="H1234" s="573" t="s">
        <v>1649</v>
      </c>
      <c r="I1234" s="587">
        <f>(C29)</f>
        <v>592</v>
      </c>
      <c r="J1234" s="573" t="s">
        <v>1</v>
      </c>
      <c r="K1234" s="587">
        <f>(F1234*I1234)</f>
        <v>651.20000000000005</v>
      </c>
      <c r="M1234" s="587">
        <v>10</v>
      </c>
      <c r="N1234" s="585" t="s">
        <v>140</v>
      </c>
      <c r="O1234" s="573" t="s">
        <v>1650</v>
      </c>
      <c r="P1234" s="734">
        <v>597</v>
      </c>
      <c r="Q1234" s="574" t="s">
        <v>140</v>
      </c>
      <c r="R1234" s="587">
        <f>M1234*P1234</f>
        <v>5970</v>
      </c>
      <c r="T1234" s="576"/>
      <c r="U1234" s="729" t="s">
        <v>1651</v>
      </c>
      <c r="W1234" s="580"/>
      <c r="AE1234" s="592" t="str">
        <f t="shared" si="150"/>
        <v>|</v>
      </c>
      <c r="AG1234" s="573" t="s">
        <v>849</v>
      </c>
    </row>
    <row r="1235" spans="6:33" ht="24" customHeight="1">
      <c r="F1235" s="587">
        <v>2.2000000000000002</v>
      </c>
      <c r="G1235" s="585" t="s">
        <v>1</v>
      </c>
      <c r="H1235" s="573" t="s">
        <v>1652</v>
      </c>
      <c r="I1235" s="587">
        <f>(C13)</f>
        <v>412</v>
      </c>
      <c r="J1235" s="573" t="s">
        <v>1</v>
      </c>
      <c r="K1235" s="587">
        <f>(F1235*I1235)</f>
        <v>906.40000000000009</v>
      </c>
      <c r="M1235" s="587">
        <v>0.21</v>
      </c>
      <c r="N1235" s="585" t="s">
        <v>126</v>
      </c>
      <c r="O1235" s="573" t="s">
        <v>142</v>
      </c>
      <c r="P1235" s="587">
        <f>P1258</f>
        <v>4193.8</v>
      </c>
      <c r="Q1235" s="574" t="s">
        <v>126</v>
      </c>
      <c r="R1235" s="587">
        <f>(M1235*P1235)</f>
        <v>880.69799999999998</v>
      </c>
      <c r="T1235" s="576"/>
      <c r="W1235" s="580"/>
      <c r="AE1235" s="592" t="str">
        <f t="shared" si="150"/>
        <v>|</v>
      </c>
      <c r="AG1235" s="573" t="s">
        <v>849</v>
      </c>
    </row>
    <row r="1236" spans="6:33" ht="24" customHeight="1">
      <c r="G1236" s="585" t="s">
        <v>129</v>
      </c>
      <c r="H1236" s="573" t="s">
        <v>130</v>
      </c>
      <c r="J1236" s="573" t="s">
        <v>129</v>
      </c>
      <c r="K1236" s="587">
        <v>0</v>
      </c>
      <c r="M1236" s="587">
        <v>1.1000000000000001</v>
      </c>
      <c r="N1236" s="585" t="s">
        <v>1</v>
      </c>
      <c r="O1236" s="573" t="s">
        <v>144</v>
      </c>
      <c r="P1236" s="587">
        <f t="shared" ref="P1236:P1244" si="154">P1259</f>
        <v>769</v>
      </c>
      <c r="Q1236" s="574" t="s">
        <v>1</v>
      </c>
      <c r="R1236" s="587">
        <f>(M1236*P1236)</f>
        <v>845.90000000000009</v>
      </c>
      <c r="T1236" s="576"/>
      <c r="W1236" s="580"/>
      <c r="AE1236" s="592" t="str">
        <f t="shared" si="150"/>
        <v>|</v>
      </c>
      <c r="AG1236" s="573" t="s">
        <v>849</v>
      </c>
    </row>
    <row r="1237" spans="6:33" ht="24" customHeight="1">
      <c r="K1237" s="582" t="s">
        <v>117</v>
      </c>
      <c r="M1237" s="587">
        <v>1.1000000000000001</v>
      </c>
      <c r="N1237" s="585" t="s">
        <v>1</v>
      </c>
      <c r="O1237" s="573" t="s">
        <v>145</v>
      </c>
      <c r="P1237" s="587">
        <f t="shared" si="154"/>
        <v>718</v>
      </c>
      <c r="Q1237" s="574" t="s">
        <v>1</v>
      </c>
      <c r="R1237" s="587">
        <f>(M1237*P1237)</f>
        <v>789.80000000000007</v>
      </c>
      <c r="S1237" s="617">
        <v>10</v>
      </c>
      <c r="T1237" s="585" t="s">
        <v>140</v>
      </c>
      <c r="U1237" s="573" t="s">
        <v>1653</v>
      </c>
      <c r="V1237" s="677">
        <v>700</v>
      </c>
      <c r="W1237" s="574" t="s">
        <v>140</v>
      </c>
      <c r="X1237" s="587">
        <f>S1237*V1237</f>
        <v>7000</v>
      </c>
      <c r="Y1237" s="620">
        <v>29.5</v>
      </c>
      <c r="Z1237" s="585" t="s">
        <v>122</v>
      </c>
      <c r="AA1237" s="577" t="s">
        <v>1654</v>
      </c>
      <c r="AE1237" s="592" t="str">
        <f t="shared" si="150"/>
        <v>|</v>
      </c>
      <c r="AG1237" s="573" t="s">
        <v>849</v>
      </c>
    </row>
    <row r="1238" spans="6:33" ht="24" customHeight="1">
      <c r="H1238" s="573" t="s">
        <v>153</v>
      </c>
      <c r="K1238" s="587">
        <f>SUM(K1218:K1236)</f>
        <v>10049.637999999999</v>
      </c>
      <c r="M1238" s="587">
        <v>2.2000000000000002</v>
      </c>
      <c r="N1238" s="585" t="s">
        <v>1</v>
      </c>
      <c r="O1238" s="573" t="s">
        <v>146</v>
      </c>
      <c r="P1238" s="587">
        <f t="shared" si="154"/>
        <v>502</v>
      </c>
      <c r="Q1238" s="574" t="s">
        <v>1</v>
      </c>
      <c r="R1238" s="587">
        <f>(M1238*P1238)</f>
        <v>1104.4000000000001</v>
      </c>
      <c r="S1238" s="617">
        <v>0.21</v>
      </c>
      <c r="T1238" s="585" t="s">
        <v>126</v>
      </c>
      <c r="U1238" s="573" t="s">
        <v>142</v>
      </c>
      <c r="V1238" s="587">
        <f t="shared" ref="V1238:V1247" si="155">P1258</f>
        <v>4193.8</v>
      </c>
      <c r="W1238" s="574" t="s">
        <v>126</v>
      </c>
      <c r="X1238" s="587">
        <f>(S1238*V1238)</f>
        <v>880.69799999999998</v>
      </c>
      <c r="Z1238" s="576"/>
      <c r="AA1238" s="573"/>
      <c r="AE1238" s="592" t="str">
        <f t="shared" si="150"/>
        <v>|</v>
      </c>
      <c r="AG1238" s="573" t="s">
        <v>849</v>
      </c>
    </row>
    <row r="1239" spans="6:33" ht="24" customHeight="1">
      <c r="K1239" s="582" t="s">
        <v>117</v>
      </c>
      <c r="M1239" s="587">
        <v>2.2000000000000002</v>
      </c>
      <c r="N1239" s="585" t="s">
        <v>1</v>
      </c>
      <c r="O1239" s="573" t="s">
        <v>147</v>
      </c>
      <c r="P1239" s="587">
        <f t="shared" si="154"/>
        <v>412</v>
      </c>
      <c r="Q1239" s="574" t="s">
        <v>1</v>
      </c>
      <c r="R1239" s="587">
        <f>(M1239*P1239)</f>
        <v>906.40000000000009</v>
      </c>
      <c r="S1239" s="617">
        <v>1.1000000000000001</v>
      </c>
      <c r="T1239" s="585" t="s">
        <v>1</v>
      </c>
      <c r="U1239" s="573" t="s">
        <v>144</v>
      </c>
      <c r="V1239" s="587">
        <f t="shared" si="155"/>
        <v>769</v>
      </c>
      <c r="W1239" s="574" t="s">
        <v>1</v>
      </c>
      <c r="X1239" s="587">
        <f>(S1239*V1239)</f>
        <v>845.90000000000009</v>
      </c>
      <c r="Z1239" s="576"/>
      <c r="AA1239" s="573"/>
      <c r="AE1239" s="592" t="str">
        <f t="shared" si="150"/>
        <v>|</v>
      </c>
      <c r="AG1239" s="573" t="s">
        <v>849</v>
      </c>
    </row>
    <row r="1240" spans="6:33" ht="24" customHeight="1">
      <c r="F1240" s="573" t="s">
        <v>115</v>
      </c>
      <c r="M1240" s="617">
        <v>20</v>
      </c>
      <c r="N1240" s="585" t="s">
        <v>148</v>
      </c>
      <c r="O1240" s="573" t="s">
        <v>125</v>
      </c>
      <c r="P1240" s="587">
        <f t="shared" si="154"/>
        <v>5800</v>
      </c>
      <c r="Q1240" s="574" t="s">
        <v>124</v>
      </c>
      <c r="R1240" s="587">
        <f>(M1240*P1240)/1000</f>
        <v>116</v>
      </c>
      <c r="S1240" s="617">
        <v>1.1000000000000001</v>
      </c>
      <c r="T1240" s="585" t="s">
        <v>1</v>
      </c>
      <c r="U1240" s="573" t="s">
        <v>145</v>
      </c>
      <c r="V1240" s="587">
        <f t="shared" si="155"/>
        <v>718</v>
      </c>
      <c r="W1240" s="574" t="s">
        <v>1</v>
      </c>
      <c r="X1240" s="587">
        <f>(S1240*V1240)</f>
        <v>789.80000000000007</v>
      </c>
      <c r="Z1240" s="576"/>
      <c r="AA1240" s="582" t="s">
        <v>117</v>
      </c>
      <c r="AB1240" s="582" t="s">
        <v>117</v>
      </c>
      <c r="AC1240" s="578"/>
      <c r="AE1240" s="592" t="str">
        <f t="shared" si="150"/>
        <v>|</v>
      </c>
      <c r="AG1240" s="573" t="s">
        <v>849</v>
      </c>
    </row>
    <row r="1241" spans="6:33" ht="45.75" customHeight="1">
      <c r="H1241" s="589" t="s">
        <v>154</v>
      </c>
      <c r="K1241" s="586">
        <f>(K1238/10)</f>
        <v>1004.9637999999999</v>
      </c>
      <c r="M1241" s="617">
        <v>2</v>
      </c>
      <c r="N1241" s="585" t="s">
        <v>148</v>
      </c>
      <c r="O1241" s="573" t="s">
        <v>1655</v>
      </c>
      <c r="P1241" s="587">
        <f t="shared" si="154"/>
        <v>36.1</v>
      </c>
      <c r="Q1241" s="574" t="s">
        <v>148</v>
      </c>
      <c r="R1241" s="587">
        <f>(M1241*P1241)</f>
        <v>72.2</v>
      </c>
      <c r="S1241" s="617">
        <v>2.2000000000000002</v>
      </c>
      <c r="T1241" s="585" t="s">
        <v>1</v>
      </c>
      <c r="U1241" s="573" t="s">
        <v>146</v>
      </c>
      <c r="V1241" s="587">
        <f t="shared" si="155"/>
        <v>502</v>
      </c>
      <c r="W1241" s="574" t="s">
        <v>1</v>
      </c>
      <c r="X1241" s="587">
        <f>(S1241*V1241)</f>
        <v>1104.4000000000001</v>
      </c>
      <c r="Y1241" s="587">
        <v>10</v>
      </c>
      <c r="Z1241" s="585" t="s">
        <v>140</v>
      </c>
      <c r="AA1241" s="637" t="s">
        <v>1656</v>
      </c>
      <c r="AB1241" s="593">
        <v>756</v>
      </c>
      <c r="AC1241" s="573" t="s">
        <v>140</v>
      </c>
      <c r="AD1241" s="587">
        <f>(Y1241*AB1241)</f>
        <v>7560</v>
      </c>
      <c r="AE1241" s="592" t="str">
        <f t="shared" si="150"/>
        <v>|</v>
      </c>
      <c r="AG1241" s="573" t="s">
        <v>849</v>
      </c>
    </row>
    <row r="1242" spans="6:33" ht="24" customHeight="1">
      <c r="F1242" s="573" t="s">
        <v>115</v>
      </c>
      <c r="M1242" s="587">
        <v>1.6</v>
      </c>
      <c r="N1242" s="585" t="s">
        <v>1</v>
      </c>
      <c r="O1242" s="573" t="s">
        <v>145</v>
      </c>
      <c r="P1242" s="587">
        <f t="shared" si="154"/>
        <v>718</v>
      </c>
      <c r="Q1242" s="574" t="s">
        <v>1</v>
      </c>
      <c r="R1242" s="587">
        <f>(M1242*P1242)</f>
        <v>1148.8</v>
      </c>
      <c r="S1242" s="617">
        <v>2.2000000000000002</v>
      </c>
      <c r="T1242" s="585" t="s">
        <v>1</v>
      </c>
      <c r="U1242" s="573" t="s">
        <v>147</v>
      </c>
      <c r="V1242" s="587">
        <f t="shared" si="155"/>
        <v>412</v>
      </c>
      <c r="W1242" s="574" t="s">
        <v>1</v>
      </c>
      <c r="X1242" s="587">
        <f>(S1242*V1242)</f>
        <v>906.40000000000009</v>
      </c>
      <c r="Y1242" s="587">
        <v>0.21</v>
      </c>
      <c r="Z1242" s="585" t="s">
        <v>126</v>
      </c>
      <c r="AA1242" s="573" t="s">
        <v>142</v>
      </c>
      <c r="AB1242" s="587">
        <f>V1238</f>
        <v>4193.8</v>
      </c>
      <c r="AC1242" s="573" t="s">
        <v>126</v>
      </c>
      <c r="AD1242" s="587">
        <f>(Y1242*AB1242)</f>
        <v>880.69799999999998</v>
      </c>
      <c r="AE1242" s="592" t="str">
        <f t="shared" si="150"/>
        <v>|</v>
      </c>
      <c r="AG1242" s="573" t="s">
        <v>849</v>
      </c>
    </row>
    <row r="1243" spans="6:33" ht="24" customHeight="1">
      <c r="K1243" s="582" t="s">
        <v>155</v>
      </c>
      <c r="M1243" s="587">
        <v>0.5</v>
      </c>
      <c r="N1243" s="585" t="s">
        <v>1</v>
      </c>
      <c r="O1243" s="573" t="s">
        <v>146</v>
      </c>
      <c r="P1243" s="587">
        <f t="shared" si="154"/>
        <v>502</v>
      </c>
      <c r="Q1243" s="574" t="s">
        <v>1</v>
      </c>
      <c r="R1243" s="587">
        <f>(M1243*P1243)</f>
        <v>251</v>
      </c>
      <c r="S1243" s="617">
        <v>20</v>
      </c>
      <c r="T1243" s="585" t="s">
        <v>148</v>
      </c>
      <c r="U1243" s="573" t="s">
        <v>125</v>
      </c>
      <c r="V1243" s="587">
        <f t="shared" si="155"/>
        <v>5800</v>
      </c>
      <c r="W1243" s="574" t="s">
        <v>124</v>
      </c>
      <c r="X1243" s="587">
        <f>(S1243*V1243)/1000</f>
        <v>116</v>
      </c>
      <c r="Z1243" s="576"/>
      <c r="AA1243" s="573" t="s">
        <v>160</v>
      </c>
      <c r="AB1243" s="573" t="s">
        <v>115</v>
      </c>
      <c r="AC1243" s="578"/>
      <c r="AD1243" s="573" t="s">
        <v>115</v>
      </c>
      <c r="AE1243" s="592" t="str">
        <f t="shared" si="150"/>
        <v>|</v>
      </c>
      <c r="AG1243" s="573" t="s">
        <v>849</v>
      </c>
    </row>
    <row r="1244" spans="6:33" ht="24" customHeight="1">
      <c r="F1244" s="620">
        <v>29.5</v>
      </c>
      <c r="G1244" s="585" t="s">
        <v>122</v>
      </c>
      <c r="H1244" s="573" t="s">
        <v>156</v>
      </c>
      <c r="M1244" s="587">
        <v>1.1000000000000001</v>
      </c>
      <c r="N1244" s="585" t="s">
        <v>1</v>
      </c>
      <c r="O1244" s="573" t="s">
        <v>147</v>
      </c>
      <c r="P1244" s="587">
        <f t="shared" si="154"/>
        <v>412</v>
      </c>
      <c r="Q1244" s="574" t="s">
        <v>1</v>
      </c>
      <c r="R1244" s="587">
        <f>(M1244*P1244)</f>
        <v>453.20000000000005</v>
      </c>
      <c r="S1244" s="617">
        <v>2</v>
      </c>
      <c r="T1244" s="585" t="s">
        <v>148</v>
      </c>
      <c r="U1244" s="573" t="s">
        <v>1655</v>
      </c>
      <c r="V1244" s="587">
        <f t="shared" si="155"/>
        <v>36.1</v>
      </c>
      <c r="W1244" s="574" t="s">
        <v>148</v>
      </c>
      <c r="X1244" s="587">
        <f>(S1244*V1244)</f>
        <v>72.2</v>
      </c>
      <c r="Y1244" s="587">
        <v>1.1000000000000001</v>
      </c>
      <c r="Z1244" s="585" t="s">
        <v>1</v>
      </c>
      <c r="AA1244" s="573" t="s">
        <v>144</v>
      </c>
      <c r="AB1244" s="587">
        <f>V1239</f>
        <v>769</v>
      </c>
      <c r="AC1244" s="573" t="s">
        <v>1</v>
      </c>
      <c r="AD1244" s="587">
        <f>(Y1244*AB1244)</f>
        <v>845.90000000000009</v>
      </c>
      <c r="AE1244" s="592" t="str">
        <f t="shared" si="150"/>
        <v>|</v>
      </c>
      <c r="AG1244" s="573" t="s">
        <v>849</v>
      </c>
    </row>
    <row r="1245" spans="6:33" ht="24" customHeight="1">
      <c r="H1245" s="573" t="s">
        <v>157</v>
      </c>
      <c r="N1245" s="585" t="s">
        <v>129</v>
      </c>
      <c r="O1245" s="573" t="s">
        <v>130</v>
      </c>
      <c r="Q1245" s="574" t="s">
        <v>129</v>
      </c>
      <c r="R1245" s="587">
        <v>0</v>
      </c>
      <c r="S1245" s="617">
        <v>1.6</v>
      </c>
      <c r="T1245" s="585" t="s">
        <v>1</v>
      </c>
      <c r="U1245" s="573" t="s">
        <v>145</v>
      </c>
      <c r="V1245" s="587">
        <f t="shared" si="155"/>
        <v>718</v>
      </c>
      <c r="W1245" s="574" t="s">
        <v>1</v>
      </c>
      <c r="X1245" s="587">
        <f>(S1245*V1245)</f>
        <v>1148.8</v>
      </c>
      <c r="Y1245" s="587">
        <v>1.1000000000000001</v>
      </c>
      <c r="Z1245" s="585" t="s">
        <v>1</v>
      </c>
      <c r="AA1245" s="573" t="s">
        <v>145</v>
      </c>
      <c r="AB1245" s="587">
        <f>V1240</f>
        <v>718</v>
      </c>
      <c r="AC1245" s="573" t="s">
        <v>1</v>
      </c>
      <c r="AD1245" s="587">
        <f>(Y1245*AB1245)</f>
        <v>789.80000000000007</v>
      </c>
      <c r="AE1245" s="592" t="str">
        <f t="shared" si="150"/>
        <v>|</v>
      </c>
      <c r="AG1245" s="573" t="s">
        <v>849</v>
      </c>
    </row>
    <row r="1246" spans="6:33" ht="24" customHeight="1">
      <c r="H1246" s="573" t="s">
        <v>158</v>
      </c>
      <c r="N1246" s="576"/>
      <c r="Q1246" s="580"/>
      <c r="R1246" s="582"/>
      <c r="S1246" s="617">
        <v>0.5</v>
      </c>
      <c r="T1246" s="585" t="s">
        <v>1</v>
      </c>
      <c r="U1246" s="573" t="s">
        <v>146</v>
      </c>
      <c r="V1246" s="587">
        <f t="shared" si="155"/>
        <v>502</v>
      </c>
      <c r="W1246" s="574" t="s">
        <v>1</v>
      </c>
      <c r="X1246" s="587">
        <f>(S1246*V1246)</f>
        <v>251</v>
      </c>
      <c r="Y1246" s="587">
        <v>2.2000000000000002</v>
      </c>
      <c r="Z1246" s="585" t="s">
        <v>1</v>
      </c>
      <c r="AA1246" s="573" t="s">
        <v>146</v>
      </c>
      <c r="AB1246" s="587">
        <f>V1241</f>
        <v>502</v>
      </c>
      <c r="AC1246" s="573" t="s">
        <v>1</v>
      </c>
      <c r="AD1246" s="587">
        <f>(Y1246*AB1246)</f>
        <v>1104.4000000000001</v>
      </c>
      <c r="AE1246" s="592" t="str">
        <f t="shared" si="150"/>
        <v>|</v>
      </c>
      <c r="AG1246" s="573" t="s">
        <v>849</v>
      </c>
    </row>
    <row r="1247" spans="6:33" ht="24" customHeight="1">
      <c r="H1247" s="582" t="s">
        <v>117</v>
      </c>
      <c r="I1247" s="582" t="s">
        <v>117</v>
      </c>
      <c r="N1247" s="576"/>
      <c r="O1247" s="573" t="s">
        <v>153</v>
      </c>
      <c r="Q1247" s="580"/>
      <c r="R1247" s="587">
        <f>SUM(R1234:R1245)</f>
        <v>12538.397999999999</v>
      </c>
      <c r="S1247" s="617">
        <v>1.1000000000000001</v>
      </c>
      <c r="T1247" s="585" t="s">
        <v>1</v>
      </c>
      <c r="U1247" s="573" t="s">
        <v>147</v>
      </c>
      <c r="V1247" s="587">
        <f t="shared" si="155"/>
        <v>412</v>
      </c>
      <c r="W1247" s="574" t="s">
        <v>1</v>
      </c>
      <c r="X1247" s="587">
        <f>(S1247*V1247)</f>
        <v>453.20000000000005</v>
      </c>
      <c r="Y1247" s="587">
        <v>2.2000000000000002</v>
      </c>
      <c r="Z1247" s="585" t="s">
        <v>1</v>
      </c>
      <c r="AA1247" s="573" t="s">
        <v>147</v>
      </c>
      <c r="AB1247" s="587">
        <f>V1242</f>
        <v>412</v>
      </c>
      <c r="AC1247" s="573" t="s">
        <v>1</v>
      </c>
      <c r="AD1247" s="587">
        <f>(Y1247*AB1247)</f>
        <v>906.40000000000009</v>
      </c>
      <c r="AE1247" s="592" t="str">
        <f t="shared" si="150"/>
        <v>|</v>
      </c>
      <c r="AG1247" s="573" t="s">
        <v>849</v>
      </c>
    </row>
    <row r="1248" spans="6:33" ht="24" customHeight="1">
      <c r="F1248" s="587">
        <v>10</v>
      </c>
      <c r="G1248" s="585" t="s">
        <v>140</v>
      </c>
      <c r="H1248" s="573" t="s">
        <v>159</v>
      </c>
      <c r="I1248" s="629">
        <f>C601</f>
        <v>346.14</v>
      </c>
      <c r="J1248" s="573" t="s">
        <v>140</v>
      </c>
      <c r="K1248" s="587">
        <f>(F1248*I1248)</f>
        <v>3461.3999999999996</v>
      </c>
      <c r="N1248" s="576"/>
      <c r="Q1248" s="580"/>
      <c r="R1248" s="582" t="s">
        <v>117</v>
      </c>
      <c r="T1248" s="585" t="s">
        <v>129</v>
      </c>
      <c r="U1248" s="573" t="s">
        <v>130</v>
      </c>
      <c r="W1248" s="574" t="s">
        <v>129</v>
      </c>
      <c r="X1248" s="587">
        <v>0.18</v>
      </c>
      <c r="Y1248" s="617">
        <v>20</v>
      </c>
      <c r="Z1248" s="585" t="s">
        <v>148</v>
      </c>
      <c r="AA1248" s="573" t="s">
        <v>125</v>
      </c>
      <c r="AB1248" s="587">
        <f>V1243</f>
        <v>5800</v>
      </c>
      <c r="AC1248" s="573" t="s">
        <v>124</v>
      </c>
      <c r="AD1248" s="587">
        <f>(Y1248*AB1248)/1000</f>
        <v>116</v>
      </c>
      <c r="AE1248" s="592" t="str">
        <f t="shared" si="150"/>
        <v>|</v>
      </c>
      <c r="AG1248" s="573" t="s">
        <v>849</v>
      </c>
    </row>
    <row r="1249" spans="6:33" ht="24" customHeight="1">
      <c r="F1249" s="587">
        <v>0.21</v>
      </c>
      <c r="G1249" s="585" t="s">
        <v>126</v>
      </c>
      <c r="H1249" s="573" t="s">
        <v>142</v>
      </c>
      <c r="I1249" s="587">
        <f>(K32)</f>
        <v>4193.8</v>
      </c>
      <c r="J1249" s="573" t="s">
        <v>126</v>
      </c>
      <c r="K1249" s="587">
        <f>(F1249*I1249)</f>
        <v>880.69799999999998</v>
      </c>
      <c r="N1249" s="576"/>
      <c r="O1249" s="577" t="s">
        <v>154</v>
      </c>
      <c r="Q1249" s="580"/>
      <c r="R1249" s="586">
        <f>(R1247/10)</f>
        <v>1253.8398</v>
      </c>
      <c r="T1249" s="576"/>
      <c r="W1249" s="580"/>
      <c r="X1249" s="582" t="s">
        <v>117</v>
      </c>
      <c r="Y1249" s="617">
        <v>2</v>
      </c>
      <c r="Z1249" s="585" t="s">
        <v>148</v>
      </c>
      <c r="AA1249" s="573" t="s">
        <v>1641</v>
      </c>
      <c r="AB1249" s="587">
        <v>36.1</v>
      </c>
      <c r="AC1249" s="573" t="s">
        <v>148</v>
      </c>
      <c r="AD1249" s="587">
        <f>(Y1249*AB1249)</f>
        <v>72.2</v>
      </c>
      <c r="AE1249" s="592">
        <f t="shared" si="150"/>
        <v>0</v>
      </c>
    </row>
    <row r="1250" spans="6:33" ht="24" customHeight="1">
      <c r="H1250" s="573" t="s">
        <v>160</v>
      </c>
      <c r="I1250" s="573" t="s">
        <v>115</v>
      </c>
      <c r="K1250" s="573" t="s">
        <v>115</v>
      </c>
      <c r="N1250" s="576"/>
      <c r="Q1250" s="580"/>
      <c r="R1250" s="582"/>
      <c r="T1250" s="576"/>
      <c r="U1250" s="573" t="s">
        <v>153</v>
      </c>
      <c r="W1250" s="580"/>
      <c r="X1250" s="587">
        <f>SUM(X1237:X1248)</f>
        <v>13568.578</v>
      </c>
      <c r="Y1250" s="587">
        <v>1.6</v>
      </c>
      <c r="Z1250" s="585" t="s">
        <v>1</v>
      </c>
      <c r="AA1250" s="573" t="s">
        <v>145</v>
      </c>
      <c r="AB1250" s="587">
        <f>V1245</f>
        <v>718</v>
      </c>
      <c r="AC1250" s="573" t="s">
        <v>1</v>
      </c>
      <c r="AD1250" s="587">
        <f>(Y1250*AB1250)</f>
        <v>1148.8</v>
      </c>
      <c r="AE1250" s="592" t="str">
        <f t="shared" si="150"/>
        <v>|</v>
      </c>
      <c r="AG1250" s="573" t="s">
        <v>849</v>
      </c>
    </row>
    <row r="1251" spans="6:33" ht="24" customHeight="1">
      <c r="F1251" s="587">
        <v>1.1000000000000001</v>
      </c>
      <c r="G1251" s="585" t="s">
        <v>1</v>
      </c>
      <c r="H1251" s="573" t="s">
        <v>144</v>
      </c>
      <c r="I1251" s="587">
        <f>(C10)</f>
        <v>769</v>
      </c>
      <c r="J1251" s="573" t="s">
        <v>1</v>
      </c>
      <c r="K1251" s="587">
        <f>(F1251*I1251)</f>
        <v>845.90000000000009</v>
      </c>
      <c r="N1251" s="576"/>
      <c r="Q1251" s="580"/>
      <c r="R1251" s="582"/>
      <c r="T1251" s="576"/>
      <c r="W1251" s="580"/>
      <c r="X1251" s="582" t="s">
        <v>117</v>
      </c>
      <c r="Y1251" s="587">
        <v>0.5</v>
      </c>
      <c r="Z1251" s="585" t="s">
        <v>1</v>
      </c>
      <c r="AA1251" s="573" t="s">
        <v>146</v>
      </c>
      <c r="AB1251" s="587">
        <f>V1246</f>
        <v>502</v>
      </c>
      <c r="AC1251" s="573" t="s">
        <v>1</v>
      </c>
      <c r="AD1251" s="587">
        <f>(Y1251*AB1251)</f>
        <v>251</v>
      </c>
      <c r="AE1251" s="592">
        <f t="shared" si="150"/>
        <v>0</v>
      </c>
    </row>
    <row r="1252" spans="6:33" ht="24" customHeight="1">
      <c r="F1252" s="587">
        <v>1.1000000000000001</v>
      </c>
      <c r="G1252" s="585" t="s">
        <v>1</v>
      </c>
      <c r="H1252" s="573" t="s">
        <v>145</v>
      </c>
      <c r="I1252" s="587">
        <f>(C11)</f>
        <v>718</v>
      </c>
      <c r="J1252" s="573" t="s">
        <v>1</v>
      </c>
      <c r="K1252" s="587">
        <f>(F1252*I1252)</f>
        <v>789.80000000000007</v>
      </c>
      <c r="N1252" s="576"/>
      <c r="Q1252" s="580"/>
      <c r="R1252" s="582"/>
      <c r="T1252" s="576"/>
      <c r="U1252" s="577" t="s">
        <v>154</v>
      </c>
      <c r="W1252" s="580"/>
      <c r="X1252" s="586">
        <f>(X1250/10)</f>
        <v>1356.8578</v>
      </c>
      <c r="Y1252" s="587">
        <v>1.1000000000000001</v>
      </c>
      <c r="Z1252" s="585" t="s">
        <v>1</v>
      </c>
      <c r="AA1252" s="573" t="s">
        <v>147</v>
      </c>
      <c r="AB1252" s="587">
        <f>V1247</f>
        <v>412</v>
      </c>
      <c r="AC1252" s="573" t="s">
        <v>1</v>
      </c>
      <c r="AD1252" s="587">
        <f>(Y1252*AB1252)</f>
        <v>453.20000000000005</v>
      </c>
      <c r="AE1252" s="592" t="str">
        <f t="shared" si="150"/>
        <v>|</v>
      </c>
      <c r="AG1252" s="573" t="s">
        <v>849</v>
      </c>
    </row>
    <row r="1253" spans="6:33" ht="24" customHeight="1">
      <c r="F1253" s="587">
        <v>2.2000000000000002</v>
      </c>
      <c r="G1253" s="585" t="s">
        <v>1</v>
      </c>
      <c r="H1253" s="573" t="s">
        <v>146</v>
      </c>
      <c r="I1253" s="587">
        <f>(C12)</f>
        <v>502</v>
      </c>
      <c r="J1253" s="573" t="s">
        <v>1</v>
      </c>
      <c r="K1253" s="587">
        <f>(F1253*I1253)</f>
        <v>1104.4000000000001</v>
      </c>
      <c r="N1253" s="576"/>
      <c r="Q1253" s="580"/>
      <c r="R1253" s="582"/>
      <c r="Z1253" s="585" t="s">
        <v>129</v>
      </c>
      <c r="AA1253" s="573" t="s">
        <v>130</v>
      </c>
      <c r="AB1253" s="587">
        <f>V1248</f>
        <v>0</v>
      </c>
      <c r="AC1253" s="573" t="s">
        <v>129</v>
      </c>
      <c r="AD1253" s="587">
        <v>0</v>
      </c>
      <c r="AE1253" s="592" t="str">
        <f t="shared" si="150"/>
        <v>|</v>
      </c>
      <c r="AG1253" s="573" t="s">
        <v>849</v>
      </c>
    </row>
    <row r="1254" spans="6:33" ht="24" customHeight="1">
      <c r="F1254" s="587">
        <v>2.2000000000000002</v>
      </c>
      <c r="G1254" s="585" t="s">
        <v>1</v>
      </c>
      <c r="H1254" s="573" t="s">
        <v>147</v>
      </c>
      <c r="I1254" s="587">
        <f>(C13)</f>
        <v>412</v>
      </c>
      <c r="J1254" s="573" t="s">
        <v>1</v>
      </c>
      <c r="K1254" s="587">
        <f>(F1254*I1254)</f>
        <v>906.40000000000009</v>
      </c>
      <c r="M1254" s="735"/>
      <c r="N1254" s="736"/>
      <c r="O1254" s="737" t="s">
        <v>1657</v>
      </c>
      <c r="P1254" s="735"/>
      <c r="Q1254" s="738" t="s">
        <v>1658</v>
      </c>
      <c r="R1254" s="735"/>
      <c r="Z1254" s="576"/>
      <c r="AC1254" s="578"/>
      <c r="AD1254" s="582" t="s">
        <v>117</v>
      </c>
      <c r="AE1254" s="592" t="str">
        <f t="shared" si="150"/>
        <v>|</v>
      </c>
      <c r="AG1254" s="573" t="s">
        <v>849</v>
      </c>
    </row>
    <row r="1255" spans="6:33" ht="24" customHeight="1">
      <c r="F1255" s="617">
        <v>20</v>
      </c>
      <c r="G1255" s="585" t="s">
        <v>148</v>
      </c>
      <c r="H1255" s="573" t="s">
        <v>125</v>
      </c>
      <c r="I1255" s="587">
        <f>(C67)</f>
        <v>5800</v>
      </c>
      <c r="J1255" s="573" t="s">
        <v>124</v>
      </c>
      <c r="K1255" s="587">
        <f>(F1255*I1255)/1000</f>
        <v>116</v>
      </c>
      <c r="M1255" s="735"/>
      <c r="N1255" s="736"/>
      <c r="O1255" s="735"/>
      <c r="P1255" s="735"/>
      <c r="Q1255" s="738"/>
      <c r="R1255" s="735"/>
      <c r="Z1255" s="576"/>
      <c r="AA1255" s="573" t="s">
        <v>153</v>
      </c>
      <c r="AC1255" s="578"/>
      <c r="AD1255" s="587">
        <f>SUM(AD1241:AD1253)</f>
        <v>14128.397999999999</v>
      </c>
      <c r="AE1255" s="592" t="str">
        <f t="shared" si="150"/>
        <v>|</v>
      </c>
      <c r="AG1255" s="573" t="s">
        <v>849</v>
      </c>
    </row>
    <row r="1256" spans="6:33" ht="24" customHeight="1">
      <c r="F1256" s="617">
        <v>2</v>
      </c>
      <c r="G1256" s="585" t="s">
        <v>148</v>
      </c>
      <c r="H1256" s="621" t="s">
        <v>161</v>
      </c>
      <c r="I1256" s="680">
        <v>36.1</v>
      </c>
      <c r="J1256" s="573" t="s">
        <v>148</v>
      </c>
      <c r="K1256" s="587">
        <f>(F1256*I1256)</f>
        <v>72.2</v>
      </c>
      <c r="M1256" s="739"/>
      <c r="N1256" s="740"/>
      <c r="O1256" s="739"/>
      <c r="P1256" s="739"/>
      <c r="Q1256" s="738"/>
      <c r="R1256" s="735"/>
      <c r="Z1256" s="576"/>
      <c r="AC1256" s="578"/>
      <c r="AD1256" s="582" t="s">
        <v>117</v>
      </c>
      <c r="AE1256" s="592" t="str">
        <f t="shared" si="150"/>
        <v>|</v>
      </c>
      <c r="AG1256" s="573" t="s">
        <v>849</v>
      </c>
    </row>
    <row r="1257" spans="6:33" ht="24" customHeight="1">
      <c r="F1257" s="587">
        <v>1.6</v>
      </c>
      <c r="G1257" s="585" t="s">
        <v>1</v>
      </c>
      <c r="H1257" s="573" t="s">
        <v>145</v>
      </c>
      <c r="I1257" s="587">
        <f>(C11)</f>
        <v>718</v>
      </c>
      <c r="J1257" s="573" t="s">
        <v>1</v>
      </c>
      <c r="K1257" s="587">
        <f>(F1257*I1257)</f>
        <v>1148.8</v>
      </c>
      <c r="M1257" s="741">
        <v>10</v>
      </c>
      <c r="N1257" s="742" t="s">
        <v>140</v>
      </c>
      <c r="O1257" s="743" t="s">
        <v>1659</v>
      </c>
      <c r="P1257" s="744">
        <v>421.3</v>
      </c>
      <c r="Q1257" s="745" t="s">
        <v>140</v>
      </c>
      <c r="R1257" s="746">
        <f>M1257*P1257</f>
        <v>4213</v>
      </c>
      <c r="Z1257" s="576"/>
      <c r="AA1257" s="589" t="s">
        <v>154</v>
      </c>
      <c r="AC1257" s="578"/>
      <c r="AD1257" s="586">
        <f>(AD1255/10)</f>
        <v>1412.8398</v>
      </c>
      <c r="AE1257" s="747" t="s">
        <v>1660</v>
      </c>
      <c r="AG1257" s="573" t="s">
        <v>849</v>
      </c>
    </row>
    <row r="1258" spans="6:33" ht="24" customHeight="1">
      <c r="F1258" s="587">
        <v>0.5</v>
      </c>
      <c r="G1258" s="585" t="s">
        <v>1</v>
      </c>
      <c r="H1258" s="573" t="s">
        <v>146</v>
      </c>
      <c r="I1258" s="587">
        <f>(C12)</f>
        <v>502</v>
      </c>
      <c r="J1258" s="573" t="s">
        <v>1</v>
      </c>
      <c r="K1258" s="587">
        <f>(F1258*I1258)</f>
        <v>251</v>
      </c>
      <c r="M1258" s="746">
        <v>0.21</v>
      </c>
      <c r="N1258" s="748" t="s">
        <v>126</v>
      </c>
      <c r="O1258" s="749" t="s">
        <v>142</v>
      </c>
      <c r="P1258" s="746">
        <f t="shared" ref="P1258:P1263" si="156">P1216</f>
        <v>4193.8</v>
      </c>
      <c r="Q1258" s="745" t="s">
        <v>126</v>
      </c>
      <c r="R1258" s="746">
        <f t="shared" ref="R1258:R1267" si="157">(M1258*P1258)</f>
        <v>880.69799999999998</v>
      </c>
      <c r="Z1258" s="576"/>
      <c r="AC1258" s="578"/>
      <c r="AD1258" s="582" t="s">
        <v>155</v>
      </c>
      <c r="AE1258" s="592" t="str">
        <f t="shared" si="150"/>
        <v>|</v>
      </c>
      <c r="AG1258" s="573" t="s">
        <v>849</v>
      </c>
    </row>
    <row r="1259" spans="6:33" ht="24" customHeight="1">
      <c r="F1259" s="587">
        <v>1.1000000000000001</v>
      </c>
      <c r="G1259" s="585" t="s">
        <v>1</v>
      </c>
      <c r="H1259" s="573" t="s">
        <v>147</v>
      </c>
      <c r="I1259" s="587">
        <f>(C13)</f>
        <v>412</v>
      </c>
      <c r="J1259" s="573" t="s">
        <v>1</v>
      </c>
      <c r="K1259" s="587">
        <f>(F1259*I1259)</f>
        <v>453.20000000000005</v>
      </c>
      <c r="M1259" s="746">
        <v>1.1000000000000001</v>
      </c>
      <c r="N1259" s="748" t="s">
        <v>1</v>
      </c>
      <c r="O1259" s="749" t="s">
        <v>144</v>
      </c>
      <c r="P1259" s="746">
        <f t="shared" si="156"/>
        <v>769</v>
      </c>
      <c r="Q1259" s="745" t="s">
        <v>1</v>
      </c>
      <c r="R1259" s="746">
        <f t="shared" si="157"/>
        <v>845.90000000000009</v>
      </c>
      <c r="Y1259" s="620">
        <v>29.4</v>
      </c>
      <c r="Z1259" s="585" t="s">
        <v>122</v>
      </c>
      <c r="AA1259" s="573" t="s">
        <v>1661</v>
      </c>
      <c r="AE1259" s="592" t="str">
        <f t="shared" si="150"/>
        <v>|</v>
      </c>
      <c r="AG1259" s="573" t="s">
        <v>849</v>
      </c>
    </row>
    <row r="1260" spans="6:33" ht="24" customHeight="1">
      <c r="G1260" s="585" t="s">
        <v>129</v>
      </c>
      <c r="H1260" s="573" t="s">
        <v>130</v>
      </c>
      <c r="J1260" s="573" t="s">
        <v>129</v>
      </c>
      <c r="K1260" s="587">
        <v>0</v>
      </c>
      <c r="M1260" s="746">
        <v>1.1000000000000001</v>
      </c>
      <c r="N1260" s="748" t="s">
        <v>1</v>
      </c>
      <c r="O1260" s="749" t="s">
        <v>145</v>
      </c>
      <c r="P1260" s="746">
        <f t="shared" si="156"/>
        <v>718</v>
      </c>
      <c r="Q1260" s="745" t="s">
        <v>1</v>
      </c>
      <c r="R1260" s="746">
        <f t="shared" si="157"/>
        <v>789.80000000000007</v>
      </c>
      <c r="Z1260" s="576"/>
      <c r="AA1260" s="573" t="s">
        <v>1662</v>
      </c>
      <c r="AE1260" s="592" t="str">
        <f t="shared" si="150"/>
        <v>|</v>
      </c>
      <c r="AG1260" s="573" t="s">
        <v>849</v>
      </c>
    </row>
    <row r="1261" spans="6:33" ht="24" customHeight="1">
      <c r="K1261" s="582" t="s">
        <v>117</v>
      </c>
      <c r="M1261" s="746">
        <v>2.2000000000000002</v>
      </c>
      <c r="N1261" s="748" t="s">
        <v>1</v>
      </c>
      <c r="O1261" s="749" t="s">
        <v>146</v>
      </c>
      <c r="P1261" s="746">
        <f t="shared" si="156"/>
        <v>502</v>
      </c>
      <c r="Q1261" s="745" t="s">
        <v>1</v>
      </c>
      <c r="R1261" s="746">
        <f t="shared" si="157"/>
        <v>1104.4000000000001</v>
      </c>
      <c r="Z1261" s="576"/>
      <c r="AA1261" s="582" t="s">
        <v>117</v>
      </c>
      <c r="AE1261" s="592" t="str">
        <f t="shared" si="150"/>
        <v>|</v>
      </c>
      <c r="AG1261" s="573" t="s">
        <v>849</v>
      </c>
    </row>
    <row r="1262" spans="6:33" ht="24" customHeight="1">
      <c r="H1262" s="573" t="s">
        <v>153</v>
      </c>
      <c r="K1262" s="587">
        <f>SUM(K1248:K1260)</f>
        <v>10029.798000000001</v>
      </c>
      <c r="M1262" s="746">
        <v>2.2000000000000002</v>
      </c>
      <c r="N1262" s="748" t="s">
        <v>1</v>
      </c>
      <c r="O1262" s="749" t="s">
        <v>147</v>
      </c>
      <c r="P1262" s="746">
        <f t="shared" si="156"/>
        <v>412</v>
      </c>
      <c r="Q1262" s="745" t="s">
        <v>1</v>
      </c>
      <c r="R1262" s="746">
        <f t="shared" si="157"/>
        <v>906.40000000000009</v>
      </c>
      <c r="Y1262" s="587">
        <v>1.86</v>
      </c>
      <c r="Z1262" s="585" t="s">
        <v>140</v>
      </c>
      <c r="AA1262" s="573" t="s">
        <v>1663</v>
      </c>
      <c r="AB1262" s="629">
        <f>AB1241</f>
        <v>756</v>
      </c>
      <c r="AC1262" s="573" t="str">
        <f>J1269</f>
        <v>SQM</v>
      </c>
      <c r="AD1262" s="587">
        <f t="shared" ref="AD1262:AD1267" si="158">(Y1262*AB1262)</f>
        <v>1406.16</v>
      </c>
      <c r="AE1262" s="592" t="str">
        <f t="shared" si="150"/>
        <v>|</v>
      </c>
      <c r="AG1262" s="573" t="s">
        <v>849</v>
      </c>
    </row>
    <row r="1263" spans="6:33" ht="24" customHeight="1">
      <c r="K1263" s="582" t="s">
        <v>117</v>
      </c>
      <c r="M1263" s="750">
        <v>20</v>
      </c>
      <c r="N1263" s="748" t="s">
        <v>148</v>
      </c>
      <c r="O1263" s="749" t="s">
        <v>125</v>
      </c>
      <c r="P1263" s="746">
        <f t="shared" si="156"/>
        <v>5800</v>
      </c>
      <c r="Q1263" s="745" t="s">
        <v>124</v>
      </c>
      <c r="R1263" s="746">
        <f>(M1263*P1263)/1000</f>
        <v>116</v>
      </c>
      <c r="Y1263" s="587">
        <v>0.4</v>
      </c>
      <c r="Z1263" s="585" t="s">
        <v>148</v>
      </c>
      <c r="AA1263" s="573" t="s">
        <v>1641</v>
      </c>
      <c r="AB1263" s="655">
        <f>AB1249</f>
        <v>36.1</v>
      </c>
      <c r="AC1263" s="573" t="str">
        <f>J1270</f>
        <v>Kg</v>
      </c>
      <c r="AD1263" s="587">
        <f t="shared" si="158"/>
        <v>14.440000000000001</v>
      </c>
      <c r="AE1263" s="592">
        <f t="shared" si="150"/>
        <v>0</v>
      </c>
    </row>
    <row r="1264" spans="6:33" ht="24" customHeight="1">
      <c r="H1264" s="589" t="s">
        <v>154</v>
      </c>
      <c r="K1264" s="586">
        <f>(K1262/10)</f>
        <v>1002.9798000000001</v>
      </c>
      <c r="M1264" s="750">
        <v>2</v>
      </c>
      <c r="N1264" s="748" t="s">
        <v>148</v>
      </c>
      <c r="O1264" s="749" t="s">
        <v>1655</v>
      </c>
      <c r="P1264" s="746">
        <f>I1256</f>
        <v>36.1</v>
      </c>
      <c r="Q1264" s="745" t="s">
        <v>148</v>
      </c>
      <c r="R1264" s="746">
        <f t="shared" si="157"/>
        <v>72.2</v>
      </c>
      <c r="Y1264" s="587">
        <v>0.02</v>
      </c>
      <c r="Z1264" s="585" t="s">
        <v>126</v>
      </c>
      <c r="AA1264" s="573" t="s">
        <v>1664</v>
      </c>
      <c r="AB1264" s="587">
        <f>I1271</f>
        <v>5585.8</v>
      </c>
      <c r="AC1264" s="573" t="str">
        <f>J1271</f>
        <v>CUM</v>
      </c>
      <c r="AD1264" s="587">
        <f t="shared" si="158"/>
        <v>111.71600000000001</v>
      </c>
      <c r="AE1264" s="592">
        <f t="shared" si="150"/>
        <v>0</v>
      </c>
    </row>
    <row r="1265" spans="6:33" ht="24" customHeight="1">
      <c r="K1265" s="582" t="s">
        <v>155</v>
      </c>
      <c r="M1265" s="746">
        <v>1.6</v>
      </c>
      <c r="N1265" s="748" t="s">
        <v>1</v>
      </c>
      <c r="O1265" s="749" t="s">
        <v>145</v>
      </c>
      <c r="P1265" s="746">
        <f>P1223</f>
        <v>718</v>
      </c>
      <c r="Q1265" s="745" t="s">
        <v>1</v>
      </c>
      <c r="R1265" s="746">
        <f t="shared" si="157"/>
        <v>1148.8</v>
      </c>
      <c r="Y1265" s="587">
        <v>1</v>
      </c>
      <c r="Z1265" s="585" t="s">
        <v>1</v>
      </c>
      <c r="AA1265" s="573" t="s">
        <v>144</v>
      </c>
      <c r="AB1265" s="587">
        <f>I1272</f>
        <v>769</v>
      </c>
      <c r="AC1265" s="573" t="str">
        <f>J1272</f>
        <v>NO</v>
      </c>
      <c r="AD1265" s="587">
        <f t="shared" si="158"/>
        <v>769</v>
      </c>
      <c r="AE1265" s="592" t="str">
        <f t="shared" si="150"/>
        <v/>
      </c>
      <c r="AG1265" s="573" t="s">
        <v>115</v>
      </c>
    </row>
    <row r="1266" spans="6:33" ht="24" customHeight="1">
      <c r="F1266" s="620">
        <v>29.4</v>
      </c>
      <c r="G1266" s="585" t="s">
        <v>122</v>
      </c>
      <c r="H1266" s="573" t="s">
        <v>1665</v>
      </c>
      <c r="M1266" s="746">
        <v>0.5</v>
      </c>
      <c r="N1266" s="748" t="s">
        <v>1</v>
      </c>
      <c r="O1266" s="749" t="s">
        <v>146</v>
      </c>
      <c r="P1266" s="746">
        <f>P1224</f>
        <v>502</v>
      </c>
      <c r="Q1266" s="745" t="s">
        <v>1</v>
      </c>
      <c r="R1266" s="746">
        <f t="shared" si="157"/>
        <v>251</v>
      </c>
      <c r="Y1266" s="587">
        <v>1</v>
      </c>
      <c r="Z1266" s="585" t="s">
        <v>1</v>
      </c>
      <c r="AA1266" s="573" t="s">
        <v>1666</v>
      </c>
      <c r="AB1266" s="587">
        <f>I1273</f>
        <v>502</v>
      </c>
      <c r="AC1266" s="573" t="str">
        <f>J1273</f>
        <v>NO</v>
      </c>
      <c r="AD1266" s="587">
        <f t="shared" si="158"/>
        <v>502</v>
      </c>
      <c r="AE1266" s="592">
        <f t="shared" si="150"/>
        <v>0</v>
      </c>
    </row>
    <row r="1267" spans="6:33" ht="24" customHeight="1">
      <c r="H1267" s="573" t="s">
        <v>1667</v>
      </c>
      <c r="M1267" s="746">
        <v>1.1000000000000001</v>
      </c>
      <c r="N1267" s="748" t="s">
        <v>1</v>
      </c>
      <c r="O1267" s="749" t="s">
        <v>147</v>
      </c>
      <c r="P1267" s="746">
        <f>P1225</f>
        <v>412</v>
      </c>
      <c r="Q1267" s="745" t="s">
        <v>1</v>
      </c>
      <c r="R1267" s="746">
        <f t="shared" si="157"/>
        <v>453.20000000000005</v>
      </c>
      <c r="Z1267" s="585" t="s">
        <v>129</v>
      </c>
      <c r="AA1267" s="573" t="s">
        <v>130</v>
      </c>
      <c r="AC1267" s="573" t="s">
        <v>129</v>
      </c>
      <c r="AD1267" s="587">
        <f t="shared" si="158"/>
        <v>0</v>
      </c>
      <c r="AE1267" s="592">
        <f t="shared" si="150"/>
        <v>0</v>
      </c>
    </row>
    <row r="1268" spans="6:33" ht="24" customHeight="1">
      <c r="H1268" s="582" t="s">
        <v>117</v>
      </c>
      <c r="M1268" s="735"/>
      <c r="N1268" s="748" t="s">
        <v>129</v>
      </c>
      <c r="O1268" s="749" t="s">
        <v>130</v>
      </c>
      <c r="P1268" s="735"/>
      <c r="Q1268" s="745" t="s">
        <v>129</v>
      </c>
      <c r="R1268" s="746">
        <v>0</v>
      </c>
      <c r="Z1268" s="576"/>
      <c r="AC1268" s="578"/>
      <c r="AD1268" s="582" t="s">
        <v>117</v>
      </c>
      <c r="AE1268" s="592">
        <f t="shared" si="150"/>
        <v>0</v>
      </c>
    </row>
    <row r="1269" spans="6:33" ht="24" customHeight="1">
      <c r="F1269" s="587">
        <v>1.86</v>
      </c>
      <c r="G1269" s="585" t="s">
        <v>140</v>
      </c>
      <c r="H1269" s="573" t="s">
        <v>1668</v>
      </c>
      <c r="I1269" s="629">
        <f>C602</f>
        <v>385</v>
      </c>
      <c r="J1269" s="573" t="s">
        <v>140</v>
      </c>
      <c r="K1269" s="587">
        <f>(F1269*I1269)</f>
        <v>716.1</v>
      </c>
      <c r="M1269" s="735"/>
      <c r="N1269" s="736"/>
      <c r="O1269" s="735"/>
      <c r="P1269" s="735"/>
      <c r="Q1269" s="738"/>
      <c r="R1269" s="751"/>
      <c r="Z1269" s="576"/>
      <c r="AA1269" s="573" t="s">
        <v>1669</v>
      </c>
      <c r="AC1269" s="578"/>
      <c r="AD1269" s="587">
        <f>SUM(AD1262:AD1267)</f>
        <v>2803.3160000000003</v>
      </c>
      <c r="AE1269" s="592">
        <f t="shared" si="150"/>
        <v>0</v>
      </c>
    </row>
    <row r="1270" spans="6:33" ht="24" customHeight="1">
      <c r="F1270" s="587">
        <v>0.4</v>
      </c>
      <c r="G1270" s="585" t="s">
        <v>148</v>
      </c>
      <c r="H1270" s="573" t="s">
        <v>1641</v>
      </c>
      <c r="I1270" s="696">
        <f>I1256</f>
        <v>36.1</v>
      </c>
      <c r="J1270" s="573" t="s">
        <v>148</v>
      </c>
      <c r="K1270" s="587">
        <f>(F1270*I1270)</f>
        <v>14.440000000000001</v>
      </c>
      <c r="M1270" s="735"/>
      <c r="N1270" s="736"/>
      <c r="O1270" s="749" t="s">
        <v>153</v>
      </c>
      <c r="P1270" s="735"/>
      <c r="Q1270" s="738"/>
      <c r="R1270" s="746">
        <f>SUM(R1257:R1268)</f>
        <v>10781.398000000001</v>
      </c>
      <c r="Z1270" s="576"/>
      <c r="AC1270" s="578"/>
      <c r="AD1270" s="582" t="s">
        <v>117</v>
      </c>
      <c r="AE1270" s="592">
        <f t="shared" si="150"/>
        <v>0</v>
      </c>
    </row>
    <row r="1271" spans="6:33" ht="24" customHeight="1">
      <c r="F1271" s="587">
        <v>0.02</v>
      </c>
      <c r="G1271" s="585" t="s">
        <v>126</v>
      </c>
      <c r="H1271" s="573" t="s">
        <v>1664</v>
      </c>
      <c r="I1271" s="587">
        <f>K23</f>
        <v>5585.8</v>
      </c>
      <c r="J1271" s="573" t="s">
        <v>126</v>
      </c>
      <c r="K1271" s="587">
        <f>(F1271*I1271)</f>
        <v>111.71600000000001</v>
      </c>
      <c r="M1271" s="735"/>
      <c r="N1271" s="736"/>
      <c r="O1271" s="735"/>
      <c r="P1271" s="735"/>
      <c r="Q1271" s="738"/>
      <c r="R1271" s="751" t="s">
        <v>117</v>
      </c>
      <c r="Z1271" s="576"/>
      <c r="AA1271" s="589" t="s">
        <v>154</v>
      </c>
      <c r="AC1271" s="578"/>
      <c r="AD1271" s="586">
        <f>(AD1269/1.86)</f>
        <v>1507.1591397849463</v>
      </c>
      <c r="AE1271" s="592">
        <f t="shared" si="150"/>
        <v>0</v>
      </c>
    </row>
    <row r="1272" spans="6:33" ht="24" customHeight="1">
      <c r="F1272" s="587">
        <v>1</v>
      </c>
      <c r="G1272" s="585" t="s">
        <v>1</v>
      </c>
      <c r="H1272" s="573" t="s">
        <v>144</v>
      </c>
      <c r="I1272" s="587">
        <f>C10</f>
        <v>769</v>
      </c>
      <c r="J1272" s="573" t="s">
        <v>1</v>
      </c>
      <c r="K1272" s="587">
        <f>(F1272*I1272)</f>
        <v>769</v>
      </c>
      <c r="M1272" s="735"/>
      <c r="N1272" s="736"/>
      <c r="O1272" s="752" t="s">
        <v>154</v>
      </c>
      <c r="P1272" s="735"/>
      <c r="Q1272" s="738"/>
      <c r="R1272" s="753">
        <f>(R1270/10)</f>
        <v>1078.1398000000002</v>
      </c>
      <c r="Z1272" s="576"/>
      <c r="AC1272" s="578"/>
      <c r="AD1272" s="582" t="s">
        <v>155</v>
      </c>
      <c r="AE1272" s="592">
        <f t="shared" si="150"/>
        <v>0</v>
      </c>
    </row>
    <row r="1273" spans="6:33" ht="24" customHeight="1">
      <c r="F1273" s="587">
        <v>1</v>
      </c>
      <c r="G1273" s="585" t="s">
        <v>1</v>
      </c>
      <c r="H1273" s="573" t="s">
        <v>1666</v>
      </c>
      <c r="I1273" s="587">
        <f>C12</f>
        <v>502</v>
      </c>
      <c r="J1273" s="573" t="s">
        <v>1</v>
      </c>
      <c r="K1273" s="587">
        <f>(F1273*I1273)</f>
        <v>502</v>
      </c>
      <c r="S1273" s="620">
        <v>29.5</v>
      </c>
      <c r="T1273" s="585" t="s">
        <v>122</v>
      </c>
      <c r="U1273" s="573" t="s">
        <v>1670</v>
      </c>
      <c r="W1273" s="578"/>
      <c r="AE1273" s="592">
        <f t="shared" si="150"/>
        <v>0</v>
      </c>
    </row>
    <row r="1274" spans="6:33" ht="24" customHeight="1">
      <c r="G1274" s="585" t="s">
        <v>129</v>
      </c>
      <c r="H1274" s="573" t="s">
        <v>130</v>
      </c>
      <c r="J1274" s="573" t="s">
        <v>129</v>
      </c>
      <c r="K1274" s="587"/>
      <c r="S1274" s="575"/>
      <c r="T1274" s="576"/>
      <c r="U1274" s="573"/>
      <c r="W1274" s="578"/>
      <c r="AE1274" s="592">
        <f t="shared" si="150"/>
        <v>0</v>
      </c>
    </row>
    <row r="1275" spans="6:33" ht="24" customHeight="1">
      <c r="K1275" s="582" t="s">
        <v>117</v>
      </c>
      <c r="S1275" s="575"/>
      <c r="T1275" s="576"/>
      <c r="U1275" s="573"/>
      <c r="W1275" s="578"/>
      <c r="AC1275" s="578"/>
      <c r="AE1275" s="592">
        <f t="shared" si="150"/>
        <v>0</v>
      </c>
    </row>
    <row r="1276" spans="6:33" ht="24" customHeight="1">
      <c r="H1276" s="573" t="s">
        <v>1669</v>
      </c>
      <c r="K1276" s="587">
        <f>SUM(K1269:K1274)</f>
        <v>2113.2560000000003</v>
      </c>
      <c r="S1276" s="575"/>
      <c r="T1276" s="576"/>
      <c r="U1276" s="582" t="s">
        <v>117</v>
      </c>
      <c r="V1276" s="582" t="s">
        <v>117</v>
      </c>
      <c r="W1276" s="578"/>
      <c r="AC1276" s="578"/>
      <c r="AE1276" s="592">
        <f t="shared" si="150"/>
        <v>0</v>
      </c>
    </row>
    <row r="1277" spans="6:33" ht="40.5" customHeight="1">
      <c r="K1277" s="582" t="s">
        <v>117</v>
      </c>
      <c r="S1277" s="587">
        <v>10</v>
      </c>
      <c r="T1277" s="585" t="s">
        <v>140</v>
      </c>
      <c r="U1277" s="637" t="s">
        <v>1671</v>
      </c>
      <c r="V1277" s="629">
        <v>538.21</v>
      </c>
      <c r="W1277" s="573" t="s">
        <v>140</v>
      </c>
      <c r="X1277" s="587">
        <f>(S1277*V1277)</f>
        <v>5382.1</v>
      </c>
      <c r="AC1277" s="578"/>
      <c r="AE1277" s="592">
        <f t="shared" si="150"/>
        <v>0</v>
      </c>
    </row>
    <row r="1278" spans="6:33" ht="24" customHeight="1">
      <c r="H1278" s="589" t="s">
        <v>154</v>
      </c>
      <c r="K1278" s="586">
        <f>(K1276/1.86)</f>
        <v>1136.1591397849463</v>
      </c>
      <c r="S1278" s="587">
        <v>0.21</v>
      </c>
      <c r="T1278" s="585" t="s">
        <v>126</v>
      </c>
      <c r="U1278" s="573" t="s">
        <v>142</v>
      </c>
      <c r="V1278" s="629">
        <f t="shared" ref="V1278:V1288" si="159">I1249</f>
        <v>4193.8</v>
      </c>
      <c r="W1278" s="573" t="s">
        <v>126</v>
      </c>
      <c r="X1278" s="587">
        <f>(S1278*V1278)</f>
        <v>880.69799999999998</v>
      </c>
      <c r="AE1278" s="592">
        <f t="shared" ref="AE1278:AE1341" si="160">AG1278</f>
        <v>0</v>
      </c>
    </row>
    <row r="1279" spans="6:33" ht="24" customHeight="1">
      <c r="K1279" s="582" t="s">
        <v>155</v>
      </c>
      <c r="S1279" s="575"/>
      <c r="T1279" s="576"/>
      <c r="U1279" s="573" t="s">
        <v>160</v>
      </c>
      <c r="V1279" s="629" t="str">
        <f t="shared" si="159"/>
        <v/>
      </c>
      <c r="W1279" s="578"/>
      <c r="X1279" s="573" t="s">
        <v>115</v>
      </c>
      <c r="AE1279" s="592">
        <f t="shared" si="160"/>
        <v>0</v>
      </c>
    </row>
    <row r="1280" spans="6:33" ht="24" customHeight="1">
      <c r="F1280" s="620"/>
      <c r="G1280" s="585" t="s">
        <v>122</v>
      </c>
      <c r="H1280" s="573" t="s">
        <v>1672</v>
      </c>
      <c r="S1280" s="587">
        <v>1.1000000000000001</v>
      </c>
      <c r="T1280" s="585" t="s">
        <v>1</v>
      </c>
      <c r="U1280" s="573" t="s">
        <v>144</v>
      </c>
      <c r="V1280" s="629">
        <f t="shared" si="159"/>
        <v>769</v>
      </c>
      <c r="W1280" s="573" t="s">
        <v>1</v>
      </c>
      <c r="X1280" s="587">
        <f>(S1280*V1280)</f>
        <v>845.90000000000009</v>
      </c>
      <c r="AE1280" s="592">
        <f t="shared" si="160"/>
        <v>0</v>
      </c>
    </row>
    <row r="1281" spans="6:31" ht="24" customHeight="1">
      <c r="H1281" s="573"/>
      <c r="S1281" s="587">
        <v>1.1000000000000001</v>
      </c>
      <c r="T1281" s="585" t="s">
        <v>1</v>
      </c>
      <c r="U1281" s="573" t="s">
        <v>145</v>
      </c>
      <c r="V1281" s="629">
        <f t="shared" si="159"/>
        <v>718</v>
      </c>
      <c r="W1281" s="573" t="s">
        <v>1</v>
      </c>
      <c r="X1281" s="587">
        <f>(S1281*V1281)</f>
        <v>789.80000000000007</v>
      </c>
      <c r="AE1281" s="592">
        <f t="shared" si="160"/>
        <v>0</v>
      </c>
    </row>
    <row r="1282" spans="6:31" ht="24" customHeight="1">
      <c r="H1282" s="582" t="s">
        <v>117</v>
      </c>
      <c r="S1282" s="587">
        <v>2.2000000000000002</v>
      </c>
      <c r="T1282" s="585" t="s">
        <v>1</v>
      </c>
      <c r="U1282" s="573" t="s">
        <v>146</v>
      </c>
      <c r="V1282" s="629">
        <f t="shared" si="159"/>
        <v>502</v>
      </c>
      <c r="W1282" s="573" t="s">
        <v>1</v>
      </c>
      <c r="X1282" s="587">
        <f>(S1282*V1282)</f>
        <v>1104.4000000000001</v>
      </c>
      <c r="AE1282" s="592">
        <f t="shared" si="160"/>
        <v>0</v>
      </c>
    </row>
    <row r="1283" spans="6:31" ht="24" customHeight="1">
      <c r="F1283" s="587">
        <v>1.86</v>
      </c>
      <c r="G1283" s="585" t="s">
        <v>140</v>
      </c>
      <c r="H1283" s="573" t="s">
        <v>1673</v>
      </c>
      <c r="I1283" s="629">
        <v>699.4</v>
      </c>
      <c r="J1283" s="573" t="s">
        <v>140</v>
      </c>
      <c r="K1283" s="587">
        <f>(F1283*I1283)</f>
        <v>1300.884</v>
      </c>
      <c r="S1283" s="587">
        <v>2.2000000000000002</v>
      </c>
      <c r="T1283" s="585" t="s">
        <v>1</v>
      </c>
      <c r="U1283" s="573" t="s">
        <v>147</v>
      </c>
      <c r="V1283" s="629">
        <f t="shared" si="159"/>
        <v>412</v>
      </c>
      <c r="W1283" s="573" t="s">
        <v>1</v>
      </c>
      <c r="X1283" s="587">
        <f>(S1283*V1283)</f>
        <v>906.40000000000009</v>
      </c>
      <c r="AE1283" s="592">
        <f t="shared" si="160"/>
        <v>0</v>
      </c>
    </row>
    <row r="1284" spans="6:31" ht="24" customHeight="1">
      <c r="F1284" s="587">
        <v>0.4</v>
      </c>
      <c r="G1284" s="585" t="s">
        <v>148</v>
      </c>
      <c r="H1284" s="573" t="s">
        <v>1124</v>
      </c>
      <c r="I1284" s="754">
        <f>C67</f>
        <v>5800</v>
      </c>
      <c r="J1284" s="573" t="s">
        <v>148</v>
      </c>
      <c r="K1284" s="587">
        <f>(F1284*I1284)</f>
        <v>2320</v>
      </c>
      <c r="S1284" s="617">
        <v>20</v>
      </c>
      <c r="T1284" s="585" t="s">
        <v>148</v>
      </c>
      <c r="U1284" s="573" t="s">
        <v>125</v>
      </c>
      <c r="V1284" s="629">
        <f t="shared" si="159"/>
        <v>5800</v>
      </c>
      <c r="W1284" s="573" t="s">
        <v>124</v>
      </c>
      <c r="X1284" s="587">
        <f>(S1284*V1284)/1000</f>
        <v>116</v>
      </c>
      <c r="AE1284" s="592">
        <f t="shared" si="160"/>
        <v>0</v>
      </c>
    </row>
    <row r="1285" spans="6:31" ht="24" customHeight="1">
      <c r="F1285" s="587">
        <v>0.02</v>
      </c>
      <c r="G1285" s="585" t="s">
        <v>126</v>
      </c>
      <c r="H1285" s="573" t="s">
        <v>1664</v>
      </c>
      <c r="I1285" s="587">
        <f>I1271</f>
        <v>5585.8</v>
      </c>
      <c r="J1285" s="573" t="s">
        <v>126</v>
      </c>
      <c r="K1285" s="587">
        <f>(F1285*I1285)</f>
        <v>111.71600000000001</v>
      </c>
      <c r="S1285" s="617">
        <v>2</v>
      </c>
      <c r="T1285" s="585" t="s">
        <v>148</v>
      </c>
      <c r="U1285" s="573" t="s">
        <v>1641</v>
      </c>
      <c r="V1285" s="629">
        <f t="shared" si="159"/>
        <v>36.1</v>
      </c>
      <c r="W1285" s="573" t="s">
        <v>148</v>
      </c>
      <c r="X1285" s="587">
        <f>(S1285*V1285)</f>
        <v>72.2</v>
      </c>
      <c r="AE1285" s="592">
        <f t="shared" si="160"/>
        <v>0</v>
      </c>
    </row>
    <row r="1286" spans="6:31" ht="24" customHeight="1">
      <c r="F1286" s="587">
        <v>1</v>
      </c>
      <c r="G1286" s="585" t="s">
        <v>1</v>
      </c>
      <c r="H1286" s="573" t="s">
        <v>144</v>
      </c>
      <c r="I1286" s="587">
        <f>I1272</f>
        <v>769</v>
      </c>
      <c r="J1286" s="573" t="s">
        <v>1</v>
      </c>
      <c r="K1286" s="587">
        <f>(F1286*I1286)</f>
        <v>769</v>
      </c>
      <c r="S1286" s="587">
        <v>1.6</v>
      </c>
      <c r="T1286" s="585" t="s">
        <v>1</v>
      </c>
      <c r="U1286" s="573" t="s">
        <v>145</v>
      </c>
      <c r="V1286" s="629">
        <f t="shared" si="159"/>
        <v>718</v>
      </c>
      <c r="W1286" s="573" t="s">
        <v>1</v>
      </c>
      <c r="X1286" s="587">
        <f>(S1286*V1286)</f>
        <v>1148.8</v>
      </c>
      <c r="AE1286" s="592">
        <f t="shared" si="160"/>
        <v>0</v>
      </c>
    </row>
    <row r="1287" spans="6:31" ht="24" customHeight="1">
      <c r="F1287" s="587">
        <v>1</v>
      </c>
      <c r="G1287" s="585" t="s">
        <v>1</v>
      </c>
      <c r="H1287" s="573" t="s">
        <v>1666</v>
      </c>
      <c r="I1287" s="587">
        <f>I1273</f>
        <v>502</v>
      </c>
      <c r="J1287" s="573" t="s">
        <v>1</v>
      </c>
      <c r="K1287" s="587">
        <f>(F1287*I1287)</f>
        <v>502</v>
      </c>
      <c r="S1287" s="587">
        <v>0.5</v>
      </c>
      <c r="T1287" s="585" t="s">
        <v>1</v>
      </c>
      <c r="U1287" s="573" t="s">
        <v>146</v>
      </c>
      <c r="V1287" s="629">
        <f t="shared" si="159"/>
        <v>502</v>
      </c>
      <c r="W1287" s="573" t="s">
        <v>1</v>
      </c>
      <c r="X1287" s="587">
        <f>(S1287*V1287)</f>
        <v>251</v>
      </c>
      <c r="AE1287" s="592">
        <f t="shared" si="160"/>
        <v>0</v>
      </c>
    </row>
    <row r="1288" spans="6:31" ht="24" customHeight="1">
      <c r="G1288" s="585" t="s">
        <v>129</v>
      </c>
      <c r="H1288" s="573" t="s">
        <v>130</v>
      </c>
      <c r="J1288" s="573" t="s">
        <v>129</v>
      </c>
      <c r="K1288" s="587"/>
      <c r="S1288" s="587">
        <v>1.1000000000000001</v>
      </c>
      <c r="T1288" s="585" t="s">
        <v>1</v>
      </c>
      <c r="U1288" s="573" t="s">
        <v>147</v>
      </c>
      <c r="V1288" s="629">
        <f t="shared" si="159"/>
        <v>412</v>
      </c>
      <c r="W1288" s="573" t="s">
        <v>1</v>
      </c>
      <c r="X1288" s="587">
        <f>(S1288*V1288)</f>
        <v>453.20000000000005</v>
      </c>
      <c r="AE1288" s="592">
        <f t="shared" si="160"/>
        <v>0</v>
      </c>
    </row>
    <row r="1289" spans="6:31" ht="24" customHeight="1">
      <c r="K1289" s="582" t="s">
        <v>117</v>
      </c>
      <c r="S1289" s="575"/>
      <c r="T1289" s="585" t="s">
        <v>129</v>
      </c>
      <c r="U1289" s="573" t="s">
        <v>130</v>
      </c>
      <c r="W1289" s="573" t="s">
        <v>129</v>
      </c>
      <c r="X1289" s="587">
        <v>0</v>
      </c>
      <c r="AE1289" s="592">
        <f t="shared" si="160"/>
        <v>0</v>
      </c>
    </row>
    <row r="1290" spans="6:31" ht="24" customHeight="1">
      <c r="H1290" s="573" t="s">
        <v>1669</v>
      </c>
      <c r="K1290" s="587">
        <f>SUM(K1283:K1288)</f>
        <v>5003.6000000000004</v>
      </c>
      <c r="S1290" s="575"/>
      <c r="T1290" s="576"/>
      <c r="W1290" s="578"/>
      <c r="X1290" s="582" t="s">
        <v>117</v>
      </c>
      <c r="AE1290" s="592">
        <f t="shared" si="160"/>
        <v>0</v>
      </c>
    </row>
    <row r="1291" spans="6:31" ht="24" customHeight="1">
      <c r="K1291" s="582" t="s">
        <v>117</v>
      </c>
      <c r="S1291" s="575"/>
      <c r="T1291" s="576"/>
      <c r="U1291" s="573" t="s">
        <v>153</v>
      </c>
      <c r="W1291" s="578"/>
      <c r="X1291" s="587">
        <f>SUM(X1277:X1289)</f>
        <v>11950.498000000001</v>
      </c>
      <c r="AE1291" s="592">
        <f t="shared" si="160"/>
        <v>0</v>
      </c>
    </row>
    <row r="1292" spans="6:31" ht="24" customHeight="1">
      <c r="H1292" s="589" t="s">
        <v>154</v>
      </c>
      <c r="K1292" s="586">
        <f>(K1290/1.86)</f>
        <v>2690.1075268817203</v>
      </c>
      <c r="S1292" s="575"/>
      <c r="T1292" s="576"/>
      <c r="W1292" s="578"/>
      <c r="X1292" s="582" t="s">
        <v>117</v>
      </c>
      <c r="AE1292" s="592">
        <f t="shared" si="160"/>
        <v>0</v>
      </c>
    </row>
    <row r="1293" spans="6:31" ht="24" customHeight="1">
      <c r="K1293" s="582" t="s">
        <v>155</v>
      </c>
      <c r="U1293" s="589" t="s">
        <v>154</v>
      </c>
      <c r="W1293" s="578"/>
      <c r="X1293" s="586">
        <f>(X1291/10)</f>
        <v>1195.0498000000002</v>
      </c>
      <c r="AE1293" s="592">
        <f t="shared" si="160"/>
        <v>0</v>
      </c>
    </row>
    <row r="1294" spans="6:31" ht="24" customHeight="1">
      <c r="K1294" s="582"/>
      <c r="W1294" s="578"/>
      <c r="X1294" s="582" t="s">
        <v>155</v>
      </c>
      <c r="AE1294" s="592">
        <f t="shared" si="160"/>
        <v>0</v>
      </c>
    </row>
    <row r="1295" spans="6:31" ht="24" customHeight="1">
      <c r="K1295" s="582"/>
      <c r="AE1295" s="592">
        <f t="shared" si="160"/>
        <v>0</v>
      </c>
    </row>
    <row r="1296" spans="6:31" ht="24" customHeight="1">
      <c r="K1296" s="582"/>
      <c r="M1296" s="574"/>
      <c r="N1296" s="585" t="s">
        <v>122</v>
      </c>
      <c r="O1296" s="573" t="s">
        <v>1674</v>
      </c>
      <c r="Q1296" s="580"/>
      <c r="S1296" s="679">
        <v>15.1</v>
      </c>
      <c r="T1296" s="585" t="s">
        <v>1011</v>
      </c>
      <c r="U1296" s="573" t="s">
        <v>1675</v>
      </c>
      <c r="W1296" s="580"/>
      <c r="AE1296" s="592">
        <f t="shared" si="160"/>
        <v>0</v>
      </c>
    </row>
    <row r="1297" spans="6:31" ht="24" customHeight="1">
      <c r="K1297" s="582"/>
      <c r="N1297" s="576"/>
      <c r="O1297" s="573" t="s">
        <v>178</v>
      </c>
      <c r="Q1297" s="580"/>
      <c r="S1297" s="575"/>
      <c r="T1297" s="576"/>
      <c r="U1297" s="573" t="s">
        <v>950</v>
      </c>
      <c r="W1297" s="580"/>
      <c r="AE1297" s="592">
        <f t="shared" si="160"/>
        <v>0</v>
      </c>
    </row>
    <row r="1298" spans="6:31" ht="24" customHeight="1">
      <c r="F1298" s="574" t="s">
        <v>416</v>
      </c>
      <c r="G1298" s="585" t="s">
        <v>122</v>
      </c>
      <c r="H1298" s="573" t="s">
        <v>1626</v>
      </c>
      <c r="N1298" s="576"/>
      <c r="O1298" s="577" t="s">
        <v>1676</v>
      </c>
      <c r="Q1298" s="580"/>
      <c r="S1298" s="587">
        <v>10</v>
      </c>
      <c r="T1298" s="585" t="s">
        <v>174</v>
      </c>
      <c r="U1298" s="573" t="s">
        <v>1677</v>
      </c>
      <c r="V1298" s="593">
        <v>1506.6</v>
      </c>
      <c r="W1298" s="574" t="s">
        <v>174</v>
      </c>
      <c r="X1298" s="587">
        <f t="shared" ref="X1298:X1304" si="161">(S1298*V1298)</f>
        <v>15066</v>
      </c>
      <c r="AE1298" s="592">
        <f t="shared" si="160"/>
        <v>0</v>
      </c>
    </row>
    <row r="1299" spans="6:31" ht="24" customHeight="1">
      <c r="H1299" s="573" t="s">
        <v>1678</v>
      </c>
      <c r="N1299" s="576"/>
      <c r="O1299" s="582" t="s">
        <v>117</v>
      </c>
      <c r="Q1299" s="580"/>
      <c r="S1299" s="587">
        <v>0.21</v>
      </c>
      <c r="T1299" s="585" t="s">
        <v>126</v>
      </c>
      <c r="U1299" s="573" t="s">
        <v>1018</v>
      </c>
      <c r="V1299" s="685">
        <f>P1333</f>
        <v>4193.8</v>
      </c>
      <c r="W1299" s="574" t="s">
        <v>126</v>
      </c>
      <c r="X1299" s="587">
        <f t="shared" si="161"/>
        <v>880.69799999999998</v>
      </c>
      <c r="AE1299" s="592">
        <f t="shared" si="160"/>
        <v>0</v>
      </c>
    </row>
    <row r="1300" spans="6:31" ht="24" customHeight="1">
      <c r="H1300" s="573" t="s">
        <v>1679</v>
      </c>
      <c r="M1300" s="587">
        <v>3.2</v>
      </c>
      <c r="N1300" s="585" t="s">
        <v>148</v>
      </c>
      <c r="O1300" s="641" t="s">
        <v>1680</v>
      </c>
      <c r="P1300" s="592">
        <v>225</v>
      </c>
      <c r="Q1300" s="574" t="s">
        <v>148</v>
      </c>
      <c r="R1300" s="587">
        <f>(M1300*P1300)</f>
        <v>720</v>
      </c>
      <c r="S1300" s="587">
        <v>1.1000000000000001</v>
      </c>
      <c r="T1300" s="585" t="s">
        <v>233</v>
      </c>
      <c r="U1300" s="573" t="s">
        <v>954</v>
      </c>
      <c r="V1300" s="685">
        <f>P1334</f>
        <v>769</v>
      </c>
      <c r="W1300" s="574" t="s">
        <v>227</v>
      </c>
      <c r="X1300" s="587">
        <f t="shared" si="161"/>
        <v>845.90000000000009</v>
      </c>
      <c r="AE1300" s="592">
        <f t="shared" si="160"/>
        <v>0</v>
      </c>
    </row>
    <row r="1301" spans="6:31" ht="24" customHeight="1">
      <c r="H1301" s="573" t="s">
        <v>1681</v>
      </c>
      <c r="M1301" s="587">
        <v>0.98</v>
      </c>
      <c r="N1301" s="585" t="s">
        <v>171</v>
      </c>
      <c r="O1301" s="573" t="s">
        <v>1682</v>
      </c>
      <c r="P1301" s="587">
        <f>P1320</f>
        <v>144.69999999999999</v>
      </c>
      <c r="Q1301" s="574" t="s">
        <v>171</v>
      </c>
      <c r="R1301" s="587">
        <f t="shared" ref="R1301:R1306" si="162">(M1301*P1301)</f>
        <v>141.80599999999998</v>
      </c>
      <c r="S1301" s="587">
        <v>1.1000000000000001</v>
      </c>
      <c r="T1301" s="585" t="s">
        <v>233</v>
      </c>
      <c r="U1301" s="573" t="s">
        <v>1622</v>
      </c>
      <c r="V1301" s="685">
        <f>P1260</f>
        <v>718</v>
      </c>
      <c r="W1301" s="574" t="s">
        <v>227</v>
      </c>
      <c r="X1301" s="587">
        <f t="shared" si="161"/>
        <v>789.80000000000007</v>
      </c>
      <c r="AE1301" s="592">
        <f t="shared" si="160"/>
        <v>0</v>
      </c>
    </row>
    <row r="1302" spans="6:31" ht="24" customHeight="1">
      <c r="H1302" s="582" t="s">
        <v>117</v>
      </c>
      <c r="M1302" s="587">
        <v>0.5</v>
      </c>
      <c r="N1302" s="585" t="s">
        <v>1</v>
      </c>
      <c r="O1302" s="573" t="s">
        <v>181</v>
      </c>
      <c r="P1302" s="587">
        <f>AE13</f>
        <v>615</v>
      </c>
      <c r="Q1302" s="585" t="s">
        <v>1</v>
      </c>
      <c r="R1302" s="587">
        <f t="shared" si="162"/>
        <v>307.5</v>
      </c>
      <c r="S1302" s="587">
        <v>2.2000000000000002</v>
      </c>
      <c r="T1302" s="585" t="s">
        <v>233</v>
      </c>
      <c r="U1302" s="573" t="s">
        <v>956</v>
      </c>
      <c r="V1302" s="685">
        <f>P1335</f>
        <v>502</v>
      </c>
      <c r="W1302" s="574" t="s">
        <v>227</v>
      </c>
      <c r="X1302" s="587">
        <f t="shared" si="161"/>
        <v>1104.4000000000001</v>
      </c>
      <c r="AE1302" s="592">
        <f t="shared" si="160"/>
        <v>0</v>
      </c>
    </row>
    <row r="1303" spans="6:31" ht="24" customHeight="1">
      <c r="F1303" s="587">
        <v>0.24</v>
      </c>
      <c r="G1303" s="585" t="s">
        <v>126</v>
      </c>
      <c r="H1303" s="573" t="s">
        <v>1683</v>
      </c>
      <c r="I1303" s="587">
        <f>(C70)</f>
        <v>973.3599999999999</v>
      </c>
      <c r="J1303" s="573" t="s">
        <v>126</v>
      </c>
      <c r="K1303" s="587">
        <f>(F1303*I1303)</f>
        <v>233.60639999999998</v>
      </c>
      <c r="M1303" s="587">
        <v>0.7</v>
      </c>
      <c r="N1303" s="585" t="s">
        <v>1</v>
      </c>
      <c r="O1303" s="573" t="s">
        <v>1684</v>
      </c>
      <c r="P1303" s="587">
        <f>AE14</f>
        <v>595</v>
      </c>
      <c r="Q1303" s="585" t="s">
        <v>1</v>
      </c>
      <c r="R1303" s="587">
        <f t="shared" si="162"/>
        <v>416.5</v>
      </c>
      <c r="S1303" s="587">
        <v>2.2000000000000002</v>
      </c>
      <c r="T1303" s="585" t="s">
        <v>233</v>
      </c>
      <c r="U1303" s="573" t="s">
        <v>1685</v>
      </c>
      <c r="V1303" s="685">
        <f>P1305</f>
        <v>412</v>
      </c>
      <c r="W1303" s="574" t="s">
        <v>227</v>
      </c>
      <c r="X1303" s="587">
        <f t="shared" si="161"/>
        <v>906.40000000000009</v>
      </c>
      <c r="AE1303" s="592">
        <f t="shared" si="160"/>
        <v>0</v>
      </c>
    </row>
    <row r="1304" spans="6:31" ht="24" customHeight="1">
      <c r="F1304" s="617">
        <v>0.11700000000000001</v>
      </c>
      <c r="G1304" s="585" t="s">
        <v>124</v>
      </c>
      <c r="H1304" s="573" t="s">
        <v>125</v>
      </c>
      <c r="I1304" s="587">
        <f>(C67)</f>
        <v>5800</v>
      </c>
      <c r="J1304" s="573" t="s">
        <v>124</v>
      </c>
      <c r="K1304" s="587">
        <f>(F1304*I1304)</f>
        <v>678.6</v>
      </c>
      <c r="M1304" s="587">
        <v>0.5</v>
      </c>
      <c r="N1304" s="585" t="s">
        <v>1</v>
      </c>
      <c r="O1304" s="573" t="s">
        <v>146</v>
      </c>
      <c r="P1304" s="587">
        <f>I1306</f>
        <v>502</v>
      </c>
      <c r="Q1304" s="585" t="s">
        <v>1</v>
      </c>
      <c r="R1304" s="587">
        <f t="shared" si="162"/>
        <v>251</v>
      </c>
      <c r="S1304" s="587">
        <v>10</v>
      </c>
      <c r="T1304" s="585" t="s">
        <v>129</v>
      </c>
      <c r="U1304" s="573" t="s">
        <v>1686</v>
      </c>
      <c r="V1304" s="685">
        <v>153.47</v>
      </c>
      <c r="W1304" s="574" t="s">
        <v>129</v>
      </c>
      <c r="X1304" s="587">
        <f t="shared" si="161"/>
        <v>1534.7</v>
      </c>
      <c r="AE1304" s="592">
        <f t="shared" si="160"/>
        <v>0</v>
      </c>
    </row>
    <row r="1305" spans="6:31" ht="24" customHeight="1">
      <c r="F1305" s="587">
        <v>0.5</v>
      </c>
      <c r="G1305" s="585" t="s">
        <v>1</v>
      </c>
      <c r="H1305" s="573" t="s">
        <v>144</v>
      </c>
      <c r="I1305" s="587">
        <f>(C10)</f>
        <v>769</v>
      </c>
      <c r="J1305" s="573" t="s">
        <v>1</v>
      </c>
      <c r="K1305" s="587">
        <f>(F1305*I1305)</f>
        <v>384.5</v>
      </c>
      <c r="M1305" s="587">
        <v>0.8</v>
      </c>
      <c r="N1305" s="585" t="s">
        <v>1</v>
      </c>
      <c r="O1305" s="573" t="s">
        <v>147</v>
      </c>
      <c r="P1305" s="587">
        <f>I1307</f>
        <v>412</v>
      </c>
      <c r="Q1305" s="585" t="s">
        <v>1</v>
      </c>
      <c r="R1305" s="587">
        <f t="shared" si="162"/>
        <v>329.6</v>
      </c>
      <c r="S1305" s="575"/>
      <c r="T1305" s="576"/>
      <c r="U1305" s="573"/>
      <c r="V1305" s="685">
        <f>P1337</f>
        <v>0</v>
      </c>
      <c r="W1305" s="580"/>
      <c r="X1305" s="582" t="s">
        <v>117</v>
      </c>
      <c r="AE1305" s="592">
        <f t="shared" si="160"/>
        <v>0</v>
      </c>
    </row>
    <row r="1306" spans="6:31" ht="24" customHeight="1">
      <c r="F1306" s="587">
        <v>1.1000000000000001</v>
      </c>
      <c r="G1306" s="585" t="s">
        <v>1</v>
      </c>
      <c r="H1306" s="573" t="s">
        <v>1628</v>
      </c>
      <c r="I1306" s="587">
        <f>(C12)</f>
        <v>502</v>
      </c>
      <c r="J1306" s="573" t="s">
        <v>1</v>
      </c>
      <c r="K1306" s="587">
        <f>(F1306*I1306)</f>
        <v>552.20000000000005</v>
      </c>
      <c r="M1306" s="587">
        <v>10</v>
      </c>
      <c r="N1306" s="585" t="s">
        <v>174</v>
      </c>
      <c r="O1306" s="573" t="s">
        <v>1687</v>
      </c>
      <c r="P1306" s="629">
        <f>C460</f>
        <v>3.2</v>
      </c>
      <c r="Q1306" s="585" t="s">
        <v>174</v>
      </c>
      <c r="R1306" s="587">
        <f t="shared" si="162"/>
        <v>32</v>
      </c>
      <c r="S1306" s="575"/>
      <c r="T1306" s="576"/>
      <c r="U1306" s="574" t="s">
        <v>1028</v>
      </c>
      <c r="V1306" s="685"/>
      <c r="W1306" s="580"/>
      <c r="X1306" s="587">
        <f>SUM(X1298:X1304)</f>
        <v>21127.898000000005</v>
      </c>
      <c r="AE1306" s="592">
        <f t="shared" si="160"/>
        <v>0</v>
      </c>
    </row>
    <row r="1307" spans="6:31" ht="24" customHeight="1">
      <c r="F1307" s="587">
        <v>4.3</v>
      </c>
      <c r="G1307" s="585" t="s">
        <v>1</v>
      </c>
      <c r="H1307" s="573" t="s">
        <v>147</v>
      </c>
      <c r="I1307" s="587">
        <f>(C13)</f>
        <v>412</v>
      </c>
      <c r="J1307" s="573" t="s">
        <v>1</v>
      </c>
      <c r="K1307" s="587">
        <f>(F1307*I1307)</f>
        <v>1771.6</v>
      </c>
      <c r="N1307" s="585" t="s">
        <v>129</v>
      </c>
      <c r="O1307" s="573" t="s">
        <v>182</v>
      </c>
      <c r="P1307" s="573" t="s">
        <v>115</v>
      </c>
      <c r="Q1307" s="574" t="s">
        <v>129</v>
      </c>
      <c r="R1307" s="587">
        <v>0</v>
      </c>
      <c r="S1307" s="575"/>
      <c r="T1307" s="576"/>
      <c r="W1307" s="580"/>
      <c r="X1307" s="582" t="s">
        <v>117</v>
      </c>
      <c r="AE1307" s="592">
        <f t="shared" si="160"/>
        <v>0</v>
      </c>
    </row>
    <row r="1308" spans="6:31" ht="24" customHeight="1">
      <c r="G1308" s="585" t="s">
        <v>129</v>
      </c>
      <c r="H1308" s="573" t="s">
        <v>130</v>
      </c>
      <c r="J1308" s="573" t="s">
        <v>129</v>
      </c>
      <c r="K1308" s="587">
        <v>0</v>
      </c>
      <c r="N1308" s="576"/>
      <c r="Q1308" s="580"/>
      <c r="R1308" s="582" t="s">
        <v>117</v>
      </c>
      <c r="S1308" s="575"/>
      <c r="T1308" s="576"/>
      <c r="U1308" s="574" t="s">
        <v>1033</v>
      </c>
      <c r="W1308" s="580"/>
      <c r="X1308" s="586">
        <f>X1306/10</f>
        <v>2112.7898000000005</v>
      </c>
      <c r="AE1308" s="592">
        <f t="shared" si="160"/>
        <v>0</v>
      </c>
    </row>
    <row r="1309" spans="6:31" ht="24" customHeight="1">
      <c r="K1309" s="582" t="s">
        <v>117</v>
      </c>
      <c r="N1309" s="576"/>
      <c r="O1309" s="573" t="s">
        <v>153</v>
      </c>
      <c r="Q1309" s="580"/>
      <c r="R1309" s="587">
        <f>SUM(R1300:R1307)</f>
        <v>2198.4059999999999</v>
      </c>
      <c r="S1309" s="575"/>
      <c r="T1309" s="576"/>
      <c r="U1309" s="573" t="s">
        <v>482</v>
      </c>
      <c r="W1309" s="580">
        <f>X1313+Y1308</f>
        <v>2115.0098000000007</v>
      </c>
      <c r="X1309" s="587">
        <f>X1308+Y1306</f>
        <v>2112.7898000000005</v>
      </c>
      <c r="AE1309" s="592">
        <f t="shared" si="160"/>
        <v>0</v>
      </c>
    </row>
    <row r="1310" spans="6:31" ht="24" customHeight="1">
      <c r="H1310" s="573" t="s">
        <v>153</v>
      </c>
      <c r="K1310" s="587">
        <f>SUM(K1303:K1308)</f>
        <v>3620.5064000000002</v>
      </c>
      <c r="N1310" s="576"/>
      <c r="Q1310" s="580"/>
      <c r="R1310" s="582" t="s">
        <v>117</v>
      </c>
      <c r="S1310" s="575"/>
      <c r="T1310" s="576"/>
      <c r="U1310" s="573" t="s">
        <v>486</v>
      </c>
      <c r="W1310" s="580">
        <f>W1309+Y1308</f>
        <v>2115.0098000000007</v>
      </c>
      <c r="X1310" s="587">
        <f>X1309+1.11</f>
        <v>2113.8998000000006</v>
      </c>
      <c r="AE1310" s="592">
        <f t="shared" si="160"/>
        <v>0</v>
      </c>
    </row>
    <row r="1311" spans="6:31" ht="24" customHeight="1">
      <c r="K1311" s="582" t="s">
        <v>117</v>
      </c>
      <c r="N1311" s="576"/>
      <c r="O1311" s="577" t="s">
        <v>154</v>
      </c>
      <c r="Q1311" s="580"/>
      <c r="R1311" s="586">
        <f>(R1309/10)</f>
        <v>219.84059999999999</v>
      </c>
      <c r="S1311" s="575"/>
      <c r="T1311" s="576"/>
      <c r="U1311" s="573" t="s">
        <v>489</v>
      </c>
      <c r="W1311" s="580"/>
      <c r="X1311" s="587">
        <f>X1310+1.11</f>
        <v>2115.0098000000007</v>
      </c>
      <c r="AE1311" s="592">
        <f t="shared" si="160"/>
        <v>0</v>
      </c>
    </row>
    <row r="1312" spans="6:31" ht="24" customHeight="1">
      <c r="H1312" s="589" t="s">
        <v>154</v>
      </c>
      <c r="K1312" s="586">
        <f>(K1310/10)</f>
        <v>362.05064000000004</v>
      </c>
      <c r="M1312" s="573" t="s">
        <v>115</v>
      </c>
      <c r="N1312" s="576"/>
      <c r="Q1312" s="580"/>
      <c r="S1312" s="575"/>
      <c r="T1312" s="576"/>
      <c r="U1312" s="573" t="s">
        <v>491</v>
      </c>
      <c r="W1312" s="580"/>
      <c r="X1312" s="587">
        <f>X1311+Y1308</f>
        <v>2115.0098000000007</v>
      </c>
      <c r="AE1312" s="592">
        <f t="shared" si="160"/>
        <v>0</v>
      </c>
    </row>
    <row r="1313" spans="6:31" ht="24" customHeight="1">
      <c r="F1313" s="573" t="s">
        <v>115</v>
      </c>
      <c r="N1313" s="576"/>
      <c r="Q1313" s="580"/>
      <c r="R1313" s="582" t="s">
        <v>155</v>
      </c>
      <c r="S1313" s="575"/>
      <c r="T1313" s="576"/>
      <c r="U1313" s="573" t="s">
        <v>871</v>
      </c>
      <c r="W1313" s="580"/>
      <c r="X1313" s="587">
        <f>X1312+Y1308</f>
        <v>2115.0098000000007</v>
      </c>
      <c r="AE1313" s="592">
        <f t="shared" si="160"/>
        <v>0</v>
      </c>
    </row>
    <row r="1314" spans="6:31" ht="24" customHeight="1">
      <c r="K1314" s="582" t="s">
        <v>155</v>
      </c>
      <c r="N1314" s="576"/>
      <c r="Q1314" s="580"/>
      <c r="S1314" s="575"/>
      <c r="T1314" s="576"/>
      <c r="W1314" s="580"/>
      <c r="AE1314" s="592">
        <f t="shared" si="160"/>
        <v>0</v>
      </c>
    </row>
    <row r="1315" spans="6:31" ht="24" customHeight="1">
      <c r="F1315" s="574" t="s">
        <v>1688</v>
      </c>
      <c r="G1315" s="585" t="s">
        <v>122</v>
      </c>
      <c r="H1315" s="577" t="s">
        <v>1689</v>
      </c>
      <c r="M1315" s="574" t="s">
        <v>1690</v>
      </c>
      <c r="N1315" s="585" t="s">
        <v>122</v>
      </c>
      <c r="O1315" s="573" t="s">
        <v>1691</v>
      </c>
      <c r="Q1315" s="580"/>
      <c r="AE1315" s="592">
        <f t="shared" si="160"/>
        <v>0</v>
      </c>
    </row>
    <row r="1316" spans="6:31" ht="24" customHeight="1">
      <c r="H1316" s="573" t="s">
        <v>1692</v>
      </c>
      <c r="N1316" s="576"/>
      <c r="O1316" s="573" t="s">
        <v>178</v>
      </c>
      <c r="Q1316" s="580"/>
      <c r="S1316" s="679">
        <v>15.1</v>
      </c>
      <c r="T1316" s="585" t="s">
        <v>1011</v>
      </c>
      <c r="U1316" s="573" t="s">
        <v>1693</v>
      </c>
      <c r="W1316" s="580"/>
      <c r="AE1316" s="592">
        <f t="shared" si="160"/>
        <v>0</v>
      </c>
    </row>
    <row r="1317" spans="6:31" ht="24" customHeight="1">
      <c r="H1317" s="573" t="s">
        <v>1694</v>
      </c>
      <c r="N1317" s="576"/>
      <c r="O1317" s="577" t="s">
        <v>172</v>
      </c>
      <c r="Q1317" s="580"/>
      <c r="S1317" s="575"/>
      <c r="T1317" s="576"/>
      <c r="U1317" s="573" t="s">
        <v>950</v>
      </c>
      <c r="W1317" s="580"/>
      <c r="AE1317" s="592">
        <f t="shared" si="160"/>
        <v>0</v>
      </c>
    </row>
    <row r="1318" spans="6:31" ht="24" customHeight="1">
      <c r="H1318" s="573" t="s">
        <v>1695</v>
      </c>
      <c r="N1318" s="576"/>
      <c r="O1318" s="582" t="s">
        <v>117</v>
      </c>
      <c r="Q1318" s="580"/>
      <c r="S1318" s="587">
        <v>10</v>
      </c>
      <c r="T1318" s="585" t="s">
        <v>174</v>
      </c>
      <c r="U1318" s="573" t="s">
        <v>1696</v>
      </c>
      <c r="V1318" s="593">
        <f>AB1188</f>
        <v>1706</v>
      </c>
      <c r="W1318" s="574" t="s">
        <v>174</v>
      </c>
      <c r="X1318" s="587">
        <f>(S1318*V1318)</f>
        <v>17060</v>
      </c>
      <c r="AE1318" s="592">
        <f t="shared" si="160"/>
        <v>0</v>
      </c>
    </row>
    <row r="1319" spans="6:31" ht="24" customHeight="1">
      <c r="H1319" s="573" t="s">
        <v>1697</v>
      </c>
      <c r="M1319" s="587">
        <v>1.4</v>
      </c>
      <c r="N1319" s="585" t="s">
        <v>171</v>
      </c>
      <c r="O1319" s="755" t="s">
        <v>1698</v>
      </c>
      <c r="P1319" s="614">
        <v>289.8</v>
      </c>
      <c r="Q1319" s="574" t="s">
        <v>171</v>
      </c>
      <c r="R1319" s="587">
        <f>(M1319*P1319)</f>
        <v>405.71999999999997</v>
      </c>
      <c r="S1319" s="587">
        <v>0.21</v>
      </c>
      <c r="T1319" s="585" t="s">
        <v>126</v>
      </c>
      <c r="U1319" s="573" t="s">
        <v>1018</v>
      </c>
      <c r="V1319" s="685">
        <f>V1299</f>
        <v>4193.8</v>
      </c>
      <c r="W1319" s="574" t="s">
        <v>126</v>
      </c>
      <c r="X1319" s="587">
        <f t="shared" ref="X1319:X1324" si="163">(S1319*V1319)</f>
        <v>880.69799999999998</v>
      </c>
      <c r="AE1319" s="592">
        <f t="shared" si="160"/>
        <v>0</v>
      </c>
    </row>
    <row r="1320" spans="6:31" ht="24" customHeight="1">
      <c r="H1320" s="582" t="s">
        <v>117</v>
      </c>
      <c r="M1320" s="587">
        <v>0.98</v>
      </c>
      <c r="N1320" s="585" t="s">
        <v>171</v>
      </c>
      <c r="O1320" s="641" t="s">
        <v>1699</v>
      </c>
      <c r="P1320" s="629">
        <f>C196</f>
        <v>144.69999999999999</v>
      </c>
      <c r="Q1320" s="574" t="s">
        <v>171</v>
      </c>
      <c r="R1320" s="587">
        <f>(M1320*P1320)</f>
        <v>141.80599999999998</v>
      </c>
      <c r="S1320" s="587">
        <v>1.1000000000000001</v>
      </c>
      <c r="T1320" s="585" t="s">
        <v>233</v>
      </c>
      <c r="U1320" s="573" t="s">
        <v>954</v>
      </c>
      <c r="V1320" s="593">
        <f t="shared" ref="V1320:V1325" si="164">V1300</f>
        <v>769</v>
      </c>
      <c r="W1320" s="574" t="s">
        <v>227</v>
      </c>
      <c r="X1320" s="587">
        <f t="shared" si="163"/>
        <v>845.90000000000009</v>
      </c>
      <c r="AE1320" s="592">
        <f t="shared" si="160"/>
        <v>0</v>
      </c>
    </row>
    <row r="1321" spans="6:31" ht="24" customHeight="1">
      <c r="F1321" s="587">
        <v>12.8</v>
      </c>
      <c r="G1321" s="585" t="s">
        <v>126</v>
      </c>
      <c r="H1321" s="573" t="s">
        <v>1700</v>
      </c>
      <c r="I1321" s="587">
        <f>(C82)</f>
        <v>965.92</v>
      </c>
      <c r="J1321" s="573" t="s">
        <v>126</v>
      </c>
      <c r="K1321" s="587">
        <f>(F1321*I1321)</f>
        <v>12363.776</v>
      </c>
      <c r="M1321" s="587">
        <v>2.2000000000000002</v>
      </c>
      <c r="N1321" s="585" t="s">
        <v>1</v>
      </c>
      <c r="O1321" s="573" t="s">
        <v>181</v>
      </c>
      <c r="P1321" s="587">
        <f>P1302</f>
        <v>615</v>
      </c>
      <c r="Q1321" s="574" t="s">
        <v>1</v>
      </c>
      <c r="R1321" s="587">
        <f>(M1321*P1321)</f>
        <v>1353</v>
      </c>
      <c r="S1321" s="587">
        <v>1.1000000000000001</v>
      </c>
      <c r="T1321" s="585" t="s">
        <v>233</v>
      </c>
      <c r="U1321" s="573" t="s">
        <v>1622</v>
      </c>
      <c r="V1321" s="593">
        <f t="shared" si="164"/>
        <v>718</v>
      </c>
      <c r="W1321" s="574" t="s">
        <v>227</v>
      </c>
      <c r="X1321" s="587">
        <f t="shared" si="163"/>
        <v>789.80000000000007</v>
      </c>
      <c r="AE1321" s="592">
        <f t="shared" si="160"/>
        <v>0</v>
      </c>
    </row>
    <row r="1322" spans="6:31" ht="24" customHeight="1">
      <c r="F1322" s="587">
        <v>5</v>
      </c>
      <c r="G1322" s="585" t="s">
        <v>126</v>
      </c>
      <c r="H1322" s="573" t="s">
        <v>1701</v>
      </c>
      <c r="I1322" s="587">
        <f>(C85)</f>
        <v>1004.98</v>
      </c>
      <c r="J1322" s="573" t="s">
        <v>126</v>
      </c>
      <c r="K1322" s="587">
        <f>(F1322*I1322)</f>
        <v>5024.8999999999996</v>
      </c>
      <c r="N1322" s="585" t="s">
        <v>129</v>
      </c>
      <c r="O1322" s="573" t="s">
        <v>182</v>
      </c>
      <c r="P1322" s="573" t="s">
        <v>115</v>
      </c>
      <c r="Q1322" s="574" t="s">
        <v>129</v>
      </c>
      <c r="R1322" s="587">
        <v>2.5499999999999998</v>
      </c>
      <c r="S1322" s="587">
        <v>2.2000000000000002</v>
      </c>
      <c r="T1322" s="585" t="s">
        <v>233</v>
      </c>
      <c r="U1322" s="573" t="s">
        <v>956</v>
      </c>
      <c r="V1322" s="593">
        <f t="shared" si="164"/>
        <v>502</v>
      </c>
      <c r="W1322" s="574" t="s">
        <v>227</v>
      </c>
      <c r="X1322" s="587">
        <f t="shared" si="163"/>
        <v>1104.4000000000001</v>
      </c>
      <c r="AE1322" s="592">
        <f t="shared" si="160"/>
        <v>0</v>
      </c>
    </row>
    <row r="1323" spans="6:31" ht="24" customHeight="1">
      <c r="F1323" s="587">
        <v>1.8</v>
      </c>
      <c r="G1323" s="585" t="s">
        <v>1</v>
      </c>
      <c r="H1323" s="573" t="s">
        <v>144</v>
      </c>
      <c r="I1323" s="587">
        <f>(C10)</f>
        <v>769</v>
      </c>
      <c r="J1323" s="573" t="s">
        <v>1</v>
      </c>
      <c r="K1323" s="587">
        <f>(F1323*I1323)</f>
        <v>1384.2</v>
      </c>
      <c r="N1323" s="576"/>
      <c r="Q1323" s="580"/>
      <c r="R1323" s="582"/>
      <c r="S1323" s="587" t="s">
        <v>3099</v>
      </c>
      <c r="T1323" s="585" t="s">
        <v>233</v>
      </c>
      <c r="U1323" s="573" t="s">
        <v>1685</v>
      </c>
      <c r="V1323" s="593">
        <f t="shared" si="164"/>
        <v>412</v>
      </c>
      <c r="W1323" s="574" t="s">
        <v>227</v>
      </c>
      <c r="X1323" s="587">
        <f t="shared" si="163"/>
        <v>0</v>
      </c>
      <c r="AE1323" s="592">
        <f t="shared" si="160"/>
        <v>0</v>
      </c>
    </row>
    <row r="1324" spans="6:31" ht="24" customHeight="1">
      <c r="F1324" s="587">
        <v>17.7</v>
      </c>
      <c r="G1324" s="585" t="s">
        <v>1</v>
      </c>
      <c r="H1324" s="573" t="s">
        <v>1628</v>
      </c>
      <c r="I1324" s="587">
        <f>(C12)</f>
        <v>502</v>
      </c>
      <c r="J1324" s="573" t="s">
        <v>1</v>
      </c>
      <c r="K1324" s="587">
        <f>(F1324*I1324)</f>
        <v>8885.4</v>
      </c>
      <c r="N1324" s="576"/>
      <c r="O1324" s="573" t="s">
        <v>153</v>
      </c>
      <c r="Q1324" s="580"/>
      <c r="R1324" s="587">
        <f>SUM(R1319:R1322)</f>
        <v>1903.0759999999998</v>
      </c>
      <c r="S1324" s="587">
        <v>10</v>
      </c>
      <c r="T1324" s="585" t="s">
        <v>129</v>
      </c>
      <c r="U1324" s="573" t="s">
        <v>1686</v>
      </c>
      <c r="V1324" s="593">
        <f t="shared" si="164"/>
        <v>153.47</v>
      </c>
      <c r="W1324" s="574" t="s">
        <v>129</v>
      </c>
      <c r="X1324" s="587">
        <f t="shared" si="163"/>
        <v>1534.7</v>
      </c>
      <c r="AE1324" s="592">
        <f t="shared" si="160"/>
        <v>0</v>
      </c>
    </row>
    <row r="1325" spans="6:31" ht="24" customHeight="1">
      <c r="F1325" s="587">
        <v>14.1</v>
      </c>
      <c r="G1325" s="585" t="s">
        <v>1</v>
      </c>
      <c r="H1325" s="573" t="s">
        <v>147</v>
      </c>
      <c r="I1325" s="587">
        <f>(C13)</f>
        <v>412</v>
      </c>
      <c r="J1325" s="573" t="s">
        <v>1</v>
      </c>
      <c r="K1325" s="587">
        <f>(F1325*I1325)</f>
        <v>5809.2</v>
      </c>
      <c r="N1325" s="576"/>
      <c r="Q1325" s="580"/>
      <c r="R1325" s="582" t="s">
        <v>117</v>
      </c>
      <c r="S1325" s="575"/>
      <c r="T1325" s="576"/>
      <c r="U1325" s="573"/>
      <c r="V1325" s="593">
        <f t="shared" si="164"/>
        <v>0</v>
      </c>
      <c r="W1325" s="580"/>
      <c r="X1325" s="582" t="s">
        <v>117</v>
      </c>
      <c r="AE1325" s="592">
        <f t="shared" si="160"/>
        <v>0</v>
      </c>
    </row>
    <row r="1326" spans="6:31" ht="24" customHeight="1">
      <c r="G1326" s="585" t="s">
        <v>129</v>
      </c>
      <c r="H1326" s="573" t="s">
        <v>130</v>
      </c>
      <c r="J1326" s="573" t="s">
        <v>129</v>
      </c>
      <c r="K1326" s="587">
        <v>0</v>
      </c>
      <c r="N1326" s="576"/>
      <c r="O1326" s="573" t="s">
        <v>154</v>
      </c>
      <c r="Q1326" s="580"/>
      <c r="R1326" s="586">
        <f>(R1324/10)</f>
        <v>190.30759999999998</v>
      </c>
      <c r="S1326" s="575">
        <f>R1326-157</f>
        <v>33.307599999999979</v>
      </c>
      <c r="T1326" s="576"/>
      <c r="U1326" s="574" t="s">
        <v>1028</v>
      </c>
      <c r="W1326" s="580"/>
      <c r="X1326" s="587">
        <f>SUM(X1318:X1324)</f>
        <v>22215.498000000003</v>
      </c>
      <c r="AE1326" s="592">
        <f t="shared" si="160"/>
        <v>0</v>
      </c>
    </row>
    <row r="1327" spans="6:31" ht="24" customHeight="1">
      <c r="K1327" s="582" t="s">
        <v>117</v>
      </c>
      <c r="M1327" s="573" t="s">
        <v>115</v>
      </c>
      <c r="N1327" s="576"/>
      <c r="Q1327" s="580"/>
      <c r="S1327" s="575"/>
      <c r="T1327" s="576"/>
      <c r="W1327" s="580"/>
      <c r="X1327" s="582" t="s">
        <v>117</v>
      </c>
      <c r="AE1327" s="592">
        <f t="shared" si="160"/>
        <v>0</v>
      </c>
    </row>
    <row r="1328" spans="6:31" ht="24" customHeight="1">
      <c r="H1328" s="573" t="s">
        <v>455</v>
      </c>
      <c r="K1328" s="587">
        <f>SUM(K1321:K1327)</f>
        <v>33467.475999999995</v>
      </c>
      <c r="N1328" s="576"/>
      <c r="Q1328" s="580"/>
      <c r="R1328" s="582" t="s">
        <v>155</v>
      </c>
      <c r="S1328" s="575"/>
      <c r="T1328" s="576"/>
      <c r="U1328" s="574" t="s">
        <v>1033</v>
      </c>
      <c r="W1328" s="580"/>
      <c r="X1328" s="586">
        <f>X1326/10</f>
        <v>2221.5498000000002</v>
      </c>
      <c r="AE1328" s="592">
        <f t="shared" si="160"/>
        <v>0</v>
      </c>
    </row>
    <row r="1329" spans="6:31" ht="24" customHeight="1">
      <c r="K1329" s="582" t="s">
        <v>117</v>
      </c>
      <c r="N1329" s="576"/>
      <c r="Q1329" s="580"/>
      <c r="AE1329" s="592">
        <f t="shared" si="160"/>
        <v>0</v>
      </c>
    </row>
    <row r="1330" spans="6:31" ht="24" customHeight="1">
      <c r="H1330" s="589" t="s">
        <v>383</v>
      </c>
      <c r="K1330" s="586">
        <f>(K1328/10)</f>
        <v>3346.7475999999997</v>
      </c>
      <c r="M1330" s="679">
        <v>15.1</v>
      </c>
      <c r="N1330" s="585" t="s">
        <v>1011</v>
      </c>
      <c r="O1330" s="573" t="s">
        <v>1693</v>
      </c>
      <c r="Q1330" s="580"/>
      <c r="T1330" s="577" t="s">
        <v>139</v>
      </c>
      <c r="AE1330" s="592">
        <f t="shared" si="160"/>
        <v>0</v>
      </c>
    </row>
    <row r="1331" spans="6:31" ht="24" customHeight="1">
      <c r="K1331" s="582" t="s">
        <v>155</v>
      </c>
      <c r="N1331" s="576"/>
      <c r="O1331" s="573" t="s">
        <v>950</v>
      </c>
      <c r="Q1331" s="580"/>
      <c r="S1331" s="587">
        <v>10</v>
      </c>
      <c r="T1331" s="585" t="s">
        <v>140</v>
      </c>
      <c r="U1331" s="573" t="s">
        <v>141</v>
      </c>
      <c r="V1331" s="593">
        <v>464</v>
      </c>
      <c r="W1331" s="573" t="s">
        <v>140</v>
      </c>
      <c r="X1331" s="587">
        <f>(S1331*V1331)</f>
        <v>4640</v>
      </c>
      <c r="Z1331" s="575">
        <v>9</v>
      </c>
      <c r="AA1331" s="575" t="s">
        <v>1702</v>
      </c>
      <c r="AB1331" s="575">
        <f>AC44</f>
        <v>1046.19</v>
      </c>
      <c r="AC1331" s="575">
        <f>AB1331*Z1331</f>
        <v>9415.7100000000009</v>
      </c>
      <c r="AE1331" s="592">
        <f t="shared" si="160"/>
        <v>0</v>
      </c>
    </row>
    <row r="1332" spans="6:31" ht="38.25" customHeight="1">
      <c r="M1332" s="587">
        <v>10</v>
      </c>
      <c r="N1332" s="585" t="s">
        <v>174</v>
      </c>
      <c r="O1332" s="756" t="s">
        <v>1703</v>
      </c>
      <c r="P1332" s="593">
        <v>1595</v>
      </c>
      <c r="Q1332" s="574" t="s">
        <v>174</v>
      </c>
      <c r="R1332" s="587">
        <f>(M1332*P1332)</f>
        <v>15950</v>
      </c>
      <c r="S1332" s="587">
        <v>0.21</v>
      </c>
      <c r="T1332" s="585" t="s">
        <v>126</v>
      </c>
      <c r="U1332" s="573" t="s">
        <v>142</v>
      </c>
      <c r="V1332" s="587">
        <f>P1333</f>
        <v>4193.8</v>
      </c>
      <c r="W1332" s="573" t="s">
        <v>126</v>
      </c>
      <c r="X1332" s="587">
        <f>(S1332*V1332)</f>
        <v>880.69799999999998</v>
      </c>
      <c r="Z1332" s="575">
        <v>4.5</v>
      </c>
      <c r="AA1332" s="573" t="s">
        <v>1664</v>
      </c>
      <c r="AB1332" s="575">
        <f>K23</f>
        <v>5585.8</v>
      </c>
      <c r="AC1332" s="575">
        <f>AB1332*Z1332</f>
        <v>25136.100000000002</v>
      </c>
      <c r="AE1332" s="592">
        <f t="shared" si="160"/>
        <v>0</v>
      </c>
    </row>
    <row r="1333" spans="6:31" ht="24" customHeight="1">
      <c r="G1333" s="585" t="s">
        <v>558</v>
      </c>
      <c r="H1333" s="573" t="s">
        <v>1704</v>
      </c>
      <c r="M1333" s="587">
        <v>0.12</v>
      </c>
      <c r="N1333" s="585" t="s">
        <v>126</v>
      </c>
      <c r="O1333" s="573" t="s">
        <v>1018</v>
      </c>
      <c r="P1333" s="587">
        <f>K32</f>
        <v>4193.8</v>
      </c>
      <c r="Q1333" s="574" t="s">
        <v>126</v>
      </c>
      <c r="R1333" s="587">
        <f>(M1333*P1333)</f>
        <v>503.25600000000003</v>
      </c>
      <c r="S1333" s="575">
        <v>10</v>
      </c>
      <c r="T1333" s="576"/>
      <c r="U1333" s="573" t="s">
        <v>143</v>
      </c>
      <c r="V1333" s="685">
        <f>K1344</f>
        <v>245.15520000000001</v>
      </c>
      <c r="W1333" s="578"/>
      <c r="X1333" s="587">
        <f>(S1333*V1333)</f>
        <v>2451.5520000000001</v>
      </c>
      <c r="Z1333" s="575">
        <v>1.8</v>
      </c>
      <c r="AA1333" s="573" t="s">
        <v>145</v>
      </c>
      <c r="AB1333" s="575">
        <f>V1335</f>
        <v>718</v>
      </c>
      <c r="AC1333" s="575">
        <f>AB1333*Z1333</f>
        <v>1292.4000000000001</v>
      </c>
      <c r="AE1333" s="592">
        <f t="shared" si="160"/>
        <v>0</v>
      </c>
    </row>
    <row r="1334" spans="6:31" ht="31.5" customHeight="1">
      <c r="H1334" s="573" t="s">
        <v>1705</v>
      </c>
      <c r="M1334" s="587">
        <v>1</v>
      </c>
      <c r="N1334" s="585" t="s">
        <v>233</v>
      </c>
      <c r="O1334" s="573" t="s">
        <v>954</v>
      </c>
      <c r="P1334" s="587">
        <f>I1305</f>
        <v>769</v>
      </c>
      <c r="Q1334" s="574" t="s">
        <v>227</v>
      </c>
      <c r="R1334" s="587">
        <f>(M1334*P1334)</f>
        <v>769</v>
      </c>
      <c r="S1334" s="587">
        <v>1.1000000000000001</v>
      </c>
      <c r="T1334" s="757" t="s">
        <v>1</v>
      </c>
      <c r="U1334" s="573" t="s">
        <v>144</v>
      </c>
      <c r="V1334" s="587">
        <f>AE9</f>
        <v>769</v>
      </c>
      <c r="W1334" s="574" t="s">
        <v>1</v>
      </c>
      <c r="X1334" s="587">
        <f t="shared" ref="X1334:X1340" si="165">S1334*V1334</f>
        <v>845.90000000000009</v>
      </c>
      <c r="Z1334" s="575">
        <v>17.7</v>
      </c>
      <c r="AA1334" s="573" t="s">
        <v>146</v>
      </c>
      <c r="AB1334" s="575">
        <f>V1336</f>
        <v>502</v>
      </c>
      <c r="AC1334" s="575">
        <f>AB1334*Z1334</f>
        <v>8885.4</v>
      </c>
      <c r="AE1334" s="592">
        <f t="shared" si="160"/>
        <v>0</v>
      </c>
    </row>
    <row r="1335" spans="6:31" ht="38.25" customHeight="1">
      <c r="H1335" s="582" t="s">
        <v>117</v>
      </c>
      <c r="L1335" s="575">
        <f>SUM(K1355:K1360)</f>
        <v>6427.3779999999997</v>
      </c>
      <c r="M1335" s="587">
        <v>1</v>
      </c>
      <c r="N1335" s="585" t="s">
        <v>233</v>
      </c>
      <c r="O1335" s="573" t="s">
        <v>956</v>
      </c>
      <c r="P1335" s="587">
        <f>I1306</f>
        <v>502</v>
      </c>
      <c r="Q1335" s="574" t="s">
        <v>227</v>
      </c>
      <c r="R1335" s="587">
        <f>(M1335*P1335)</f>
        <v>502</v>
      </c>
      <c r="S1335" s="587">
        <v>2.1</v>
      </c>
      <c r="T1335" s="757" t="s">
        <v>1</v>
      </c>
      <c r="U1335" s="573" t="s">
        <v>145</v>
      </c>
      <c r="V1335" s="587">
        <f>AE10</f>
        <v>718</v>
      </c>
      <c r="W1335" s="574" t="s">
        <v>1</v>
      </c>
      <c r="X1335" s="587">
        <f t="shared" si="165"/>
        <v>1507.8</v>
      </c>
      <c r="Z1335" s="575">
        <v>14.1</v>
      </c>
      <c r="AA1335" s="573" t="s">
        <v>147</v>
      </c>
      <c r="AB1335" s="575">
        <f>V1337</f>
        <v>412</v>
      </c>
      <c r="AC1335" s="575">
        <f>AB1335*Z1335</f>
        <v>5809.2</v>
      </c>
      <c r="AE1335" s="592">
        <f t="shared" si="160"/>
        <v>0</v>
      </c>
    </row>
    <row r="1336" spans="6:31" ht="24" customHeight="1">
      <c r="F1336" s="587">
        <v>0.04</v>
      </c>
      <c r="G1336" s="585" t="s">
        <v>126</v>
      </c>
      <c r="H1336" s="573" t="s">
        <v>1706</v>
      </c>
      <c r="I1336" s="587">
        <f>(K32)</f>
        <v>4193.8</v>
      </c>
      <c r="J1336" s="573" t="s">
        <v>126</v>
      </c>
      <c r="K1336" s="587">
        <f>(F1336*I1336)</f>
        <v>167.75200000000001</v>
      </c>
      <c r="N1336" s="585" t="s">
        <v>129</v>
      </c>
      <c r="O1336" s="573" t="s">
        <v>958</v>
      </c>
      <c r="Q1336" s="574" t="s">
        <v>129</v>
      </c>
      <c r="R1336" s="587">
        <v>0.33</v>
      </c>
      <c r="S1336" s="587">
        <v>2.2000000000000002</v>
      </c>
      <c r="T1336" s="757" t="s">
        <v>1</v>
      </c>
      <c r="U1336" s="573" t="s">
        <v>146</v>
      </c>
      <c r="V1336" s="587">
        <f>AE11</f>
        <v>502</v>
      </c>
      <c r="W1336" s="574" t="s">
        <v>1</v>
      </c>
      <c r="X1336" s="587">
        <f t="shared" si="165"/>
        <v>1104.4000000000001</v>
      </c>
      <c r="AC1336" s="575">
        <f>SUM(AC1331:AC1335)</f>
        <v>50538.810000000005</v>
      </c>
      <c r="AE1336" s="592">
        <f t="shared" si="160"/>
        <v>0</v>
      </c>
    </row>
    <row r="1337" spans="6:31" ht="24" customHeight="1">
      <c r="F1337" s="587">
        <v>2.2000000000000002</v>
      </c>
      <c r="G1337" s="585" t="s">
        <v>1</v>
      </c>
      <c r="H1337" s="573" t="s">
        <v>145</v>
      </c>
      <c r="I1337" s="587">
        <f>(C11)</f>
        <v>718</v>
      </c>
      <c r="J1337" s="573" t="s">
        <v>1</v>
      </c>
      <c r="K1337" s="587">
        <f>(F1337*I1337)</f>
        <v>1579.6000000000001</v>
      </c>
      <c r="L1337" s="575">
        <f>SUM(K1355:K1360)</f>
        <v>6427.3779999999997</v>
      </c>
      <c r="N1337" s="576"/>
      <c r="O1337" s="573" t="s">
        <v>960</v>
      </c>
      <c r="Q1337" s="580"/>
      <c r="R1337" s="582" t="s">
        <v>117</v>
      </c>
      <c r="S1337" s="587">
        <v>1.1000000000000001</v>
      </c>
      <c r="T1337" s="757" t="s">
        <v>1</v>
      </c>
      <c r="U1337" s="573" t="s">
        <v>147</v>
      </c>
      <c r="V1337" s="587">
        <f>AE12</f>
        <v>412</v>
      </c>
      <c r="W1337" s="574" t="s">
        <v>1</v>
      </c>
      <c r="X1337" s="587">
        <f t="shared" si="165"/>
        <v>453.20000000000005</v>
      </c>
      <c r="AC1337" s="575">
        <f>AC1336/10</f>
        <v>5053.8810000000003</v>
      </c>
      <c r="AE1337" s="592">
        <f t="shared" si="160"/>
        <v>0</v>
      </c>
    </row>
    <row r="1338" spans="6:31" ht="24" customHeight="1">
      <c r="F1338" s="587">
        <v>0.5</v>
      </c>
      <c r="G1338" s="585" t="s">
        <v>1</v>
      </c>
      <c r="H1338" s="573" t="s">
        <v>146</v>
      </c>
      <c r="I1338" s="587">
        <f>(C12)</f>
        <v>502</v>
      </c>
      <c r="J1338" s="573" t="s">
        <v>1</v>
      </c>
      <c r="K1338" s="587">
        <f>(F1338*I1338)</f>
        <v>251</v>
      </c>
      <c r="N1338" s="576"/>
      <c r="O1338" s="574" t="s">
        <v>1028</v>
      </c>
      <c r="Q1338" s="580"/>
      <c r="R1338" s="587">
        <f>SUM(R1332:R1336)</f>
        <v>17724.586000000003</v>
      </c>
      <c r="S1338" s="617">
        <v>6.5</v>
      </c>
      <c r="T1338" s="757" t="s">
        <v>148</v>
      </c>
      <c r="U1338" s="573" t="s">
        <v>149</v>
      </c>
      <c r="V1338" s="587">
        <v>17.18</v>
      </c>
      <c r="W1338" s="574" t="s">
        <v>124</v>
      </c>
      <c r="X1338" s="587">
        <f t="shared" si="165"/>
        <v>111.67</v>
      </c>
      <c r="AE1338" s="592">
        <f t="shared" si="160"/>
        <v>0</v>
      </c>
    </row>
    <row r="1339" spans="6:31" ht="24" customHeight="1">
      <c r="F1339" s="587">
        <v>1.1000000000000001</v>
      </c>
      <c r="G1339" s="585" t="s">
        <v>1</v>
      </c>
      <c r="H1339" s="573" t="s">
        <v>147</v>
      </c>
      <c r="I1339" s="587">
        <f>(C13)</f>
        <v>412</v>
      </c>
      <c r="J1339" s="573" t="s">
        <v>1</v>
      </c>
      <c r="K1339" s="587">
        <f>(F1339*I1339)</f>
        <v>453.20000000000005</v>
      </c>
      <c r="N1339" s="576"/>
      <c r="Q1339" s="580"/>
      <c r="R1339" s="582" t="s">
        <v>117</v>
      </c>
      <c r="S1339" s="617">
        <v>3</v>
      </c>
      <c r="T1339" s="757" t="s">
        <v>148</v>
      </c>
      <c r="U1339" s="573" t="s">
        <v>150</v>
      </c>
      <c r="V1339" s="593">
        <f>C610</f>
        <v>26.8</v>
      </c>
      <c r="W1339" s="574" t="s">
        <v>148</v>
      </c>
      <c r="X1339" s="587">
        <f t="shared" si="165"/>
        <v>80.400000000000006</v>
      </c>
      <c r="AE1339" s="592">
        <f t="shared" si="160"/>
        <v>0</v>
      </c>
    </row>
    <row r="1340" spans="6:31" ht="24" customHeight="1">
      <c r="G1340" s="585" t="s">
        <v>129</v>
      </c>
      <c r="H1340" s="573" t="s">
        <v>130</v>
      </c>
      <c r="J1340" s="573" t="s">
        <v>129</v>
      </c>
      <c r="K1340" s="587">
        <v>0</v>
      </c>
      <c r="N1340" s="576"/>
      <c r="O1340" s="574" t="s">
        <v>1033</v>
      </c>
      <c r="Q1340" s="580"/>
      <c r="R1340" s="586">
        <f>R1338/10</f>
        <v>1772.4586000000004</v>
      </c>
      <c r="S1340" s="587">
        <v>2.15</v>
      </c>
      <c r="T1340" s="757" t="s">
        <v>1</v>
      </c>
      <c r="U1340" s="573" t="s">
        <v>151</v>
      </c>
      <c r="V1340" s="587">
        <v>45.8</v>
      </c>
      <c r="W1340" s="574" t="s">
        <v>1</v>
      </c>
      <c r="X1340" s="587">
        <f t="shared" si="165"/>
        <v>98.469999999999985</v>
      </c>
      <c r="AE1340" s="592">
        <f t="shared" si="160"/>
        <v>0</v>
      </c>
    </row>
    <row r="1341" spans="6:31" ht="24" customHeight="1">
      <c r="K1341" s="582" t="s">
        <v>117</v>
      </c>
      <c r="N1341" s="576"/>
      <c r="O1341" s="573" t="s">
        <v>482</v>
      </c>
      <c r="Q1341" s="580">
        <f>R1345+S1302</f>
        <v>1781.4886000000004</v>
      </c>
      <c r="R1341" s="587">
        <f>R1340+S1299</f>
        <v>1772.6686000000004</v>
      </c>
      <c r="S1341" s="758">
        <v>0.4</v>
      </c>
      <c r="T1341" s="759" t="s">
        <v>1</v>
      </c>
      <c r="U1341" s="760" t="s">
        <v>152</v>
      </c>
      <c r="V1341" s="758">
        <f>AC1337</f>
        <v>5053.8810000000003</v>
      </c>
      <c r="W1341" s="761" t="s">
        <v>1</v>
      </c>
      <c r="X1341" s="587">
        <v>0</v>
      </c>
      <c r="AE1341" s="592">
        <f t="shared" si="160"/>
        <v>0</v>
      </c>
    </row>
    <row r="1342" spans="6:31" ht="24" customHeight="1">
      <c r="H1342" s="573" t="s">
        <v>153</v>
      </c>
      <c r="K1342" s="587">
        <f>SUM(K1336:K1340)</f>
        <v>2451.5520000000001</v>
      </c>
      <c r="N1342" s="576"/>
      <c r="O1342" s="573" t="s">
        <v>486</v>
      </c>
      <c r="Q1342" s="580">
        <f>Q1341+S1302</f>
        <v>1783.6886000000004</v>
      </c>
      <c r="R1342" s="587">
        <f>R1341+1.11</f>
        <v>1773.7786000000003</v>
      </c>
      <c r="S1342" s="587"/>
      <c r="T1342" s="757"/>
      <c r="U1342" s="573"/>
      <c r="V1342" s="587"/>
      <c r="W1342" s="574" t="s">
        <v>1</v>
      </c>
      <c r="X1342" s="587">
        <f>(S1342*V1342)</f>
        <v>0</v>
      </c>
      <c r="AE1342" s="592">
        <f t="shared" ref="AE1342:AE1405" si="166">AG1342</f>
        <v>0</v>
      </c>
    </row>
    <row r="1343" spans="6:31" ht="24" customHeight="1">
      <c r="K1343" s="582" t="s">
        <v>117</v>
      </c>
      <c r="N1343" s="576"/>
      <c r="O1343" s="573" t="s">
        <v>489</v>
      </c>
      <c r="Q1343" s="580"/>
      <c r="R1343" s="587">
        <f>R1342+1.11</f>
        <v>1774.8886000000002</v>
      </c>
      <c r="S1343" s="575"/>
      <c r="T1343" s="757" t="s">
        <v>129</v>
      </c>
      <c r="U1343" s="573" t="s">
        <v>130</v>
      </c>
      <c r="V1343" s="587"/>
      <c r="W1343" s="574" t="s">
        <v>129</v>
      </c>
      <c r="X1343" s="587">
        <v>0.8</v>
      </c>
      <c r="AE1343" s="592">
        <f t="shared" si="166"/>
        <v>0</v>
      </c>
    </row>
    <row r="1344" spans="6:31" ht="24" customHeight="1">
      <c r="H1344" s="589" t="s">
        <v>154</v>
      </c>
      <c r="K1344" s="586">
        <f>(K1342/10)</f>
        <v>245.15520000000001</v>
      </c>
      <c r="N1344" s="576"/>
      <c r="O1344" s="573" t="s">
        <v>491</v>
      </c>
      <c r="Q1344" s="580"/>
      <c r="R1344" s="587">
        <f>R1343+S1302</f>
        <v>1777.0886000000003</v>
      </c>
      <c r="S1344" s="575"/>
      <c r="T1344" s="762"/>
      <c r="W1344" s="580"/>
      <c r="X1344" s="582" t="s">
        <v>117</v>
      </c>
      <c r="AE1344" s="592">
        <f t="shared" si="166"/>
        <v>0</v>
      </c>
    </row>
    <row r="1345" spans="6:31" ht="24" customHeight="1">
      <c r="K1345" s="582" t="s">
        <v>155</v>
      </c>
      <c r="N1345" s="576"/>
      <c r="O1345" s="573" t="s">
        <v>871</v>
      </c>
      <c r="Q1345" s="580"/>
      <c r="R1345" s="587">
        <f>R1344+S1302</f>
        <v>1779.2886000000003</v>
      </c>
      <c r="S1345" s="575"/>
      <c r="T1345" s="762"/>
      <c r="U1345" s="573" t="s">
        <v>153</v>
      </c>
      <c r="W1345" s="580"/>
      <c r="X1345" s="587">
        <f>SUM(X1331:X1344)</f>
        <v>12174.889999999998</v>
      </c>
      <c r="AE1345" s="592">
        <f t="shared" si="166"/>
        <v>0</v>
      </c>
    </row>
    <row r="1346" spans="6:31" ht="24" customHeight="1">
      <c r="N1346" s="576"/>
      <c r="Q1346" s="580"/>
      <c r="S1346" s="575"/>
      <c r="T1346" s="762"/>
      <c r="W1346" s="580"/>
      <c r="X1346" s="582" t="s">
        <v>117</v>
      </c>
      <c r="AE1346" s="592">
        <f t="shared" si="166"/>
        <v>0</v>
      </c>
    </row>
    <row r="1347" spans="6:31" ht="24" customHeight="1">
      <c r="F1347" s="620">
        <v>32.1</v>
      </c>
      <c r="G1347" s="585" t="s">
        <v>122</v>
      </c>
      <c r="H1347" s="573" t="s">
        <v>1707</v>
      </c>
      <c r="N1347" s="576"/>
      <c r="Q1347" s="578"/>
      <c r="S1347" s="575"/>
      <c r="T1347" s="762"/>
      <c r="U1347" s="573" t="s">
        <v>154</v>
      </c>
      <c r="W1347" s="580"/>
      <c r="X1347" s="586">
        <f>(X1345/10)</f>
        <v>1217.4889999999998</v>
      </c>
      <c r="Y1347" s="575">
        <f>0.8-0.77</f>
        <v>3.0000000000000027E-2</v>
      </c>
      <c r="AE1347" s="592">
        <f t="shared" si="166"/>
        <v>0</v>
      </c>
    </row>
    <row r="1348" spans="6:31" ht="24" customHeight="1">
      <c r="H1348" s="573" t="s">
        <v>1708</v>
      </c>
      <c r="N1348" s="576"/>
      <c r="Q1348" s="578"/>
      <c r="S1348" s="575"/>
      <c r="T1348" s="762"/>
      <c r="W1348" s="580"/>
      <c r="X1348" s="582" t="s">
        <v>155</v>
      </c>
      <c r="AE1348" s="592">
        <f t="shared" si="166"/>
        <v>0</v>
      </c>
    </row>
    <row r="1349" spans="6:31" ht="24" customHeight="1">
      <c r="H1349" s="573" t="s">
        <v>1709</v>
      </c>
      <c r="N1349" s="576"/>
      <c r="Q1349" s="578"/>
      <c r="AE1349" s="592">
        <f t="shared" si="166"/>
        <v>0</v>
      </c>
    </row>
    <row r="1350" spans="6:31" ht="24" customHeight="1">
      <c r="H1350" s="573" t="s">
        <v>1710</v>
      </c>
      <c r="N1350" s="576"/>
      <c r="Q1350" s="578"/>
      <c r="Y1350" s="652">
        <v>3.02</v>
      </c>
      <c r="Z1350" s="585" t="s">
        <v>654</v>
      </c>
      <c r="AA1350" s="573" t="s">
        <v>1711</v>
      </c>
      <c r="AB1350" s="587">
        <f t="shared" ref="AB1350:AB1361" si="167">V1352</f>
        <v>287</v>
      </c>
      <c r="AC1350" s="585" t="s">
        <v>654</v>
      </c>
      <c r="AD1350" s="587">
        <f t="shared" ref="AD1350:AD1361" si="168">AB1350*Y1350</f>
        <v>866.74</v>
      </c>
      <c r="AE1350" s="592">
        <f t="shared" si="166"/>
        <v>0</v>
      </c>
    </row>
    <row r="1351" spans="6:31" ht="24" customHeight="1">
      <c r="H1351" s="573" t="s">
        <v>1712</v>
      </c>
      <c r="N1351" s="576"/>
      <c r="O1351" s="575" t="s">
        <v>1713</v>
      </c>
      <c r="Q1351" s="580"/>
      <c r="T1351" s="576"/>
      <c r="U1351" s="729" t="s">
        <v>1714</v>
      </c>
      <c r="W1351" s="578"/>
      <c r="Y1351" s="652">
        <v>2.19</v>
      </c>
      <c r="Z1351" s="585" t="s">
        <v>654</v>
      </c>
      <c r="AA1351" s="573" t="s">
        <v>1711</v>
      </c>
      <c r="AB1351" s="587">
        <f t="shared" si="167"/>
        <v>287</v>
      </c>
      <c r="AC1351" s="585" t="s">
        <v>654</v>
      </c>
      <c r="AD1351" s="587">
        <f t="shared" si="168"/>
        <v>628.53</v>
      </c>
      <c r="AE1351" s="592">
        <f t="shared" si="166"/>
        <v>0</v>
      </c>
    </row>
    <row r="1352" spans="6:31" ht="24" customHeight="1">
      <c r="H1352" s="582" t="s">
        <v>117</v>
      </c>
      <c r="N1352" s="576"/>
      <c r="Q1352" s="580"/>
      <c r="S1352" s="617">
        <v>3.72</v>
      </c>
      <c r="T1352" s="585" t="s">
        <v>654</v>
      </c>
      <c r="U1352" s="573" t="s">
        <v>1711</v>
      </c>
      <c r="V1352" s="587">
        <f>P1391</f>
        <v>287</v>
      </c>
      <c r="W1352" s="585" t="s">
        <v>654</v>
      </c>
      <c r="X1352" s="587">
        <f>V1352*S1352</f>
        <v>1067.6400000000001</v>
      </c>
      <c r="Y1352" s="652">
        <v>4.96</v>
      </c>
      <c r="Z1352" s="585" t="s">
        <v>654</v>
      </c>
      <c r="AA1352" s="573" t="s">
        <v>1711</v>
      </c>
      <c r="AB1352" s="587">
        <f t="shared" si="167"/>
        <v>287</v>
      </c>
      <c r="AC1352" s="585" t="s">
        <v>654</v>
      </c>
      <c r="AD1352" s="587">
        <f t="shared" si="168"/>
        <v>1423.52</v>
      </c>
      <c r="AE1352" s="592">
        <f t="shared" si="166"/>
        <v>0</v>
      </c>
    </row>
    <row r="1353" spans="6:31" ht="24" customHeight="1">
      <c r="F1353" s="587">
        <v>190</v>
      </c>
      <c r="G1353" s="585" t="s">
        <v>1576</v>
      </c>
      <c r="H1353" s="573" t="s">
        <v>1715</v>
      </c>
      <c r="I1353" s="587">
        <f>(C83)</f>
        <v>16123.55</v>
      </c>
      <c r="J1353" s="573" t="s">
        <v>498</v>
      </c>
      <c r="K1353" s="587">
        <f>(F1353*I1353)/1000</f>
        <v>3063.4744999999998</v>
      </c>
      <c r="M1353" s="575">
        <v>70</v>
      </c>
      <c r="N1353" s="576" t="s">
        <v>231</v>
      </c>
      <c r="O1353" s="763" t="s">
        <v>1716</v>
      </c>
      <c r="P1353" s="618">
        <v>33</v>
      </c>
      <c r="Q1353" s="580" t="s">
        <v>231</v>
      </c>
      <c r="R1353" s="575">
        <f>P1353*M1353</f>
        <v>2310</v>
      </c>
      <c r="S1353" s="617">
        <v>3.87</v>
      </c>
      <c r="T1353" s="585" t="s">
        <v>654</v>
      </c>
      <c r="U1353" s="573" t="s">
        <v>1711</v>
      </c>
      <c r="V1353" s="587">
        <f t="shared" ref="V1353:V1363" si="169">P1392</f>
        <v>287</v>
      </c>
      <c r="W1353" s="585" t="s">
        <v>654</v>
      </c>
      <c r="X1353" s="587">
        <f t="shared" ref="X1353:X1363" si="170">V1353*S1353</f>
        <v>1110.69</v>
      </c>
      <c r="Y1353" s="652">
        <v>0.85</v>
      </c>
      <c r="Z1353" s="585" t="s">
        <v>654</v>
      </c>
      <c r="AA1353" s="573" t="s">
        <v>1711</v>
      </c>
      <c r="AB1353" s="587">
        <f t="shared" si="167"/>
        <v>287</v>
      </c>
      <c r="AC1353" s="585" t="s">
        <v>654</v>
      </c>
      <c r="AD1353" s="587">
        <f t="shared" si="168"/>
        <v>243.95</v>
      </c>
      <c r="AE1353" s="592">
        <f t="shared" si="166"/>
        <v>0</v>
      </c>
    </row>
    <row r="1354" spans="6:31" ht="24" customHeight="1">
      <c r="F1354" s="587">
        <v>0.12</v>
      </c>
      <c r="G1354" s="585" t="s">
        <v>126</v>
      </c>
      <c r="H1354" s="573" t="s">
        <v>142</v>
      </c>
      <c r="I1354" s="587">
        <f>(K32)</f>
        <v>4193.8</v>
      </c>
      <c r="J1354" s="573" t="s">
        <v>126</v>
      </c>
      <c r="K1354" s="585">
        <f t="shared" ref="K1354:K1360" si="171">(F1354*I1354)</f>
        <v>503.25600000000003</v>
      </c>
      <c r="N1354" s="576"/>
      <c r="Q1354" s="580"/>
      <c r="S1354" s="617">
        <v>7.46</v>
      </c>
      <c r="T1354" s="585" t="s">
        <v>654</v>
      </c>
      <c r="U1354" s="573" t="s">
        <v>1711</v>
      </c>
      <c r="V1354" s="587">
        <f t="shared" si="169"/>
        <v>287</v>
      </c>
      <c r="W1354" s="585" t="s">
        <v>654</v>
      </c>
      <c r="X1354" s="587">
        <f t="shared" si="170"/>
        <v>2141.02</v>
      </c>
      <c r="Y1354" s="652">
        <v>0.73199999999999998</v>
      </c>
      <c r="Z1354" s="585" t="s">
        <v>110</v>
      </c>
      <c r="AA1354" s="573" t="s">
        <v>1717</v>
      </c>
      <c r="AB1354" s="587">
        <f>V1356</f>
        <v>208.8</v>
      </c>
      <c r="AC1354" s="585" t="s">
        <v>110</v>
      </c>
      <c r="AD1354" s="587">
        <f t="shared" si="168"/>
        <v>152.8416</v>
      </c>
      <c r="AE1354" s="592">
        <f t="shared" si="166"/>
        <v>0</v>
      </c>
    </row>
    <row r="1355" spans="6:31" ht="24" customHeight="1">
      <c r="F1355" s="587">
        <v>10</v>
      </c>
      <c r="G1355" s="585" t="s">
        <v>140</v>
      </c>
      <c r="H1355" s="573" t="s">
        <v>1718</v>
      </c>
      <c r="I1355" s="587">
        <f>(K1344)</f>
        <v>245.15520000000001</v>
      </c>
      <c r="J1355" s="573" t="s">
        <v>140</v>
      </c>
      <c r="K1355" s="585">
        <f t="shared" si="171"/>
        <v>2451.5520000000001</v>
      </c>
      <c r="M1355" s="575">
        <v>0.3</v>
      </c>
      <c r="N1355" s="576" t="s">
        <v>429</v>
      </c>
      <c r="O1355" s="763" t="s">
        <v>1719</v>
      </c>
      <c r="P1355" s="618">
        <v>17600</v>
      </c>
      <c r="Q1355" s="580" t="s">
        <v>429</v>
      </c>
      <c r="R1355" s="575">
        <f>P1355*M1355</f>
        <v>5280</v>
      </c>
      <c r="S1355" s="617">
        <v>1.28</v>
      </c>
      <c r="T1355" s="585" t="s">
        <v>654</v>
      </c>
      <c r="U1355" s="573" t="s">
        <v>1711</v>
      </c>
      <c r="V1355" s="587">
        <f t="shared" si="169"/>
        <v>287</v>
      </c>
      <c r="W1355" s="585" t="s">
        <v>654</v>
      </c>
      <c r="X1355" s="587">
        <f t="shared" si="170"/>
        <v>367.36</v>
      </c>
      <c r="Y1355" s="652">
        <v>6.8719999999999999</v>
      </c>
      <c r="Z1355" s="585" t="s">
        <v>231</v>
      </c>
      <c r="AA1355" s="573" t="s">
        <v>1720</v>
      </c>
      <c r="AB1355" s="587">
        <f t="shared" si="167"/>
        <v>28.6</v>
      </c>
      <c r="AC1355" s="585" t="s">
        <v>231</v>
      </c>
      <c r="AD1355" s="587">
        <f t="shared" si="168"/>
        <v>196.53919999999999</v>
      </c>
      <c r="AE1355" s="592">
        <f t="shared" si="166"/>
        <v>0</v>
      </c>
    </row>
    <row r="1356" spans="6:31" ht="24" customHeight="1">
      <c r="F1356" s="617">
        <v>1.54</v>
      </c>
      <c r="G1356" s="585" t="s">
        <v>148</v>
      </c>
      <c r="H1356" s="573" t="s">
        <v>1721</v>
      </c>
      <c r="I1356" s="629">
        <f>C653</f>
        <v>41.9</v>
      </c>
      <c r="J1356" s="573" t="s">
        <v>148</v>
      </c>
      <c r="K1356" s="587">
        <f t="shared" si="171"/>
        <v>64.525999999999996</v>
      </c>
      <c r="N1356" s="576"/>
      <c r="Q1356" s="580"/>
      <c r="S1356" s="617">
        <v>1.107</v>
      </c>
      <c r="T1356" s="585" t="s">
        <v>110</v>
      </c>
      <c r="U1356" s="573" t="s">
        <v>1717</v>
      </c>
      <c r="V1356" s="587">
        <f t="shared" si="169"/>
        <v>208.8</v>
      </c>
      <c r="W1356" s="585" t="s">
        <v>110</v>
      </c>
      <c r="X1356" s="587">
        <f t="shared" si="170"/>
        <v>231.14160000000001</v>
      </c>
      <c r="Y1356" s="652">
        <v>8</v>
      </c>
      <c r="Z1356" s="585" t="s">
        <v>1</v>
      </c>
      <c r="AA1356" s="573" t="s">
        <v>1722</v>
      </c>
      <c r="AB1356" s="587">
        <f t="shared" si="167"/>
        <v>63.5</v>
      </c>
      <c r="AC1356" s="585" t="s">
        <v>1</v>
      </c>
      <c r="AD1356" s="587">
        <f t="shared" si="168"/>
        <v>508</v>
      </c>
      <c r="AE1356" s="592">
        <f t="shared" si="166"/>
        <v>0</v>
      </c>
    </row>
    <row r="1357" spans="6:31" ht="24" customHeight="1">
      <c r="F1357" s="587">
        <v>1.1000000000000001</v>
      </c>
      <c r="G1357" s="585" t="s">
        <v>1</v>
      </c>
      <c r="H1357" s="573" t="s">
        <v>144</v>
      </c>
      <c r="I1357" s="587">
        <f>(C10)</f>
        <v>769</v>
      </c>
      <c r="J1357" s="573" t="s">
        <v>1</v>
      </c>
      <c r="K1357" s="587">
        <f t="shared" si="171"/>
        <v>845.90000000000009</v>
      </c>
      <c r="N1357" s="576"/>
      <c r="O1357" s="575" t="s">
        <v>1723</v>
      </c>
      <c r="Q1357" s="580"/>
      <c r="R1357" s="575">
        <f>SUM(R1353:R1355)</f>
        <v>7590</v>
      </c>
      <c r="S1357" s="617">
        <v>10.343999999999999</v>
      </c>
      <c r="T1357" s="585" t="s">
        <v>231</v>
      </c>
      <c r="U1357" s="573" t="s">
        <v>1720</v>
      </c>
      <c r="V1357" s="587">
        <f t="shared" si="169"/>
        <v>28.6</v>
      </c>
      <c r="W1357" s="585" t="s">
        <v>231</v>
      </c>
      <c r="X1357" s="587">
        <f t="shared" si="170"/>
        <v>295.83839999999998</v>
      </c>
      <c r="Y1357" s="652">
        <v>4</v>
      </c>
      <c r="Z1357" s="585" t="s">
        <v>1</v>
      </c>
      <c r="AA1357" s="573" t="s">
        <v>1724</v>
      </c>
      <c r="AB1357" s="587">
        <f t="shared" si="167"/>
        <v>50.9</v>
      </c>
      <c r="AC1357" s="585" t="s">
        <v>1</v>
      </c>
      <c r="AD1357" s="587">
        <f t="shared" si="168"/>
        <v>203.6</v>
      </c>
      <c r="AE1357" s="592">
        <f t="shared" si="166"/>
        <v>0</v>
      </c>
    </row>
    <row r="1358" spans="6:31" ht="24" customHeight="1">
      <c r="F1358" s="587">
        <v>2.1</v>
      </c>
      <c r="G1358" s="585" t="s">
        <v>1</v>
      </c>
      <c r="H1358" s="573" t="s">
        <v>145</v>
      </c>
      <c r="I1358" s="587">
        <f>(C11)</f>
        <v>718</v>
      </c>
      <c r="J1358" s="573" t="s">
        <v>1</v>
      </c>
      <c r="K1358" s="587">
        <f t="shared" si="171"/>
        <v>1507.8</v>
      </c>
      <c r="N1358" s="576"/>
      <c r="O1358" s="764" t="s">
        <v>1725</v>
      </c>
      <c r="Q1358" s="580"/>
      <c r="R1358" s="619">
        <f>R1357/10</f>
        <v>759</v>
      </c>
      <c r="S1358" s="617">
        <v>12</v>
      </c>
      <c r="T1358" s="585" t="s">
        <v>1</v>
      </c>
      <c r="U1358" s="573" t="s">
        <v>3100</v>
      </c>
      <c r="V1358" s="587">
        <f t="shared" si="169"/>
        <v>63.5</v>
      </c>
      <c r="W1358" s="585" t="s">
        <v>1</v>
      </c>
      <c r="X1358" s="587">
        <f t="shared" si="170"/>
        <v>762</v>
      </c>
      <c r="Y1358" s="652">
        <v>4</v>
      </c>
      <c r="Z1358" s="585" t="s">
        <v>1</v>
      </c>
      <c r="AA1358" s="573" t="s">
        <v>1727</v>
      </c>
      <c r="AB1358" s="587">
        <f t="shared" si="167"/>
        <v>30</v>
      </c>
      <c r="AC1358" s="585" t="s">
        <v>1</v>
      </c>
      <c r="AD1358" s="587">
        <f t="shared" si="168"/>
        <v>120</v>
      </c>
      <c r="AE1358" s="592">
        <f t="shared" si="166"/>
        <v>0</v>
      </c>
    </row>
    <row r="1359" spans="6:31" ht="24" customHeight="1">
      <c r="F1359" s="587">
        <v>2.2000000000000002</v>
      </c>
      <c r="G1359" s="585" t="s">
        <v>1</v>
      </c>
      <c r="H1359" s="573" t="s">
        <v>146</v>
      </c>
      <c r="I1359" s="587">
        <f>(C12)</f>
        <v>502</v>
      </c>
      <c r="J1359" s="573" t="s">
        <v>1</v>
      </c>
      <c r="K1359" s="587">
        <f t="shared" si="171"/>
        <v>1104.4000000000001</v>
      </c>
      <c r="N1359" s="576"/>
      <c r="Q1359" s="580"/>
      <c r="S1359" s="617">
        <v>6</v>
      </c>
      <c r="T1359" s="585" t="s">
        <v>1</v>
      </c>
      <c r="U1359" s="573" t="s">
        <v>1724</v>
      </c>
      <c r="V1359" s="587">
        <f t="shared" si="169"/>
        <v>50.9</v>
      </c>
      <c r="W1359" s="585" t="s">
        <v>1</v>
      </c>
      <c r="X1359" s="587">
        <f t="shared" si="170"/>
        <v>305.39999999999998</v>
      </c>
      <c r="Y1359" s="652">
        <v>4</v>
      </c>
      <c r="Z1359" s="585" t="s">
        <v>1</v>
      </c>
      <c r="AA1359" s="573" t="s">
        <v>1728</v>
      </c>
      <c r="AB1359" s="587">
        <f t="shared" si="167"/>
        <v>20</v>
      </c>
      <c r="AC1359" s="585" t="s">
        <v>1</v>
      </c>
      <c r="AD1359" s="587">
        <f t="shared" si="168"/>
        <v>80</v>
      </c>
      <c r="AE1359" s="592">
        <f t="shared" si="166"/>
        <v>0</v>
      </c>
    </row>
    <row r="1360" spans="6:31" ht="24" customHeight="1">
      <c r="F1360" s="587">
        <v>1.1000000000000001</v>
      </c>
      <c r="G1360" s="585" t="s">
        <v>1</v>
      </c>
      <c r="H1360" s="573" t="s">
        <v>147</v>
      </c>
      <c r="I1360" s="587">
        <f>(C13)</f>
        <v>412</v>
      </c>
      <c r="J1360" s="573" t="s">
        <v>1</v>
      </c>
      <c r="K1360" s="587">
        <f t="shared" si="171"/>
        <v>453.20000000000005</v>
      </c>
      <c r="M1360" s="575">
        <v>2</v>
      </c>
      <c r="N1360" s="576" t="s">
        <v>240</v>
      </c>
      <c r="O1360" s="575" t="s">
        <v>1606</v>
      </c>
      <c r="P1360" s="575">
        <f>C12</f>
        <v>502</v>
      </c>
      <c r="Q1360" s="580" t="s">
        <v>1729</v>
      </c>
      <c r="R1360" s="575">
        <f>P1360*M1360</f>
        <v>1004</v>
      </c>
      <c r="S1360" s="617">
        <v>6</v>
      </c>
      <c r="T1360" s="585" t="s">
        <v>1</v>
      </c>
      <c r="U1360" s="573" t="s">
        <v>1727</v>
      </c>
      <c r="V1360" s="587">
        <f t="shared" si="169"/>
        <v>30</v>
      </c>
      <c r="W1360" s="585" t="s">
        <v>1</v>
      </c>
      <c r="X1360" s="587">
        <f t="shared" si="170"/>
        <v>180</v>
      </c>
      <c r="Y1360" s="652">
        <v>4</v>
      </c>
      <c r="Z1360" s="585" t="s">
        <v>1</v>
      </c>
      <c r="AA1360" s="573" t="s">
        <v>1730</v>
      </c>
      <c r="AB1360" s="587">
        <f t="shared" si="167"/>
        <v>15</v>
      </c>
      <c r="AC1360" s="585" t="s">
        <v>1</v>
      </c>
      <c r="AD1360" s="587">
        <f t="shared" si="168"/>
        <v>60</v>
      </c>
      <c r="AE1360" s="592">
        <f t="shared" si="166"/>
        <v>0</v>
      </c>
    </row>
    <row r="1361" spans="6:31" ht="24" customHeight="1">
      <c r="G1361" s="585" t="s">
        <v>129</v>
      </c>
      <c r="H1361" s="573" t="s">
        <v>130</v>
      </c>
      <c r="J1361" s="573" t="s">
        <v>129</v>
      </c>
      <c r="K1361" s="587">
        <v>0</v>
      </c>
      <c r="N1361" s="576"/>
      <c r="Q1361" s="580"/>
      <c r="S1361" s="617">
        <v>6</v>
      </c>
      <c r="T1361" s="585" t="s">
        <v>1</v>
      </c>
      <c r="U1361" s="573" t="s">
        <v>1728</v>
      </c>
      <c r="V1361" s="587">
        <f t="shared" si="169"/>
        <v>20</v>
      </c>
      <c r="W1361" s="585" t="s">
        <v>1</v>
      </c>
      <c r="X1361" s="587">
        <f t="shared" si="170"/>
        <v>120</v>
      </c>
      <c r="Y1361" s="652">
        <v>0.94499999999999995</v>
      </c>
      <c r="Z1361" s="585" t="s">
        <v>174</v>
      </c>
      <c r="AA1361" s="573" t="s">
        <v>1731</v>
      </c>
      <c r="AB1361" s="587">
        <f t="shared" si="167"/>
        <v>1540</v>
      </c>
      <c r="AC1361" s="585" t="s">
        <v>174</v>
      </c>
      <c r="AD1361" s="587">
        <f t="shared" si="168"/>
        <v>1455.3</v>
      </c>
      <c r="AE1361" s="592">
        <f t="shared" si="166"/>
        <v>0</v>
      </c>
    </row>
    <row r="1362" spans="6:31" ht="24" customHeight="1">
      <c r="K1362" s="582" t="s">
        <v>117</v>
      </c>
      <c r="N1362" s="576"/>
      <c r="O1362" s="575" t="s">
        <v>1732</v>
      </c>
      <c r="P1362" s="575" t="s">
        <v>166</v>
      </c>
      <c r="Q1362" s="580"/>
      <c r="R1362" s="575">
        <v>11.5</v>
      </c>
      <c r="S1362" s="617">
        <v>4</v>
      </c>
      <c r="T1362" s="585" t="s">
        <v>1</v>
      </c>
      <c r="U1362" s="573" t="s">
        <v>1730</v>
      </c>
      <c r="V1362" s="587">
        <f t="shared" si="169"/>
        <v>15</v>
      </c>
      <c r="W1362" s="585" t="s">
        <v>1</v>
      </c>
      <c r="X1362" s="587">
        <f t="shared" si="170"/>
        <v>60</v>
      </c>
      <c r="Z1362" s="576"/>
      <c r="AA1362" s="573" t="s">
        <v>1733</v>
      </c>
      <c r="AC1362" s="580"/>
      <c r="AD1362" s="587">
        <v>0.81</v>
      </c>
      <c r="AE1362" s="592">
        <f t="shared" si="166"/>
        <v>0</v>
      </c>
    </row>
    <row r="1363" spans="6:31" ht="24" customHeight="1">
      <c r="H1363" s="573" t="s">
        <v>153</v>
      </c>
      <c r="K1363" s="587">
        <f>SUM(K1353:K1361)</f>
        <v>9994.1084999999985</v>
      </c>
      <c r="N1363" s="576"/>
      <c r="O1363" s="764" t="s">
        <v>1734</v>
      </c>
      <c r="Q1363" s="580"/>
      <c r="R1363" s="575">
        <f>SUM(R1358:R1362)</f>
        <v>1774.5</v>
      </c>
      <c r="S1363" s="617">
        <v>1.4179999999999999</v>
      </c>
      <c r="T1363" s="585" t="s">
        <v>174</v>
      </c>
      <c r="U1363" s="573" t="s">
        <v>1731</v>
      </c>
      <c r="V1363" s="587">
        <f t="shared" si="169"/>
        <v>1540</v>
      </c>
      <c r="W1363" s="585" t="s">
        <v>174</v>
      </c>
      <c r="X1363" s="587">
        <f t="shared" si="170"/>
        <v>2183.7199999999998</v>
      </c>
      <c r="AA1363" s="584" t="s">
        <v>1735</v>
      </c>
      <c r="AD1363" s="586">
        <f>SUM(AD1350:AD1362)</f>
        <v>5939.8308000000006</v>
      </c>
      <c r="AE1363" s="592">
        <f t="shared" si="166"/>
        <v>0</v>
      </c>
    </row>
    <row r="1364" spans="6:31" ht="24" customHeight="1">
      <c r="K1364" s="582" t="s">
        <v>117</v>
      </c>
      <c r="N1364" s="576"/>
      <c r="Q1364" s="580"/>
      <c r="T1364" s="576"/>
      <c r="U1364" s="573" t="s">
        <v>1733</v>
      </c>
      <c r="W1364" s="580"/>
      <c r="X1364" s="587"/>
      <c r="AE1364" s="592">
        <f t="shared" si="166"/>
        <v>0</v>
      </c>
    </row>
    <row r="1365" spans="6:31" ht="24" customHeight="1">
      <c r="H1365" s="589" t="s">
        <v>154</v>
      </c>
      <c r="K1365" s="586">
        <f>(K1363/10)</f>
        <v>999.41084999999987</v>
      </c>
      <c r="N1365" s="576"/>
      <c r="O1365" s="764" t="s">
        <v>1736</v>
      </c>
      <c r="Q1365" s="580"/>
      <c r="R1365" s="619">
        <f>R1363/6</f>
        <v>295.75</v>
      </c>
      <c r="U1365" s="584" t="s">
        <v>1735</v>
      </c>
      <c r="X1365" s="586">
        <f>SUM(X1352:X1364)</f>
        <v>8824.81</v>
      </c>
      <c r="AE1365" s="592">
        <f t="shared" si="166"/>
        <v>0</v>
      </c>
    </row>
    <row r="1366" spans="6:31" ht="24" customHeight="1">
      <c r="K1366" s="582" t="s">
        <v>155</v>
      </c>
      <c r="N1366" s="576"/>
      <c r="Q1366" s="580"/>
      <c r="Z1366" s="576"/>
      <c r="AA1366" s="729" t="s">
        <v>1737</v>
      </c>
      <c r="AC1366" s="578"/>
      <c r="AE1366" s="592">
        <f t="shared" si="166"/>
        <v>0</v>
      </c>
    </row>
    <row r="1367" spans="6:31" ht="24" customHeight="1">
      <c r="K1367" s="582"/>
      <c r="N1367" s="576"/>
      <c r="Q1367" s="578"/>
      <c r="Y1367" s="652">
        <v>3.72</v>
      </c>
      <c r="Z1367" s="585" t="s">
        <v>654</v>
      </c>
      <c r="AA1367" s="573" t="s">
        <v>1711</v>
      </c>
      <c r="AB1367" s="587">
        <f>AB1350</f>
        <v>287</v>
      </c>
      <c r="AC1367" s="585" t="s">
        <v>654</v>
      </c>
      <c r="AD1367" s="587">
        <f t="shared" ref="AD1367:AD1378" si="172">AB1367*Y1367</f>
        <v>1067.6400000000001</v>
      </c>
      <c r="AE1367" s="592">
        <f t="shared" si="166"/>
        <v>0</v>
      </c>
    </row>
    <row r="1368" spans="6:31" ht="24" customHeight="1">
      <c r="K1368" s="582"/>
      <c r="M1368" s="620">
        <v>29.5</v>
      </c>
      <c r="N1368" s="585" t="s">
        <v>122</v>
      </c>
      <c r="O1368" s="573" t="s">
        <v>1738</v>
      </c>
      <c r="Q1368" s="580"/>
      <c r="T1368" s="576"/>
      <c r="U1368" s="729" t="s">
        <v>1739</v>
      </c>
      <c r="W1368" s="578"/>
      <c r="Y1368" s="652">
        <v>2.69</v>
      </c>
      <c r="Z1368" s="585" t="s">
        <v>654</v>
      </c>
      <c r="AA1368" s="573" t="s">
        <v>1711</v>
      </c>
      <c r="AB1368" s="587">
        <f t="shared" ref="AB1368:AB1378" si="173">AB1351</f>
        <v>287</v>
      </c>
      <c r="AC1368" s="585" t="s">
        <v>654</v>
      </c>
      <c r="AD1368" s="587">
        <f t="shared" si="172"/>
        <v>772.03</v>
      </c>
      <c r="AE1368" s="592">
        <f t="shared" si="166"/>
        <v>0</v>
      </c>
    </row>
    <row r="1369" spans="6:31" ht="24" customHeight="1">
      <c r="F1369" s="620">
        <v>32.200000000000003</v>
      </c>
      <c r="G1369" s="585" t="s">
        <v>122</v>
      </c>
      <c r="H1369" s="573" t="s">
        <v>1707</v>
      </c>
      <c r="K1369" s="582"/>
      <c r="N1369" s="576"/>
      <c r="O1369" s="573" t="s">
        <v>157</v>
      </c>
      <c r="Q1369" s="580"/>
      <c r="S1369" s="617">
        <v>3.49</v>
      </c>
      <c r="T1369" s="585" t="s">
        <v>654</v>
      </c>
      <c r="U1369" s="573" t="s">
        <v>1711</v>
      </c>
      <c r="V1369" s="587">
        <f>P1408</f>
        <v>287</v>
      </c>
      <c r="W1369" s="585" t="s">
        <v>654</v>
      </c>
      <c r="X1369" s="587">
        <f>V1369*S1369</f>
        <v>1001.6300000000001</v>
      </c>
      <c r="Y1369" s="652">
        <v>6.15</v>
      </c>
      <c r="Z1369" s="585" t="s">
        <v>654</v>
      </c>
      <c r="AA1369" s="573" t="s">
        <v>1711</v>
      </c>
      <c r="AB1369" s="587">
        <f t="shared" si="173"/>
        <v>287</v>
      </c>
      <c r="AC1369" s="585" t="s">
        <v>654</v>
      </c>
      <c r="AD1369" s="587">
        <f t="shared" si="172"/>
        <v>1765.0500000000002</v>
      </c>
      <c r="AE1369" s="592">
        <f t="shared" si="166"/>
        <v>0</v>
      </c>
    </row>
    <row r="1370" spans="6:31" ht="24" customHeight="1">
      <c r="H1370" s="573" t="s">
        <v>1708</v>
      </c>
      <c r="K1370" s="582"/>
      <c r="N1370" s="576"/>
      <c r="O1370" s="573" t="s">
        <v>158</v>
      </c>
      <c r="Q1370" s="580"/>
      <c r="S1370" s="617">
        <v>2.5299999999999998</v>
      </c>
      <c r="T1370" s="585" t="s">
        <v>654</v>
      </c>
      <c r="U1370" s="573" t="s">
        <v>1711</v>
      </c>
      <c r="V1370" s="587">
        <f t="shared" ref="V1370:V1380" si="174">P1409</f>
        <v>287</v>
      </c>
      <c r="W1370" s="585" t="s">
        <v>654</v>
      </c>
      <c r="X1370" s="587">
        <f t="shared" ref="X1370:X1380" si="175">V1370*S1370</f>
        <v>726.1099999999999</v>
      </c>
      <c r="Y1370" s="652">
        <v>1.07</v>
      </c>
      <c r="Z1370" s="585" t="s">
        <v>654</v>
      </c>
      <c r="AA1370" s="573" t="s">
        <v>1711</v>
      </c>
      <c r="AB1370" s="587">
        <f t="shared" si="173"/>
        <v>287</v>
      </c>
      <c r="AC1370" s="585" t="s">
        <v>654</v>
      </c>
      <c r="AD1370" s="587">
        <f t="shared" si="172"/>
        <v>307.09000000000003</v>
      </c>
      <c r="AE1370" s="592">
        <f t="shared" si="166"/>
        <v>0</v>
      </c>
    </row>
    <row r="1371" spans="6:31" ht="24" customHeight="1">
      <c r="H1371" s="573" t="s">
        <v>1709</v>
      </c>
      <c r="K1371" s="582"/>
      <c r="N1371" s="576"/>
      <c r="O1371" s="582" t="s">
        <v>117</v>
      </c>
      <c r="P1371" s="582" t="s">
        <v>117</v>
      </c>
      <c r="Q1371" s="580"/>
      <c r="R1371" s="587"/>
      <c r="S1371" s="617">
        <v>5.75</v>
      </c>
      <c r="T1371" s="585" t="s">
        <v>654</v>
      </c>
      <c r="U1371" s="573" t="s">
        <v>1711</v>
      </c>
      <c r="V1371" s="587">
        <f t="shared" si="174"/>
        <v>287</v>
      </c>
      <c r="W1371" s="585" t="s">
        <v>654</v>
      </c>
      <c r="X1371" s="587">
        <f t="shared" si="175"/>
        <v>1650.25</v>
      </c>
      <c r="Y1371" s="652">
        <v>1.153</v>
      </c>
      <c r="Z1371" s="585" t="s">
        <v>110</v>
      </c>
      <c r="AA1371" s="573" t="s">
        <v>1717</v>
      </c>
      <c r="AB1371" s="587">
        <f t="shared" si="173"/>
        <v>208.8</v>
      </c>
      <c r="AC1371" s="585" t="s">
        <v>110</v>
      </c>
      <c r="AD1371" s="587">
        <f t="shared" si="172"/>
        <v>240.74640000000002</v>
      </c>
      <c r="AE1371" s="592">
        <f t="shared" si="166"/>
        <v>0</v>
      </c>
    </row>
    <row r="1372" spans="6:31" ht="24" customHeight="1">
      <c r="H1372" s="573" t="s">
        <v>1710</v>
      </c>
      <c r="K1372" s="582"/>
      <c r="M1372" s="587">
        <v>10</v>
      </c>
      <c r="N1372" s="585" t="s">
        <v>140</v>
      </c>
      <c r="O1372" s="573" t="s">
        <v>1740</v>
      </c>
      <c r="P1372" s="685">
        <f>P1332</f>
        <v>1595</v>
      </c>
      <c r="Q1372" s="574" t="s">
        <v>140</v>
      </c>
      <c r="R1372" s="587">
        <f>M1372*P1372</f>
        <v>15950</v>
      </c>
      <c r="S1372" s="617">
        <v>1</v>
      </c>
      <c r="T1372" s="585" t="s">
        <v>654</v>
      </c>
      <c r="U1372" s="573" t="s">
        <v>1711</v>
      </c>
      <c r="V1372" s="587">
        <f t="shared" si="174"/>
        <v>287</v>
      </c>
      <c r="W1372" s="585" t="s">
        <v>654</v>
      </c>
      <c r="X1372" s="587">
        <f t="shared" si="175"/>
        <v>287</v>
      </c>
      <c r="Y1372" s="652">
        <v>8.6720000000000006</v>
      </c>
      <c r="Z1372" s="585" t="s">
        <v>231</v>
      </c>
      <c r="AA1372" s="573" t="s">
        <v>1720</v>
      </c>
      <c r="AB1372" s="587">
        <f t="shared" si="173"/>
        <v>28.6</v>
      </c>
      <c r="AC1372" s="585" t="s">
        <v>231</v>
      </c>
      <c r="AD1372" s="587">
        <f t="shared" si="172"/>
        <v>248.01920000000004</v>
      </c>
      <c r="AE1372" s="592">
        <f t="shared" si="166"/>
        <v>0</v>
      </c>
    </row>
    <row r="1373" spans="6:31" ht="24" customHeight="1">
      <c r="H1373" s="573" t="s">
        <v>1712</v>
      </c>
      <c r="K1373" s="582"/>
      <c r="M1373" s="587">
        <v>0.21</v>
      </c>
      <c r="N1373" s="585" t="s">
        <v>126</v>
      </c>
      <c r="O1373" s="573" t="s">
        <v>142</v>
      </c>
      <c r="P1373" s="587">
        <f>P1333</f>
        <v>4193.8</v>
      </c>
      <c r="Q1373" s="574" t="s">
        <v>126</v>
      </c>
      <c r="R1373" s="587">
        <f>(M1373*P1373)</f>
        <v>880.69799999999998</v>
      </c>
      <c r="S1373" s="617">
        <v>0.96699999999999997</v>
      </c>
      <c r="T1373" s="585" t="s">
        <v>110</v>
      </c>
      <c r="U1373" s="573" t="s">
        <v>1717</v>
      </c>
      <c r="V1373" s="587">
        <f t="shared" si="174"/>
        <v>208.8</v>
      </c>
      <c r="W1373" s="585" t="s">
        <v>110</v>
      </c>
      <c r="X1373" s="587">
        <f t="shared" si="175"/>
        <v>201.90960000000001</v>
      </c>
      <c r="Y1373" s="652">
        <v>8</v>
      </c>
      <c r="Z1373" s="585" t="s">
        <v>1</v>
      </c>
      <c r="AA1373" s="573" t="s">
        <v>1722</v>
      </c>
      <c r="AB1373" s="587">
        <f t="shared" si="173"/>
        <v>63.5</v>
      </c>
      <c r="AC1373" s="585" t="s">
        <v>1</v>
      </c>
      <c r="AD1373" s="587">
        <f t="shared" si="172"/>
        <v>508</v>
      </c>
      <c r="AE1373" s="592">
        <f t="shared" si="166"/>
        <v>0</v>
      </c>
    </row>
    <row r="1374" spans="6:31" ht="24" customHeight="1">
      <c r="H1374" s="582" t="s">
        <v>117</v>
      </c>
      <c r="K1374" s="582"/>
      <c r="N1374" s="576"/>
      <c r="O1374" s="573" t="s">
        <v>160</v>
      </c>
      <c r="P1374" s="573" t="s">
        <v>115</v>
      </c>
      <c r="Q1374" s="580"/>
      <c r="R1374" s="573" t="s">
        <v>115</v>
      </c>
      <c r="S1374" s="617">
        <v>8.0719999999999992</v>
      </c>
      <c r="T1374" s="585" t="s">
        <v>231</v>
      </c>
      <c r="U1374" s="573" t="s">
        <v>1720</v>
      </c>
      <c r="V1374" s="587">
        <f t="shared" si="174"/>
        <v>28.6</v>
      </c>
      <c r="W1374" s="585" t="s">
        <v>231</v>
      </c>
      <c r="X1374" s="587">
        <f t="shared" si="175"/>
        <v>230.85919999999999</v>
      </c>
      <c r="Y1374" s="652">
        <v>4</v>
      </c>
      <c r="Z1374" s="585" t="s">
        <v>1</v>
      </c>
      <c r="AA1374" s="573" t="s">
        <v>1724</v>
      </c>
      <c r="AB1374" s="587">
        <f t="shared" si="173"/>
        <v>50.9</v>
      </c>
      <c r="AC1374" s="585" t="s">
        <v>1</v>
      </c>
      <c r="AD1374" s="587">
        <f t="shared" si="172"/>
        <v>203.6</v>
      </c>
      <c r="AE1374" s="592">
        <f t="shared" si="166"/>
        <v>0</v>
      </c>
    </row>
    <row r="1375" spans="6:31" ht="24" customHeight="1">
      <c r="F1375" s="587">
        <v>190</v>
      </c>
      <c r="G1375" s="585" t="s">
        <v>1576</v>
      </c>
      <c r="H1375" s="573" t="s">
        <v>1741</v>
      </c>
      <c r="I1375" s="765">
        <f>E83</f>
        <v>8710</v>
      </c>
      <c r="J1375" s="573" t="s">
        <v>498</v>
      </c>
      <c r="K1375" s="587">
        <f>(F1375*I1375)/1000</f>
        <v>1654.9</v>
      </c>
      <c r="M1375" s="587">
        <v>1.1000000000000001</v>
      </c>
      <c r="N1375" s="585" t="s">
        <v>1</v>
      </c>
      <c r="O1375" s="573" t="s">
        <v>144</v>
      </c>
      <c r="P1375" s="587">
        <f>AE9</f>
        <v>769</v>
      </c>
      <c r="Q1375" s="574" t="s">
        <v>1</v>
      </c>
      <c r="R1375" s="587">
        <f>(M1375*P1375)</f>
        <v>845.90000000000009</v>
      </c>
      <c r="S1375" s="617">
        <v>8</v>
      </c>
      <c r="T1375" s="585" t="s">
        <v>1</v>
      </c>
      <c r="U1375" s="573" t="s">
        <v>1722</v>
      </c>
      <c r="V1375" s="587">
        <f t="shared" si="174"/>
        <v>63.5</v>
      </c>
      <c r="W1375" s="585" t="s">
        <v>1</v>
      </c>
      <c r="X1375" s="587">
        <f t="shared" si="175"/>
        <v>508</v>
      </c>
      <c r="Y1375" s="652">
        <v>4</v>
      </c>
      <c r="Z1375" s="585" t="s">
        <v>1</v>
      </c>
      <c r="AA1375" s="573" t="s">
        <v>1727</v>
      </c>
      <c r="AB1375" s="587">
        <f t="shared" si="173"/>
        <v>30</v>
      </c>
      <c r="AC1375" s="585" t="s">
        <v>1</v>
      </c>
      <c r="AD1375" s="587">
        <f t="shared" si="172"/>
        <v>120</v>
      </c>
      <c r="AE1375" s="592">
        <f t="shared" si="166"/>
        <v>0</v>
      </c>
    </row>
    <row r="1376" spans="6:31" ht="24" customHeight="1">
      <c r="F1376" s="587">
        <v>0.12</v>
      </c>
      <c r="G1376" s="585" t="s">
        <v>126</v>
      </c>
      <c r="H1376" s="573" t="s">
        <v>142</v>
      </c>
      <c r="I1376" s="575">
        <f>K32</f>
        <v>4193.8</v>
      </c>
      <c r="J1376" s="573" t="s">
        <v>126</v>
      </c>
      <c r="K1376" s="587">
        <f t="shared" ref="K1376:K1382" si="176">(F1376*I1376)</f>
        <v>503.25600000000003</v>
      </c>
      <c r="M1376" s="587">
        <v>1.1000000000000001</v>
      </c>
      <c r="N1376" s="585" t="s">
        <v>1</v>
      </c>
      <c r="O1376" s="573" t="s">
        <v>145</v>
      </c>
      <c r="P1376" s="587">
        <f>AE10</f>
        <v>718</v>
      </c>
      <c r="Q1376" s="574" t="s">
        <v>1</v>
      </c>
      <c r="R1376" s="587">
        <f>(M1376*P1376)</f>
        <v>789.80000000000007</v>
      </c>
      <c r="S1376" s="617">
        <v>4</v>
      </c>
      <c r="T1376" s="585" t="s">
        <v>1</v>
      </c>
      <c r="U1376" s="573" t="s">
        <v>1724</v>
      </c>
      <c r="V1376" s="587">
        <f t="shared" si="174"/>
        <v>50.9</v>
      </c>
      <c r="W1376" s="585" t="s">
        <v>1</v>
      </c>
      <c r="X1376" s="587">
        <f t="shared" si="175"/>
        <v>203.6</v>
      </c>
      <c r="Y1376" s="652">
        <v>4</v>
      </c>
      <c r="Z1376" s="585" t="s">
        <v>1</v>
      </c>
      <c r="AA1376" s="573" t="s">
        <v>1728</v>
      </c>
      <c r="AB1376" s="587">
        <f t="shared" si="173"/>
        <v>20</v>
      </c>
      <c r="AC1376" s="585" t="s">
        <v>1</v>
      </c>
      <c r="AD1376" s="587">
        <f t="shared" si="172"/>
        <v>80</v>
      </c>
      <c r="AE1376" s="592">
        <f t="shared" si="166"/>
        <v>0</v>
      </c>
    </row>
    <row r="1377" spans="6:31" ht="24" customHeight="1">
      <c r="F1377" s="587">
        <v>10</v>
      </c>
      <c r="G1377" s="585" t="s">
        <v>140</v>
      </c>
      <c r="H1377" s="573" t="s">
        <v>1718</v>
      </c>
      <c r="I1377" s="575">
        <f>K1344</f>
        <v>245.15520000000001</v>
      </c>
      <c r="J1377" s="573" t="s">
        <v>140</v>
      </c>
      <c r="K1377" s="587">
        <f t="shared" si="176"/>
        <v>2451.5520000000001</v>
      </c>
      <c r="M1377" s="587">
        <v>2.2000000000000002</v>
      </c>
      <c r="N1377" s="585" t="s">
        <v>1</v>
      </c>
      <c r="O1377" s="573" t="s">
        <v>146</v>
      </c>
      <c r="P1377" s="587">
        <f>AE11</f>
        <v>502</v>
      </c>
      <c r="Q1377" s="574" t="s">
        <v>1</v>
      </c>
      <c r="R1377" s="587">
        <f>(M1377*P1377)</f>
        <v>1104.4000000000001</v>
      </c>
      <c r="S1377" s="617">
        <v>4</v>
      </c>
      <c r="T1377" s="585" t="s">
        <v>1</v>
      </c>
      <c r="U1377" s="573" t="s">
        <v>1727</v>
      </c>
      <c r="V1377" s="587">
        <f t="shared" si="174"/>
        <v>30</v>
      </c>
      <c r="W1377" s="585" t="s">
        <v>1</v>
      </c>
      <c r="X1377" s="587">
        <f t="shared" si="175"/>
        <v>120</v>
      </c>
      <c r="Y1377" s="652">
        <v>4</v>
      </c>
      <c r="Z1377" s="585" t="s">
        <v>1</v>
      </c>
      <c r="AA1377" s="573" t="s">
        <v>1730</v>
      </c>
      <c r="AB1377" s="587">
        <f t="shared" si="173"/>
        <v>15</v>
      </c>
      <c r="AC1377" s="585" t="s">
        <v>1</v>
      </c>
      <c r="AD1377" s="587">
        <f t="shared" si="172"/>
        <v>60</v>
      </c>
      <c r="AE1377" s="592">
        <f t="shared" si="166"/>
        <v>0</v>
      </c>
    </row>
    <row r="1378" spans="6:31" ht="24" customHeight="1">
      <c r="F1378" s="587">
        <v>5.8</v>
      </c>
      <c r="G1378" s="585" t="s">
        <v>148</v>
      </c>
      <c r="H1378" s="573" t="s">
        <v>1721</v>
      </c>
      <c r="I1378" s="575">
        <f>C653</f>
        <v>41.9</v>
      </c>
      <c r="J1378" s="573" t="s">
        <v>148</v>
      </c>
      <c r="K1378" s="587">
        <f t="shared" si="176"/>
        <v>243.01999999999998</v>
      </c>
      <c r="M1378" s="587">
        <v>2.2000000000000002</v>
      </c>
      <c r="N1378" s="585" t="s">
        <v>1</v>
      </c>
      <c r="O1378" s="573" t="s">
        <v>147</v>
      </c>
      <c r="P1378" s="587">
        <f>AE12</f>
        <v>412</v>
      </c>
      <c r="Q1378" s="574" t="s">
        <v>1</v>
      </c>
      <c r="R1378" s="587">
        <f>(M1378*P1378)</f>
        <v>906.40000000000009</v>
      </c>
      <c r="S1378" s="617">
        <v>4</v>
      </c>
      <c r="T1378" s="585" t="s">
        <v>1</v>
      </c>
      <c r="U1378" s="573" t="s">
        <v>1728</v>
      </c>
      <c r="V1378" s="587">
        <f t="shared" si="174"/>
        <v>20</v>
      </c>
      <c r="W1378" s="585" t="s">
        <v>1</v>
      </c>
      <c r="X1378" s="587">
        <f t="shared" si="175"/>
        <v>80</v>
      </c>
      <c r="Y1378" s="652">
        <v>1.42</v>
      </c>
      <c r="Z1378" s="585" t="s">
        <v>174</v>
      </c>
      <c r="AA1378" s="573" t="s">
        <v>1731</v>
      </c>
      <c r="AB1378" s="587">
        <f t="shared" si="173"/>
        <v>1540</v>
      </c>
      <c r="AC1378" s="585" t="s">
        <v>174</v>
      </c>
      <c r="AD1378" s="587">
        <f t="shared" si="172"/>
        <v>2186.7999999999997</v>
      </c>
      <c r="AE1378" s="592">
        <f t="shared" si="166"/>
        <v>0</v>
      </c>
    </row>
    <row r="1379" spans="6:31" ht="24" customHeight="1">
      <c r="F1379" s="587">
        <v>1.1000000000000001</v>
      </c>
      <c r="G1379" s="585" t="s">
        <v>1</v>
      </c>
      <c r="H1379" s="573" t="s">
        <v>144</v>
      </c>
      <c r="I1379" s="575">
        <f>C10</f>
        <v>769</v>
      </c>
      <c r="J1379" s="573" t="s">
        <v>1</v>
      </c>
      <c r="K1379" s="587">
        <f t="shared" si="176"/>
        <v>845.90000000000009</v>
      </c>
      <c r="M1379" s="617">
        <v>20</v>
      </c>
      <c r="N1379" s="585" t="s">
        <v>148</v>
      </c>
      <c r="O1379" s="573" t="s">
        <v>125</v>
      </c>
      <c r="P1379" s="587">
        <f>AC31</f>
        <v>5800</v>
      </c>
      <c r="Q1379" s="574" t="s">
        <v>124</v>
      </c>
      <c r="R1379" s="587">
        <f>(M1379*P1379)/1000</f>
        <v>116</v>
      </c>
      <c r="S1379" s="617">
        <v>4</v>
      </c>
      <c r="T1379" s="585" t="s">
        <v>1</v>
      </c>
      <c r="U1379" s="573" t="s">
        <v>1730</v>
      </c>
      <c r="V1379" s="587">
        <f t="shared" si="174"/>
        <v>15</v>
      </c>
      <c r="W1379" s="585" t="s">
        <v>1</v>
      </c>
      <c r="X1379" s="587">
        <f t="shared" si="175"/>
        <v>60</v>
      </c>
      <c r="Z1379" s="576"/>
      <c r="AA1379" s="573" t="s">
        <v>1733</v>
      </c>
      <c r="AC1379" s="580"/>
      <c r="AD1379" s="587">
        <v>0.85</v>
      </c>
      <c r="AE1379" s="592">
        <f t="shared" si="166"/>
        <v>0</v>
      </c>
    </row>
    <row r="1380" spans="6:31" ht="24" customHeight="1">
      <c r="F1380" s="587">
        <v>2.1</v>
      </c>
      <c r="G1380" s="585" t="s">
        <v>1</v>
      </c>
      <c r="H1380" s="573" t="s">
        <v>145</v>
      </c>
      <c r="I1380" s="575">
        <f>C11</f>
        <v>718</v>
      </c>
      <c r="J1380" s="573" t="s">
        <v>1</v>
      </c>
      <c r="K1380" s="587">
        <f t="shared" si="176"/>
        <v>1507.8</v>
      </c>
      <c r="M1380" s="617">
        <v>2</v>
      </c>
      <c r="N1380" s="585" t="s">
        <v>148</v>
      </c>
      <c r="O1380" s="573" t="s">
        <v>1641</v>
      </c>
      <c r="P1380" s="675">
        <f>P1264</f>
        <v>36.1</v>
      </c>
      <c r="Q1380" s="574" t="s">
        <v>148</v>
      </c>
      <c r="R1380" s="587">
        <f>(M1380*P1380)</f>
        <v>72.2</v>
      </c>
      <c r="S1380" s="617">
        <v>1.2150000000000001</v>
      </c>
      <c r="T1380" s="585" t="s">
        <v>174</v>
      </c>
      <c r="U1380" s="573" t="s">
        <v>1731</v>
      </c>
      <c r="V1380" s="587">
        <f t="shared" si="174"/>
        <v>1540</v>
      </c>
      <c r="W1380" s="585" t="s">
        <v>174</v>
      </c>
      <c r="X1380" s="587">
        <f t="shared" si="175"/>
        <v>1871.1000000000001</v>
      </c>
      <c r="AA1380" s="584" t="s">
        <v>1735</v>
      </c>
      <c r="AD1380" s="586">
        <f>SUM(AD1367:AD1379)</f>
        <v>7559.8256000000001</v>
      </c>
      <c r="AE1380" s="592">
        <f t="shared" si="166"/>
        <v>0</v>
      </c>
    </row>
    <row r="1381" spans="6:31" ht="24" customHeight="1">
      <c r="F1381" s="587">
        <v>2.2000000000000002</v>
      </c>
      <c r="G1381" s="585" t="s">
        <v>1</v>
      </c>
      <c r="H1381" s="573" t="s">
        <v>146</v>
      </c>
      <c r="I1381" s="575">
        <f>C12</f>
        <v>502</v>
      </c>
      <c r="J1381" s="573" t="s">
        <v>1</v>
      </c>
      <c r="K1381" s="587">
        <f t="shared" si="176"/>
        <v>1104.4000000000001</v>
      </c>
      <c r="M1381" s="587">
        <v>1.6</v>
      </c>
      <c r="N1381" s="585" t="s">
        <v>1</v>
      </c>
      <c r="O1381" s="573" t="s">
        <v>145</v>
      </c>
      <c r="P1381" s="587">
        <f>P1265</f>
        <v>718</v>
      </c>
      <c r="Q1381" s="574" t="s">
        <v>1</v>
      </c>
      <c r="R1381" s="587">
        <f>(M1381*P1381)</f>
        <v>1148.8</v>
      </c>
      <c r="T1381" s="576"/>
      <c r="U1381" s="573" t="s">
        <v>1733</v>
      </c>
      <c r="W1381" s="580"/>
      <c r="X1381" s="587">
        <v>0.23</v>
      </c>
      <c r="AE1381" s="592">
        <f t="shared" si="166"/>
        <v>0</v>
      </c>
    </row>
    <row r="1382" spans="6:31" ht="24" customHeight="1">
      <c r="F1382" s="587">
        <v>1.1000000000000001</v>
      </c>
      <c r="G1382" s="585" t="s">
        <v>1</v>
      </c>
      <c r="H1382" s="573" t="s">
        <v>147</v>
      </c>
      <c r="I1382" s="575">
        <f>C13</f>
        <v>412</v>
      </c>
      <c r="J1382" s="573" t="s">
        <v>1</v>
      </c>
      <c r="K1382" s="587">
        <f t="shared" si="176"/>
        <v>453.20000000000005</v>
      </c>
      <c r="M1382" s="587">
        <v>0.5</v>
      </c>
      <c r="N1382" s="585" t="s">
        <v>1</v>
      </c>
      <c r="O1382" s="573" t="s">
        <v>146</v>
      </c>
      <c r="P1382" s="587">
        <f>P1266</f>
        <v>502</v>
      </c>
      <c r="Q1382" s="574" t="s">
        <v>1</v>
      </c>
      <c r="R1382" s="587">
        <f>(M1382*P1382)</f>
        <v>251</v>
      </c>
      <c r="U1382" s="584" t="s">
        <v>1735</v>
      </c>
      <c r="X1382" s="586">
        <f>SUM(X1369:X1381)</f>
        <v>6940.6887999999999</v>
      </c>
      <c r="AE1382" s="592">
        <f t="shared" si="166"/>
        <v>0</v>
      </c>
    </row>
    <row r="1383" spans="6:31" ht="24" customHeight="1">
      <c r="G1383" s="585" t="s">
        <v>129</v>
      </c>
      <c r="H1383" s="573" t="s">
        <v>130</v>
      </c>
      <c r="J1383" s="573" t="s">
        <v>129</v>
      </c>
      <c r="K1383" s="587">
        <v>0</v>
      </c>
      <c r="M1383" s="587">
        <v>1.1000000000000001</v>
      </c>
      <c r="N1383" s="585" t="s">
        <v>1</v>
      </c>
      <c r="O1383" s="573" t="s">
        <v>147</v>
      </c>
      <c r="P1383" s="587">
        <f>P1267</f>
        <v>412</v>
      </c>
      <c r="Q1383" s="574" t="s">
        <v>1</v>
      </c>
      <c r="R1383" s="587">
        <f>(M1383*P1383)</f>
        <v>453.20000000000005</v>
      </c>
      <c r="Z1383" s="576"/>
      <c r="AA1383" s="729" t="s">
        <v>1742</v>
      </c>
      <c r="AC1383" s="578"/>
      <c r="AE1383" s="592">
        <f t="shared" si="166"/>
        <v>0</v>
      </c>
    </row>
    <row r="1384" spans="6:31" ht="24" customHeight="1">
      <c r="K1384" s="582" t="s">
        <v>117</v>
      </c>
      <c r="N1384" s="585" t="s">
        <v>129</v>
      </c>
      <c r="O1384" s="573" t="s">
        <v>130</v>
      </c>
      <c r="P1384" s="587"/>
      <c r="Q1384" s="574" t="s">
        <v>129</v>
      </c>
      <c r="R1384" s="587">
        <v>0.28000000000000003</v>
      </c>
      <c r="Y1384" s="652">
        <v>2.87</v>
      </c>
      <c r="Z1384" s="585" t="s">
        <v>654</v>
      </c>
      <c r="AA1384" s="573" t="s">
        <v>1711</v>
      </c>
      <c r="AB1384" s="587">
        <f>AB1367</f>
        <v>287</v>
      </c>
      <c r="AC1384" s="585" t="s">
        <v>654</v>
      </c>
      <c r="AD1384" s="587">
        <f t="shared" ref="AD1384:AD1395" si="177">AB1384*Y1384</f>
        <v>823.69</v>
      </c>
      <c r="AE1384" s="592">
        <f t="shared" si="166"/>
        <v>0</v>
      </c>
    </row>
    <row r="1385" spans="6:31" ht="24" customHeight="1">
      <c r="H1385" s="573" t="s">
        <v>153</v>
      </c>
      <c r="K1385" s="587">
        <f>SUM(K1375:K1383)</f>
        <v>8764.0280000000021</v>
      </c>
      <c r="N1385" s="576"/>
      <c r="Q1385" s="580"/>
      <c r="R1385" s="582" t="s">
        <v>117</v>
      </c>
      <c r="T1385" s="576"/>
      <c r="U1385" s="729" t="s">
        <v>1743</v>
      </c>
      <c r="W1385" s="578"/>
      <c r="Y1385" s="652">
        <v>0.56000000000000005</v>
      </c>
      <c r="Z1385" s="585" t="s">
        <v>654</v>
      </c>
      <c r="AA1385" s="573" t="s">
        <v>1711</v>
      </c>
      <c r="AB1385" s="587">
        <f t="shared" ref="AB1385:AB1395" si="178">AB1368</f>
        <v>287</v>
      </c>
      <c r="AC1385" s="585" t="s">
        <v>654</v>
      </c>
      <c r="AD1385" s="587">
        <f t="shared" si="177"/>
        <v>160.72000000000003</v>
      </c>
      <c r="AE1385" s="592">
        <f t="shared" si="166"/>
        <v>0</v>
      </c>
    </row>
    <row r="1386" spans="6:31" ht="24" customHeight="1">
      <c r="K1386" s="582" t="s">
        <v>117</v>
      </c>
      <c r="N1386" s="576"/>
      <c r="O1386" s="573" t="s">
        <v>153</v>
      </c>
      <c r="Q1386" s="580"/>
      <c r="R1386" s="587">
        <f>SUM(R1372:R1384)</f>
        <v>22518.678000000004</v>
      </c>
      <c r="S1386" s="617">
        <v>4.88</v>
      </c>
      <c r="T1386" s="585" t="s">
        <v>654</v>
      </c>
      <c r="U1386" s="573" t="s">
        <v>1711</v>
      </c>
      <c r="V1386" s="587">
        <f>V1369</f>
        <v>287</v>
      </c>
      <c r="W1386" s="585" t="s">
        <v>654</v>
      </c>
      <c r="X1386" s="587">
        <f>V1386*S1386</f>
        <v>1400.56</v>
      </c>
      <c r="Y1386" s="652">
        <v>2.98</v>
      </c>
      <c r="Z1386" s="585" t="s">
        <v>654</v>
      </c>
      <c r="AA1386" s="573" t="s">
        <v>1711</v>
      </c>
      <c r="AB1386" s="587">
        <f t="shared" si="178"/>
        <v>287</v>
      </c>
      <c r="AC1386" s="585" t="s">
        <v>654</v>
      </c>
      <c r="AD1386" s="587">
        <f t="shared" si="177"/>
        <v>855.26</v>
      </c>
      <c r="AE1386" s="592">
        <f t="shared" si="166"/>
        <v>0</v>
      </c>
    </row>
    <row r="1387" spans="6:31" ht="24" customHeight="1">
      <c r="H1387" s="589" t="s">
        <v>154</v>
      </c>
      <c r="K1387" s="586">
        <f>(K1385/10)</f>
        <v>876.40280000000018</v>
      </c>
      <c r="N1387" s="576"/>
      <c r="Q1387" s="580"/>
      <c r="R1387" s="582" t="s">
        <v>117</v>
      </c>
      <c r="S1387" s="617">
        <v>6.57</v>
      </c>
      <c r="T1387" s="585" t="s">
        <v>654</v>
      </c>
      <c r="U1387" s="573" t="s">
        <v>1711</v>
      </c>
      <c r="V1387" s="587">
        <f t="shared" ref="V1387:V1397" si="179">V1370</f>
        <v>287</v>
      </c>
      <c r="W1387" s="585" t="s">
        <v>654</v>
      </c>
      <c r="X1387" s="587">
        <f t="shared" ref="X1387:X1397" si="180">V1387*S1387</f>
        <v>1885.5900000000001</v>
      </c>
      <c r="Y1387" s="652">
        <v>0.52</v>
      </c>
      <c r="Z1387" s="585" t="s">
        <v>654</v>
      </c>
      <c r="AA1387" s="573" t="s">
        <v>1711</v>
      </c>
      <c r="AB1387" s="587">
        <f t="shared" si="178"/>
        <v>287</v>
      </c>
      <c r="AC1387" s="585" t="s">
        <v>654</v>
      </c>
      <c r="AD1387" s="587">
        <f t="shared" si="177"/>
        <v>149.24</v>
      </c>
      <c r="AE1387" s="592">
        <f t="shared" si="166"/>
        <v>0</v>
      </c>
    </row>
    <row r="1388" spans="6:31" ht="24" customHeight="1">
      <c r="K1388" s="582" t="s">
        <v>155</v>
      </c>
      <c r="N1388" s="576"/>
      <c r="O1388" s="573" t="s">
        <v>154</v>
      </c>
      <c r="Q1388" s="580"/>
      <c r="R1388" s="587">
        <f>(R1386/10)</f>
        <v>2251.8678000000004</v>
      </c>
      <c r="S1388" s="617">
        <v>11.56</v>
      </c>
      <c r="T1388" s="585" t="s">
        <v>654</v>
      </c>
      <c r="U1388" s="573" t="s">
        <v>1711</v>
      </c>
      <c r="V1388" s="587">
        <f t="shared" si="179"/>
        <v>287</v>
      </c>
      <c r="W1388" s="585" t="s">
        <v>654</v>
      </c>
      <c r="X1388" s="587">
        <f t="shared" si="180"/>
        <v>3317.7200000000003</v>
      </c>
      <c r="Y1388" s="652">
        <v>0.53300000000000003</v>
      </c>
      <c r="Z1388" s="585" t="s">
        <v>110</v>
      </c>
      <c r="AA1388" s="573" t="s">
        <v>1717</v>
      </c>
      <c r="AB1388" s="587">
        <f t="shared" si="178"/>
        <v>208.8</v>
      </c>
      <c r="AC1388" s="585" t="s">
        <v>110</v>
      </c>
      <c r="AD1388" s="587">
        <f t="shared" si="177"/>
        <v>111.29040000000001</v>
      </c>
      <c r="AE1388" s="592">
        <f t="shared" si="166"/>
        <v>0</v>
      </c>
    </row>
    <row r="1389" spans="6:31" ht="24" customHeight="1">
      <c r="K1389" s="582"/>
      <c r="N1389" s="576"/>
      <c r="Q1389" s="580"/>
      <c r="R1389" s="582" t="s">
        <v>155</v>
      </c>
      <c r="S1389" s="617">
        <v>2.0099999999999998</v>
      </c>
      <c r="T1389" s="585" t="s">
        <v>654</v>
      </c>
      <c r="U1389" s="573" t="s">
        <v>1711</v>
      </c>
      <c r="V1389" s="587">
        <f t="shared" si="179"/>
        <v>287</v>
      </c>
      <c r="W1389" s="585" t="s">
        <v>654</v>
      </c>
      <c r="X1389" s="587">
        <f t="shared" si="180"/>
        <v>576.86999999999989</v>
      </c>
      <c r="Y1389" s="652">
        <v>4.1959999999999997</v>
      </c>
      <c r="Z1389" s="585" t="s">
        <v>231</v>
      </c>
      <c r="AA1389" s="573" t="s">
        <v>1720</v>
      </c>
      <c r="AB1389" s="587">
        <f t="shared" si="178"/>
        <v>28.6</v>
      </c>
      <c r="AC1389" s="585" t="s">
        <v>231</v>
      </c>
      <c r="AD1389" s="587">
        <f t="shared" si="177"/>
        <v>120.0056</v>
      </c>
      <c r="AE1389" s="592">
        <f t="shared" si="166"/>
        <v>0</v>
      </c>
    </row>
    <row r="1390" spans="6:31" ht="24" customHeight="1">
      <c r="F1390" s="574" t="s">
        <v>1744</v>
      </c>
      <c r="G1390" s="585" t="s">
        <v>122</v>
      </c>
      <c r="H1390" s="573" t="s">
        <v>1745</v>
      </c>
      <c r="N1390" s="576"/>
      <c r="O1390" s="729" t="s">
        <v>1746</v>
      </c>
      <c r="Q1390" s="578"/>
      <c r="S1390" s="617">
        <v>1.96</v>
      </c>
      <c r="T1390" s="585" t="s">
        <v>110</v>
      </c>
      <c r="U1390" s="573" t="s">
        <v>1717</v>
      </c>
      <c r="V1390" s="587">
        <f t="shared" si="179"/>
        <v>208.8</v>
      </c>
      <c r="W1390" s="585" t="s">
        <v>110</v>
      </c>
      <c r="X1390" s="587">
        <f t="shared" si="180"/>
        <v>409.24799999999999</v>
      </c>
      <c r="Y1390" s="652">
        <v>4</v>
      </c>
      <c r="Z1390" s="585" t="s">
        <v>1</v>
      </c>
      <c r="AA1390" s="573" t="s">
        <v>1722</v>
      </c>
      <c r="AB1390" s="587">
        <f t="shared" si="178"/>
        <v>63.5</v>
      </c>
      <c r="AC1390" s="585" t="s">
        <v>1</v>
      </c>
      <c r="AD1390" s="587">
        <f t="shared" si="177"/>
        <v>254</v>
      </c>
      <c r="AE1390" s="592">
        <f t="shared" si="166"/>
        <v>0</v>
      </c>
    </row>
    <row r="1391" spans="6:31" ht="24" customHeight="1">
      <c r="H1391" s="582" t="s">
        <v>117</v>
      </c>
      <c r="M1391" s="652">
        <v>4.1849999999999996</v>
      </c>
      <c r="N1391" s="585" t="s">
        <v>654</v>
      </c>
      <c r="O1391" s="641" t="s">
        <v>1747</v>
      </c>
      <c r="P1391" s="593">
        <v>287</v>
      </c>
      <c r="Q1391" s="585" t="s">
        <v>654</v>
      </c>
      <c r="R1391" s="587">
        <f>P1391*M1391</f>
        <v>1201.0949999999998</v>
      </c>
      <c r="S1391" s="617">
        <v>16.224</v>
      </c>
      <c r="T1391" s="585" t="s">
        <v>231</v>
      </c>
      <c r="U1391" s="573" t="s">
        <v>1720</v>
      </c>
      <c r="V1391" s="587">
        <f t="shared" si="179"/>
        <v>28.6</v>
      </c>
      <c r="W1391" s="585" t="s">
        <v>231</v>
      </c>
      <c r="X1391" s="587">
        <f t="shared" si="180"/>
        <v>464.00640000000004</v>
      </c>
      <c r="Y1391" s="652">
        <v>2</v>
      </c>
      <c r="Z1391" s="585" t="s">
        <v>1</v>
      </c>
      <c r="AA1391" s="573" t="s">
        <v>1724</v>
      </c>
      <c r="AB1391" s="587">
        <f t="shared" si="178"/>
        <v>50.9</v>
      </c>
      <c r="AC1391" s="585" t="s">
        <v>1</v>
      </c>
      <c r="AD1391" s="587">
        <f t="shared" si="177"/>
        <v>101.8</v>
      </c>
      <c r="AE1391" s="592">
        <f t="shared" si="166"/>
        <v>0</v>
      </c>
    </row>
    <row r="1392" spans="6:31" ht="24" customHeight="1">
      <c r="F1392" s="587">
        <v>0.14000000000000001</v>
      </c>
      <c r="G1392" s="585" t="s">
        <v>126</v>
      </c>
      <c r="H1392" s="573" t="s">
        <v>135</v>
      </c>
      <c r="I1392" s="587">
        <f>(K49)</f>
        <v>3080.2</v>
      </c>
      <c r="J1392" s="573" t="s">
        <v>126</v>
      </c>
      <c r="K1392" s="587">
        <f>(F1392*I1392)</f>
        <v>431.22800000000001</v>
      </c>
      <c r="M1392" s="652">
        <v>4.55</v>
      </c>
      <c r="N1392" s="585" t="s">
        <v>654</v>
      </c>
      <c r="O1392" s="573" t="s">
        <v>1711</v>
      </c>
      <c r="P1392" s="587">
        <f>P1391</f>
        <v>287</v>
      </c>
      <c r="Q1392" s="585" t="s">
        <v>654</v>
      </c>
      <c r="R1392" s="587">
        <f t="shared" ref="R1392:R1402" si="181">P1392*M1392</f>
        <v>1305.8499999999999</v>
      </c>
      <c r="S1392" s="617">
        <v>16</v>
      </c>
      <c r="T1392" s="585" t="s">
        <v>1</v>
      </c>
      <c r="U1392" s="573" t="s">
        <v>1722</v>
      </c>
      <c r="V1392" s="587">
        <f t="shared" si="179"/>
        <v>63.5</v>
      </c>
      <c r="W1392" s="585" t="s">
        <v>1</v>
      </c>
      <c r="X1392" s="587">
        <f t="shared" si="180"/>
        <v>1016</v>
      </c>
      <c r="Y1392" s="652">
        <v>2</v>
      </c>
      <c r="Z1392" s="585" t="s">
        <v>1</v>
      </c>
      <c r="AA1392" s="573" t="s">
        <v>1727</v>
      </c>
      <c r="AB1392" s="587">
        <f t="shared" si="178"/>
        <v>30</v>
      </c>
      <c r="AC1392" s="585" t="s">
        <v>1</v>
      </c>
      <c r="AD1392" s="587">
        <f t="shared" si="177"/>
        <v>60</v>
      </c>
      <c r="AE1392" s="592">
        <f t="shared" si="166"/>
        <v>0</v>
      </c>
    </row>
    <row r="1393" spans="6:31" ht="24" customHeight="1">
      <c r="F1393" s="587">
        <v>1.1000000000000001</v>
      </c>
      <c r="G1393" s="585" t="s">
        <v>209</v>
      </c>
      <c r="H1393" s="573" t="s">
        <v>144</v>
      </c>
      <c r="I1393" s="587">
        <f>(C10)</f>
        <v>769</v>
      </c>
      <c r="J1393" s="573" t="s">
        <v>209</v>
      </c>
      <c r="K1393" s="587">
        <f>(F1393*I1393)</f>
        <v>845.90000000000009</v>
      </c>
      <c r="M1393" s="652">
        <v>8.66</v>
      </c>
      <c r="N1393" s="585" t="s">
        <v>654</v>
      </c>
      <c r="O1393" s="573" t="s">
        <v>1711</v>
      </c>
      <c r="P1393" s="587">
        <f>P1391</f>
        <v>287</v>
      </c>
      <c r="Q1393" s="585" t="s">
        <v>654</v>
      </c>
      <c r="R1393" s="587">
        <f t="shared" si="181"/>
        <v>2485.42</v>
      </c>
      <c r="S1393" s="617">
        <v>8</v>
      </c>
      <c r="T1393" s="585" t="s">
        <v>1</v>
      </c>
      <c r="U1393" s="573" t="s">
        <v>1724</v>
      </c>
      <c r="V1393" s="587">
        <f t="shared" si="179"/>
        <v>50.9</v>
      </c>
      <c r="W1393" s="585" t="s">
        <v>1</v>
      </c>
      <c r="X1393" s="587">
        <f t="shared" si="180"/>
        <v>407.2</v>
      </c>
      <c r="Y1393" s="652">
        <v>2</v>
      </c>
      <c r="Z1393" s="585" t="s">
        <v>1</v>
      </c>
      <c r="AA1393" s="573" t="s">
        <v>1728</v>
      </c>
      <c r="AB1393" s="587">
        <f t="shared" si="178"/>
        <v>20</v>
      </c>
      <c r="AC1393" s="585" t="s">
        <v>1</v>
      </c>
      <c r="AD1393" s="587">
        <f t="shared" si="177"/>
        <v>40</v>
      </c>
      <c r="AE1393" s="592">
        <f t="shared" si="166"/>
        <v>0</v>
      </c>
    </row>
    <row r="1394" spans="6:31" ht="24" customHeight="1">
      <c r="F1394" s="587">
        <v>0.5</v>
      </c>
      <c r="G1394" s="585" t="s">
        <v>209</v>
      </c>
      <c r="H1394" s="573" t="s">
        <v>146</v>
      </c>
      <c r="I1394" s="587">
        <f>(C12)</f>
        <v>502</v>
      </c>
      <c r="J1394" s="573" t="s">
        <v>209</v>
      </c>
      <c r="K1394" s="587">
        <f>(F1394*I1394)</f>
        <v>251</v>
      </c>
      <c r="M1394" s="652">
        <v>1.51</v>
      </c>
      <c r="N1394" s="585" t="s">
        <v>654</v>
      </c>
      <c r="O1394" s="573" t="s">
        <v>1711</v>
      </c>
      <c r="P1394" s="587">
        <f>P1391</f>
        <v>287</v>
      </c>
      <c r="Q1394" s="585" t="s">
        <v>654</v>
      </c>
      <c r="R1394" s="587">
        <f t="shared" si="181"/>
        <v>433.37</v>
      </c>
      <c r="S1394" s="617">
        <v>8</v>
      </c>
      <c r="T1394" s="585" t="s">
        <v>1</v>
      </c>
      <c r="U1394" s="573" t="s">
        <v>1727</v>
      </c>
      <c r="V1394" s="587">
        <f t="shared" si="179"/>
        <v>30</v>
      </c>
      <c r="W1394" s="585" t="s">
        <v>1</v>
      </c>
      <c r="X1394" s="587">
        <f t="shared" si="180"/>
        <v>240</v>
      </c>
      <c r="Y1394" s="652">
        <v>4</v>
      </c>
      <c r="Z1394" s="585" t="s">
        <v>1</v>
      </c>
      <c r="AA1394" s="573" t="s">
        <v>1730</v>
      </c>
      <c r="AB1394" s="587">
        <f t="shared" si="178"/>
        <v>15</v>
      </c>
      <c r="AC1394" s="585" t="s">
        <v>1</v>
      </c>
      <c r="AD1394" s="587">
        <f t="shared" si="177"/>
        <v>60</v>
      </c>
      <c r="AE1394" s="592">
        <f t="shared" si="166"/>
        <v>0</v>
      </c>
    </row>
    <row r="1395" spans="6:31" ht="24" customHeight="1">
      <c r="F1395" s="587">
        <v>1.1000000000000001</v>
      </c>
      <c r="G1395" s="585" t="s">
        <v>209</v>
      </c>
      <c r="H1395" s="573" t="s">
        <v>147</v>
      </c>
      <c r="I1395" s="587">
        <f>(C13)</f>
        <v>412</v>
      </c>
      <c r="J1395" s="573" t="s">
        <v>209</v>
      </c>
      <c r="K1395" s="587">
        <f>(F1395*I1395)</f>
        <v>453.20000000000005</v>
      </c>
      <c r="M1395" s="652">
        <v>1.462</v>
      </c>
      <c r="N1395" s="585" t="s">
        <v>110</v>
      </c>
      <c r="O1395" s="641" t="s">
        <v>1717</v>
      </c>
      <c r="P1395" s="615">
        <v>208.8</v>
      </c>
      <c r="Q1395" s="585" t="s">
        <v>110</v>
      </c>
      <c r="R1395" s="587">
        <f t="shared" si="181"/>
        <v>305.26560000000001</v>
      </c>
      <c r="S1395" s="617">
        <v>8</v>
      </c>
      <c r="T1395" s="585" t="s">
        <v>1</v>
      </c>
      <c r="U1395" s="573" t="s">
        <v>1728</v>
      </c>
      <c r="V1395" s="587">
        <f t="shared" si="179"/>
        <v>20</v>
      </c>
      <c r="W1395" s="585" t="s">
        <v>1</v>
      </c>
      <c r="X1395" s="587">
        <f t="shared" si="180"/>
        <v>160</v>
      </c>
      <c r="Y1395" s="652">
        <v>0.67500000000000004</v>
      </c>
      <c r="Z1395" s="585" t="s">
        <v>174</v>
      </c>
      <c r="AA1395" s="573" t="s">
        <v>1731</v>
      </c>
      <c r="AB1395" s="587">
        <f t="shared" si="178"/>
        <v>1540</v>
      </c>
      <c r="AC1395" s="585" t="s">
        <v>174</v>
      </c>
      <c r="AD1395" s="587">
        <f t="shared" si="177"/>
        <v>1039.5</v>
      </c>
      <c r="AE1395" s="592">
        <f t="shared" si="166"/>
        <v>0</v>
      </c>
    </row>
    <row r="1396" spans="6:31" ht="24" customHeight="1">
      <c r="G1396" s="585" t="s">
        <v>129</v>
      </c>
      <c r="H1396" s="573" t="s">
        <v>130</v>
      </c>
      <c r="I1396" s="573" t="s">
        <v>115</v>
      </c>
      <c r="J1396" s="573" t="s">
        <v>129</v>
      </c>
      <c r="K1396" s="587">
        <v>5</v>
      </c>
      <c r="M1396" s="652">
        <v>12.144</v>
      </c>
      <c r="N1396" s="585" t="s">
        <v>231</v>
      </c>
      <c r="O1396" s="641" t="s">
        <v>1748</v>
      </c>
      <c r="P1396" s="593">
        <v>28.6</v>
      </c>
      <c r="Q1396" s="585" t="s">
        <v>231</v>
      </c>
      <c r="R1396" s="587">
        <f t="shared" si="181"/>
        <v>347.3184</v>
      </c>
      <c r="S1396" s="617">
        <v>4</v>
      </c>
      <c r="T1396" s="585" t="s">
        <v>1</v>
      </c>
      <c r="U1396" s="573" t="s">
        <v>1730</v>
      </c>
      <c r="V1396" s="587">
        <f t="shared" si="179"/>
        <v>15</v>
      </c>
      <c r="W1396" s="585" t="s">
        <v>1</v>
      </c>
      <c r="X1396" s="587">
        <f t="shared" si="180"/>
        <v>60</v>
      </c>
      <c r="Z1396" s="576"/>
      <c r="AA1396" s="573" t="s">
        <v>1733</v>
      </c>
      <c r="AC1396" s="580"/>
      <c r="AD1396" s="587">
        <v>0.39</v>
      </c>
      <c r="AE1396" s="592">
        <f t="shared" si="166"/>
        <v>0</v>
      </c>
    </row>
    <row r="1397" spans="6:31" ht="24" customHeight="1">
      <c r="K1397" s="582" t="s">
        <v>117</v>
      </c>
      <c r="M1397" s="652">
        <v>12</v>
      </c>
      <c r="N1397" s="585" t="s">
        <v>1</v>
      </c>
      <c r="O1397" s="641" t="s">
        <v>1749</v>
      </c>
      <c r="P1397" s="593">
        <v>63.5</v>
      </c>
      <c r="Q1397" s="585" t="s">
        <v>1</v>
      </c>
      <c r="R1397" s="587">
        <f t="shared" si="181"/>
        <v>762</v>
      </c>
      <c r="S1397" s="617">
        <v>2.4300000000000002</v>
      </c>
      <c r="T1397" s="585" t="s">
        <v>174</v>
      </c>
      <c r="U1397" s="573" t="s">
        <v>1731</v>
      </c>
      <c r="V1397" s="587">
        <f t="shared" si="179"/>
        <v>1540</v>
      </c>
      <c r="W1397" s="585" t="s">
        <v>174</v>
      </c>
      <c r="X1397" s="587">
        <f t="shared" si="180"/>
        <v>3742.2000000000003</v>
      </c>
      <c r="AA1397" s="584" t="s">
        <v>1735</v>
      </c>
      <c r="AD1397" s="586">
        <f>SUM(AD1384:AD1396)</f>
        <v>3775.8960000000002</v>
      </c>
      <c r="AE1397" s="592">
        <f t="shared" si="166"/>
        <v>0</v>
      </c>
    </row>
    <row r="1398" spans="6:31" ht="24" customHeight="1">
      <c r="H1398" s="573" t="s">
        <v>153</v>
      </c>
      <c r="K1398" s="587">
        <f>SUM(K1392:K1396)</f>
        <v>1986.3280000000002</v>
      </c>
      <c r="M1398" s="652">
        <v>6</v>
      </c>
      <c r="N1398" s="585" t="s">
        <v>1</v>
      </c>
      <c r="O1398" s="641" t="s">
        <v>1750</v>
      </c>
      <c r="P1398" s="629">
        <f>P1094</f>
        <v>50.9</v>
      </c>
      <c r="Q1398" s="585" t="s">
        <v>1</v>
      </c>
      <c r="R1398" s="587">
        <f t="shared" si="181"/>
        <v>305.39999999999998</v>
      </c>
      <c r="T1398" s="576"/>
      <c r="U1398" s="573" t="s">
        <v>1733</v>
      </c>
      <c r="W1398" s="580"/>
      <c r="X1398" s="587"/>
      <c r="AE1398" s="592">
        <f t="shared" si="166"/>
        <v>0</v>
      </c>
    </row>
    <row r="1399" spans="6:31" ht="24" customHeight="1">
      <c r="K1399" s="582" t="s">
        <v>117</v>
      </c>
      <c r="M1399" s="652">
        <v>6</v>
      </c>
      <c r="N1399" s="585" t="s">
        <v>1</v>
      </c>
      <c r="O1399" s="573" t="s">
        <v>1751</v>
      </c>
      <c r="P1399" s="587">
        <v>30</v>
      </c>
      <c r="Q1399" s="585" t="s">
        <v>1</v>
      </c>
      <c r="R1399" s="587">
        <f t="shared" si="181"/>
        <v>180</v>
      </c>
      <c r="U1399" s="584" t="s">
        <v>1735</v>
      </c>
      <c r="X1399" s="586">
        <f>SUM(X1386:X1398)</f>
        <v>13679.394400000001</v>
      </c>
      <c r="Z1399" s="576"/>
      <c r="AA1399" s="729" t="s">
        <v>1752</v>
      </c>
      <c r="AC1399" s="578"/>
      <c r="AE1399" s="592">
        <f t="shared" si="166"/>
        <v>0</v>
      </c>
    </row>
    <row r="1400" spans="6:31" ht="24" customHeight="1">
      <c r="H1400" s="589" t="s">
        <v>154</v>
      </c>
      <c r="K1400" s="586">
        <f>(K1398/10)</f>
        <v>198.63280000000003</v>
      </c>
      <c r="M1400" s="652">
        <v>6</v>
      </c>
      <c r="N1400" s="585" t="s">
        <v>1</v>
      </c>
      <c r="O1400" s="573" t="s">
        <v>1728</v>
      </c>
      <c r="P1400" s="587">
        <v>20</v>
      </c>
      <c r="Q1400" s="585" t="s">
        <v>1</v>
      </c>
      <c r="R1400" s="587">
        <f t="shared" si="181"/>
        <v>120</v>
      </c>
      <c r="Y1400" s="652">
        <v>2.33</v>
      </c>
      <c r="Z1400" s="585" t="s">
        <v>654</v>
      </c>
      <c r="AA1400" s="573" t="s">
        <v>1711</v>
      </c>
      <c r="AB1400" s="587">
        <f t="shared" ref="AB1400:AB1411" si="182">V1402</f>
        <v>287</v>
      </c>
      <c r="AC1400" s="585" t="s">
        <v>654</v>
      </c>
      <c r="AD1400" s="587">
        <f t="shared" ref="AD1400:AD1411" si="183">AB1400*Y1400</f>
        <v>668.71</v>
      </c>
      <c r="AE1400" s="592">
        <f t="shared" si="166"/>
        <v>0</v>
      </c>
    </row>
    <row r="1401" spans="6:31" ht="24" customHeight="1">
      <c r="F1401" s="573" t="s">
        <v>115</v>
      </c>
      <c r="M1401" s="652">
        <v>4</v>
      </c>
      <c r="N1401" s="585" t="s">
        <v>1</v>
      </c>
      <c r="O1401" s="573" t="s">
        <v>1730</v>
      </c>
      <c r="P1401" s="587">
        <v>15</v>
      </c>
      <c r="Q1401" s="585" t="s">
        <v>1</v>
      </c>
      <c r="R1401" s="587">
        <f t="shared" si="181"/>
        <v>60</v>
      </c>
      <c r="T1401" s="576"/>
      <c r="U1401" s="729" t="s">
        <v>1753</v>
      </c>
      <c r="W1401" s="578"/>
      <c r="Y1401" s="652">
        <v>0.67</v>
      </c>
      <c r="Z1401" s="585" t="s">
        <v>654</v>
      </c>
      <c r="AA1401" s="573" t="s">
        <v>1711</v>
      </c>
      <c r="AB1401" s="587">
        <f t="shared" si="182"/>
        <v>287</v>
      </c>
      <c r="AC1401" s="585" t="s">
        <v>654</v>
      </c>
      <c r="AD1401" s="587">
        <f t="shared" si="183"/>
        <v>192.29000000000002</v>
      </c>
      <c r="AE1401" s="592">
        <f t="shared" si="166"/>
        <v>0</v>
      </c>
    </row>
    <row r="1402" spans="6:31" ht="24" customHeight="1">
      <c r="K1402" s="582" t="s">
        <v>155</v>
      </c>
      <c r="M1402" s="652">
        <v>1.823</v>
      </c>
      <c r="N1402" s="585" t="s">
        <v>174</v>
      </c>
      <c r="O1402" s="573" t="s">
        <v>1731</v>
      </c>
      <c r="P1402" s="575">
        <f>ROUND(AE17+AE11+(AE20*0.5),2)</f>
        <v>1540</v>
      </c>
      <c r="Q1402" s="585" t="s">
        <v>174</v>
      </c>
      <c r="R1402" s="587">
        <f t="shared" si="181"/>
        <v>2807.42</v>
      </c>
      <c r="S1402" s="617">
        <f>8*0.775</f>
        <v>6.2</v>
      </c>
      <c r="T1402" s="585" t="s">
        <v>654</v>
      </c>
      <c r="U1402" s="573" t="s">
        <v>1711</v>
      </c>
      <c r="V1402" s="587">
        <f>V1386</f>
        <v>287</v>
      </c>
      <c r="W1402" s="585" t="s">
        <v>654</v>
      </c>
      <c r="X1402" s="587">
        <f>V1402*S1402</f>
        <v>1779.4</v>
      </c>
      <c r="Y1402" s="652">
        <v>2.65</v>
      </c>
      <c r="Z1402" s="585" t="s">
        <v>654</v>
      </c>
      <c r="AA1402" s="573" t="s">
        <v>1711</v>
      </c>
      <c r="AB1402" s="587">
        <f t="shared" si="182"/>
        <v>287</v>
      </c>
      <c r="AC1402" s="585" t="s">
        <v>654</v>
      </c>
      <c r="AD1402" s="587">
        <f t="shared" si="183"/>
        <v>760.55</v>
      </c>
      <c r="AE1402" s="592">
        <f t="shared" si="166"/>
        <v>0</v>
      </c>
    </row>
    <row r="1403" spans="6:31" ht="24" customHeight="1">
      <c r="F1403" s="574" t="s">
        <v>1754</v>
      </c>
      <c r="G1403" s="585" t="s">
        <v>122</v>
      </c>
      <c r="H1403" s="573" t="s">
        <v>1755</v>
      </c>
      <c r="N1403" s="576"/>
      <c r="O1403" s="573" t="s">
        <v>1733</v>
      </c>
      <c r="Q1403" s="580"/>
      <c r="R1403" s="587">
        <v>0.51</v>
      </c>
      <c r="S1403" s="617">
        <f>8.4*1.123</f>
        <v>9.4332000000000011</v>
      </c>
      <c r="T1403" s="585" t="s">
        <v>654</v>
      </c>
      <c r="U1403" s="573" t="s">
        <v>1711</v>
      </c>
      <c r="V1403" s="587">
        <f t="shared" ref="V1403:V1413" si="184">V1387</f>
        <v>287</v>
      </c>
      <c r="W1403" s="585" t="s">
        <v>654</v>
      </c>
      <c r="X1403" s="587">
        <f t="shared" ref="X1403:X1413" si="185">V1403*S1403</f>
        <v>2707.3284000000003</v>
      </c>
      <c r="Y1403" s="652">
        <v>0.46</v>
      </c>
      <c r="Z1403" s="585" t="s">
        <v>654</v>
      </c>
      <c r="AA1403" s="573" t="s">
        <v>1711</v>
      </c>
      <c r="AB1403" s="587">
        <f t="shared" si="182"/>
        <v>287</v>
      </c>
      <c r="AC1403" s="585" t="s">
        <v>654</v>
      </c>
      <c r="AD1403" s="587">
        <f t="shared" si="183"/>
        <v>132.02000000000001</v>
      </c>
      <c r="AE1403" s="592">
        <f t="shared" si="166"/>
        <v>0</v>
      </c>
    </row>
    <row r="1404" spans="6:31" ht="24" customHeight="1">
      <c r="H1404" s="582" t="s">
        <v>117</v>
      </c>
      <c r="L1404" s="575">
        <f>5.85*1.123</f>
        <v>6.5695499999999996</v>
      </c>
      <c r="R1404" s="586">
        <f>SUM(R1391:R1403)</f>
        <v>10313.648999999999</v>
      </c>
      <c r="S1404" s="617">
        <f>24.24*0.663</f>
        <v>16.071120000000001</v>
      </c>
      <c r="T1404" s="585" t="s">
        <v>654</v>
      </c>
      <c r="U1404" s="573" t="s">
        <v>1711</v>
      </c>
      <c r="V1404" s="587">
        <f t="shared" si="184"/>
        <v>287</v>
      </c>
      <c r="W1404" s="585" t="s">
        <v>654</v>
      </c>
      <c r="X1404" s="587">
        <f t="shared" si="185"/>
        <v>4612.4114399999999</v>
      </c>
      <c r="Y1404" s="652">
        <v>0.41699999999999998</v>
      </c>
      <c r="Z1404" s="585" t="s">
        <v>110</v>
      </c>
      <c r="AA1404" s="573" t="s">
        <v>1717</v>
      </c>
      <c r="AB1404" s="587">
        <f t="shared" si="182"/>
        <v>208.8</v>
      </c>
      <c r="AC1404" s="585" t="s">
        <v>110</v>
      </c>
      <c r="AD1404" s="587">
        <f t="shared" si="183"/>
        <v>87.069599999999994</v>
      </c>
      <c r="AE1404" s="592">
        <f t="shared" si="166"/>
        <v>0</v>
      </c>
    </row>
    <row r="1405" spans="6:31" ht="24" customHeight="1">
      <c r="F1405" s="587">
        <v>0.14000000000000001</v>
      </c>
      <c r="G1405" s="585" t="s">
        <v>126</v>
      </c>
      <c r="H1405" s="573" t="s">
        <v>134</v>
      </c>
      <c r="I1405" s="587">
        <f>(K40)</f>
        <v>3497.8</v>
      </c>
      <c r="J1405" s="573" t="s">
        <v>126</v>
      </c>
      <c r="K1405" s="587">
        <f>(F1405*I1405)</f>
        <v>489.69200000000006</v>
      </c>
      <c r="O1405" s="766"/>
      <c r="S1405" s="617">
        <f>23.02*0.124</f>
        <v>2.8544800000000001</v>
      </c>
      <c r="T1405" s="585" t="s">
        <v>654</v>
      </c>
      <c r="U1405" s="573" t="s">
        <v>1711</v>
      </c>
      <c r="V1405" s="587">
        <f t="shared" si="184"/>
        <v>287</v>
      </c>
      <c r="W1405" s="585" t="s">
        <v>654</v>
      </c>
      <c r="X1405" s="587">
        <f t="shared" si="185"/>
        <v>819.23576000000003</v>
      </c>
      <c r="Y1405" s="652">
        <v>3.6960000000000002</v>
      </c>
      <c r="Z1405" s="585" t="s">
        <v>231</v>
      </c>
      <c r="AA1405" s="573" t="s">
        <v>1720</v>
      </c>
      <c r="AB1405" s="587">
        <f t="shared" si="182"/>
        <v>28.6</v>
      </c>
      <c r="AC1405" s="585" t="s">
        <v>231</v>
      </c>
      <c r="AD1405" s="587">
        <f t="shared" si="183"/>
        <v>105.7056</v>
      </c>
      <c r="AE1405" s="592">
        <f t="shared" si="166"/>
        <v>0</v>
      </c>
    </row>
    <row r="1406" spans="6:31" ht="24" customHeight="1">
      <c r="F1406" s="587">
        <v>1.1000000000000001</v>
      </c>
      <c r="G1406" s="585" t="s">
        <v>209</v>
      </c>
      <c r="H1406" s="573" t="s">
        <v>144</v>
      </c>
      <c r="I1406" s="587">
        <f>(C10)</f>
        <v>769</v>
      </c>
      <c r="J1406" s="573" t="s">
        <v>209</v>
      </c>
      <c r="K1406" s="587">
        <f>(F1406*I1406)</f>
        <v>845.90000000000009</v>
      </c>
      <c r="S1406" s="617">
        <f>3.31</f>
        <v>3.31</v>
      </c>
      <c r="T1406" s="585" t="s">
        <v>110</v>
      </c>
      <c r="U1406" s="573" t="s">
        <v>1717</v>
      </c>
      <c r="V1406" s="587">
        <f t="shared" si="184"/>
        <v>208.8</v>
      </c>
      <c r="W1406" s="585" t="s">
        <v>110</v>
      </c>
      <c r="X1406" s="587">
        <f t="shared" si="185"/>
        <v>691.12800000000004</v>
      </c>
      <c r="Y1406" s="652">
        <v>4</v>
      </c>
      <c r="Z1406" s="585" t="s">
        <v>1</v>
      </c>
      <c r="AA1406" s="573" t="s">
        <v>1722</v>
      </c>
      <c r="AB1406" s="587">
        <f t="shared" si="182"/>
        <v>63.5</v>
      </c>
      <c r="AC1406" s="585" t="s">
        <v>1</v>
      </c>
      <c r="AD1406" s="587">
        <f t="shared" si="183"/>
        <v>254</v>
      </c>
      <c r="AE1406" s="592">
        <f t="shared" ref="AE1406:AE1469" si="186">AG1406</f>
        <v>0</v>
      </c>
    </row>
    <row r="1407" spans="6:31" ht="24" customHeight="1">
      <c r="F1407" s="587">
        <v>0.5</v>
      </c>
      <c r="G1407" s="585" t="s">
        <v>209</v>
      </c>
      <c r="H1407" s="573" t="s">
        <v>146</v>
      </c>
      <c r="I1407" s="587">
        <f>(C12)</f>
        <v>502</v>
      </c>
      <c r="J1407" s="573" t="s">
        <v>209</v>
      </c>
      <c r="K1407" s="587">
        <f>(F1407*I1407)</f>
        <v>251</v>
      </c>
      <c r="N1407" s="576"/>
      <c r="O1407" s="729" t="s">
        <v>1756</v>
      </c>
      <c r="Q1407" s="578"/>
      <c r="S1407" s="617">
        <v>23.02</v>
      </c>
      <c r="T1407" s="585" t="s">
        <v>231</v>
      </c>
      <c r="U1407" s="573" t="s">
        <v>1720</v>
      </c>
      <c r="V1407" s="587">
        <f t="shared" si="184"/>
        <v>28.6</v>
      </c>
      <c r="W1407" s="585" t="s">
        <v>231</v>
      </c>
      <c r="X1407" s="587">
        <f t="shared" si="185"/>
        <v>658.37200000000007</v>
      </c>
      <c r="Y1407" s="652">
        <v>2</v>
      </c>
      <c r="Z1407" s="585" t="s">
        <v>1</v>
      </c>
      <c r="AA1407" s="573" t="s">
        <v>1724</v>
      </c>
      <c r="AB1407" s="587">
        <f t="shared" si="182"/>
        <v>50.9</v>
      </c>
      <c r="AC1407" s="585" t="s">
        <v>1</v>
      </c>
      <c r="AD1407" s="587">
        <f t="shared" si="183"/>
        <v>101.8</v>
      </c>
      <c r="AE1407" s="592">
        <f t="shared" si="186"/>
        <v>0</v>
      </c>
    </row>
    <row r="1408" spans="6:31" ht="24" customHeight="1">
      <c r="F1408" s="587">
        <v>1.1000000000000001</v>
      </c>
      <c r="G1408" s="585" t="s">
        <v>209</v>
      </c>
      <c r="H1408" s="573" t="s">
        <v>147</v>
      </c>
      <c r="I1408" s="587">
        <f>(C13)</f>
        <v>412</v>
      </c>
      <c r="J1408" s="573" t="s">
        <v>209</v>
      </c>
      <c r="K1408" s="587">
        <f>(F1408*I1408)</f>
        <v>453.20000000000005</v>
      </c>
      <c r="M1408" s="652">
        <v>3.95</v>
      </c>
      <c r="N1408" s="585" t="s">
        <v>654</v>
      </c>
      <c r="O1408" s="641" t="s">
        <v>1757</v>
      </c>
      <c r="P1408" s="587">
        <f>P1391</f>
        <v>287</v>
      </c>
      <c r="Q1408" s="585" t="s">
        <v>654</v>
      </c>
      <c r="R1408" s="587">
        <f>P1408*M1408</f>
        <v>1133.6500000000001</v>
      </c>
      <c r="S1408" s="617">
        <v>16</v>
      </c>
      <c r="T1408" s="585" t="s">
        <v>1</v>
      </c>
      <c r="U1408" s="573" t="s">
        <v>1722</v>
      </c>
      <c r="V1408" s="587">
        <f t="shared" si="184"/>
        <v>63.5</v>
      </c>
      <c r="W1408" s="585" t="s">
        <v>1</v>
      </c>
      <c r="X1408" s="587">
        <f t="shared" si="185"/>
        <v>1016</v>
      </c>
      <c r="Y1408" s="652">
        <v>2</v>
      </c>
      <c r="Z1408" s="585" t="s">
        <v>1</v>
      </c>
      <c r="AA1408" s="573" t="s">
        <v>1727</v>
      </c>
      <c r="AB1408" s="587">
        <f t="shared" si="182"/>
        <v>30</v>
      </c>
      <c r="AC1408" s="585" t="s">
        <v>1</v>
      </c>
      <c r="AD1408" s="587">
        <f t="shared" si="183"/>
        <v>60</v>
      </c>
      <c r="AE1408" s="592">
        <f t="shared" si="186"/>
        <v>0</v>
      </c>
    </row>
    <row r="1409" spans="6:31" ht="24" customHeight="1">
      <c r="G1409" s="585" t="s">
        <v>129</v>
      </c>
      <c r="H1409" s="573" t="s">
        <v>130</v>
      </c>
      <c r="I1409" s="573" t="s">
        <v>115</v>
      </c>
      <c r="J1409" s="573" t="s">
        <v>129</v>
      </c>
      <c r="K1409" s="587">
        <v>5</v>
      </c>
      <c r="M1409" s="652">
        <v>2.86</v>
      </c>
      <c r="N1409" s="585" t="s">
        <v>654</v>
      </c>
      <c r="O1409" s="573" t="s">
        <v>1711</v>
      </c>
      <c r="P1409" s="587">
        <f t="shared" ref="P1409:P1419" si="187">P1392</f>
        <v>287</v>
      </c>
      <c r="Q1409" s="585" t="s">
        <v>654</v>
      </c>
      <c r="R1409" s="587">
        <f t="shared" ref="R1409:R1419" si="188">P1409*M1409</f>
        <v>820.81999999999994</v>
      </c>
      <c r="S1409" s="617">
        <v>8</v>
      </c>
      <c r="T1409" s="585" t="s">
        <v>1</v>
      </c>
      <c r="U1409" s="573" t="s">
        <v>1724</v>
      </c>
      <c r="V1409" s="587">
        <f t="shared" si="184"/>
        <v>50.9</v>
      </c>
      <c r="W1409" s="585" t="s">
        <v>1</v>
      </c>
      <c r="X1409" s="587">
        <f t="shared" si="185"/>
        <v>407.2</v>
      </c>
      <c r="Y1409" s="652">
        <v>2</v>
      </c>
      <c r="Z1409" s="585" t="s">
        <v>1</v>
      </c>
      <c r="AA1409" s="573" t="s">
        <v>1728</v>
      </c>
      <c r="AB1409" s="587">
        <f t="shared" si="182"/>
        <v>20</v>
      </c>
      <c r="AC1409" s="585" t="s">
        <v>1</v>
      </c>
      <c r="AD1409" s="587">
        <f t="shared" si="183"/>
        <v>40</v>
      </c>
      <c r="AE1409" s="592">
        <f t="shared" si="186"/>
        <v>0</v>
      </c>
    </row>
    <row r="1410" spans="6:31" ht="24" customHeight="1">
      <c r="G1410" s="585"/>
      <c r="H1410" s="573"/>
      <c r="I1410" s="573"/>
      <c r="J1410" s="573"/>
      <c r="K1410" s="587"/>
      <c r="M1410" s="652">
        <v>6.55</v>
      </c>
      <c r="N1410" s="585" t="s">
        <v>654</v>
      </c>
      <c r="O1410" s="573" t="s">
        <v>1711</v>
      </c>
      <c r="P1410" s="587">
        <f t="shared" si="187"/>
        <v>287</v>
      </c>
      <c r="Q1410" s="585" t="s">
        <v>654</v>
      </c>
      <c r="R1410" s="587">
        <f t="shared" si="188"/>
        <v>1879.85</v>
      </c>
      <c r="S1410" s="617">
        <v>8</v>
      </c>
      <c r="T1410" s="585" t="s">
        <v>1</v>
      </c>
      <c r="U1410" s="573" t="s">
        <v>1727</v>
      </c>
      <c r="V1410" s="587">
        <f t="shared" si="184"/>
        <v>30</v>
      </c>
      <c r="W1410" s="585" t="s">
        <v>1</v>
      </c>
      <c r="X1410" s="587">
        <f t="shared" si="185"/>
        <v>240</v>
      </c>
      <c r="Y1410" s="652">
        <v>2</v>
      </c>
      <c r="Z1410" s="585" t="s">
        <v>1</v>
      </c>
      <c r="AA1410" s="573" t="s">
        <v>1730</v>
      </c>
      <c r="AB1410" s="587">
        <f t="shared" si="182"/>
        <v>15</v>
      </c>
      <c r="AC1410" s="585" t="s">
        <v>1</v>
      </c>
      <c r="AD1410" s="587">
        <f t="shared" si="183"/>
        <v>30</v>
      </c>
      <c r="AE1410" s="592">
        <f t="shared" si="186"/>
        <v>0</v>
      </c>
    </row>
    <row r="1411" spans="6:31" ht="24" customHeight="1">
      <c r="K1411" s="582" t="s">
        <v>117</v>
      </c>
      <c r="M1411" s="652">
        <v>1.1499999999999999</v>
      </c>
      <c r="N1411" s="585" t="s">
        <v>654</v>
      </c>
      <c r="O1411" s="573" t="s">
        <v>1711</v>
      </c>
      <c r="P1411" s="587">
        <f t="shared" si="187"/>
        <v>287</v>
      </c>
      <c r="Q1411" s="585" t="s">
        <v>654</v>
      </c>
      <c r="R1411" s="587">
        <f t="shared" si="188"/>
        <v>330.04999999999995</v>
      </c>
      <c r="S1411" s="617">
        <v>8</v>
      </c>
      <c r="T1411" s="585" t="s">
        <v>1</v>
      </c>
      <c r="U1411" s="573" t="s">
        <v>1728</v>
      </c>
      <c r="V1411" s="587">
        <f t="shared" si="184"/>
        <v>20</v>
      </c>
      <c r="W1411" s="585" t="s">
        <v>1</v>
      </c>
      <c r="X1411" s="587">
        <f t="shared" si="185"/>
        <v>160</v>
      </c>
      <c r="Y1411" s="652">
        <v>0.54</v>
      </c>
      <c r="Z1411" s="585" t="s">
        <v>174</v>
      </c>
      <c r="AA1411" s="573" t="s">
        <v>1731</v>
      </c>
      <c r="AB1411" s="587">
        <f t="shared" si="182"/>
        <v>1540</v>
      </c>
      <c r="AC1411" s="585" t="s">
        <v>174</v>
      </c>
      <c r="AD1411" s="587">
        <f t="shared" si="183"/>
        <v>831.6</v>
      </c>
      <c r="AE1411" s="592">
        <f t="shared" si="186"/>
        <v>0</v>
      </c>
    </row>
    <row r="1412" spans="6:31" ht="24" customHeight="1">
      <c r="H1412" s="573" t="s">
        <v>153</v>
      </c>
      <c r="K1412" s="587">
        <f>SUM(K1405:K1409)</f>
        <v>2044.7920000000001</v>
      </c>
      <c r="L1412" s="575">
        <f>SUM(K1433:K1436)</f>
        <v>2137.232</v>
      </c>
      <c r="M1412" s="652">
        <v>1.3380000000000001</v>
      </c>
      <c r="N1412" s="585" t="s">
        <v>110</v>
      </c>
      <c r="O1412" s="573" t="s">
        <v>1717</v>
      </c>
      <c r="P1412" s="587">
        <f t="shared" si="187"/>
        <v>208.8</v>
      </c>
      <c r="Q1412" s="585" t="s">
        <v>110</v>
      </c>
      <c r="R1412" s="587">
        <f t="shared" si="188"/>
        <v>279.37440000000004</v>
      </c>
      <c r="S1412" s="617">
        <v>4</v>
      </c>
      <c r="T1412" s="585" t="s">
        <v>1</v>
      </c>
      <c r="U1412" s="573" t="s">
        <v>1730</v>
      </c>
      <c r="V1412" s="587">
        <f t="shared" si="184"/>
        <v>15</v>
      </c>
      <c r="W1412" s="585" t="s">
        <v>1</v>
      </c>
      <c r="X1412" s="587">
        <f t="shared" si="185"/>
        <v>60</v>
      </c>
      <c r="Z1412" s="576"/>
      <c r="AA1412" s="573" t="s">
        <v>1733</v>
      </c>
      <c r="AC1412" s="580"/>
      <c r="AD1412" s="587">
        <v>0.7</v>
      </c>
      <c r="AE1412" s="592">
        <f t="shared" si="186"/>
        <v>0</v>
      </c>
    </row>
    <row r="1413" spans="6:31" ht="24" customHeight="1">
      <c r="K1413" s="582" t="s">
        <v>117</v>
      </c>
      <c r="M1413" s="652">
        <v>9.2720000000000002</v>
      </c>
      <c r="N1413" s="585" t="s">
        <v>231</v>
      </c>
      <c r="O1413" s="641" t="s">
        <v>1758</v>
      </c>
      <c r="P1413" s="587">
        <f t="shared" si="187"/>
        <v>28.6</v>
      </c>
      <c r="Q1413" s="585" t="s">
        <v>231</v>
      </c>
      <c r="R1413" s="587">
        <f t="shared" si="188"/>
        <v>265.17920000000004</v>
      </c>
      <c r="S1413" s="617">
        <v>3.96</v>
      </c>
      <c r="T1413" s="585" t="s">
        <v>174</v>
      </c>
      <c r="U1413" s="573" t="s">
        <v>1731</v>
      </c>
      <c r="V1413" s="587">
        <f t="shared" si="184"/>
        <v>1540</v>
      </c>
      <c r="W1413" s="585" t="s">
        <v>174</v>
      </c>
      <c r="X1413" s="587">
        <f t="shared" si="185"/>
        <v>6098.4</v>
      </c>
      <c r="AA1413" s="584" t="s">
        <v>1735</v>
      </c>
      <c r="AD1413" s="586">
        <f>SUM(AD1400:AD1412)</f>
        <v>3264.4451999999997</v>
      </c>
      <c r="AE1413" s="592">
        <f t="shared" si="186"/>
        <v>0</v>
      </c>
    </row>
    <row r="1414" spans="6:31" ht="24" customHeight="1">
      <c r="H1414" s="589" t="s">
        <v>154</v>
      </c>
      <c r="K1414" s="586">
        <f>(K1412/10)</f>
        <v>204.47920000000002</v>
      </c>
      <c r="M1414" s="652">
        <v>8</v>
      </c>
      <c r="N1414" s="585" t="s">
        <v>1</v>
      </c>
      <c r="O1414" s="641" t="s">
        <v>1759</v>
      </c>
      <c r="P1414" s="587">
        <f t="shared" si="187"/>
        <v>63.5</v>
      </c>
      <c r="Q1414" s="585" t="s">
        <v>1</v>
      </c>
      <c r="R1414" s="587">
        <f t="shared" si="188"/>
        <v>508</v>
      </c>
      <c r="T1414" s="576"/>
      <c r="U1414" s="573" t="s">
        <v>1733</v>
      </c>
      <c r="W1414" s="580"/>
      <c r="X1414" s="587">
        <v>0.09</v>
      </c>
      <c r="AE1414" s="592">
        <f t="shared" si="186"/>
        <v>0</v>
      </c>
    </row>
    <row r="1415" spans="6:31" ht="24" customHeight="1">
      <c r="K1415" s="582" t="s">
        <v>155</v>
      </c>
      <c r="M1415" s="652">
        <v>4</v>
      </c>
      <c r="N1415" s="585" t="s">
        <v>1</v>
      </c>
      <c r="O1415" s="641" t="s">
        <v>1750</v>
      </c>
      <c r="P1415" s="587">
        <f t="shared" si="187"/>
        <v>50.9</v>
      </c>
      <c r="Q1415" s="585" t="s">
        <v>1</v>
      </c>
      <c r="R1415" s="587">
        <f t="shared" si="188"/>
        <v>203.6</v>
      </c>
      <c r="U1415" s="584" t="s">
        <v>1735</v>
      </c>
      <c r="X1415" s="586">
        <f>SUM(X1402:X1414)</f>
        <v>19249.565599999998</v>
      </c>
      <c r="AE1415" s="592">
        <f t="shared" si="186"/>
        <v>0</v>
      </c>
    </row>
    <row r="1416" spans="6:31" ht="24" customHeight="1">
      <c r="F1416" s="574" t="s">
        <v>1760</v>
      </c>
      <c r="G1416" s="585" t="s">
        <v>122</v>
      </c>
      <c r="H1416" s="573" t="s">
        <v>1761</v>
      </c>
      <c r="M1416" s="652">
        <v>4</v>
      </c>
      <c r="N1416" s="585" t="s">
        <v>1</v>
      </c>
      <c r="O1416" s="573" t="s">
        <v>1727</v>
      </c>
      <c r="P1416" s="587">
        <f t="shared" si="187"/>
        <v>30</v>
      </c>
      <c r="Q1416" s="585" t="s">
        <v>1</v>
      </c>
      <c r="R1416" s="587">
        <f t="shared" si="188"/>
        <v>120</v>
      </c>
      <c r="Z1416" s="576"/>
      <c r="AA1416" s="729" t="s">
        <v>1762</v>
      </c>
      <c r="AC1416" s="578"/>
      <c r="AE1416" s="592">
        <f t="shared" si="186"/>
        <v>0</v>
      </c>
    </row>
    <row r="1417" spans="6:31" ht="24" customHeight="1">
      <c r="H1417" s="582" t="s">
        <v>117</v>
      </c>
      <c r="M1417" s="652">
        <v>4</v>
      </c>
      <c r="N1417" s="585" t="s">
        <v>1</v>
      </c>
      <c r="O1417" s="573" t="s">
        <v>1728</v>
      </c>
      <c r="P1417" s="587">
        <f t="shared" si="187"/>
        <v>20</v>
      </c>
      <c r="Q1417" s="585" t="s">
        <v>1</v>
      </c>
      <c r="R1417" s="587">
        <f t="shared" si="188"/>
        <v>80</v>
      </c>
      <c r="Y1417" s="652">
        <f>4.2*0.775</f>
        <v>3.2550000000000003</v>
      </c>
      <c r="Z1417" s="585" t="s">
        <v>654</v>
      </c>
      <c r="AA1417" s="573" t="s">
        <v>1711</v>
      </c>
      <c r="AB1417" s="587">
        <f>AB1400</f>
        <v>287</v>
      </c>
      <c r="AC1417" s="585" t="s">
        <v>654</v>
      </c>
      <c r="AD1417" s="587">
        <f t="shared" ref="AD1417:AD1428" si="189">AB1417*Y1417</f>
        <v>934.18500000000006</v>
      </c>
      <c r="AE1417" s="592">
        <f t="shared" si="186"/>
        <v>0</v>
      </c>
    </row>
    <row r="1418" spans="6:31" ht="24" customHeight="1">
      <c r="F1418" s="587">
        <v>0.1</v>
      </c>
      <c r="G1418" s="585" t="s">
        <v>126</v>
      </c>
      <c r="H1418" s="573" t="s">
        <v>133</v>
      </c>
      <c r="I1418" s="587">
        <f>(K32)</f>
        <v>4193.8</v>
      </c>
      <c r="J1418" s="573" t="s">
        <v>126</v>
      </c>
      <c r="K1418" s="587">
        <f>(F1418*I1418)</f>
        <v>419.38000000000005</v>
      </c>
      <c r="M1418" s="652">
        <v>4</v>
      </c>
      <c r="N1418" s="585" t="s">
        <v>1</v>
      </c>
      <c r="O1418" s="573" t="s">
        <v>1730</v>
      </c>
      <c r="P1418" s="587">
        <f t="shared" si="187"/>
        <v>15</v>
      </c>
      <c r="Q1418" s="585" t="s">
        <v>1</v>
      </c>
      <c r="R1418" s="587">
        <f t="shared" si="188"/>
        <v>60</v>
      </c>
      <c r="U1418" s="619" t="s">
        <v>1763</v>
      </c>
      <c r="Y1418" s="652">
        <v>2.3580000000000001</v>
      </c>
      <c r="Z1418" s="585" t="s">
        <v>654</v>
      </c>
      <c r="AA1418" s="573" t="s">
        <v>1711</v>
      </c>
      <c r="AB1418" s="587">
        <f t="shared" ref="AB1418:AB1428" si="190">AB1401</f>
        <v>287</v>
      </c>
      <c r="AC1418" s="585" t="s">
        <v>654</v>
      </c>
      <c r="AD1418" s="587">
        <f t="shared" si="189"/>
        <v>676.74599999999998</v>
      </c>
      <c r="AE1418" s="592">
        <f t="shared" si="186"/>
        <v>0</v>
      </c>
    </row>
    <row r="1419" spans="6:31" ht="24" customHeight="1">
      <c r="F1419" s="587">
        <v>1.1000000000000001</v>
      </c>
      <c r="G1419" s="585" t="s">
        <v>209</v>
      </c>
      <c r="H1419" s="573" t="s">
        <v>144</v>
      </c>
      <c r="I1419" s="587">
        <f>(C10)</f>
        <v>769</v>
      </c>
      <c r="J1419" s="573" t="s">
        <v>209</v>
      </c>
      <c r="K1419" s="587">
        <f>(F1419*I1419)</f>
        <v>845.90000000000009</v>
      </c>
      <c r="L1419" s="575">
        <f>M1458+M1459+M1460</f>
        <v>11.742000000000001</v>
      </c>
      <c r="M1419" s="652">
        <v>1.62</v>
      </c>
      <c r="N1419" s="585" t="s">
        <v>174</v>
      </c>
      <c r="O1419" s="573" t="s">
        <v>1731</v>
      </c>
      <c r="P1419" s="587">
        <f t="shared" si="187"/>
        <v>1540</v>
      </c>
      <c r="Q1419" s="585" t="s">
        <v>174</v>
      </c>
      <c r="R1419" s="587">
        <f t="shared" si="188"/>
        <v>2494.8000000000002</v>
      </c>
      <c r="S1419" s="617">
        <v>4.42</v>
      </c>
      <c r="T1419" s="585" t="s">
        <v>654</v>
      </c>
      <c r="U1419" s="573" t="s">
        <v>1711</v>
      </c>
      <c r="V1419" s="587">
        <f>P1458</f>
        <v>287</v>
      </c>
      <c r="W1419" s="585" t="s">
        <v>654</v>
      </c>
      <c r="X1419" s="592">
        <f>V1419*S1419</f>
        <v>1268.54</v>
      </c>
      <c r="Y1419" s="652">
        <f>8.08*0.663</f>
        <v>5.3570400000000005</v>
      </c>
      <c r="Z1419" s="585" t="s">
        <v>654</v>
      </c>
      <c r="AA1419" s="573" t="s">
        <v>1711</v>
      </c>
      <c r="AB1419" s="587">
        <f t="shared" si="190"/>
        <v>287</v>
      </c>
      <c r="AC1419" s="585" t="s">
        <v>654</v>
      </c>
      <c r="AD1419" s="587">
        <f t="shared" si="189"/>
        <v>1537.4704800000002</v>
      </c>
      <c r="AE1419" s="592">
        <f t="shared" si="186"/>
        <v>0</v>
      </c>
    </row>
    <row r="1420" spans="6:31" ht="24" customHeight="1">
      <c r="F1420" s="587">
        <v>1.1000000000000001</v>
      </c>
      <c r="G1420" s="585" t="s">
        <v>209</v>
      </c>
      <c r="H1420" s="573" t="s">
        <v>146</v>
      </c>
      <c r="I1420" s="587">
        <f>(C12)</f>
        <v>502</v>
      </c>
      <c r="J1420" s="573" t="s">
        <v>209</v>
      </c>
      <c r="K1420" s="587">
        <f>(F1420*I1420)</f>
        <v>552.20000000000005</v>
      </c>
      <c r="N1420" s="576"/>
      <c r="O1420" s="573" t="s">
        <v>1733</v>
      </c>
      <c r="Q1420" s="580"/>
      <c r="R1420" s="587">
        <v>0.25</v>
      </c>
      <c r="S1420" s="617">
        <v>4.72</v>
      </c>
      <c r="T1420" s="585" t="s">
        <v>654</v>
      </c>
      <c r="U1420" s="573" t="s">
        <v>1711</v>
      </c>
      <c r="V1420" s="587">
        <f>P1459</f>
        <v>287</v>
      </c>
      <c r="W1420" s="585" t="s">
        <v>654</v>
      </c>
      <c r="X1420" s="592">
        <f t="shared" ref="X1420:X1430" si="191">V1420*S1420</f>
        <v>1354.6399999999999</v>
      </c>
      <c r="Y1420" s="652">
        <v>0.92600000000000005</v>
      </c>
      <c r="Z1420" s="585" t="s">
        <v>654</v>
      </c>
      <c r="AA1420" s="573" t="s">
        <v>1711</v>
      </c>
      <c r="AB1420" s="587">
        <f t="shared" si="190"/>
        <v>287</v>
      </c>
      <c r="AC1420" s="585" t="s">
        <v>654</v>
      </c>
      <c r="AD1420" s="587">
        <f t="shared" si="189"/>
        <v>265.762</v>
      </c>
      <c r="AE1420" s="592">
        <f t="shared" si="186"/>
        <v>0</v>
      </c>
    </row>
    <row r="1421" spans="6:31" ht="24" customHeight="1">
      <c r="F1421" s="587">
        <v>1.1000000000000001</v>
      </c>
      <c r="G1421" s="585" t="s">
        <v>209</v>
      </c>
      <c r="H1421" s="573" t="s">
        <v>147</v>
      </c>
      <c r="I1421" s="587">
        <f>(C13)</f>
        <v>412</v>
      </c>
      <c r="J1421" s="573" t="s">
        <v>209</v>
      </c>
      <c r="K1421" s="587">
        <f>(F1421*I1421)</f>
        <v>453.20000000000005</v>
      </c>
      <c r="R1421" s="586">
        <f>SUM(R1408:R1420)</f>
        <v>8175.5736000000006</v>
      </c>
      <c r="S1421" s="617">
        <v>9.06</v>
      </c>
      <c r="T1421" s="585" t="s">
        <v>654</v>
      </c>
      <c r="U1421" s="573" t="s">
        <v>1711</v>
      </c>
      <c r="V1421" s="587">
        <f>P1460</f>
        <v>287</v>
      </c>
      <c r="W1421" s="585" t="s">
        <v>654</v>
      </c>
      <c r="X1421" s="592">
        <f t="shared" si="191"/>
        <v>2600.2200000000003</v>
      </c>
      <c r="Y1421" s="652">
        <v>0.85</v>
      </c>
      <c r="Z1421" s="585" t="s">
        <v>110</v>
      </c>
      <c r="AA1421" s="573" t="s">
        <v>1717</v>
      </c>
      <c r="AB1421" s="587">
        <f t="shared" si="190"/>
        <v>208.8</v>
      </c>
      <c r="AC1421" s="585" t="s">
        <v>110</v>
      </c>
      <c r="AD1421" s="587">
        <f t="shared" si="189"/>
        <v>177.48000000000002</v>
      </c>
      <c r="AE1421" s="592">
        <f t="shared" si="186"/>
        <v>0</v>
      </c>
    </row>
    <row r="1422" spans="6:31" ht="24" customHeight="1">
      <c r="G1422" s="585" t="s">
        <v>129</v>
      </c>
      <c r="H1422" s="573" t="s">
        <v>130</v>
      </c>
      <c r="I1422" s="573" t="s">
        <v>115</v>
      </c>
      <c r="J1422" s="573" t="s">
        <v>129</v>
      </c>
      <c r="K1422" s="587">
        <v>5</v>
      </c>
      <c r="M1422" s="587"/>
      <c r="N1422" s="585"/>
      <c r="O1422" s="573"/>
      <c r="P1422" s="587"/>
      <c r="Q1422" s="574"/>
      <c r="R1422" s="587"/>
      <c r="S1422" s="617">
        <v>1.58</v>
      </c>
      <c r="T1422" s="585" t="s">
        <v>654</v>
      </c>
      <c r="U1422" s="573" t="s">
        <v>1711</v>
      </c>
      <c r="V1422" s="587">
        <f>P1461</f>
        <v>287</v>
      </c>
      <c r="W1422" s="585" t="s">
        <v>654</v>
      </c>
      <c r="X1422" s="592">
        <f t="shared" si="191"/>
        <v>453.46000000000004</v>
      </c>
      <c r="Y1422" s="652">
        <v>7.4720000000000004</v>
      </c>
      <c r="Z1422" s="585" t="s">
        <v>231</v>
      </c>
      <c r="AA1422" s="573" t="s">
        <v>1720</v>
      </c>
      <c r="AB1422" s="587">
        <f t="shared" si="190"/>
        <v>28.6</v>
      </c>
      <c r="AC1422" s="585" t="s">
        <v>231</v>
      </c>
      <c r="AD1422" s="587">
        <f t="shared" si="189"/>
        <v>213.69920000000002</v>
      </c>
      <c r="AE1422" s="592">
        <f t="shared" si="186"/>
        <v>0</v>
      </c>
    </row>
    <row r="1423" spans="6:31" ht="24" customHeight="1">
      <c r="K1423" s="582" t="s">
        <v>117</v>
      </c>
      <c r="M1423" s="587"/>
      <c r="N1423" s="585"/>
      <c r="O1423" s="573"/>
      <c r="P1423" s="587"/>
      <c r="Q1423" s="574"/>
      <c r="R1423" s="587"/>
      <c r="S1423" s="617">
        <v>1.65</v>
      </c>
      <c r="T1423" s="585" t="s">
        <v>110</v>
      </c>
      <c r="U1423" s="573" t="s">
        <v>1717</v>
      </c>
      <c r="V1423" s="587">
        <f>P1429</f>
        <v>208.8</v>
      </c>
      <c r="W1423" s="585" t="s">
        <v>110</v>
      </c>
      <c r="X1423" s="592">
        <f t="shared" si="191"/>
        <v>344.52</v>
      </c>
      <c r="Y1423" s="652">
        <v>8</v>
      </c>
      <c r="Z1423" s="585" t="s">
        <v>1</v>
      </c>
      <c r="AA1423" s="573" t="s">
        <v>1722</v>
      </c>
      <c r="AB1423" s="587">
        <f t="shared" si="190"/>
        <v>63.5</v>
      </c>
      <c r="AC1423" s="585" t="s">
        <v>1</v>
      </c>
      <c r="AD1423" s="587">
        <f t="shared" si="189"/>
        <v>508</v>
      </c>
      <c r="AE1423" s="592">
        <f t="shared" si="186"/>
        <v>0</v>
      </c>
    </row>
    <row r="1424" spans="6:31" ht="24" customHeight="1">
      <c r="H1424" s="573" t="s">
        <v>153</v>
      </c>
      <c r="K1424" s="587">
        <f>SUM(K1418:K1422)</f>
        <v>2275.6800000000003</v>
      </c>
      <c r="N1424" s="576"/>
      <c r="O1424" s="729" t="s">
        <v>1764</v>
      </c>
      <c r="Q1424" s="578"/>
      <c r="S1424" s="617">
        <v>12.74</v>
      </c>
      <c r="T1424" s="585" t="s">
        <v>231</v>
      </c>
      <c r="U1424" s="573" t="s">
        <v>1720</v>
      </c>
      <c r="V1424" s="587">
        <f>P1463</f>
        <v>28.6</v>
      </c>
      <c r="W1424" s="585" t="s">
        <v>231</v>
      </c>
      <c r="X1424" s="592">
        <f t="shared" si="191"/>
        <v>364.36400000000003</v>
      </c>
      <c r="Y1424" s="652">
        <v>4</v>
      </c>
      <c r="Z1424" s="585" t="s">
        <v>1</v>
      </c>
      <c r="AA1424" s="573" t="s">
        <v>1724</v>
      </c>
      <c r="AB1424" s="587">
        <f t="shared" si="190"/>
        <v>50.9</v>
      </c>
      <c r="AC1424" s="585" t="s">
        <v>1</v>
      </c>
      <c r="AD1424" s="587">
        <f t="shared" si="189"/>
        <v>203.6</v>
      </c>
      <c r="AE1424" s="592">
        <f t="shared" si="186"/>
        <v>0</v>
      </c>
    </row>
    <row r="1425" spans="6:31" ht="24" customHeight="1">
      <c r="H1425" s="580"/>
      <c r="K1425" s="582" t="s">
        <v>117</v>
      </c>
      <c r="M1425" s="652">
        <v>2.79</v>
      </c>
      <c r="N1425" s="585" t="s">
        <v>654</v>
      </c>
      <c r="O1425" s="641" t="s">
        <v>1757</v>
      </c>
      <c r="P1425" s="587">
        <f>P1408</f>
        <v>287</v>
      </c>
      <c r="Q1425" s="585" t="s">
        <v>654</v>
      </c>
      <c r="R1425" s="587">
        <f>P1425*M1425</f>
        <v>800.73</v>
      </c>
      <c r="S1425" s="617">
        <v>12</v>
      </c>
      <c r="T1425" s="585" t="s">
        <v>1</v>
      </c>
      <c r="U1425" s="573" t="s">
        <v>1722</v>
      </c>
      <c r="V1425" s="587">
        <f>P1464</f>
        <v>63.5</v>
      </c>
      <c r="W1425" s="585" t="s">
        <v>1</v>
      </c>
      <c r="X1425" s="592">
        <f t="shared" si="191"/>
        <v>762</v>
      </c>
      <c r="Y1425" s="652">
        <v>4</v>
      </c>
      <c r="Z1425" s="585" t="s">
        <v>1</v>
      </c>
      <c r="AA1425" s="573" t="s">
        <v>1727</v>
      </c>
      <c r="AB1425" s="587">
        <f t="shared" si="190"/>
        <v>30</v>
      </c>
      <c r="AC1425" s="585" t="s">
        <v>1</v>
      </c>
      <c r="AD1425" s="587">
        <f t="shared" si="189"/>
        <v>120</v>
      </c>
      <c r="AE1425" s="592">
        <f t="shared" si="186"/>
        <v>0</v>
      </c>
    </row>
    <row r="1426" spans="6:31" ht="24" customHeight="1">
      <c r="H1426" s="589" t="s">
        <v>154</v>
      </c>
      <c r="I1426" s="619"/>
      <c r="J1426" s="630"/>
      <c r="K1426" s="586">
        <f>(K1424/10)</f>
        <v>227.56800000000004</v>
      </c>
      <c r="M1426" s="652">
        <v>0.5</v>
      </c>
      <c r="N1426" s="585" t="s">
        <v>654</v>
      </c>
      <c r="O1426" s="573" t="s">
        <v>1711</v>
      </c>
      <c r="P1426" s="587">
        <f t="shared" ref="P1426:P1436" si="192">P1409</f>
        <v>287</v>
      </c>
      <c r="Q1426" s="585" t="s">
        <v>654</v>
      </c>
      <c r="R1426" s="587">
        <f t="shared" ref="R1426:R1436" si="193">P1426*M1426</f>
        <v>143.5</v>
      </c>
      <c r="S1426" s="617">
        <v>6</v>
      </c>
      <c r="T1426" s="585" t="s">
        <v>1</v>
      </c>
      <c r="U1426" s="573" t="s">
        <v>1724</v>
      </c>
      <c r="V1426" s="587">
        <f>P1465</f>
        <v>50.9</v>
      </c>
      <c r="W1426" s="585" t="s">
        <v>1</v>
      </c>
      <c r="X1426" s="592">
        <f t="shared" si="191"/>
        <v>305.39999999999998</v>
      </c>
      <c r="Y1426" s="652">
        <v>4</v>
      </c>
      <c r="Z1426" s="585" t="s">
        <v>1</v>
      </c>
      <c r="AA1426" s="573" t="s">
        <v>1728</v>
      </c>
      <c r="AB1426" s="587">
        <f t="shared" si="190"/>
        <v>20</v>
      </c>
      <c r="AC1426" s="585" t="s">
        <v>1</v>
      </c>
      <c r="AD1426" s="587">
        <f t="shared" si="189"/>
        <v>80</v>
      </c>
      <c r="AE1426" s="592">
        <f t="shared" si="186"/>
        <v>0</v>
      </c>
    </row>
    <row r="1427" spans="6:31" ht="24" customHeight="1">
      <c r="K1427" s="582" t="s">
        <v>155</v>
      </c>
      <c r="M1427" s="652">
        <v>2.85</v>
      </c>
      <c r="N1427" s="585" t="s">
        <v>654</v>
      </c>
      <c r="O1427" s="573" t="s">
        <v>1711</v>
      </c>
      <c r="P1427" s="587">
        <f t="shared" si="192"/>
        <v>287</v>
      </c>
      <c r="Q1427" s="585" t="s">
        <v>654</v>
      </c>
      <c r="R1427" s="587">
        <f t="shared" si="193"/>
        <v>817.95</v>
      </c>
      <c r="S1427" s="617">
        <v>6</v>
      </c>
      <c r="T1427" s="585" t="s">
        <v>1</v>
      </c>
      <c r="U1427" s="573" t="s">
        <v>1727</v>
      </c>
      <c r="V1427" s="587">
        <v>30</v>
      </c>
      <c r="W1427" s="585" t="s">
        <v>1</v>
      </c>
      <c r="X1427" s="592">
        <f t="shared" si="191"/>
        <v>180</v>
      </c>
      <c r="Y1427" s="652">
        <v>4</v>
      </c>
      <c r="Z1427" s="585" t="s">
        <v>1</v>
      </c>
      <c r="AA1427" s="573" t="s">
        <v>1730</v>
      </c>
      <c r="AB1427" s="587">
        <f t="shared" si="190"/>
        <v>15</v>
      </c>
      <c r="AC1427" s="585" t="s">
        <v>1</v>
      </c>
      <c r="AD1427" s="587">
        <f t="shared" si="189"/>
        <v>60</v>
      </c>
      <c r="AE1427" s="592">
        <f t="shared" si="186"/>
        <v>0</v>
      </c>
    </row>
    <row r="1428" spans="6:31" ht="24" customHeight="1">
      <c r="M1428" s="652">
        <v>0.5</v>
      </c>
      <c r="N1428" s="585" t="s">
        <v>654</v>
      </c>
      <c r="O1428" s="573" t="s">
        <v>1711</v>
      </c>
      <c r="P1428" s="587">
        <f t="shared" si="192"/>
        <v>287</v>
      </c>
      <c r="Q1428" s="585" t="s">
        <v>654</v>
      </c>
      <c r="R1428" s="587">
        <f t="shared" si="193"/>
        <v>143.5</v>
      </c>
      <c r="S1428" s="617">
        <v>6</v>
      </c>
      <c r="T1428" s="585" t="s">
        <v>1</v>
      </c>
      <c r="U1428" s="573" t="s">
        <v>1728</v>
      </c>
      <c r="V1428" s="587">
        <v>20</v>
      </c>
      <c r="W1428" s="585" t="s">
        <v>1</v>
      </c>
      <c r="X1428" s="592">
        <f t="shared" si="191"/>
        <v>120</v>
      </c>
      <c r="Y1428" s="652">
        <v>1.08</v>
      </c>
      <c r="Z1428" s="585" t="s">
        <v>174</v>
      </c>
      <c r="AA1428" s="573" t="s">
        <v>1731</v>
      </c>
      <c r="AB1428" s="587">
        <f t="shared" si="190"/>
        <v>1540</v>
      </c>
      <c r="AC1428" s="585" t="s">
        <v>174</v>
      </c>
      <c r="AD1428" s="587">
        <f t="shared" si="189"/>
        <v>1663.2</v>
      </c>
      <c r="AE1428" s="592">
        <f t="shared" si="186"/>
        <v>0</v>
      </c>
    </row>
    <row r="1429" spans="6:31" ht="24" customHeight="1">
      <c r="G1429" s="585" t="s">
        <v>122</v>
      </c>
      <c r="H1429" s="573" t="s">
        <v>1765</v>
      </c>
      <c r="M1429" s="652">
        <v>0.47099999999999997</v>
      </c>
      <c r="N1429" s="585" t="s">
        <v>110</v>
      </c>
      <c r="O1429" s="573" t="s">
        <v>1717</v>
      </c>
      <c r="P1429" s="615">
        <f t="shared" si="192"/>
        <v>208.8</v>
      </c>
      <c r="Q1429" s="585" t="s">
        <v>110</v>
      </c>
      <c r="R1429" s="587">
        <f t="shared" si="193"/>
        <v>98.344800000000006</v>
      </c>
      <c r="S1429" s="617">
        <v>4</v>
      </c>
      <c r="T1429" s="585" t="s">
        <v>1</v>
      </c>
      <c r="U1429" s="573" t="s">
        <v>1730</v>
      </c>
      <c r="V1429" s="587">
        <v>15</v>
      </c>
      <c r="W1429" s="585" t="s">
        <v>1</v>
      </c>
      <c r="X1429" s="592">
        <f t="shared" si="191"/>
        <v>60</v>
      </c>
      <c r="Z1429" s="576"/>
      <c r="AA1429" s="573" t="s">
        <v>1733</v>
      </c>
      <c r="AC1429" s="580"/>
      <c r="AD1429" s="587">
        <v>0.96</v>
      </c>
      <c r="AE1429" s="592">
        <f t="shared" si="186"/>
        <v>0</v>
      </c>
    </row>
    <row r="1430" spans="6:31" ht="24" customHeight="1">
      <c r="H1430" s="573" t="s">
        <v>1766</v>
      </c>
      <c r="M1430" s="652">
        <v>3.996</v>
      </c>
      <c r="N1430" s="585" t="s">
        <v>231</v>
      </c>
      <c r="O1430" s="641" t="s">
        <v>1758</v>
      </c>
      <c r="P1430" s="587">
        <f t="shared" si="192"/>
        <v>28.6</v>
      </c>
      <c r="Q1430" s="585" t="s">
        <v>231</v>
      </c>
      <c r="R1430" s="587">
        <f t="shared" si="193"/>
        <v>114.2856</v>
      </c>
      <c r="S1430" s="617">
        <f>1.5*1.35</f>
        <v>2.0250000000000004</v>
      </c>
      <c r="T1430" s="585" t="s">
        <v>174</v>
      </c>
      <c r="U1430" s="573" t="s">
        <v>1731</v>
      </c>
      <c r="V1430" s="587">
        <f>P1469</f>
        <v>1540</v>
      </c>
      <c r="W1430" s="585" t="s">
        <v>174</v>
      </c>
      <c r="X1430" s="587">
        <f t="shared" si="191"/>
        <v>3118.5000000000005</v>
      </c>
      <c r="AA1430" s="584" t="s">
        <v>1735</v>
      </c>
      <c r="AD1430" s="586">
        <f>SUM(AD1417:AD1429)</f>
        <v>6441.1026800000009</v>
      </c>
      <c r="AE1430" s="592">
        <f t="shared" si="186"/>
        <v>0</v>
      </c>
    </row>
    <row r="1431" spans="6:31" ht="24" customHeight="1">
      <c r="H1431" s="573" t="s">
        <v>1767</v>
      </c>
      <c r="M1431" s="652">
        <v>4</v>
      </c>
      <c r="N1431" s="585" t="s">
        <v>1</v>
      </c>
      <c r="O1431" s="641" t="s">
        <v>1759</v>
      </c>
      <c r="P1431" s="587">
        <f t="shared" si="192"/>
        <v>63.5</v>
      </c>
      <c r="Q1431" s="585" t="s">
        <v>1</v>
      </c>
      <c r="R1431" s="587">
        <f t="shared" si="193"/>
        <v>254</v>
      </c>
      <c r="T1431" s="576"/>
      <c r="U1431" s="573" t="s">
        <v>1733</v>
      </c>
      <c r="W1431" s="580"/>
      <c r="X1431" s="587">
        <v>0.31</v>
      </c>
      <c r="AE1431" s="592">
        <f t="shared" si="186"/>
        <v>0</v>
      </c>
    </row>
    <row r="1432" spans="6:31" ht="24" customHeight="1">
      <c r="H1432" s="582" t="s">
        <v>117</v>
      </c>
      <c r="M1432" s="652">
        <v>2</v>
      </c>
      <c r="N1432" s="585" t="s">
        <v>1</v>
      </c>
      <c r="O1432" s="641" t="s">
        <v>1750</v>
      </c>
      <c r="P1432" s="587">
        <f t="shared" si="192"/>
        <v>50.9</v>
      </c>
      <c r="Q1432" s="585" t="s">
        <v>1</v>
      </c>
      <c r="R1432" s="587">
        <f t="shared" si="193"/>
        <v>101.8</v>
      </c>
      <c r="U1432" s="584" t="s">
        <v>1735</v>
      </c>
      <c r="X1432" s="586">
        <f>SUM(X1419:X1431)</f>
        <v>10931.953999999998</v>
      </c>
      <c r="AE1432" s="592">
        <f t="shared" si="186"/>
        <v>0</v>
      </c>
    </row>
    <row r="1433" spans="6:31" ht="24" customHeight="1">
      <c r="F1433" s="587">
        <v>0.14000000000000001</v>
      </c>
      <c r="G1433" s="585" t="s">
        <v>126</v>
      </c>
      <c r="H1433" s="573" t="s">
        <v>133</v>
      </c>
      <c r="I1433" s="587">
        <f>(K32)</f>
        <v>4193.8</v>
      </c>
      <c r="J1433" s="573" t="s">
        <v>126</v>
      </c>
      <c r="K1433" s="587">
        <f>(F1433*I1433)</f>
        <v>587.13200000000006</v>
      </c>
      <c r="M1433" s="652">
        <v>2</v>
      </c>
      <c r="N1433" s="585" t="s">
        <v>1</v>
      </c>
      <c r="O1433" s="573" t="s">
        <v>1727</v>
      </c>
      <c r="P1433" s="587">
        <f t="shared" si="192"/>
        <v>30</v>
      </c>
      <c r="Q1433" s="585" t="s">
        <v>1</v>
      </c>
      <c r="R1433" s="587">
        <f t="shared" si="193"/>
        <v>60</v>
      </c>
      <c r="U1433" s="575">
        <f>2.025</f>
        <v>2.0249999999999999</v>
      </c>
      <c r="Y1433" s="579"/>
      <c r="Z1433" s="576"/>
      <c r="AA1433" s="729" t="s">
        <v>1768</v>
      </c>
      <c r="AB1433" s="646" t="s">
        <v>1769</v>
      </c>
      <c r="AC1433" s="646"/>
      <c r="AD1433" s="646"/>
      <c r="AE1433" s="592">
        <f t="shared" si="186"/>
        <v>0</v>
      </c>
    </row>
    <row r="1434" spans="6:31" ht="24" customHeight="1">
      <c r="F1434" s="587">
        <v>1.1000000000000001</v>
      </c>
      <c r="G1434" s="585" t="s">
        <v>209</v>
      </c>
      <c r="H1434" s="573" t="s">
        <v>144</v>
      </c>
      <c r="I1434" s="587">
        <f>(C10)</f>
        <v>769</v>
      </c>
      <c r="J1434" s="573" t="s">
        <v>209</v>
      </c>
      <c r="K1434" s="587">
        <f>(F1434*I1434)</f>
        <v>845.90000000000009</v>
      </c>
      <c r="M1434" s="652">
        <v>2</v>
      </c>
      <c r="N1434" s="585" t="s">
        <v>1</v>
      </c>
      <c r="O1434" s="573" t="s">
        <v>1728</v>
      </c>
      <c r="P1434" s="587">
        <f t="shared" si="192"/>
        <v>20</v>
      </c>
      <c r="Q1434" s="585" t="s">
        <v>1</v>
      </c>
      <c r="R1434" s="587">
        <f t="shared" si="193"/>
        <v>40</v>
      </c>
      <c r="Y1434" s="617">
        <v>4.21</v>
      </c>
      <c r="Z1434" s="585" t="s">
        <v>654</v>
      </c>
      <c r="AA1434" s="573" t="s">
        <v>1711</v>
      </c>
      <c r="AB1434" s="587">
        <f>V1436</f>
        <v>287</v>
      </c>
      <c r="AC1434" s="585" t="s">
        <v>654</v>
      </c>
      <c r="AD1434" s="587">
        <f>AB1434*Y1434</f>
        <v>1208.27</v>
      </c>
      <c r="AE1434" s="592">
        <f t="shared" si="186"/>
        <v>0</v>
      </c>
    </row>
    <row r="1435" spans="6:31" ht="24" customHeight="1">
      <c r="F1435" s="587">
        <v>0.5</v>
      </c>
      <c r="G1435" s="585" t="s">
        <v>209</v>
      </c>
      <c r="H1435" s="573" t="s">
        <v>146</v>
      </c>
      <c r="I1435" s="587">
        <f>(C12)</f>
        <v>502</v>
      </c>
      <c r="J1435" s="573" t="s">
        <v>209</v>
      </c>
      <c r="K1435" s="587">
        <f>(F1435*I1435)</f>
        <v>251</v>
      </c>
      <c r="M1435" s="652">
        <v>4</v>
      </c>
      <c r="N1435" s="585" t="s">
        <v>1</v>
      </c>
      <c r="O1435" s="573" t="s">
        <v>1730</v>
      </c>
      <c r="P1435" s="587">
        <f t="shared" si="192"/>
        <v>15</v>
      </c>
      <c r="Q1435" s="585" t="s">
        <v>1</v>
      </c>
      <c r="R1435" s="587">
        <f t="shared" si="193"/>
        <v>60</v>
      </c>
      <c r="T1435" s="576"/>
      <c r="U1435" s="729" t="s">
        <v>1770</v>
      </c>
      <c r="V1435" s="646" t="s">
        <v>1769</v>
      </c>
      <c r="W1435" s="646"/>
      <c r="X1435" s="646"/>
      <c r="Y1435" s="617">
        <v>0.40500000000000003</v>
      </c>
      <c r="Z1435" s="585" t="s">
        <v>110</v>
      </c>
      <c r="AA1435" s="573" t="s">
        <v>1717</v>
      </c>
      <c r="AB1435" s="587">
        <f>V1437</f>
        <v>208.8</v>
      </c>
      <c r="AC1435" s="585" t="s">
        <v>654</v>
      </c>
      <c r="AD1435" s="587">
        <f>AB1435*Y1435</f>
        <v>84.564000000000007</v>
      </c>
      <c r="AE1435" s="592">
        <f t="shared" si="186"/>
        <v>0</v>
      </c>
    </row>
    <row r="1436" spans="6:31" ht="24" customHeight="1">
      <c r="F1436" s="587">
        <v>1.1000000000000001</v>
      </c>
      <c r="G1436" s="585" t="s">
        <v>209</v>
      </c>
      <c r="H1436" s="573" t="s">
        <v>147</v>
      </c>
      <c r="I1436" s="587">
        <f>(C13)</f>
        <v>412</v>
      </c>
      <c r="J1436" s="573" t="s">
        <v>209</v>
      </c>
      <c r="K1436" s="587">
        <f>(F1436*I1436)</f>
        <v>453.20000000000005</v>
      </c>
      <c r="M1436" s="652">
        <v>0.60799999999999998</v>
      </c>
      <c r="N1436" s="585" t="s">
        <v>174</v>
      </c>
      <c r="O1436" s="573" t="s">
        <v>1731</v>
      </c>
      <c r="P1436" s="587">
        <f t="shared" si="192"/>
        <v>1540</v>
      </c>
      <c r="Q1436" s="585" t="s">
        <v>174</v>
      </c>
      <c r="R1436" s="587">
        <f t="shared" si="193"/>
        <v>936.31999999999994</v>
      </c>
      <c r="S1436" s="617">
        <v>3.7389999999999999</v>
      </c>
      <c r="T1436" s="585" t="s">
        <v>654</v>
      </c>
      <c r="U1436" s="573" t="s">
        <v>1711</v>
      </c>
      <c r="V1436" s="587">
        <f>P1475</f>
        <v>287</v>
      </c>
      <c r="W1436" s="585" t="s">
        <v>654</v>
      </c>
      <c r="X1436" s="587">
        <f>V1436*S1436</f>
        <v>1073.0930000000001</v>
      </c>
      <c r="Y1436" s="617">
        <v>0.40500000000000003</v>
      </c>
      <c r="Z1436" s="585" t="s">
        <v>110</v>
      </c>
      <c r="AA1436" s="573" t="s">
        <v>1731</v>
      </c>
      <c r="AB1436" s="587">
        <f>V1438</f>
        <v>1540</v>
      </c>
      <c r="AC1436" s="585" t="s">
        <v>654</v>
      </c>
      <c r="AD1436" s="587">
        <f>AB1436*Y1436</f>
        <v>623.70000000000005</v>
      </c>
      <c r="AE1436" s="592">
        <f t="shared" si="186"/>
        <v>0</v>
      </c>
    </row>
    <row r="1437" spans="6:31" ht="24" customHeight="1">
      <c r="F1437" s="587">
        <v>2</v>
      </c>
      <c r="G1437" s="585" t="s">
        <v>148</v>
      </c>
      <c r="H1437" s="573" t="s">
        <v>1771</v>
      </c>
      <c r="I1437" s="587">
        <f>(C653)</f>
        <v>41.9</v>
      </c>
      <c r="J1437" s="573" t="s">
        <v>148</v>
      </c>
      <c r="K1437" s="587">
        <f>(F1437*I1437)</f>
        <v>83.8</v>
      </c>
      <c r="N1437" s="576"/>
      <c r="O1437" s="573" t="s">
        <v>1733</v>
      </c>
      <c r="Q1437" s="580"/>
      <c r="R1437" s="587">
        <v>0.57999999999999996</v>
      </c>
      <c r="S1437" s="617">
        <v>0.36</v>
      </c>
      <c r="T1437" s="585" t="s">
        <v>110</v>
      </c>
      <c r="U1437" s="573" t="s">
        <v>1717</v>
      </c>
      <c r="V1437" s="587">
        <f>P1476</f>
        <v>208.8</v>
      </c>
      <c r="W1437" s="585" t="s">
        <v>654</v>
      </c>
      <c r="X1437" s="587">
        <f>V1437*S1437</f>
        <v>75.168000000000006</v>
      </c>
      <c r="Y1437" s="617"/>
      <c r="Z1437" s="585"/>
      <c r="AA1437" s="573"/>
      <c r="AB1437" s="587"/>
      <c r="AC1437" s="585"/>
      <c r="AD1437" s="587">
        <f>SUM(AD1434:AD1436)</f>
        <v>1916.5340000000001</v>
      </c>
      <c r="AE1437" s="592">
        <f t="shared" si="186"/>
        <v>0</v>
      </c>
    </row>
    <row r="1438" spans="6:31" ht="24" customHeight="1">
      <c r="G1438" s="585" t="s">
        <v>129</v>
      </c>
      <c r="H1438" s="573" t="s">
        <v>130</v>
      </c>
      <c r="I1438" s="573" t="s">
        <v>115</v>
      </c>
      <c r="J1438" s="573" t="s">
        <v>129</v>
      </c>
      <c r="K1438" s="587">
        <v>5</v>
      </c>
      <c r="R1438" s="586">
        <f>SUM(R1425:R1437)</f>
        <v>3571.0104000000001</v>
      </c>
      <c r="S1438" s="617">
        <v>0.36</v>
      </c>
      <c r="T1438" s="585" t="s">
        <v>110</v>
      </c>
      <c r="U1438" s="573" t="s">
        <v>1731</v>
      </c>
      <c r="V1438" s="587">
        <f>P1477</f>
        <v>1540</v>
      </c>
      <c r="W1438" s="585" t="s">
        <v>654</v>
      </c>
      <c r="X1438" s="587">
        <f>V1438*S1438</f>
        <v>554.4</v>
      </c>
      <c r="Y1438" s="617"/>
      <c r="Z1438" s="585"/>
      <c r="AA1438" s="584" t="s">
        <v>1772</v>
      </c>
      <c r="AB1438" s="587"/>
      <c r="AC1438" s="585"/>
      <c r="AD1438" s="586">
        <f>AD1437/Y1436</f>
        <v>4732.1827160493831</v>
      </c>
      <c r="AE1438" s="592">
        <f t="shared" si="186"/>
        <v>0</v>
      </c>
    </row>
    <row r="1439" spans="6:31" ht="24" customHeight="1">
      <c r="K1439" s="582" t="s">
        <v>117</v>
      </c>
      <c r="M1439" s="587"/>
      <c r="N1439" s="585"/>
      <c r="O1439" s="573"/>
      <c r="P1439" s="587"/>
      <c r="Q1439" s="574"/>
      <c r="R1439" s="587"/>
      <c r="S1439" s="617"/>
      <c r="T1439" s="585"/>
      <c r="U1439" s="573"/>
      <c r="V1439" s="587"/>
      <c r="W1439" s="585"/>
      <c r="X1439" s="587">
        <f>SUM(X1436:X1438)</f>
        <v>1702.6610000000001</v>
      </c>
      <c r="AE1439" s="592">
        <f t="shared" si="186"/>
        <v>0</v>
      </c>
    </row>
    <row r="1440" spans="6:31" ht="24" customHeight="1">
      <c r="F1440" s="573" t="s">
        <v>115</v>
      </c>
      <c r="H1440" s="573" t="s">
        <v>153</v>
      </c>
      <c r="K1440" s="587">
        <f>SUM(K1433:K1438)</f>
        <v>2226.0320000000002</v>
      </c>
      <c r="N1440" s="576"/>
      <c r="O1440" s="729" t="s">
        <v>1773</v>
      </c>
      <c r="Q1440" s="578"/>
      <c r="S1440" s="617"/>
      <c r="T1440" s="585"/>
      <c r="U1440" s="584" t="s">
        <v>1772</v>
      </c>
      <c r="V1440" s="587"/>
      <c r="W1440" s="585"/>
      <c r="X1440" s="586">
        <f>X1439/S1438</f>
        <v>4729.6138888888891</v>
      </c>
      <c r="AE1440" s="592">
        <f t="shared" si="186"/>
        <v>0</v>
      </c>
    </row>
    <row r="1441" spans="6:31" ht="24" customHeight="1">
      <c r="H1441" s="619"/>
      <c r="I1441" s="619"/>
      <c r="J1441" s="630"/>
      <c r="K1441" s="632" t="s">
        <v>117</v>
      </c>
      <c r="M1441" s="652">
        <v>5.35</v>
      </c>
      <c r="N1441" s="585" t="s">
        <v>654</v>
      </c>
      <c r="O1441" s="641" t="s">
        <v>1757</v>
      </c>
      <c r="P1441" s="587">
        <f>P1425</f>
        <v>287</v>
      </c>
      <c r="Q1441" s="585" t="s">
        <v>654</v>
      </c>
      <c r="R1441" s="587">
        <f>P1441*M1441</f>
        <v>1535.4499999999998</v>
      </c>
      <c r="AE1441" s="592">
        <f t="shared" si="186"/>
        <v>0</v>
      </c>
    </row>
    <row r="1442" spans="6:31" ht="24" customHeight="1">
      <c r="H1442" s="589" t="s">
        <v>154</v>
      </c>
      <c r="I1442" s="619"/>
      <c r="J1442" s="630"/>
      <c r="K1442" s="586">
        <f>(K1440/10)</f>
        <v>222.60320000000002</v>
      </c>
      <c r="M1442" s="652">
        <v>7.58</v>
      </c>
      <c r="N1442" s="585" t="s">
        <v>654</v>
      </c>
      <c r="O1442" s="573" t="s">
        <v>1711</v>
      </c>
      <c r="P1442" s="587">
        <f t="shared" ref="P1442:P1452" si="194">P1426</f>
        <v>287</v>
      </c>
      <c r="Q1442" s="585" t="s">
        <v>654</v>
      </c>
      <c r="R1442" s="587">
        <f t="shared" ref="R1442:R1452" si="195">P1442*M1442</f>
        <v>2175.46</v>
      </c>
      <c r="T1442" s="576"/>
      <c r="U1442" s="729" t="s">
        <v>1774</v>
      </c>
      <c r="V1442" s="646" t="s">
        <v>1769</v>
      </c>
      <c r="W1442" s="578"/>
      <c r="AE1442" s="592">
        <f t="shared" si="186"/>
        <v>0</v>
      </c>
    </row>
    <row r="1443" spans="6:31" ht="24" customHeight="1">
      <c r="K1443" s="582" t="s">
        <v>155</v>
      </c>
      <c r="M1443" s="652">
        <v>13.15</v>
      </c>
      <c r="N1443" s="585" t="s">
        <v>654</v>
      </c>
      <c r="O1443" s="573" t="s">
        <v>1711</v>
      </c>
      <c r="P1443" s="587">
        <f t="shared" si="194"/>
        <v>287</v>
      </c>
      <c r="Q1443" s="585" t="s">
        <v>654</v>
      </c>
      <c r="R1443" s="587">
        <f t="shared" si="195"/>
        <v>3774.05</v>
      </c>
      <c r="S1443" s="617">
        <v>4.21</v>
      </c>
      <c r="T1443" s="585" t="s">
        <v>654</v>
      </c>
      <c r="U1443" s="573" t="s">
        <v>1711</v>
      </c>
      <c r="V1443" s="587">
        <f>P1482</f>
        <v>287</v>
      </c>
      <c r="W1443" s="585" t="s">
        <v>654</v>
      </c>
      <c r="X1443" s="587">
        <f>V1443*S1443</f>
        <v>1208.27</v>
      </c>
      <c r="AE1443" s="592">
        <f t="shared" si="186"/>
        <v>0</v>
      </c>
    </row>
    <row r="1444" spans="6:31" ht="24" customHeight="1">
      <c r="H1444" s="573" t="s">
        <v>115</v>
      </c>
      <c r="M1444" s="652">
        <v>2.31</v>
      </c>
      <c r="N1444" s="585" t="s">
        <v>654</v>
      </c>
      <c r="O1444" s="573" t="s">
        <v>1711</v>
      </c>
      <c r="P1444" s="587">
        <f t="shared" si="194"/>
        <v>287</v>
      </c>
      <c r="Q1444" s="585" t="s">
        <v>654</v>
      </c>
      <c r="R1444" s="587">
        <f t="shared" si="195"/>
        <v>662.97</v>
      </c>
      <c r="S1444" s="617">
        <v>0.45</v>
      </c>
      <c r="T1444" s="585" t="s">
        <v>110</v>
      </c>
      <c r="U1444" s="573" t="s">
        <v>1717</v>
      </c>
      <c r="V1444" s="587">
        <f>P1483</f>
        <v>208.8</v>
      </c>
      <c r="W1444" s="585" t="s">
        <v>654</v>
      </c>
      <c r="X1444" s="587">
        <f>V1444*S1444</f>
        <v>93.960000000000008</v>
      </c>
      <c r="AE1444" s="592">
        <f t="shared" si="186"/>
        <v>0</v>
      </c>
    </row>
    <row r="1445" spans="6:31" ht="24" customHeight="1">
      <c r="M1445" s="652">
        <v>2.44</v>
      </c>
      <c r="N1445" s="585" t="s">
        <v>110</v>
      </c>
      <c r="O1445" s="573" t="s">
        <v>1717</v>
      </c>
      <c r="P1445" s="615">
        <f t="shared" si="194"/>
        <v>208.8</v>
      </c>
      <c r="Q1445" s="585" t="s">
        <v>110</v>
      </c>
      <c r="R1445" s="587">
        <f t="shared" si="195"/>
        <v>509.47200000000004</v>
      </c>
      <c r="S1445" s="617">
        <v>0.45</v>
      </c>
      <c r="T1445" s="585" t="s">
        <v>110</v>
      </c>
      <c r="U1445" s="573" t="s">
        <v>1731</v>
      </c>
      <c r="V1445" s="587">
        <f>P1484</f>
        <v>1540</v>
      </c>
      <c r="W1445" s="585" t="s">
        <v>654</v>
      </c>
      <c r="X1445" s="587">
        <f>V1445*S1445</f>
        <v>693</v>
      </c>
      <c r="AE1445" s="592">
        <f t="shared" si="186"/>
        <v>0</v>
      </c>
    </row>
    <row r="1446" spans="6:31" ht="24" customHeight="1">
      <c r="F1446" s="574" t="s">
        <v>1775</v>
      </c>
      <c r="G1446" s="585" t="s">
        <v>122</v>
      </c>
      <c r="H1446" s="573" t="s">
        <v>1776</v>
      </c>
      <c r="M1446" s="652">
        <v>18.62</v>
      </c>
      <c r="N1446" s="585" t="s">
        <v>231</v>
      </c>
      <c r="O1446" s="641" t="s">
        <v>1758</v>
      </c>
      <c r="P1446" s="587">
        <f t="shared" si="194"/>
        <v>28.6</v>
      </c>
      <c r="Q1446" s="585" t="s">
        <v>231</v>
      </c>
      <c r="R1446" s="587">
        <f t="shared" si="195"/>
        <v>532.53200000000004</v>
      </c>
      <c r="S1446" s="617">
        <f>R1485-2967</f>
        <v>462.07799999999997</v>
      </c>
      <c r="T1446" s="585"/>
      <c r="U1446" s="573"/>
      <c r="V1446" s="587"/>
      <c r="W1446" s="585"/>
      <c r="X1446" s="587">
        <f>SUM(X1443:X1445)</f>
        <v>1995.23</v>
      </c>
      <c r="AE1446" s="592">
        <f t="shared" si="186"/>
        <v>0</v>
      </c>
    </row>
    <row r="1447" spans="6:31" ht="24" customHeight="1">
      <c r="H1447" s="573" t="s">
        <v>1777</v>
      </c>
      <c r="M1447" s="652">
        <v>16</v>
      </c>
      <c r="N1447" s="585" t="s">
        <v>1</v>
      </c>
      <c r="O1447" s="641" t="s">
        <v>1759</v>
      </c>
      <c r="P1447" s="587">
        <f t="shared" si="194"/>
        <v>63.5</v>
      </c>
      <c r="Q1447" s="585" t="s">
        <v>1</v>
      </c>
      <c r="R1447" s="587">
        <f t="shared" si="195"/>
        <v>1016</v>
      </c>
      <c r="S1447" s="617"/>
      <c r="T1447" s="585"/>
      <c r="U1447" s="584" t="s">
        <v>1772</v>
      </c>
      <c r="V1447" s="587"/>
      <c r="W1447" s="585"/>
      <c r="X1447" s="586">
        <f>X1446/S1445</f>
        <v>4433.844444444444</v>
      </c>
      <c r="Y1447" s="579"/>
      <c r="Z1447" s="576"/>
      <c r="AA1447" s="729" t="s">
        <v>1778</v>
      </c>
      <c r="AC1447" s="578"/>
      <c r="AE1447" s="592">
        <f t="shared" si="186"/>
        <v>0</v>
      </c>
    </row>
    <row r="1448" spans="6:31" ht="24" customHeight="1">
      <c r="H1448" s="573" t="s">
        <v>1779</v>
      </c>
      <c r="M1448" s="652">
        <v>8</v>
      </c>
      <c r="N1448" s="585" t="s">
        <v>1</v>
      </c>
      <c r="O1448" s="641" t="s">
        <v>1750</v>
      </c>
      <c r="P1448" s="587">
        <f t="shared" si="194"/>
        <v>50.9</v>
      </c>
      <c r="Q1448" s="585" t="s">
        <v>1</v>
      </c>
      <c r="R1448" s="587">
        <f t="shared" si="195"/>
        <v>407.2</v>
      </c>
      <c r="Y1448" s="617">
        <v>3.26</v>
      </c>
      <c r="Z1448" s="585" t="s">
        <v>654</v>
      </c>
      <c r="AA1448" s="573" t="s">
        <v>1711</v>
      </c>
      <c r="AB1448" s="587">
        <f t="shared" ref="AB1448:AB1459" si="196">V1450</f>
        <v>287</v>
      </c>
      <c r="AC1448" s="585" t="s">
        <v>654</v>
      </c>
      <c r="AD1448" s="587">
        <f t="shared" ref="AD1448:AD1459" si="197">AB1448*Y1448</f>
        <v>935.61999999999989</v>
      </c>
      <c r="AE1448" s="592">
        <f t="shared" si="186"/>
        <v>0</v>
      </c>
    </row>
    <row r="1449" spans="6:31" ht="24" customHeight="1">
      <c r="H1449" s="573" t="s">
        <v>1780</v>
      </c>
      <c r="M1449" s="652">
        <v>8</v>
      </c>
      <c r="N1449" s="585" t="s">
        <v>1</v>
      </c>
      <c r="O1449" s="573" t="s">
        <v>1727</v>
      </c>
      <c r="P1449" s="587">
        <f t="shared" si="194"/>
        <v>30</v>
      </c>
      <c r="Q1449" s="585" t="s">
        <v>1</v>
      </c>
      <c r="R1449" s="587">
        <f t="shared" si="195"/>
        <v>240</v>
      </c>
      <c r="T1449" s="576"/>
      <c r="U1449" s="729" t="s">
        <v>1781</v>
      </c>
      <c r="W1449" s="578"/>
      <c r="Y1449" s="617">
        <v>0.84</v>
      </c>
      <c r="Z1449" s="585" t="s">
        <v>654</v>
      </c>
      <c r="AA1449" s="573" t="s">
        <v>1711</v>
      </c>
      <c r="AB1449" s="587">
        <f t="shared" si="196"/>
        <v>287</v>
      </c>
      <c r="AC1449" s="585" t="s">
        <v>654</v>
      </c>
      <c r="AD1449" s="587">
        <f t="shared" si="197"/>
        <v>241.07999999999998</v>
      </c>
      <c r="AE1449" s="592">
        <f t="shared" si="186"/>
        <v>0</v>
      </c>
    </row>
    <row r="1450" spans="6:31" ht="24" customHeight="1">
      <c r="H1450" s="582" t="s">
        <v>117</v>
      </c>
      <c r="I1450" s="582" t="s">
        <v>117</v>
      </c>
      <c r="M1450" s="652">
        <v>8</v>
      </c>
      <c r="N1450" s="585" t="s">
        <v>1</v>
      </c>
      <c r="O1450" s="573" t="s">
        <v>1728</v>
      </c>
      <c r="P1450" s="587">
        <f t="shared" si="194"/>
        <v>20</v>
      </c>
      <c r="Q1450" s="585" t="s">
        <v>1</v>
      </c>
      <c r="R1450" s="587">
        <f t="shared" si="195"/>
        <v>160</v>
      </c>
      <c r="S1450" s="617">
        <v>3.49</v>
      </c>
      <c r="T1450" s="585" t="s">
        <v>654</v>
      </c>
      <c r="U1450" s="573" t="s">
        <v>1711</v>
      </c>
      <c r="V1450" s="587">
        <f>P1489</f>
        <v>287</v>
      </c>
      <c r="W1450" s="585" t="s">
        <v>654</v>
      </c>
      <c r="X1450" s="587">
        <f>V1450*S1450</f>
        <v>1001.6300000000001</v>
      </c>
      <c r="Y1450" s="617">
        <v>3.65</v>
      </c>
      <c r="Z1450" s="585" t="s">
        <v>654</v>
      </c>
      <c r="AA1450" s="573" t="s">
        <v>1711</v>
      </c>
      <c r="AB1450" s="587">
        <f t="shared" si="196"/>
        <v>287</v>
      </c>
      <c r="AC1450" s="585" t="s">
        <v>654</v>
      </c>
      <c r="AD1450" s="587">
        <f t="shared" si="197"/>
        <v>1047.55</v>
      </c>
      <c r="AE1450" s="592">
        <f t="shared" si="186"/>
        <v>0</v>
      </c>
    </row>
    <row r="1451" spans="6:31" ht="24" customHeight="1">
      <c r="G1451" s="585" t="s">
        <v>1196</v>
      </c>
      <c r="H1451" s="573" t="s">
        <v>1782</v>
      </c>
      <c r="M1451" s="652">
        <v>4</v>
      </c>
      <c r="N1451" s="585" t="s">
        <v>1</v>
      </c>
      <c r="O1451" s="573" t="s">
        <v>1730</v>
      </c>
      <c r="P1451" s="587">
        <f t="shared" si="194"/>
        <v>15</v>
      </c>
      <c r="Q1451" s="585" t="s">
        <v>1</v>
      </c>
      <c r="R1451" s="587">
        <f t="shared" si="195"/>
        <v>60</v>
      </c>
      <c r="S1451" s="617">
        <v>2.5299999999999998</v>
      </c>
      <c r="T1451" s="585" t="s">
        <v>654</v>
      </c>
      <c r="U1451" s="573" t="s">
        <v>1711</v>
      </c>
      <c r="V1451" s="587">
        <f t="shared" ref="V1451:V1461" si="198">P1490</f>
        <v>287</v>
      </c>
      <c r="W1451" s="585" t="s">
        <v>654</v>
      </c>
      <c r="X1451" s="587">
        <f t="shared" ref="X1451:X1461" si="199">V1451*S1451</f>
        <v>726.1099999999999</v>
      </c>
      <c r="Y1451" s="617">
        <v>0.64</v>
      </c>
      <c r="Z1451" s="585" t="s">
        <v>654</v>
      </c>
      <c r="AA1451" s="573" t="s">
        <v>1711</v>
      </c>
      <c r="AB1451" s="587">
        <f t="shared" si="196"/>
        <v>287</v>
      </c>
      <c r="AC1451" s="585" t="s">
        <v>654</v>
      </c>
      <c r="AD1451" s="587">
        <f t="shared" si="197"/>
        <v>183.68</v>
      </c>
      <c r="AE1451" s="592">
        <f t="shared" si="186"/>
        <v>0</v>
      </c>
    </row>
    <row r="1452" spans="6:31" ht="24" customHeight="1">
      <c r="G1452" s="585" t="s">
        <v>117</v>
      </c>
      <c r="H1452" s="582" t="s">
        <v>117</v>
      </c>
      <c r="M1452" s="652">
        <f>1.8*1.65</f>
        <v>2.9699999999999998</v>
      </c>
      <c r="N1452" s="585" t="s">
        <v>174</v>
      </c>
      <c r="O1452" s="573" t="s">
        <v>1731</v>
      </c>
      <c r="P1452" s="587">
        <f t="shared" si="194"/>
        <v>1540</v>
      </c>
      <c r="Q1452" s="585" t="s">
        <v>174</v>
      </c>
      <c r="R1452" s="587">
        <f t="shared" si="195"/>
        <v>4573.7999999999993</v>
      </c>
      <c r="S1452" s="617">
        <v>5.7549999999999999</v>
      </c>
      <c r="T1452" s="585" t="s">
        <v>654</v>
      </c>
      <c r="U1452" s="573" t="s">
        <v>1711</v>
      </c>
      <c r="V1452" s="587">
        <f t="shared" si="198"/>
        <v>287</v>
      </c>
      <c r="W1452" s="585" t="s">
        <v>654</v>
      </c>
      <c r="X1452" s="587">
        <f t="shared" si="199"/>
        <v>1651.6849999999999</v>
      </c>
      <c r="Y1452" s="617">
        <v>0.84099999999999997</v>
      </c>
      <c r="Z1452" s="585" t="s">
        <v>110</v>
      </c>
      <c r="AA1452" s="573" t="s">
        <v>1717</v>
      </c>
      <c r="AB1452" s="587">
        <f t="shared" si="196"/>
        <v>208.8</v>
      </c>
      <c r="AC1452" s="585" t="s">
        <v>110</v>
      </c>
      <c r="AD1452" s="587">
        <f t="shared" si="197"/>
        <v>175.60079999999999</v>
      </c>
      <c r="AE1452" s="592">
        <f t="shared" si="186"/>
        <v>0</v>
      </c>
    </row>
    <row r="1453" spans="6:31" ht="24" customHeight="1">
      <c r="F1453" s="652">
        <v>1.4E-2</v>
      </c>
      <c r="G1453" s="585" t="s">
        <v>429</v>
      </c>
      <c r="H1453" s="573" t="s">
        <v>1783</v>
      </c>
      <c r="I1453" s="587">
        <f>K49</f>
        <v>3080.2</v>
      </c>
      <c r="J1453" s="573" t="s">
        <v>429</v>
      </c>
      <c r="K1453" s="587">
        <f>(F1453*I1453)</f>
        <v>43.122799999999998</v>
      </c>
      <c r="N1453" s="576"/>
      <c r="O1453" s="573" t="s">
        <v>1733</v>
      </c>
      <c r="Q1453" s="580"/>
      <c r="R1453" s="587">
        <v>0.78</v>
      </c>
      <c r="S1453" s="617">
        <v>1.0009999999999999</v>
      </c>
      <c r="T1453" s="585" t="s">
        <v>654</v>
      </c>
      <c r="U1453" s="573" t="s">
        <v>1711</v>
      </c>
      <c r="V1453" s="587">
        <f t="shared" si="198"/>
        <v>287</v>
      </c>
      <c r="W1453" s="585" t="s">
        <v>654</v>
      </c>
      <c r="X1453" s="587">
        <f t="shared" si="199"/>
        <v>287.28699999999998</v>
      </c>
      <c r="Y1453" s="617">
        <v>5.1959999999999997</v>
      </c>
      <c r="Z1453" s="585" t="s">
        <v>231</v>
      </c>
      <c r="AA1453" s="573" t="s">
        <v>1720</v>
      </c>
      <c r="AB1453" s="587">
        <f t="shared" si="196"/>
        <v>28.6</v>
      </c>
      <c r="AC1453" s="585" t="s">
        <v>231</v>
      </c>
      <c r="AD1453" s="587">
        <f t="shared" si="197"/>
        <v>148.60560000000001</v>
      </c>
      <c r="AE1453" s="592">
        <f t="shared" si="186"/>
        <v>0</v>
      </c>
    </row>
    <row r="1454" spans="6:31" ht="24" customHeight="1">
      <c r="F1454" s="587">
        <v>0.3</v>
      </c>
      <c r="G1454" s="585" t="s">
        <v>233</v>
      </c>
      <c r="H1454" s="573" t="s">
        <v>1784</v>
      </c>
      <c r="I1454" s="587">
        <f>C10</f>
        <v>769</v>
      </c>
      <c r="J1454" s="573" t="s">
        <v>233</v>
      </c>
      <c r="K1454" s="587">
        <f>(F1454*I1454)</f>
        <v>230.7</v>
      </c>
      <c r="R1454" s="586">
        <f>SUM(R1441:R1453)</f>
        <v>15647.714</v>
      </c>
      <c r="S1454" s="617">
        <f>1.012</f>
        <v>1.012</v>
      </c>
      <c r="T1454" s="585" t="s">
        <v>110</v>
      </c>
      <c r="U1454" s="573" t="s">
        <v>1717</v>
      </c>
      <c r="V1454" s="587">
        <f t="shared" si="198"/>
        <v>208.8</v>
      </c>
      <c r="W1454" s="585" t="s">
        <v>110</v>
      </c>
      <c r="X1454" s="587">
        <f t="shared" si="199"/>
        <v>211.30560000000003</v>
      </c>
      <c r="Y1454" s="617">
        <v>4</v>
      </c>
      <c r="Z1454" s="585" t="s">
        <v>1</v>
      </c>
      <c r="AA1454" s="573" t="s">
        <v>1722</v>
      </c>
      <c r="AB1454" s="587">
        <f t="shared" si="196"/>
        <v>63.5</v>
      </c>
      <c r="AC1454" s="585" t="s">
        <v>1</v>
      </c>
      <c r="AD1454" s="587">
        <f t="shared" si="197"/>
        <v>254</v>
      </c>
      <c r="AE1454" s="592">
        <f t="shared" si="186"/>
        <v>0</v>
      </c>
    </row>
    <row r="1455" spans="6:31" ht="24" customHeight="1">
      <c r="F1455" s="587">
        <v>0.3</v>
      </c>
      <c r="G1455" s="585" t="s">
        <v>233</v>
      </c>
      <c r="H1455" s="573" t="s">
        <v>956</v>
      </c>
      <c r="I1455" s="587">
        <f>C12</f>
        <v>502</v>
      </c>
      <c r="J1455" s="573" t="s">
        <v>233</v>
      </c>
      <c r="K1455" s="587">
        <f>(F1455*I1455)</f>
        <v>150.6</v>
      </c>
      <c r="R1455" s="575">
        <f>R1454/M1452</f>
        <v>5268.5905723905726</v>
      </c>
      <c r="S1455" s="617" t="s">
        <v>174</v>
      </c>
      <c r="T1455" s="585" t="s">
        <v>231</v>
      </c>
      <c r="U1455" s="573" t="s">
        <v>1720</v>
      </c>
      <c r="V1455" s="587">
        <f t="shared" si="198"/>
        <v>28.6</v>
      </c>
      <c r="W1455" s="585" t="s">
        <v>231</v>
      </c>
      <c r="X1455" s="587">
        <f t="shared" si="199"/>
        <v>0</v>
      </c>
      <c r="Y1455" s="617">
        <v>2</v>
      </c>
      <c r="Z1455" s="585" t="s">
        <v>1</v>
      </c>
      <c r="AA1455" s="573" t="s">
        <v>1724</v>
      </c>
      <c r="AB1455" s="587">
        <f t="shared" si="196"/>
        <v>50.9</v>
      </c>
      <c r="AC1455" s="585" t="s">
        <v>1</v>
      </c>
      <c r="AD1455" s="587">
        <f t="shared" si="197"/>
        <v>101.8</v>
      </c>
      <c r="AE1455" s="592">
        <f t="shared" si="186"/>
        <v>0</v>
      </c>
    </row>
    <row r="1456" spans="6:31" ht="24" customHeight="1">
      <c r="G1456" s="585" t="s">
        <v>129</v>
      </c>
      <c r="H1456" s="573" t="s">
        <v>236</v>
      </c>
      <c r="J1456" s="573" t="s">
        <v>129</v>
      </c>
      <c r="K1456" s="575">
        <v>0</v>
      </c>
      <c r="S1456" s="617">
        <v>8</v>
      </c>
      <c r="T1456" s="585" t="s">
        <v>1</v>
      </c>
      <c r="U1456" s="573" t="s">
        <v>1722</v>
      </c>
      <c r="V1456" s="587">
        <f t="shared" si="198"/>
        <v>63.5</v>
      </c>
      <c r="W1456" s="585" t="s">
        <v>1</v>
      </c>
      <c r="X1456" s="587">
        <f t="shared" si="199"/>
        <v>508</v>
      </c>
      <c r="Y1456" s="617">
        <v>2</v>
      </c>
      <c r="Z1456" s="585" t="s">
        <v>1</v>
      </c>
      <c r="AA1456" s="573" t="s">
        <v>1727</v>
      </c>
      <c r="AB1456" s="587">
        <f t="shared" si="196"/>
        <v>30</v>
      </c>
      <c r="AC1456" s="585" t="s">
        <v>1</v>
      </c>
      <c r="AD1456" s="587">
        <f t="shared" si="197"/>
        <v>60</v>
      </c>
      <c r="AE1456" s="592">
        <f t="shared" si="186"/>
        <v>0</v>
      </c>
    </row>
    <row r="1457" spans="6:31" ht="24" customHeight="1">
      <c r="K1457" s="582" t="s">
        <v>117</v>
      </c>
      <c r="N1457" s="576"/>
      <c r="O1457" s="729" t="s">
        <v>1785</v>
      </c>
      <c r="Q1457" s="578"/>
      <c r="S1457" s="617">
        <v>4</v>
      </c>
      <c r="T1457" s="585" t="s">
        <v>1</v>
      </c>
      <c r="U1457" s="573" t="s">
        <v>1724</v>
      </c>
      <c r="V1457" s="587">
        <f t="shared" si="198"/>
        <v>50.9</v>
      </c>
      <c r="W1457" s="585" t="s">
        <v>1</v>
      </c>
      <c r="X1457" s="587">
        <f t="shared" si="199"/>
        <v>203.6</v>
      </c>
      <c r="Y1457" s="617">
        <v>2</v>
      </c>
      <c r="Z1457" s="585" t="s">
        <v>1</v>
      </c>
      <c r="AA1457" s="573" t="s">
        <v>1728</v>
      </c>
      <c r="AB1457" s="587">
        <f t="shared" si="196"/>
        <v>20</v>
      </c>
      <c r="AC1457" s="585" t="s">
        <v>1</v>
      </c>
      <c r="AD1457" s="587">
        <f t="shared" si="197"/>
        <v>40</v>
      </c>
      <c r="AE1457" s="592">
        <f t="shared" si="186"/>
        <v>0</v>
      </c>
    </row>
    <row r="1458" spans="6:31" ht="24" customHeight="1">
      <c r="H1458" s="574" t="s">
        <v>1786</v>
      </c>
      <c r="K1458" s="587">
        <f>SUM(K1453:K1456)</f>
        <v>424.42279999999994</v>
      </c>
      <c r="M1458" s="652">
        <v>10.75</v>
      </c>
      <c r="N1458" s="585" t="s">
        <v>654</v>
      </c>
      <c r="O1458" s="641" t="s">
        <v>1757</v>
      </c>
      <c r="P1458" s="587">
        <f>P1441</f>
        <v>287</v>
      </c>
      <c r="Q1458" s="585" t="s">
        <v>654</v>
      </c>
      <c r="R1458" s="587">
        <f>P1458*M1458</f>
        <v>3085.25</v>
      </c>
      <c r="S1458" s="617">
        <v>4</v>
      </c>
      <c r="T1458" s="585" t="s">
        <v>1</v>
      </c>
      <c r="U1458" s="573" t="s">
        <v>1727</v>
      </c>
      <c r="V1458" s="587">
        <f t="shared" si="198"/>
        <v>30</v>
      </c>
      <c r="W1458" s="585" t="s">
        <v>1</v>
      </c>
      <c r="X1458" s="587">
        <f t="shared" si="199"/>
        <v>120</v>
      </c>
      <c r="Y1458" s="617">
        <v>4</v>
      </c>
      <c r="Z1458" s="585" t="s">
        <v>1</v>
      </c>
      <c r="AA1458" s="573" t="s">
        <v>1730</v>
      </c>
      <c r="AB1458" s="587">
        <f t="shared" si="196"/>
        <v>15</v>
      </c>
      <c r="AC1458" s="585" t="s">
        <v>1</v>
      </c>
      <c r="AD1458" s="587">
        <f t="shared" si="197"/>
        <v>60</v>
      </c>
      <c r="AE1458" s="592">
        <f t="shared" si="186"/>
        <v>0</v>
      </c>
    </row>
    <row r="1459" spans="6:31" ht="24" customHeight="1">
      <c r="K1459" s="582" t="s">
        <v>117</v>
      </c>
      <c r="M1459" s="652">
        <v>0.99199999999999999</v>
      </c>
      <c r="N1459" s="585" t="s">
        <v>654</v>
      </c>
      <c r="O1459" s="573" t="s">
        <v>1711</v>
      </c>
      <c r="P1459" s="587">
        <f t="shared" ref="P1459:P1469" si="200">P1442</f>
        <v>287</v>
      </c>
      <c r="Q1459" s="585" t="s">
        <v>654</v>
      </c>
      <c r="R1459" s="587">
        <f t="shared" ref="R1459:R1469" si="201">P1459*M1459</f>
        <v>284.70400000000001</v>
      </c>
      <c r="S1459" s="617">
        <v>4</v>
      </c>
      <c r="T1459" s="585" t="s">
        <v>1</v>
      </c>
      <c r="U1459" s="573" t="s">
        <v>1728</v>
      </c>
      <c r="V1459" s="587">
        <f t="shared" si="198"/>
        <v>20</v>
      </c>
      <c r="W1459" s="585" t="s">
        <v>1</v>
      </c>
      <c r="X1459" s="587">
        <f t="shared" si="199"/>
        <v>80</v>
      </c>
      <c r="Y1459" s="617">
        <v>1.01</v>
      </c>
      <c r="Z1459" s="585" t="s">
        <v>174</v>
      </c>
      <c r="AA1459" s="573" t="s">
        <v>1731</v>
      </c>
      <c r="AB1459" s="587">
        <f t="shared" si="196"/>
        <v>1540</v>
      </c>
      <c r="AC1459" s="585" t="s">
        <v>174</v>
      </c>
      <c r="AD1459" s="587">
        <f t="shared" si="197"/>
        <v>1555.4</v>
      </c>
      <c r="AE1459" s="592">
        <f t="shared" si="186"/>
        <v>0</v>
      </c>
    </row>
    <row r="1460" spans="6:31" ht="24" customHeight="1">
      <c r="H1460" s="589" t="s">
        <v>1787</v>
      </c>
      <c r="I1460" s="619"/>
      <c r="J1460" s="630"/>
      <c r="K1460" s="586">
        <f>K1458/6.77</f>
        <v>62.691698670605611</v>
      </c>
      <c r="M1460" s="652">
        <v>0</v>
      </c>
      <c r="N1460" s="585" t="s">
        <v>654</v>
      </c>
      <c r="O1460" s="573" t="s">
        <v>1711</v>
      </c>
      <c r="P1460" s="587">
        <f t="shared" si="200"/>
        <v>287</v>
      </c>
      <c r="Q1460" s="585" t="s">
        <v>654</v>
      </c>
      <c r="R1460" s="587">
        <f t="shared" si="201"/>
        <v>0</v>
      </c>
      <c r="S1460" s="617">
        <v>4</v>
      </c>
      <c r="T1460" s="585" t="s">
        <v>1</v>
      </c>
      <c r="U1460" s="573" t="s">
        <v>1730</v>
      </c>
      <c r="V1460" s="587">
        <f t="shared" si="198"/>
        <v>15</v>
      </c>
      <c r="W1460" s="585" t="s">
        <v>1</v>
      </c>
      <c r="X1460" s="587">
        <f t="shared" si="199"/>
        <v>60</v>
      </c>
      <c r="Y1460" s="579"/>
      <c r="Z1460" s="576"/>
      <c r="AA1460" s="573" t="s">
        <v>1733</v>
      </c>
      <c r="AC1460" s="580"/>
      <c r="AD1460" s="587">
        <v>0.84</v>
      </c>
      <c r="AE1460" s="592">
        <f t="shared" si="186"/>
        <v>0</v>
      </c>
    </row>
    <row r="1461" spans="6:31" ht="24" customHeight="1">
      <c r="F1461" s="573" t="s">
        <v>115</v>
      </c>
      <c r="M1461" s="652">
        <v>0</v>
      </c>
      <c r="N1461" s="585" t="s">
        <v>654</v>
      </c>
      <c r="O1461" s="573" t="s">
        <v>1711</v>
      </c>
      <c r="P1461" s="587">
        <f t="shared" si="200"/>
        <v>287</v>
      </c>
      <c r="Q1461" s="585" t="s">
        <v>654</v>
      </c>
      <c r="R1461" s="587">
        <f t="shared" si="201"/>
        <v>0</v>
      </c>
      <c r="S1461" s="617">
        <v>1.26</v>
      </c>
      <c r="T1461" s="585" t="s">
        <v>174</v>
      </c>
      <c r="U1461" s="573" t="s">
        <v>1731</v>
      </c>
      <c r="V1461" s="587">
        <f t="shared" si="198"/>
        <v>1540</v>
      </c>
      <c r="W1461" s="585" t="s">
        <v>174</v>
      </c>
      <c r="X1461" s="587">
        <f t="shared" si="199"/>
        <v>1940.4</v>
      </c>
      <c r="Y1461" s="579"/>
      <c r="AA1461" s="584" t="s">
        <v>1735</v>
      </c>
      <c r="AD1461" s="586">
        <f>SUM(AD1448:AD1460)</f>
        <v>4804.1764000000003</v>
      </c>
      <c r="AE1461" s="592">
        <f t="shared" si="186"/>
        <v>0</v>
      </c>
    </row>
    <row r="1462" spans="6:31" ht="24" customHeight="1">
      <c r="K1462" s="582" t="s">
        <v>155</v>
      </c>
      <c r="M1462" s="652">
        <v>1.89</v>
      </c>
      <c r="N1462" s="585" t="s">
        <v>110</v>
      </c>
      <c r="O1462" s="573" t="s">
        <v>1717</v>
      </c>
      <c r="P1462" s="615">
        <f t="shared" si="200"/>
        <v>208.8</v>
      </c>
      <c r="Q1462" s="585" t="s">
        <v>110</v>
      </c>
      <c r="R1462" s="587">
        <f t="shared" si="201"/>
        <v>394.63200000000001</v>
      </c>
      <c r="T1462" s="576"/>
      <c r="U1462" s="573" t="s">
        <v>1733</v>
      </c>
      <c r="W1462" s="580"/>
      <c r="X1462" s="587">
        <v>0.14000000000000001</v>
      </c>
      <c r="AE1462" s="592">
        <f t="shared" si="186"/>
        <v>0</v>
      </c>
    </row>
    <row r="1463" spans="6:31" ht="24" customHeight="1">
      <c r="G1463" s="585" t="s">
        <v>1225</v>
      </c>
      <c r="H1463" s="573" t="s">
        <v>1788</v>
      </c>
      <c r="M1463" s="652">
        <v>8</v>
      </c>
      <c r="N1463" s="585" t="s">
        <v>231</v>
      </c>
      <c r="O1463" s="641" t="s">
        <v>1758</v>
      </c>
      <c r="P1463" s="587">
        <f t="shared" si="200"/>
        <v>28.6</v>
      </c>
      <c r="Q1463" s="585" t="s">
        <v>231</v>
      </c>
      <c r="R1463" s="587">
        <f t="shared" si="201"/>
        <v>228.8</v>
      </c>
      <c r="U1463" s="584" t="s">
        <v>1735</v>
      </c>
      <c r="X1463" s="586">
        <f>SUM(X1450:X1462)</f>
        <v>6790.1576000000014</v>
      </c>
      <c r="AE1463" s="592">
        <f t="shared" si="186"/>
        <v>0</v>
      </c>
    </row>
    <row r="1464" spans="6:31" ht="24" customHeight="1">
      <c r="G1464" s="585" t="s">
        <v>117</v>
      </c>
      <c r="H1464" s="582" t="s">
        <v>117</v>
      </c>
      <c r="M1464" s="652">
        <v>0</v>
      </c>
      <c r="N1464" s="585" t="s">
        <v>1</v>
      </c>
      <c r="O1464" s="641" t="s">
        <v>1759</v>
      </c>
      <c r="P1464" s="587">
        <f t="shared" si="200"/>
        <v>63.5</v>
      </c>
      <c r="Q1464" s="585" t="s">
        <v>1</v>
      </c>
      <c r="R1464" s="587">
        <f t="shared" si="201"/>
        <v>0</v>
      </c>
      <c r="AE1464" s="592">
        <f t="shared" si="186"/>
        <v>0</v>
      </c>
    </row>
    <row r="1465" spans="6:31" ht="24" customHeight="1">
      <c r="F1465" s="652">
        <v>7.0000000000000001E-3</v>
      </c>
      <c r="G1465" s="585" t="s">
        <v>429</v>
      </c>
      <c r="H1465" s="573" t="s">
        <v>1783</v>
      </c>
      <c r="I1465" s="587">
        <f>K49</f>
        <v>3080.2</v>
      </c>
      <c r="J1465" s="573" t="s">
        <v>429</v>
      </c>
      <c r="K1465" s="587">
        <f>(F1465*I1465)</f>
        <v>21.561399999999999</v>
      </c>
      <c r="M1465" s="652">
        <v>0</v>
      </c>
      <c r="N1465" s="585" t="s">
        <v>1</v>
      </c>
      <c r="O1465" s="641" t="s">
        <v>1750</v>
      </c>
      <c r="P1465" s="587">
        <f t="shared" si="200"/>
        <v>50.9</v>
      </c>
      <c r="Q1465" s="585" t="s">
        <v>1</v>
      </c>
      <c r="R1465" s="587">
        <f t="shared" si="201"/>
        <v>0</v>
      </c>
      <c r="AE1465" s="592">
        <f t="shared" si="186"/>
        <v>0</v>
      </c>
    </row>
    <row r="1466" spans="6:31" ht="24" customHeight="1">
      <c r="F1466" s="587">
        <v>0.2</v>
      </c>
      <c r="G1466" s="585" t="s">
        <v>233</v>
      </c>
      <c r="H1466" s="573" t="s">
        <v>1784</v>
      </c>
      <c r="I1466" s="587">
        <f>C10</f>
        <v>769</v>
      </c>
      <c r="J1466" s="573" t="s">
        <v>233</v>
      </c>
      <c r="K1466" s="587">
        <f>(F1466*I1466)</f>
        <v>153.80000000000001</v>
      </c>
      <c r="M1466" s="652">
        <v>0</v>
      </c>
      <c r="N1466" s="585" t="s">
        <v>1</v>
      </c>
      <c r="O1466" s="573" t="s">
        <v>1727</v>
      </c>
      <c r="P1466" s="587">
        <f t="shared" si="200"/>
        <v>30</v>
      </c>
      <c r="Q1466" s="585" t="s">
        <v>1</v>
      </c>
      <c r="R1466" s="587">
        <f t="shared" si="201"/>
        <v>0</v>
      </c>
      <c r="T1466" s="576"/>
      <c r="U1466" s="729" t="s">
        <v>1789</v>
      </c>
      <c r="V1466" s="646" t="s">
        <v>1769</v>
      </c>
      <c r="W1466" s="578"/>
      <c r="AE1466" s="592">
        <f t="shared" si="186"/>
        <v>0</v>
      </c>
    </row>
    <row r="1467" spans="6:31" ht="24" customHeight="1">
      <c r="F1467" s="587">
        <v>0.2</v>
      </c>
      <c r="G1467" s="585" t="s">
        <v>233</v>
      </c>
      <c r="H1467" s="573" t="s">
        <v>956</v>
      </c>
      <c r="I1467" s="587">
        <f>C12</f>
        <v>502</v>
      </c>
      <c r="J1467" s="573" t="s">
        <v>233</v>
      </c>
      <c r="K1467" s="587">
        <f>(F1467*I1467)</f>
        <v>100.4</v>
      </c>
      <c r="M1467" s="652">
        <v>0</v>
      </c>
      <c r="N1467" s="585" t="s">
        <v>1</v>
      </c>
      <c r="O1467" s="573" t="s">
        <v>1728</v>
      </c>
      <c r="P1467" s="587">
        <f t="shared" si="200"/>
        <v>20</v>
      </c>
      <c r="Q1467" s="585" t="s">
        <v>1</v>
      </c>
      <c r="R1467" s="587">
        <f t="shared" si="201"/>
        <v>0</v>
      </c>
      <c r="S1467" s="617">
        <v>6.81</v>
      </c>
      <c r="T1467" s="585" t="s">
        <v>654</v>
      </c>
      <c r="U1467" s="573" t="s">
        <v>1711</v>
      </c>
      <c r="V1467" s="587">
        <f>V1443</f>
        <v>287</v>
      </c>
      <c r="W1467" s="585" t="s">
        <v>654</v>
      </c>
      <c r="X1467" s="587">
        <f>V1467*S1467</f>
        <v>1954.4699999999998</v>
      </c>
      <c r="AE1467" s="592">
        <f t="shared" si="186"/>
        <v>0</v>
      </c>
    </row>
    <row r="1468" spans="6:31" ht="24" customHeight="1">
      <c r="H1468" s="573" t="s">
        <v>236</v>
      </c>
      <c r="K1468" s="575">
        <v>0</v>
      </c>
      <c r="M1468" s="652">
        <v>0</v>
      </c>
      <c r="N1468" s="585" t="s">
        <v>1</v>
      </c>
      <c r="O1468" s="573" t="s">
        <v>1730</v>
      </c>
      <c r="P1468" s="587">
        <f t="shared" si="200"/>
        <v>15</v>
      </c>
      <c r="Q1468" s="585" t="s">
        <v>1</v>
      </c>
      <c r="R1468" s="587">
        <f t="shared" si="201"/>
        <v>0</v>
      </c>
      <c r="S1468" s="617">
        <v>0.77100000000000002</v>
      </c>
      <c r="T1468" s="585" t="s">
        <v>110</v>
      </c>
      <c r="U1468" s="573" t="s">
        <v>1717</v>
      </c>
      <c r="V1468" s="587">
        <f>V1444</f>
        <v>208.8</v>
      </c>
      <c r="W1468" s="585" t="s">
        <v>654</v>
      </c>
      <c r="X1468" s="587">
        <f>V1468*S1468</f>
        <v>160.98480000000001</v>
      </c>
      <c r="AE1468" s="592">
        <f t="shared" si="186"/>
        <v>0</v>
      </c>
    </row>
    <row r="1469" spans="6:31" ht="24" customHeight="1">
      <c r="K1469" s="582" t="s">
        <v>117</v>
      </c>
      <c r="M1469" s="652">
        <v>1.89</v>
      </c>
      <c r="N1469" s="585" t="s">
        <v>174</v>
      </c>
      <c r="O1469" s="573" t="s">
        <v>1731</v>
      </c>
      <c r="P1469" s="587">
        <f t="shared" si="200"/>
        <v>1540</v>
      </c>
      <c r="Q1469" s="585" t="s">
        <v>174</v>
      </c>
      <c r="R1469" s="587">
        <f t="shared" si="201"/>
        <v>2910.6</v>
      </c>
      <c r="S1469" s="617">
        <v>0.77100000000000002</v>
      </c>
      <c r="T1469" s="585" t="s">
        <v>110</v>
      </c>
      <c r="U1469" s="573" t="s">
        <v>1731</v>
      </c>
      <c r="V1469" s="587">
        <f>V1445</f>
        <v>1540</v>
      </c>
      <c r="W1469" s="585" t="s">
        <v>654</v>
      </c>
      <c r="X1469" s="587">
        <f>V1469*S1469</f>
        <v>1187.3399999999999</v>
      </c>
      <c r="AE1469" s="592">
        <f t="shared" si="186"/>
        <v>0</v>
      </c>
    </row>
    <row r="1470" spans="6:31" ht="24" customHeight="1">
      <c r="H1470" s="574" t="s">
        <v>1786</v>
      </c>
      <c r="K1470" s="587">
        <f>SUM(K1465:K1468)</f>
        <v>275.76139999999998</v>
      </c>
      <c r="N1470" s="576"/>
      <c r="O1470" s="573" t="s">
        <v>1733</v>
      </c>
      <c r="Q1470" s="580"/>
      <c r="R1470" s="587">
        <v>0.28000000000000003</v>
      </c>
      <c r="S1470" s="617"/>
      <c r="T1470" s="585"/>
      <c r="U1470" s="573"/>
      <c r="V1470" s="587"/>
      <c r="W1470" s="585"/>
      <c r="X1470" s="587">
        <f>SUM(X1467:X1469)</f>
        <v>3302.7947999999997</v>
      </c>
      <c r="AE1470" s="592">
        <f t="shared" ref="AE1470:AE1533" si="202">AG1470</f>
        <v>0</v>
      </c>
    </row>
    <row r="1471" spans="6:31" ht="24" customHeight="1">
      <c r="K1471" s="582" t="s">
        <v>117</v>
      </c>
      <c r="R1471" s="586">
        <f>SUM(R1458:R1470)</f>
        <v>6904.2660000000005</v>
      </c>
      <c r="S1471" s="617"/>
      <c r="T1471" s="585"/>
      <c r="U1471" s="584" t="s">
        <v>1772</v>
      </c>
      <c r="V1471" s="587"/>
      <c r="W1471" s="585"/>
      <c r="X1471" s="586">
        <f>X1470/S1469</f>
        <v>4283.780544747081</v>
      </c>
      <c r="AE1471" s="592">
        <f t="shared" si="202"/>
        <v>0</v>
      </c>
    </row>
    <row r="1472" spans="6:31" ht="24" customHeight="1">
      <c r="H1472" s="589" t="s">
        <v>1787</v>
      </c>
      <c r="I1472" s="619"/>
      <c r="J1472" s="630"/>
      <c r="K1472" s="586">
        <f>K1470/6.77</f>
        <v>40.732850812407683</v>
      </c>
      <c r="AE1472" s="592">
        <f t="shared" si="202"/>
        <v>0</v>
      </c>
    </row>
    <row r="1473" spans="6:31" ht="24" customHeight="1">
      <c r="K1473" s="582" t="s">
        <v>155</v>
      </c>
      <c r="AE1473" s="592">
        <f t="shared" si="202"/>
        <v>0</v>
      </c>
    </row>
    <row r="1474" spans="6:31" ht="24" customHeight="1">
      <c r="K1474" s="582"/>
      <c r="N1474" s="576"/>
      <c r="O1474" s="729" t="s">
        <v>1790</v>
      </c>
      <c r="P1474" s="1463" t="s">
        <v>1769</v>
      </c>
      <c r="Q1474" s="1463"/>
      <c r="R1474" s="1463"/>
      <c r="S1474" s="1452"/>
      <c r="T1474" s="1452"/>
      <c r="U1474" s="1452"/>
      <c r="V1474" s="767"/>
      <c r="W1474" s="767"/>
      <c r="AE1474" s="592">
        <f t="shared" si="202"/>
        <v>0</v>
      </c>
    </row>
    <row r="1475" spans="6:31" ht="24" customHeight="1">
      <c r="K1475" s="582"/>
      <c r="M1475" s="652">
        <v>4.67</v>
      </c>
      <c r="N1475" s="585" t="s">
        <v>654</v>
      </c>
      <c r="O1475" s="641" t="s">
        <v>1757</v>
      </c>
      <c r="P1475" s="587">
        <f>P1458</f>
        <v>287</v>
      </c>
      <c r="Q1475" s="585" t="s">
        <v>654</v>
      </c>
      <c r="R1475" s="587">
        <f>P1475*M1475</f>
        <v>1340.29</v>
      </c>
      <c r="S1475" s="652"/>
      <c r="T1475" s="585"/>
      <c r="U1475" s="573"/>
      <c r="V1475" s="587"/>
      <c r="W1475" s="585"/>
      <c r="X1475" s="587"/>
      <c r="AE1475" s="592">
        <f t="shared" si="202"/>
        <v>0</v>
      </c>
    </row>
    <row r="1476" spans="6:31" ht="24" customHeight="1">
      <c r="G1476" s="585" t="s">
        <v>1258</v>
      </c>
      <c r="H1476" s="573" t="s">
        <v>1791</v>
      </c>
      <c r="K1476" s="582"/>
      <c r="M1476" s="652">
        <v>0.54</v>
      </c>
      <c r="N1476" s="585" t="s">
        <v>110</v>
      </c>
      <c r="O1476" s="573" t="s">
        <v>1717</v>
      </c>
      <c r="P1476" s="615">
        <f>P1462</f>
        <v>208.8</v>
      </c>
      <c r="Q1476" s="585" t="s">
        <v>654</v>
      </c>
      <c r="R1476" s="587">
        <f>P1476*M1476</f>
        <v>112.75200000000001</v>
      </c>
      <c r="S1476" s="652"/>
      <c r="T1476" s="585"/>
      <c r="U1476" s="573"/>
      <c r="V1476" s="587"/>
      <c r="W1476" s="585"/>
      <c r="X1476" s="587"/>
      <c r="AE1476" s="592">
        <f t="shared" si="202"/>
        <v>0</v>
      </c>
    </row>
    <row r="1477" spans="6:31" ht="24" customHeight="1">
      <c r="G1477" s="585" t="s">
        <v>117</v>
      </c>
      <c r="H1477" s="582" t="s">
        <v>117</v>
      </c>
      <c r="K1477" s="582"/>
      <c r="M1477" s="652">
        <v>0.54</v>
      </c>
      <c r="N1477" s="585" t="s">
        <v>110</v>
      </c>
      <c r="O1477" s="573" t="s">
        <v>1731</v>
      </c>
      <c r="P1477" s="587">
        <f>P1469</f>
        <v>1540</v>
      </c>
      <c r="Q1477" s="585" t="s">
        <v>654</v>
      </c>
      <c r="R1477" s="587">
        <f>P1477*M1477</f>
        <v>831.6</v>
      </c>
      <c r="S1477" s="652"/>
      <c r="T1477" s="585"/>
      <c r="U1477" s="573"/>
      <c r="V1477" s="587"/>
      <c r="W1477" s="585"/>
      <c r="X1477" s="587"/>
      <c r="AE1477" s="592">
        <f t="shared" si="202"/>
        <v>0</v>
      </c>
    </row>
    <row r="1478" spans="6:31" ht="24" customHeight="1">
      <c r="F1478" s="652">
        <v>4.7000000000000002E-3</v>
      </c>
      <c r="G1478" s="585" t="s">
        <v>429</v>
      </c>
      <c r="H1478" s="573" t="s">
        <v>1783</v>
      </c>
      <c r="I1478" s="575">
        <f>K49</f>
        <v>3080.2</v>
      </c>
      <c r="J1478" s="573" t="s">
        <v>429</v>
      </c>
      <c r="K1478" s="587">
        <f>(F1478*I1478)</f>
        <v>14.476939999999999</v>
      </c>
      <c r="M1478" s="652"/>
      <c r="N1478" s="585"/>
      <c r="O1478" s="573"/>
      <c r="P1478" s="587"/>
      <c r="Q1478" s="585"/>
      <c r="R1478" s="587">
        <f>SUM(R1475:R1477)</f>
        <v>2284.6419999999998</v>
      </c>
      <c r="S1478" s="652"/>
      <c r="T1478" s="585"/>
      <c r="U1478" s="573"/>
      <c r="V1478" s="768"/>
      <c r="W1478" s="769"/>
      <c r="X1478" s="587"/>
      <c r="AE1478" s="592">
        <f t="shared" si="202"/>
        <v>0</v>
      </c>
    </row>
    <row r="1479" spans="6:31" ht="24" customHeight="1">
      <c r="F1479" s="587">
        <v>0.15</v>
      </c>
      <c r="G1479" s="585" t="s">
        <v>233</v>
      </c>
      <c r="H1479" s="573" t="s">
        <v>1784</v>
      </c>
      <c r="I1479" s="575">
        <f>C10</f>
        <v>769</v>
      </c>
      <c r="J1479" s="573" t="s">
        <v>233</v>
      </c>
      <c r="K1479" s="587">
        <f>(F1479*I1479)</f>
        <v>115.35</v>
      </c>
      <c r="M1479" s="652"/>
      <c r="N1479" s="585"/>
      <c r="O1479" s="584" t="s">
        <v>1772</v>
      </c>
      <c r="P1479" s="587"/>
      <c r="Q1479" s="585"/>
      <c r="R1479" s="586">
        <f>R1478/M1477</f>
        <v>4230.8185185185175</v>
      </c>
      <c r="S1479" s="652"/>
      <c r="T1479" s="585"/>
      <c r="U1479" s="573"/>
      <c r="V1479" s="587"/>
      <c r="W1479" s="585"/>
      <c r="X1479" s="586"/>
      <c r="AE1479" s="592">
        <f t="shared" si="202"/>
        <v>0</v>
      </c>
    </row>
    <row r="1480" spans="6:31" ht="24" customHeight="1">
      <c r="F1480" s="587">
        <v>0.15</v>
      </c>
      <c r="G1480" s="585" t="s">
        <v>233</v>
      </c>
      <c r="H1480" s="573" t="s">
        <v>956</v>
      </c>
      <c r="I1480" s="575">
        <f>C12</f>
        <v>502</v>
      </c>
      <c r="J1480" s="573" t="s">
        <v>233</v>
      </c>
      <c r="K1480" s="587">
        <f>(F1480*I1480)</f>
        <v>75.3</v>
      </c>
      <c r="M1480" s="652"/>
      <c r="N1480" s="585"/>
      <c r="O1480" s="573"/>
      <c r="P1480" s="587"/>
      <c r="Q1480" s="585"/>
      <c r="R1480" s="587"/>
      <c r="AE1480" s="592">
        <f t="shared" si="202"/>
        <v>0</v>
      </c>
    </row>
    <row r="1481" spans="6:31" ht="24" customHeight="1">
      <c r="H1481" s="573" t="s">
        <v>236</v>
      </c>
      <c r="K1481" s="575">
        <v>0</v>
      </c>
      <c r="N1481" s="576"/>
      <c r="O1481" s="729" t="s">
        <v>1792</v>
      </c>
      <c r="P1481" s="646" t="s">
        <v>1769</v>
      </c>
      <c r="Q1481" s="578"/>
      <c r="AE1481" s="592">
        <f t="shared" si="202"/>
        <v>0</v>
      </c>
    </row>
    <row r="1482" spans="6:31" ht="24" customHeight="1">
      <c r="K1482" s="582" t="s">
        <v>117</v>
      </c>
      <c r="M1482" s="652">
        <v>7.01</v>
      </c>
      <c r="N1482" s="585" t="s">
        <v>654</v>
      </c>
      <c r="O1482" s="641" t="s">
        <v>1757</v>
      </c>
      <c r="P1482" s="587">
        <f>P1475</f>
        <v>287</v>
      </c>
      <c r="Q1482" s="585" t="s">
        <v>654</v>
      </c>
      <c r="R1482" s="587">
        <f>P1482*M1482</f>
        <v>2011.87</v>
      </c>
      <c r="S1482" s="579">
        <f>0.3028*0.3028</f>
        <v>9.1687840000000007E-2</v>
      </c>
      <c r="T1482" s="575">
        <f>60*S1482</f>
        <v>5.5012704000000001</v>
      </c>
      <c r="U1482" s="575">
        <f>4.58/10</f>
        <v>0.45800000000000002</v>
      </c>
      <c r="AE1482" s="592">
        <f t="shared" si="202"/>
        <v>0</v>
      </c>
    </row>
    <row r="1483" spans="6:31" ht="24" customHeight="1">
      <c r="H1483" s="574" t="s">
        <v>1786</v>
      </c>
      <c r="K1483" s="587">
        <f>SUM(K1478:K1481)</f>
        <v>205.12693999999999</v>
      </c>
      <c r="M1483" s="652">
        <v>0.81</v>
      </c>
      <c r="N1483" s="585" t="s">
        <v>110</v>
      </c>
      <c r="O1483" s="573" t="s">
        <v>1717</v>
      </c>
      <c r="P1483" s="615">
        <f>P1476</f>
        <v>208.8</v>
      </c>
      <c r="Q1483" s="585" t="s">
        <v>654</v>
      </c>
      <c r="R1483" s="587">
        <f>P1483*M1483</f>
        <v>169.12800000000001</v>
      </c>
      <c r="AE1483" s="592">
        <f t="shared" si="202"/>
        <v>0</v>
      </c>
    </row>
    <row r="1484" spans="6:31" ht="24" customHeight="1">
      <c r="K1484" s="582" t="s">
        <v>117</v>
      </c>
      <c r="M1484" s="652">
        <v>0.81</v>
      </c>
      <c r="N1484" s="585" t="s">
        <v>110</v>
      </c>
      <c r="O1484" s="573" t="s">
        <v>1731</v>
      </c>
      <c r="P1484" s="587">
        <f>P1477</f>
        <v>1540</v>
      </c>
      <c r="Q1484" s="585" t="s">
        <v>654</v>
      </c>
      <c r="R1484" s="587">
        <f>P1484*M1484</f>
        <v>1247.4000000000001</v>
      </c>
      <c r="AE1484" s="592">
        <f t="shared" si="202"/>
        <v>0</v>
      </c>
    </row>
    <row r="1485" spans="6:31" ht="24" customHeight="1">
      <c r="H1485" s="589" t="s">
        <v>1787</v>
      </c>
      <c r="I1485" s="619"/>
      <c r="J1485" s="630"/>
      <c r="K1485" s="586">
        <f>K1483/6.77</f>
        <v>30.299400295420977</v>
      </c>
      <c r="M1485" s="652"/>
      <c r="N1485" s="585"/>
      <c r="O1485" s="573"/>
      <c r="P1485" s="587"/>
      <c r="Q1485" s="585"/>
      <c r="R1485" s="587">
        <f>SUM(R1482:R1484)+0.68</f>
        <v>3429.078</v>
      </c>
      <c r="AE1485" s="592">
        <f t="shared" si="202"/>
        <v>0</v>
      </c>
    </row>
    <row r="1486" spans="6:31" ht="24" customHeight="1">
      <c r="K1486" s="582" t="s">
        <v>155</v>
      </c>
      <c r="M1486" s="652"/>
      <c r="N1486" s="585"/>
      <c r="O1486" s="584" t="s">
        <v>1772</v>
      </c>
      <c r="P1486" s="587"/>
      <c r="Q1486" s="585"/>
      <c r="R1486" s="586">
        <f>R1485/M1484</f>
        <v>4233.4296296296297</v>
      </c>
      <c r="AE1486" s="592">
        <f t="shared" si="202"/>
        <v>0</v>
      </c>
    </row>
    <row r="1487" spans="6:31" ht="24" customHeight="1">
      <c r="K1487" s="582"/>
      <c r="N1487" s="576"/>
      <c r="O1487" s="573"/>
      <c r="Q1487" s="580"/>
      <c r="R1487" s="587"/>
      <c r="AE1487" s="592">
        <f t="shared" si="202"/>
        <v>0</v>
      </c>
    </row>
    <row r="1488" spans="6:31" ht="24" customHeight="1">
      <c r="F1488" s="620">
        <v>37.1</v>
      </c>
      <c r="G1488" s="585" t="s">
        <v>122</v>
      </c>
      <c r="H1488" s="573" t="s">
        <v>1793</v>
      </c>
      <c r="N1488" s="576"/>
      <c r="O1488" s="729" t="s">
        <v>1794</v>
      </c>
      <c r="Q1488" s="578"/>
      <c r="AE1488" s="592">
        <f t="shared" si="202"/>
        <v>0</v>
      </c>
    </row>
    <row r="1489" spans="6:31" ht="24" customHeight="1">
      <c r="H1489" s="582" t="s">
        <v>117</v>
      </c>
      <c r="M1489" s="652">
        <v>4.42</v>
      </c>
      <c r="N1489" s="585" t="s">
        <v>654</v>
      </c>
      <c r="O1489" s="641" t="s">
        <v>1757</v>
      </c>
      <c r="P1489" s="587">
        <f>P1458</f>
        <v>287</v>
      </c>
      <c r="Q1489" s="585" t="s">
        <v>654</v>
      </c>
      <c r="R1489" s="587">
        <f>P1489*M1489</f>
        <v>1268.54</v>
      </c>
      <c r="AE1489" s="592">
        <f t="shared" si="202"/>
        <v>0</v>
      </c>
    </row>
    <row r="1490" spans="6:31" ht="24" customHeight="1">
      <c r="F1490" s="587">
        <v>0.09</v>
      </c>
      <c r="G1490" s="585" t="s">
        <v>126</v>
      </c>
      <c r="H1490" s="573" t="s">
        <v>508</v>
      </c>
      <c r="I1490" s="587">
        <f>(C84)</f>
        <v>1346.98</v>
      </c>
      <c r="J1490" s="573" t="s">
        <v>126</v>
      </c>
      <c r="K1490" s="587">
        <f>(F1490*I1490)</f>
        <v>121.2282</v>
      </c>
      <c r="M1490" s="652">
        <v>4.72</v>
      </c>
      <c r="N1490" s="585" t="s">
        <v>654</v>
      </c>
      <c r="O1490" s="641" t="s">
        <v>1757</v>
      </c>
      <c r="P1490" s="587">
        <f t="shared" ref="P1490:P1500" si="203">P1459</f>
        <v>287</v>
      </c>
      <c r="Q1490" s="585" t="s">
        <v>654</v>
      </c>
      <c r="R1490" s="587">
        <f t="shared" ref="R1490:R1500" si="204">P1490*M1490</f>
        <v>1354.6399999999999</v>
      </c>
      <c r="AE1490" s="592">
        <f t="shared" si="202"/>
        <v>0</v>
      </c>
    </row>
    <row r="1491" spans="6:31" ht="24" customHeight="1">
      <c r="F1491" s="587">
        <v>2.2000000000000002</v>
      </c>
      <c r="G1491" s="585" t="s">
        <v>209</v>
      </c>
      <c r="H1491" s="573" t="s">
        <v>145</v>
      </c>
      <c r="I1491" s="587">
        <f>(C11)</f>
        <v>718</v>
      </c>
      <c r="J1491" s="573" t="s">
        <v>209</v>
      </c>
      <c r="K1491" s="587">
        <f>(F1491*I1491)</f>
        <v>1579.6000000000001</v>
      </c>
      <c r="M1491" s="652">
        <v>9.06</v>
      </c>
      <c r="N1491" s="585" t="s">
        <v>654</v>
      </c>
      <c r="O1491" s="573" t="s">
        <v>1711</v>
      </c>
      <c r="P1491" s="587">
        <f t="shared" si="203"/>
        <v>287</v>
      </c>
      <c r="Q1491" s="585" t="s">
        <v>654</v>
      </c>
      <c r="R1491" s="587">
        <f t="shared" si="204"/>
        <v>2600.2200000000003</v>
      </c>
      <c r="AE1491" s="592">
        <f t="shared" si="202"/>
        <v>0</v>
      </c>
    </row>
    <row r="1492" spans="6:31" ht="24" customHeight="1">
      <c r="F1492" s="587">
        <v>0.5</v>
      </c>
      <c r="G1492" s="585" t="s">
        <v>209</v>
      </c>
      <c r="H1492" s="573" t="s">
        <v>146</v>
      </c>
      <c r="I1492" s="587">
        <f>(C12)</f>
        <v>502</v>
      </c>
      <c r="J1492" s="573" t="s">
        <v>209</v>
      </c>
      <c r="K1492" s="587">
        <f>(F1492*I1492)</f>
        <v>251</v>
      </c>
      <c r="M1492" s="652">
        <v>1.58</v>
      </c>
      <c r="N1492" s="585" t="s">
        <v>654</v>
      </c>
      <c r="O1492" s="573" t="s">
        <v>1711</v>
      </c>
      <c r="P1492" s="587">
        <f t="shared" si="203"/>
        <v>287</v>
      </c>
      <c r="Q1492" s="585" t="s">
        <v>654</v>
      </c>
      <c r="R1492" s="587">
        <f t="shared" si="204"/>
        <v>453.46000000000004</v>
      </c>
      <c r="AE1492" s="592">
        <f t="shared" si="202"/>
        <v>0</v>
      </c>
    </row>
    <row r="1493" spans="6:31" ht="24" customHeight="1">
      <c r="F1493" s="587">
        <v>3.8</v>
      </c>
      <c r="G1493" s="585" t="s">
        <v>209</v>
      </c>
      <c r="H1493" s="573" t="s">
        <v>147</v>
      </c>
      <c r="I1493" s="587">
        <f>(C13)</f>
        <v>412</v>
      </c>
      <c r="J1493" s="573" t="s">
        <v>209</v>
      </c>
      <c r="K1493" s="587">
        <f>(F1493*I1493)</f>
        <v>1565.6</v>
      </c>
      <c r="M1493" s="652">
        <v>1.65</v>
      </c>
      <c r="N1493" s="585" t="s">
        <v>110</v>
      </c>
      <c r="O1493" s="573" t="s">
        <v>1717</v>
      </c>
      <c r="P1493" s="587">
        <f t="shared" si="203"/>
        <v>208.8</v>
      </c>
      <c r="Q1493" s="585" t="s">
        <v>110</v>
      </c>
      <c r="R1493" s="587">
        <f t="shared" si="204"/>
        <v>344.52</v>
      </c>
      <c r="AE1493" s="592">
        <f t="shared" si="202"/>
        <v>0</v>
      </c>
    </row>
    <row r="1494" spans="6:31" ht="24" customHeight="1">
      <c r="G1494" s="585" t="s">
        <v>129</v>
      </c>
      <c r="H1494" s="573" t="s">
        <v>1795</v>
      </c>
      <c r="I1494" s="573" t="s">
        <v>115</v>
      </c>
      <c r="J1494" s="573" t="s">
        <v>129</v>
      </c>
      <c r="K1494" s="587">
        <v>1.5</v>
      </c>
      <c r="M1494" s="652">
        <v>12.74</v>
      </c>
      <c r="N1494" s="585" t="s">
        <v>231</v>
      </c>
      <c r="O1494" s="573" t="str">
        <f>O1463</f>
        <v>rubber beeding P-41/64</v>
      </c>
      <c r="P1494" s="587">
        <f t="shared" si="203"/>
        <v>28.6</v>
      </c>
      <c r="Q1494" s="585" t="s">
        <v>231</v>
      </c>
      <c r="R1494" s="587">
        <f t="shared" si="204"/>
        <v>364.36400000000003</v>
      </c>
      <c r="AE1494" s="592">
        <f t="shared" si="202"/>
        <v>0</v>
      </c>
    </row>
    <row r="1495" spans="6:31" ht="24" customHeight="1">
      <c r="K1495" s="582" t="s">
        <v>117</v>
      </c>
      <c r="M1495" s="652">
        <v>12</v>
      </c>
      <c r="N1495" s="585" t="s">
        <v>1</v>
      </c>
      <c r="O1495" s="573" t="str">
        <f>O1464</f>
        <v>hinges 75mm x 30 mm P-41/77 b</v>
      </c>
      <c r="P1495" s="587">
        <f t="shared" si="203"/>
        <v>63.5</v>
      </c>
      <c r="Q1495" s="585" t="s">
        <v>1</v>
      </c>
      <c r="R1495" s="587">
        <f t="shared" si="204"/>
        <v>762</v>
      </c>
      <c r="AE1495" s="592">
        <f t="shared" si="202"/>
        <v>0</v>
      </c>
    </row>
    <row r="1496" spans="6:31" ht="24" customHeight="1">
      <c r="H1496" s="573" t="s">
        <v>771</v>
      </c>
      <c r="K1496" s="587">
        <f>SUM(K1489:K1494)</f>
        <v>3518.9282000000003</v>
      </c>
      <c r="M1496" s="652">
        <v>6</v>
      </c>
      <c r="N1496" s="585" t="s">
        <v>1</v>
      </c>
      <c r="O1496" s="573" t="str">
        <f>O1465</f>
        <v>handle 150 mm long p-42 /80b</v>
      </c>
      <c r="P1496" s="587">
        <f t="shared" si="203"/>
        <v>50.9</v>
      </c>
      <c r="Q1496" s="585" t="s">
        <v>1</v>
      </c>
      <c r="R1496" s="587">
        <f t="shared" si="204"/>
        <v>305.39999999999998</v>
      </c>
      <c r="AE1496" s="592">
        <f t="shared" si="202"/>
        <v>0</v>
      </c>
    </row>
    <row r="1497" spans="6:31" ht="24" customHeight="1">
      <c r="K1497" s="582" t="s">
        <v>117</v>
      </c>
      <c r="M1497" s="652">
        <v>6</v>
      </c>
      <c r="N1497" s="585" t="s">
        <v>1</v>
      </c>
      <c r="O1497" s="573" t="s">
        <v>1727</v>
      </c>
      <c r="P1497" s="587">
        <f t="shared" si="203"/>
        <v>30</v>
      </c>
      <c r="Q1497" s="585" t="s">
        <v>1</v>
      </c>
      <c r="R1497" s="587">
        <f t="shared" si="204"/>
        <v>180</v>
      </c>
      <c r="AE1497" s="592">
        <f t="shared" si="202"/>
        <v>0</v>
      </c>
    </row>
    <row r="1498" spans="6:31" ht="24" customHeight="1">
      <c r="H1498" s="589" t="s">
        <v>154</v>
      </c>
      <c r="I1498" s="619"/>
      <c r="J1498" s="630"/>
      <c r="K1498" s="586">
        <f>(K1496/100)</f>
        <v>35.189282000000006</v>
      </c>
      <c r="M1498" s="652">
        <v>6</v>
      </c>
      <c r="N1498" s="585" t="s">
        <v>1</v>
      </c>
      <c r="O1498" s="573" t="s">
        <v>1728</v>
      </c>
      <c r="P1498" s="587">
        <f t="shared" si="203"/>
        <v>20</v>
      </c>
      <c r="Q1498" s="585" t="s">
        <v>1</v>
      </c>
      <c r="R1498" s="587">
        <f t="shared" si="204"/>
        <v>120</v>
      </c>
      <c r="AE1498" s="592">
        <f t="shared" si="202"/>
        <v>0</v>
      </c>
    </row>
    <row r="1499" spans="6:31" ht="24" customHeight="1">
      <c r="K1499" s="582" t="s">
        <v>155</v>
      </c>
      <c r="M1499" s="652">
        <v>4</v>
      </c>
      <c r="N1499" s="585" t="s">
        <v>1</v>
      </c>
      <c r="O1499" s="573" t="s">
        <v>1730</v>
      </c>
      <c r="P1499" s="587">
        <f t="shared" si="203"/>
        <v>15</v>
      </c>
      <c r="Q1499" s="585" t="s">
        <v>1</v>
      </c>
      <c r="R1499" s="587">
        <f t="shared" si="204"/>
        <v>60</v>
      </c>
      <c r="AE1499" s="592">
        <f t="shared" si="202"/>
        <v>0</v>
      </c>
    </row>
    <row r="1500" spans="6:31" ht="24" customHeight="1">
      <c r="F1500" s="574" t="s">
        <v>1796</v>
      </c>
      <c r="G1500" s="585" t="s">
        <v>122</v>
      </c>
      <c r="H1500" s="573" t="s">
        <v>1797</v>
      </c>
      <c r="M1500" s="652">
        <f>1.5*1.35</f>
        <v>2.0250000000000004</v>
      </c>
      <c r="N1500" s="585" t="s">
        <v>174</v>
      </c>
      <c r="O1500" s="573" t="s">
        <v>1731</v>
      </c>
      <c r="P1500" s="587">
        <f t="shared" si="203"/>
        <v>1540</v>
      </c>
      <c r="Q1500" s="585" t="s">
        <v>174</v>
      </c>
      <c r="R1500" s="587">
        <f t="shared" si="204"/>
        <v>3118.5000000000005</v>
      </c>
      <c r="AE1500" s="592">
        <f t="shared" si="202"/>
        <v>0</v>
      </c>
    </row>
    <row r="1501" spans="6:31" ht="24" customHeight="1">
      <c r="H1501" s="573" t="s">
        <v>1798</v>
      </c>
      <c r="N1501" s="576"/>
      <c r="O1501" s="573" t="s">
        <v>1733</v>
      </c>
      <c r="Q1501" s="580"/>
      <c r="R1501" s="587">
        <v>0.31</v>
      </c>
      <c r="AE1501" s="592">
        <f t="shared" si="202"/>
        <v>0</v>
      </c>
    </row>
    <row r="1502" spans="6:31" ht="24" customHeight="1">
      <c r="H1502" s="573" t="s">
        <v>1799</v>
      </c>
      <c r="R1502" s="586">
        <f>SUM(R1489:R1501)</f>
        <v>10931.953999999998</v>
      </c>
      <c r="AE1502" s="592">
        <f t="shared" si="202"/>
        <v>0</v>
      </c>
    </row>
    <row r="1503" spans="6:31" ht="24" customHeight="1">
      <c r="H1503" s="573" t="s">
        <v>1800</v>
      </c>
      <c r="AE1503" s="592">
        <f t="shared" si="202"/>
        <v>0</v>
      </c>
    </row>
    <row r="1504" spans="6:31" ht="24" customHeight="1">
      <c r="H1504" s="582" t="s">
        <v>117</v>
      </c>
      <c r="AE1504" s="592">
        <f t="shared" si="202"/>
        <v>0</v>
      </c>
    </row>
    <row r="1505" spans="6:31" ht="24" customHeight="1">
      <c r="F1505" s="587">
        <v>4.8</v>
      </c>
      <c r="G1505" s="585" t="s">
        <v>148</v>
      </c>
      <c r="H1505" s="573" t="s">
        <v>1801</v>
      </c>
      <c r="I1505" s="587">
        <f>(C271)</f>
        <v>48.95</v>
      </c>
      <c r="J1505" s="573" t="s">
        <v>148</v>
      </c>
      <c r="K1505" s="587">
        <f>(F1505*I1505)</f>
        <v>234.96</v>
      </c>
      <c r="AE1505" s="592">
        <f t="shared" si="202"/>
        <v>0</v>
      </c>
    </row>
    <row r="1506" spans="6:31" ht="24" customHeight="1">
      <c r="F1506" s="587">
        <v>0.75</v>
      </c>
      <c r="G1506" s="585" t="s">
        <v>209</v>
      </c>
      <c r="H1506" s="573" t="s">
        <v>1802</v>
      </c>
      <c r="I1506" s="587">
        <f>(C14)</f>
        <v>615</v>
      </c>
      <c r="J1506" s="573" t="s">
        <v>209</v>
      </c>
      <c r="K1506" s="587">
        <f>(F1506*I1506)</f>
        <v>461.25</v>
      </c>
      <c r="AE1506" s="592">
        <f t="shared" si="202"/>
        <v>0</v>
      </c>
    </row>
    <row r="1507" spans="6:31" ht="24" customHeight="1">
      <c r="F1507" s="587">
        <v>0.75</v>
      </c>
      <c r="G1507" s="585" t="s">
        <v>209</v>
      </c>
      <c r="H1507" s="573" t="s">
        <v>1628</v>
      </c>
      <c r="I1507" s="587">
        <f>(C12)</f>
        <v>502</v>
      </c>
      <c r="J1507" s="573" t="s">
        <v>209</v>
      </c>
      <c r="K1507" s="587">
        <f>(F1507*I1507)</f>
        <v>376.5</v>
      </c>
      <c r="AE1507" s="592">
        <f t="shared" si="202"/>
        <v>0</v>
      </c>
    </row>
    <row r="1508" spans="6:31" ht="24" customHeight="1">
      <c r="F1508" s="587">
        <v>1.2</v>
      </c>
      <c r="G1508" s="585" t="s">
        <v>209</v>
      </c>
      <c r="H1508" s="573" t="s">
        <v>147</v>
      </c>
      <c r="I1508" s="587">
        <f>(C13)</f>
        <v>412</v>
      </c>
      <c r="J1508" s="573" t="s">
        <v>209</v>
      </c>
      <c r="K1508" s="587">
        <f>(F1508*I1508)</f>
        <v>494.4</v>
      </c>
      <c r="AE1508" s="592">
        <f t="shared" si="202"/>
        <v>0</v>
      </c>
    </row>
    <row r="1509" spans="6:31" ht="24" customHeight="1">
      <c r="G1509" s="585" t="s">
        <v>129</v>
      </c>
      <c r="H1509" s="573" t="s">
        <v>769</v>
      </c>
      <c r="I1509" s="573" t="s">
        <v>115</v>
      </c>
      <c r="J1509" s="573" t="s">
        <v>129</v>
      </c>
      <c r="K1509" s="587">
        <v>1.5</v>
      </c>
      <c r="AE1509" s="592">
        <f t="shared" si="202"/>
        <v>0</v>
      </c>
    </row>
    <row r="1510" spans="6:31" ht="24" customHeight="1">
      <c r="K1510" s="582" t="s">
        <v>117</v>
      </c>
      <c r="AE1510" s="592">
        <f t="shared" si="202"/>
        <v>0</v>
      </c>
    </row>
    <row r="1511" spans="6:31" ht="24" customHeight="1">
      <c r="H1511" s="573" t="s">
        <v>153</v>
      </c>
      <c r="K1511" s="587">
        <f>SUM(K1505:K1509)</f>
        <v>1568.6100000000001</v>
      </c>
      <c r="AE1511" s="592">
        <f t="shared" si="202"/>
        <v>0</v>
      </c>
    </row>
    <row r="1512" spans="6:31" ht="24" customHeight="1">
      <c r="K1512" s="582" t="s">
        <v>117</v>
      </c>
      <c r="AE1512" s="592">
        <f t="shared" si="202"/>
        <v>0</v>
      </c>
    </row>
    <row r="1513" spans="6:31" ht="24" customHeight="1">
      <c r="H1513" s="589" t="s">
        <v>154</v>
      </c>
      <c r="I1513" s="619"/>
      <c r="J1513" s="630"/>
      <c r="K1513" s="586">
        <f>(K1511/10)</f>
        <v>156.86100000000002</v>
      </c>
      <c r="AE1513" s="592">
        <f t="shared" si="202"/>
        <v>0</v>
      </c>
    </row>
    <row r="1514" spans="6:31" ht="24" customHeight="1">
      <c r="K1514" s="582" t="s">
        <v>155</v>
      </c>
      <c r="AE1514" s="592">
        <f t="shared" si="202"/>
        <v>0</v>
      </c>
    </row>
    <row r="1515" spans="6:31" ht="24" customHeight="1">
      <c r="F1515" s="574" t="s">
        <v>1803</v>
      </c>
      <c r="G1515" s="585" t="s">
        <v>122</v>
      </c>
      <c r="H1515" s="574" t="s">
        <v>1804</v>
      </c>
      <c r="AE1515" s="592">
        <f t="shared" si="202"/>
        <v>0</v>
      </c>
    </row>
    <row r="1516" spans="6:31" ht="24" customHeight="1">
      <c r="H1516" s="574" t="s">
        <v>777</v>
      </c>
      <c r="M1516" s="574"/>
      <c r="N1516" s="585" t="s">
        <v>122</v>
      </c>
      <c r="O1516" s="573" t="s">
        <v>1805</v>
      </c>
      <c r="Q1516" s="578"/>
      <c r="AE1516" s="592">
        <f t="shared" si="202"/>
        <v>0</v>
      </c>
    </row>
    <row r="1517" spans="6:31" ht="24" customHeight="1">
      <c r="F1517" s="587">
        <v>3.08</v>
      </c>
      <c r="G1517" s="585" t="s">
        <v>1806</v>
      </c>
      <c r="H1517" s="573" t="s">
        <v>1807</v>
      </c>
      <c r="I1517" s="587">
        <f>E271</f>
        <v>155</v>
      </c>
      <c r="J1517" s="573" t="s">
        <v>1806</v>
      </c>
      <c r="K1517" s="587">
        <f>(F1517*I1517)</f>
        <v>477.40000000000003</v>
      </c>
      <c r="N1517" s="576"/>
      <c r="O1517" s="573" t="s">
        <v>1798</v>
      </c>
      <c r="Q1517" s="578"/>
      <c r="AE1517" s="592">
        <f t="shared" si="202"/>
        <v>0</v>
      </c>
    </row>
    <row r="1518" spans="6:31" ht="24" customHeight="1">
      <c r="F1518" s="587">
        <v>0.5</v>
      </c>
      <c r="G1518" s="585" t="s">
        <v>233</v>
      </c>
      <c r="H1518" s="573" t="s">
        <v>1808</v>
      </c>
      <c r="I1518" s="587">
        <f>C14</f>
        <v>615</v>
      </c>
      <c r="J1518" s="573" t="s">
        <v>233</v>
      </c>
      <c r="K1518" s="587">
        <f>(F1518*I1518)</f>
        <v>307.5</v>
      </c>
      <c r="N1518" s="576"/>
      <c r="O1518" s="573" t="s">
        <v>1799</v>
      </c>
      <c r="Q1518" s="578"/>
      <c r="AE1518" s="592">
        <f t="shared" si="202"/>
        <v>0</v>
      </c>
    </row>
    <row r="1519" spans="6:31" ht="24" customHeight="1">
      <c r="F1519" s="587">
        <v>0.5</v>
      </c>
      <c r="G1519" s="585" t="s">
        <v>233</v>
      </c>
      <c r="H1519" s="573" t="s">
        <v>956</v>
      </c>
      <c r="I1519" s="587">
        <f>C12</f>
        <v>502</v>
      </c>
      <c r="J1519" s="573" t="s">
        <v>233</v>
      </c>
      <c r="K1519" s="587">
        <f>(F1519*I1519)</f>
        <v>251</v>
      </c>
      <c r="N1519" s="576"/>
      <c r="O1519" s="573" t="s">
        <v>1800</v>
      </c>
      <c r="Q1519" s="578"/>
      <c r="AE1519" s="592">
        <f t="shared" si="202"/>
        <v>0</v>
      </c>
    </row>
    <row r="1520" spans="6:31" ht="24" customHeight="1">
      <c r="F1520" s="587">
        <v>0.8</v>
      </c>
      <c r="G1520" s="585" t="s">
        <v>233</v>
      </c>
      <c r="H1520" s="573" t="s">
        <v>1809</v>
      </c>
      <c r="I1520" s="587">
        <f>C13</f>
        <v>412</v>
      </c>
      <c r="J1520" s="573" t="s">
        <v>233</v>
      </c>
      <c r="K1520" s="587">
        <f>(F1520*I1520)</f>
        <v>329.6</v>
      </c>
      <c r="N1520" s="576"/>
      <c r="O1520" s="582" t="s">
        <v>117</v>
      </c>
      <c r="Q1520" s="578"/>
      <c r="AE1520" s="592">
        <f t="shared" si="202"/>
        <v>0</v>
      </c>
    </row>
    <row r="1521" spans="6:31" ht="24" customHeight="1">
      <c r="G1521" s="585" t="s">
        <v>129</v>
      </c>
      <c r="H1521" s="573" t="s">
        <v>769</v>
      </c>
      <c r="J1521" s="573" t="s">
        <v>129</v>
      </c>
      <c r="K1521" s="587">
        <v>1.5</v>
      </c>
      <c r="M1521" s="587">
        <v>2.1800000000000002</v>
      </c>
      <c r="N1521" s="585" t="s">
        <v>148</v>
      </c>
      <c r="O1521" s="573" t="s">
        <v>1810</v>
      </c>
      <c r="P1521" s="587">
        <v>70</v>
      </c>
      <c r="Q1521" s="573" t="s">
        <v>148</v>
      </c>
      <c r="R1521" s="587">
        <f>M1521*P1521</f>
        <v>152.60000000000002</v>
      </c>
      <c r="AE1521" s="592">
        <f t="shared" si="202"/>
        <v>0</v>
      </c>
    </row>
    <row r="1522" spans="6:31" ht="24" customHeight="1">
      <c r="M1522" s="587">
        <v>0.75</v>
      </c>
      <c r="N1522" s="585" t="s">
        <v>209</v>
      </c>
      <c r="O1522" s="573" t="s">
        <v>1802</v>
      </c>
      <c r="P1522" s="587">
        <f>C14</f>
        <v>615</v>
      </c>
      <c r="Q1522" s="573" t="s">
        <v>209</v>
      </c>
      <c r="R1522" s="587">
        <f>M1522*P1522</f>
        <v>461.25</v>
      </c>
      <c r="AE1522" s="592">
        <f t="shared" si="202"/>
        <v>0</v>
      </c>
    </row>
    <row r="1523" spans="6:31" ht="24" customHeight="1">
      <c r="K1523" s="582" t="s">
        <v>117</v>
      </c>
      <c r="M1523" s="587">
        <v>0.75</v>
      </c>
      <c r="N1523" s="585" t="s">
        <v>209</v>
      </c>
      <c r="O1523" s="573" t="s">
        <v>1628</v>
      </c>
      <c r="P1523" s="587">
        <f>C12</f>
        <v>502</v>
      </c>
      <c r="Q1523" s="573" t="s">
        <v>209</v>
      </c>
      <c r="R1523" s="587">
        <f>M1523*P1523</f>
        <v>376.5</v>
      </c>
      <c r="AE1523" s="592">
        <f t="shared" si="202"/>
        <v>0</v>
      </c>
    </row>
    <row r="1524" spans="6:31" ht="24" customHeight="1">
      <c r="H1524" s="574" t="s">
        <v>1811</v>
      </c>
      <c r="K1524" s="587">
        <f>SUM(K1517:K1521)</f>
        <v>1367</v>
      </c>
      <c r="M1524" s="587">
        <v>1.2</v>
      </c>
      <c r="N1524" s="585" t="s">
        <v>209</v>
      </c>
      <c r="O1524" s="573" t="s">
        <v>147</v>
      </c>
      <c r="P1524" s="587">
        <f>C13</f>
        <v>412</v>
      </c>
      <c r="Q1524" s="573" t="s">
        <v>209</v>
      </c>
      <c r="R1524" s="587">
        <f>M1524*P1524</f>
        <v>494.4</v>
      </c>
      <c r="AE1524" s="592">
        <f t="shared" si="202"/>
        <v>0</v>
      </c>
    </row>
    <row r="1525" spans="6:31" ht="24" customHeight="1">
      <c r="K1525" s="582" t="s">
        <v>117</v>
      </c>
      <c r="N1525" s="585" t="s">
        <v>129</v>
      </c>
      <c r="O1525" s="573" t="s">
        <v>769</v>
      </c>
      <c r="P1525" s="573" t="s">
        <v>115</v>
      </c>
      <c r="Q1525" s="573" t="s">
        <v>129</v>
      </c>
      <c r="R1525" s="587">
        <v>1.5</v>
      </c>
      <c r="AE1525" s="592">
        <f t="shared" si="202"/>
        <v>0</v>
      </c>
    </row>
    <row r="1526" spans="6:31" ht="24" customHeight="1">
      <c r="F1526" s="573" t="s">
        <v>115</v>
      </c>
      <c r="G1526" s="585" t="s">
        <v>115</v>
      </c>
      <c r="H1526" s="589" t="s">
        <v>239</v>
      </c>
      <c r="I1526" s="577" t="s">
        <v>115</v>
      </c>
      <c r="J1526" s="577" t="s">
        <v>115</v>
      </c>
      <c r="K1526" s="586">
        <f>K1524/10</f>
        <v>136.69999999999999</v>
      </c>
      <c r="N1526" s="576"/>
      <c r="Q1526" s="578"/>
      <c r="R1526" s="582" t="s">
        <v>117</v>
      </c>
      <c r="AE1526" s="592">
        <f t="shared" si="202"/>
        <v>0</v>
      </c>
    </row>
    <row r="1527" spans="6:31" ht="24" customHeight="1">
      <c r="K1527" s="582" t="s">
        <v>155</v>
      </c>
      <c r="N1527" s="576"/>
      <c r="O1527" s="573" t="s">
        <v>153</v>
      </c>
      <c r="Q1527" s="578"/>
      <c r="R1527" s="587">
        <f>SUM(R1521:R1525)</f>
        <v>1486.25</v>
      </c>
      <c r="AE1527" s="592">
        <f t="shared" si="202"/>
        <v>0</v>
      </c>
    </row>
    <row r="1528" spans="6:31" ht="24" customHeight="1">
      <c r="F1528" s="574" t="s">
        <v>1690</v>
      </c>
      <c r="G1528" s="585" t="s">
        <v>122</v>
      </c>
      <c r="H1528" s="573" t="s">
        <v>1812</v>
      </c>
      <c r="N1528" s="576"/>
      <c r="Q1528" s="578"/>
      <c r="R1528" s="582" t="s">
        <v>117</v>
      </c>
      <c r="AE1528" s="592">
        <f t="shared" si="202"/>
        <v>0</v>
      </c>
    </row>
    <row r="1529" spans="6:31" ht="24" customHeight="1">
      <c r="H1529" s="573" t="s">
        <v>184</v>
      </c>
      <c r="N1529" s="576"/>
      <c r="O1529" s="573" t="s">
        <v>154</v>
      </c>
      <c r="Q1529" s="578"/>
      <c r="R1529" s="587">
        <f>(R1527/10)</f>
        <v>148.625</v>
      </c>
      <c r="AE1529" s="592">
        <f t="shared" si="202"/>
        <v>0</v>
      </c>
    </row>
    <row r="1530" spans="6:31" ht="24" customHeight="1">
      <c r="H1530" s="573" t="s">
        <v>1813</v>
      </c>
      <c r="N1530" s="576"/>
      <c r="Q1530" s="578"/>
      <c r="R1530" s="582" t="s">
        <v>155</v>
      </c>
      <c r="AE1530" s="592">
        <f t="shared" si="202"/>
        <v>0</v>
      </c>
    </row>
    <row r="1531" spans="6:31" ht="24" customHeight="1">
      <c r="H1531" s="582" t="s">
        <v>117</v>
      </c>
      <c r="L1531" s="770"/>
      <c r="M1531" s="771"/>
      <c r="N1531" s="1457" t="s">
        <v>1814</v>
      </c>
      <c r="O1531" s="1457"/>
      <c r="P1531" s="1457"/>
      <c r="Q1531" s="1457"/>
      <c r="R1531" s="1457"/>
      <c r="AE1531" s="592">
        <f t="shared" si="202"/>
        <v>0</v>
      </c>
    </row>
    <row r="1532" spans="6:31" ht="24" customHeight="1">
      <c r="F1532" s="587">
        <v>1.44</v>
      </c>
      <c r="G1532" s="585" t="s">
        <v>171</v>
      </c>
      <c r="H1532" s="573" t="s">
        <v>1815</v>
      </c>
      <c r="I1532" s="587">
        <f>(C196)</f>
        <v>144.69999999999999</v>
      </c>
      <c r="J1532" s="573" t="s">
        <v>171</v>
      </c>
      <c r="K1532" s="587">
        <f>(F1532*I1532)</f>
        <v>208.36799999999997</v>
      </c>
      <c r="L1532" s="772"/>
      <c r="M1532" s="773"/>
      <c r="N1532" s="774"/>
      <c r="O1532" s="775" t="s">
        <v>1816</v>
      </c>
      <c r="P1532" s="776"/>
      <c r="Q1532" s="774"/>
      <c r="R1532" s="776"/>
      <c r="AE1532" s="592">
        <f t="shared" si="202"/>
        <v>0</v>
      </c>
    </row>
    <row r="1533" spans="6:31" ht="24" customHeight="1">
      <c r="F1533" s="587">
        <v>0.7</v>
      </c>
      <c r="G1533" s="585" t="s">
        <v>1</v>
      </c>
      <c r="H1533" s="573" t="s">
        <v>181</v>
      </c>
      <c r="I1533" s="587">
        <f>(C14)</f>
        <v>615</v>
      </c>
      <c r="J1533" s="573" t="s">
        <v>1</v>
      </c>
      <c r="K1533" s="587">
        <f>(F1533*I1533)</f>
        <v>430.5</v>
      </c>
      <c r="L1533" s="772"/>
      <c r="M1533" s="773"/>
      <c r="N1533" s="774"/>
      <c r="O1533" s="777"/>
      <c r="P1533" s="776"/>
      <c r="Q1533" s="774"/>
      <c r="R1533" s="776"/>
      <c r="AE1533" s="592">
        <f t="shared" si="202"/>
        <v>0</v>
      </c>
    </row>
    <row r="1534" spans="6:31" ht="24" customHeight="1">
      <c r="F1534" s="587">
        <v>2.5499999999999998</v>
      </c>
      <c r="G1534" s="585" t="s">
        <v>171</v>
      </c>
      <c r="H1534" s="573" t="s">
        <v>187</v>
      </c>
      <c r="I1534" s="587">
        <f>(C195)</f>
        <v>234.3</v>
      </c>
      <c r="J1534" s="573" t="s">
        <v>171</v>
      </c>
      <c r="K1534" s="587">
        <f>(F1534*I1534)</f>
        <v>597.46500000000003</v>
      </c>
      <c r="L1534" s="772"/>
      <c r="M1534" s="773"/>
      <c r="N1534" s="774"/>
      <c r="O1534" s="777"/>
      <c r="P1534" s="776"/>
      <c r="Q1534" s="774"/>
      <c r="R1534" s="776"/>
      <c r="AE1534" s="592">
        <f t="shared" ref="AE1534:AE1597" si="205">AG1534</f>
        <v>0</v>
      </c>
    </row>
    <row r="1535" spans="6:31" ht="24" customHeight="1">
      <c r="F1535" s="587">
        <v>1.2</v>
      </c>
      <c r="G1535" s="585" t="s">
        <v>1</v>
      </c>
      <c r="H1535" s="573" t="s">
        <v>181</v>
      </c>
      <c r="I1535" s="587">
        <f>(C14)</f>
        <v>615</v>
      </c>
      <c r="J1535" s="573" t="s">
        <v>1</v>
      </c>
      <c r="K1535" s="587">
        <f>(F1535*I1535)</f>
        <v>738</v>
      </c>
      <c r="L1535" s="772"/>
      <c r="M1535" s="773">
        <v>19.13</v>
      </c>
      <c r="N1535" s="774" t="s">
        <v>654</v>
      </c>
      <c r="O1535" s="777" t="s">
        <v>1817</v>
      </c>
      <c r="P1535" s="776">
        <f>P1489</f>
        <v>287</v>
      </c>
      <c r="Q1535" s="774" t="s">
        <v>654</v>
      </c>
      <c r="R1535" s="776">
        <f>P1535*M1535</f>
        <v>5490.3099999999995</v>
      </c>
      <c r="AE1535" s="592">
        <f t="shared" si="205"/>
        <v>0</v>
      </c>
    </row>
    <row r="1536" spans="6:31" ht="24" customHeight="1">
      <c r="G1536" s="585" t="s">
        <v>129</v>
      </c>
      <c r="H1536" s="573" t="s">
        <v>182</v>
      </c>
      <c r="I1536" s="573" t="s">
        <v>115</v>
      </c>
      <c r="J1536" s="573" t="s">
        <v>129</v>
      </c>
      <c r="K1536" s="587">
        <v>1.5</v>
      </c>
      <c r="L1536" s="772"/>
      <c r="M1536" s="773">
        <v>2.97</v>
      </c>
      <c r="N1536" s="774" t="s">
        <v>110</v>
      </c>
      <c r="O1536" s="777" t="s">
        <v>1818</v>
      </c>
      <c r="P1536" s="776">
        <f>P1493</f>
        <v>208.8</v>
      </c>
      <c r="Q1536" s="774" t="s">
        <v>110</v>
      </c>
      <c r="R1536" s="776">
        <f t="shared" ref="R1536:R1541" si="206">P1536*M1536</f>
        <v>620.13600000000008</v>
      </c>
      <c r="AE1536" s="592">
        <f t="shared" si="205"/>
        <v>0</v>
      </c>
    </row>
    <row r="1537" spans="6:31" ht="24" customHeight="1">
      <c r="K1537" s="582" t="s">
        <v>117</v>
      </c>
      <c r="L1537" s="772"/>
      <c r="M1537" s="773">
        <v>15.3</v>
      </c>
      <c r="N1537" s="774" t="s">
        <v>231</v>
      </c>
      <c r="O1537" s="777" t="s">
        <v>1819</v>
      </c>
      <c r="P1537" s="776">
        <f>P1494</f>
        <v>28.6</v>
      </c>
      <c r="Q1537" s="774" t="s">
        <v>231</v>
      </c>
      <c r="R1537" s="776">
        <f t="shared" si="206"/>
        <v>437.58000000000004</v>
      </c>
      <c r="AE1537" s="592">
        <f t="shared" si="205"/>
        <v>0</v>
      </c>
    </row>
    <row r="1538" spans="6:31" ht="24" customHeight="1">
      <c r="H1538" s="573" t="s">
        <v>153</v>
      </c>
      <c r="K1538" s="587">
        <f>SUM(K1532:K1536)</f>
        <v>1975.8330000000001</v>
      </c>
      <c r="L1538" s="772"/>
      <c r="M1538" s="773">
        <v>3</v>
      </c>
      <c r="N1538" s="774" t="s">
        <v>1820</v>
      </c>
      <c r="O1538" s="777" t="s">
        <v>1821</v>
      </c>
      <c r="P1538" s="776">
        <f>I4009</f>
        <v>350</v>
      </c>
      <c r="Q1538" s="774" t="s">
        <v>1</v>
      </c>
      <c r="R1538" s="776">
        <f t="shared" si="206"/>
        <v>1050</v>
      </c>
      <c r="AE1538" s="592">
        <f t="shared" si="205"/>
        <v>0</v>
      </c>
    </row>
    <row r="1539" spans="6:31" ht="24" customHeight="1">
      <c r="K1539" s="582" t="s">
        <v>117</v>
      </c>
      <c r="L1539" s="772"/>
      <c r="M1539" s="773">
        <v>3</v>
      </c>
      <c r="N1539" s="774" t="s">
        <v>1</v>
      </c>
      <c r="O1539" s="777" t="s">
        <v>1822</v>
      </c>
      <c r="P1539" s="776">
        <f>I4010</f>
        <v>50.9</v>
      </c>
      <c r="Q1539" s="774" t="s">
        <v>1</v>
      </c>
      <c r="R1539" s="776">
        <f t="shared" si="206"/>
        <v>152.69999999999999</v>
      </c>
      <c r="AE1539" s="592">
        <f t="shared" si="205"/>
        <v>0</v>
      </c>
    </row>
    <row r="1540" spans="6:31" ht="24" customHeight="1">
      <c r="H1540" s="589" t="s">
        <v>154</v>
      </c>
      <c r="I1540" s="619"/>
      <c r="J1540" s="630"/>
      <c r="K1540" s="586">
        <f>(K1538/10)</f>
        <v>197.58330000000001</v>
      </c>
      <c r="L1540" s="772"/>
      <c r="M1540" s="773">
        <v>6</v>
      </c>
      <c r="N1540" s="774" t="s">
        <v>1</v>
      </c>
      <c r="O1540" s="777" t="s">
        <v>1823</v>
      </c>
      <c r="P1540" s="776">
        <f>I3995</f>
        <v>15</v>
      </c>
      <c r="Q1540" s="774" t="s">
        <v>1</v>
      </c>
      <c r="R1540" s="776">
        <f t="shared" si="206"/>
        <v>90</v>
      </c>
      <c r="AE1540" s="592">
        <f t="shared" si="205"/>
        <v>0</v>
      </c>
    </row>
    <row r="1541" spans="6:31" ht="24" customHeight="1">
      <c r="F1541" s="573" t="s">
        <v>115</v>
      </c>
      <c r="L1541" s="772"/>
      <c r="M1541" s="773">
        <v>2.97</v>
      </c>
      <c r="N1541" s="774" t="s">
        <v>174</v>
      </c>
      <c r="O1541" s="777" t="s">
        <v>1824</v>
      </c>
      <c r="P1541" s="776">
        <f>R1552</f>
        <v>1540</v>
      </c>
      <c r="Q1541" s="774" t="s">
        <v>174</v>
      </c>
      <c r="R1541" s="776">
        <f t="shared" si="206"/>
        <v>4573.8</v>
      </c>
      <c r="AE1541" s="592">
        <f t="shared" si="205"/>
        <v>0</v>
      </c>
    </row>
    <row r="1542" spans="6:31" ht="24" customHeight="1">
      <c r="K1542" s="582" t="s">
        <v>155</v>
      </c>
      <c r="L1542" s="772"/>
      <c r="M1542" s="773"/>
      <c r="N1542" s="774"/>
      <c r="O1542" s="777" t="s">
        <v>236</v>
      </c>
      <c r="P1542" s="771"/>
      <c r="Q1542" s="778"/>
      <c r="R1542" s="776">
        <v>3.5</v>
      </c>
      <c r="AE1542" s="592">
        <f t="shared" si="205"/>
        <v>0</v>
      </c>
    </row>
    <row r="1543" spans="6:31" ht="24" customHeight="1">
      <c r="F1543" s="607">
        <v>41</v>
      </c>
      <c r="G1543" s="585" t="s">
        <v>122</v>
      </c>
      <c r="H1543" s="573" t="s">
        <v>1825</v>
      </c>
      <c r="L1543" s="772"/>
      <c r="M1543" s="771"/>
      <c r="N1543" s="779"/>
      <c r="O1543" s="573" t="s">
        <v>1826</v>
      </c>
      <c r="P1543" s="771"/>
      <c r="Q1543" s="771"/>
      <c r="R1543" s="780">
        <f>SUM(R1535:R1542)</f>
        <v>12418.026</v>
      </c>
      <c r="AE1543" s="592">
        <f t="shared" si="205"/>
        <v>0</v>
      </c>
    </row>
    <row r="1544" spans="6:31" ht="24" customHeight="1">
      <c r="H1544" s="573" t="s">
        <v>191</v>
      </c>
      <c r="L1544" s="781"/>
      <c r="M1544" s="771"/>
      <c r="N1544" s="771"/>
      <c r="AE1544" s="592">
        <f t="shared" si="205"/>
        <v>0</v>
      </c>
    </row>
    <row r="1545" spans="6:31" ht="24" customHeight="1">
      <c r="H1545" s="573" t="s">
        <v>185</v>
      </c>
      <c r="L1545" s="770"/>
      <c r="M1545" s="771"/>
      <c r="N1545" s="771"/>
      <c r="O1545" s="573" t="s">
        <v>154</v>
      </c>
      <c r="P1545" s="771"/>
      <c r="Q1545" s="771"/>
      <c r="R1545" s="782">
        <f>R1543/2.97</f>
        <v>4181.1535353535346</v>
      </c>
      <c r="S1545" s="579">
        <f>R1545-3740</f>
        <v>441.15353535353461</v>
      </c>
      <c r="AE1545" s="592">
        <f t="shared" si="205"/>
        <v>0</v>
      </c>
    </row>
    <row r="1546" spans="6:31" ht="24" customHeight="1">
      <c r="H1546" s="582" t="s">
        <v>117</v>
      </c>
      <c r="L1546" s="772"/>
      <c r="M1546" s="771"/>
      <c r="N1546" s="771"/>
      <c r="O1546" s="783"/>
      <c r="P1546" s="771"/>
      <c r="Q1546" s="771"/>
      <c r="R1546" s="771"/>
      <c r="AE1546" s="592">
        <f t="shared" si="205"/>
        <v>0</v>
      </c>
    </row>
    <row r="1547" spans="6:31" ht="24" customHeight="1">
      <c r="F1547" s="587">
        <v>2.2200000000000002</v>
      </c>
      <c r="G1547" s="585" t="s">
        <v>171</v>
      </c>
      <c r="H1547" s="573" t="s">
        <v>187</v>
      </c>
      <c r="I1547" s="587">
        <f>(C207)</f>
        <v>223.2</v>
      </c>
      <c r="J1547" s="573" t="s">
        <v>171</v>
      </c>
      <c r="K1547" s="587">
        <f>(F1547*I1547)</f>
        <v>495.50400000000002</v>
      </c>
      <c r="L1547" s="772"/>
      <c r="M1547" s="776">
        <v>1</v>
      </c>
      <c r="N1547" s="774" t="s">
        <v>209</v>
      </c>
      <c r="O1547" s="777" t="s">
        <v>1827</v>
      </c>
      <c r="P1547" s="776">
        <f>AE17</f>
        <v>679</v>
      </c>
      <c r="Q1547" s="777" t="s">
        <v>209</v>
      </c>
      <c r="R1547" s="776">
        <f>P1547*M1547</f>
        <v>679</v>
      </c>
      <c r="AE1547" s="592">
        <f t="shared" si="205"/>
        <v>0</v>
      </c>
    </row>
    <row r="1548" spans="6:31" ht="24" customHeight="1">
      <c r="F1548" s="587">
        <v>1.1000000000000001</v>
      </c>
      <c r="G1548" s="585" t="s">
        <v>1</v>
      </c>
      <c r="H1548" s="573" t="s">
        <v>181</v>
      </c>
      <c r="I1548" s="587">
        <f>(C14)</f>
        <v>615</v>
      </c>
      <c r="J1548" s="573" t="s">
        <v>1</v>
      </c>
      <c r="K1548" s="587">
        <f>(F1548*I1548)</f>
        <v>676.5</v>
      </c>
      <c r="L1548" s="772"/>
      <c r="M1548" s="776">
        <v>1</v>
      </c>
      <c r="N1548" s="774" t="s">
        <v>209</v>
      </c>
      <c r="O1548" s="777" t="s">
        <v>1828</v>
      </c>
      <c r="P1548" s="776">
        <f>AE11</f>
        <v>502</v>
      </c>
      <c r="Q1548" s="777" t="s">
        <v>209</v>
      </c>
      <c r="R1548" s="776">
        <f>P1548*M1548</f>
        <v>502</v>
      </c>
      <c r="AE1548" s="592">
        <f t="shared" si="205"/>
        <v>0</v>
      </c>
    </row>
    <row r="1549" spans="6:31" ht="24" customHeight="1">
      <c r="G1549" s="585" t="s">
        <v>129</v>
      </c>
      <c r="H1549" s="573" t="s">
        <v>182</v>
      </c>
      <c r="I1549" s="573" t="s">
        <v>115</v>
      </c>
      <c r="J1549" s="573" t="s">
        <v>129</v>
      </c>
      <c r="K1549" s="587">
        <v>1.5</v>
      </c>
      <c r="L1549" s="772"/>
      <c r="M1549" s="776">
        <v>0.5</v>
      </c>
      <c r="N1549" s="774" t="s">
        <v>209</v>
      </c>
      <c r="O1549" s="777" t="s">
        <v>1829</v>
      </c>
      <c r="P1549" s="776">
        <f>AE20</f>
        <v>718</v>
      </c>
      <c r="Q1549" s="777" t="s">
        <v>209</v>
      </c>
      <c r="R1549" s="776">
        <f>P1549*M1549</f>
        <v>359</v>
      </c>
      <c r="AE1549" s="592">
        <f t="shared" si="205"/>
        <v>0</v>
      </c>
    </row>
    <row r="1550" spans="6:31" ht="24" customHeight="1">
      <c r="K1550" s="582" t="s">
        <v>117</v>
      </c>
      <c r="L1550" s="772"/>
      <c r="M1550" s="771"/>
      <c r="N1550" s="779"/>
      <c r="O1550" s="771"/>
      <c r="P1550" s="771"/>
      <c r="Q1550" s="784"/>
      <c r="R1550" s="776"/>
      <c r="AE1550" s="592">
        <f t="shared" si="205"/>
        <v>0</v>
      </c>
    </row>
    <row r="1551" spans="6:31" ht="24" customHeight="1">
      <c r="H1551" s="573" t="s">
        <v>153</v>
      </c>
      <c r="K1551" s="587">
        <f>SUM(K1547:K1549)</f>
        <v>1173.5039999999999</v>
      </c>
      <c r="L1551" s="772"/>
      <c r="M1551" s="771"/>
      <c r="N1551" s="779"/>
      <c r="O1551" s="777" t="s">
        <v>1830</v>
      </c>
      <c r="P1551" s="771"/>
      <c r="Q1551" s="784"/>
      <c r="R1551" s="785" t="s">
        <v>117</v>
      </c>
      <c r="AE1551" s="592">
        <f t="shared" si="205"/>
        <v>0</v>
      </c>
    </row>
    <row r="1552" spans="6:31" ht="24" customHeight="1">
      <c r="K1552" s="582" t="s">
        <v>117</v>
      </c>
      <c r="L1552" s="772"/>
      <c r="M1552" s="771"/>
      <c r="N1552" s="779"/>
      <c r="O1552" s="771"/>
      <c r="P1552" s="771"/>
      <c r="Q1552" s="784"/>
      <c r="R1552" s="780">
        <f>SUM(R1547:R1551)</f>
        <v>1540</v>
      </c>
      <c r="AE1552" s="592">
        <f t="shared" si="205"/>
        <v>0</v>
      </c>
    </row>
    <row r="1553" spans="6:31" ht="24" customHeight="1">
      <c r="H1553" s="589" t="s">
        <v>154</v>
      </c>
      <c r="I1553" s="619"/>
      <c r="J1553" s="630"/>
      <c r="K1553" s="586">
        <f>(K1551/10)</f>
        <v>117.35039999999999</v>
      </c>
      <c r="L1553" s="772"/>
      <c r="AE1553" s="592">
        <f t="shared" si="205"/>
        <v>0</v>
      </c>
    </row>
    <row r="1554" spans="6:31" ht="24" customHeight="1">
      <c r="H1554" s="573"/>
      <c r="K1554" s="587"/>
      <c r="L1554" s="772"/>
      <c r="AE1554" s="592">
        <f t="shared" si="205"/>
        <v>0</v>
      </c>
    </row>
    <row r="1555" spans="6:31" ht="24" customHeight="1">
      <c r="H1555" s="573"/>
      <c r="K1555" s="587"/>
      <c r="L1555" s="772"/>
      <c r="AE1555" s="592">
        <f t="shared" si="205"/>
        <v>0</v>
      </c>
    </row>
    <row r="1556" spans="6:31" ht="24" customHeight="1">
      <c r="F1556" s="786">
        <v>238</v>
      </c>
      <c r="G1556" s="787" t="s">
        <v>122</v>
      </c>
      <c r="H1556" s="788" t="s">
        <v>1831</v>
      </c>
      <c r="I1556" s="789"/>
      <c r="J1556" s="790"/>
      <c r="K1556" s="789"/>
      <c r="L1556" s="772"/>
      <c r="AE1556" s="592">
        <f t="shared" si="205"/>
        <v>0</v>
      </c>
    </row>
    <row r="1557" spans="6:31" ht="24" customHeight="1">
      <c r="F1557" s="791"/>
      <c r="G1557" s="792"/>
      <c r="H1557" s="793" t="s">
        <v>1832</v>
      </c>
      <c r="I1557" s="794"/>
      <c r="J1557" s="795"/>
      <c r="K1557" s="794"/>
      <c r="L1557" s="781"/>
      <c r="AE1557" s="592">
        <f t="shared" si="205"/>
        <v>0</v>
      </c>
    </row>
    <row r="1558" spans="6:31" ht="24" customHeight="1">
      <c r="F1558" s="791"/>
      <c r="G1558" s="792"/>
      <c r="H1558" s="796" t="s">
        <v>117</v>
      </c>
      <c r="I1558" s="794"/>
      <c r="J1558" s="795"/>
      <c r="K1558" s="794"/>
      <c r="AE1558" s="592">
        <f t="shared" si="205"/>
        <v>0</v>
      </c>
    </row>
    <row r="1559" spans="6:31" ht="24" customHeight="1">
      <c r="F1559" s="797">
        <v>20</v>
      </c>
      <c r="G1559" s="798" t="s">
        <v>171</v>
      </c>
      <c r="H1559" s="793" t="s">
        <v>1833</v>
      </c>
      <c r="I1559" s="799">
        <f>D40</f>
        <v>116.2</v>
      </c>
      <c r="J1559" s="793" t="s">
        <v>171</v>
      </c>
      <c r="K1559" s="800">
        <f>(F1559*I1559)</f>
        <v>2324</v>
      </c>
      <c r="AE1559" s="592">
        <f t="shared" si="205"/>
        <v>0</v>
      </c>
    </row>
    <row r="1560" spans="6:31" ht="24" customHeight="1">
      <c r="F1560" s="791"/>
      <c r="G1560" s="792"/>
      <c r="H1560" s="793" t="s">
        <v>1834</v>
      </c>
      <c r="I1560" s="794"/>
      <c r="J1560" s="795"/>
      <c r="K1560" s="793" t="s">
        <v>115</v>
      </c>
      <c r="AE1560" s="592">
        <f t="shared" si="205"/>
        <v>0</v>
      </c>
    </row>
    <row r="1561" spans="6:31" ht="24" customHeight="1">
      <c r="F1561" s="797">
        <v>50</v>
      </c>
      <c r="G1561" s="798" t="s">
        <v>148</v>
      </c>
      <c r="H1561" s="793" t="s">
        <v>125</v>
      </c>
      <c r="I1561" s="800">
        <f>C67/1000</f>
        <v>5.8</v>
      </c>
      <c r="J1561" s="793" t="s">
        <v>148</v>
      </c>
      <c r="K1561" s="800">
        <f>(F1561*I1561)</f>
        <v>290</v>
      </c>
      <c r="AE1561" s="592">
        <f t="shared" si="205"/>
        <v>0</v>
      </c>
    </row>
    <row r="1562" spans="6:31" ht="24" customHeight="1">
      <c r="F1562" s="797">
        <v>1</v>
      </c>
      <c r="G1562" s="798" t="s">
        <v>129</v>
      </c>
      <c r="H1562" s="793" t="s">
        <v>1835</v>
      </c>
      <c r="I1562" s="801">
        <v>75</v>
      </c>
      <c r="J1562" s="793" t="s">
        <v>129</v>
      </c>
      <c r="K1562" s="800">
        <f>(F1562*I1562)</f>
        <v>75</v>
      </c>
      <c r="AE1562" s="592">
        <f t="shared" si="205"/>
        <v>0</v>
      </c>
    </row>
    <row r="1563" spans="6:31" ht="24" customHeight="1">
      <c r="F1563" s="797">
        <v>1</v>
      </c>
      <c r="G1563" s="798" t="s">
        <v>129</v>
      </c>
      <c r="H1563" s="793" t="s">
        <v>1836</v>
      </c>
      <c r="I1563" s="800">
        <f>C38</f>
        <v>40</v>
      </c>
      <c r="J1563" s="793" t="s">
        <v>129</v>
      </c>
      <c r="K1563" s="800">
        <f>(F1563*I1563)</f>
        <v>40</v>
      </c>
      <c r="AE1563" s="592">
        <f t="shared" si="205"/>
        <v>0</v>
      </c>
    </row>
    <row r="1564" spans="6:31" ht="24" customHeight="1">
      <c r="F1564" s="797">
        <v>2.5</v>
      </c>
      <c r="G1564" s="798" t="s">
        <v>129</v>
      </c>
      <c r="H1564" s="793" t="s">
        <v>1837</v>
      </c>
      <c r="I1564" s="800">
        <f>D14</f>
        <v>595</v>
      </c>
      <c r="J1564" s="793" t="s">
        <v>129</v>
      </c>
      <c r="K1564" s="800">
        <f>(F1564*I1564)</f>
        <v>1487.5</v>
      </c>
      <c r="AE1564" s="592">
        <f t="shared" si="205"/>
        <v>0</v>
      </c>
    </row>
    <row r="1565" spans="6:31" ht="24" customHeight="1">
      <c r="F1565" s="791"/>
      <c r="G1565" s="798" t="s">
        <v>129</v>
      </c>
      <c r="H1565" s="793" t="s">
        <v>1838</v>
      </c>
      <c r="I1565" s="794"/>
      <c r="J1565" s="793" t="s">
        <v>129</v>
      </c>
      <c r="K1565" s="802">
        <v>1.5</v>
      </c>
      <c r="AE1565" s="592">
        <f t="shared" si="205"/>
        <v>0</v>
      </c>
    </row>
    <row r="1566" spans="6:31" ht="24" customHeight="1">
      <c r="F1566" s="791"/>
      <c r="G1566" s="792"/>
      <c r="H1566" s="794"/>
      <c r="I1566" s="794"/>
      <c r="J1566" s="795"/>
      <c r="K1566" s="796" t="s">
        <v>117</v>
      </c>
      <c r="AE1566" s="592">
        <f t="shared" si="205"/>
        <v>0</v>
      </c>
    </row>
    <row r="1567" spans="6:31" ht="24" customHeight="1">
      <c r="F1567" s="791"/>
      <c r="G1567" s="792"/>
      <c r="H1567" s="803" t="s">
        <v>1839</v>
      </c>
      <c r="I1567" s="804"/>
      <c r="J1567" s="805"/>
      <c r="K1567" s="806">
        <f>SUM(K1559:K1565)</f>
        <v>4218</v>
      </c>
      <c r="AE1567" s="592">
        <f t="shared" si="205"/>
        <v>0</v>
      </c>
    </row>
    <row r="1568" spans="6:31" ht="24" customHeight="1">
      <c r="F1568" s="791"/>
      <c r="G1568" s="792"/>
      <c r="H1568" s="793"/>
      <c r="I1568" s="794"/>
      <c r="J1568" s="795"/>
      <c r="K1568" s="796" t="s">
        <v>117</v>
      </c>
      <c r="AE1568" s="592">
        <f t="shared" si="205"/>
        <v>0</v>
      </c>
    </row>
    <row r="1569" spans="6:31" ht="24" customHeight="1">
      <c r="F1569" s="807"/>
      <c r="G1569" s="808"/>
      <c r="H1569" s="809"/>
      <c r="I1569" s="809"/>
      <c r="J1569" s="810"/>
      <c r="K1569" s="811"/>
      <c r="AE1569" s="592">
        <f t="shared" si="205"/>
        <v>0</v>
      </c>
    </row>
    <row r="1570" spans="6:31" ht="24" customHeight="1">
      <c r="F1570" s="812" t="s">
        <v>1840</v>
      </c>
      <c r="G1570" s="787" t="s">
        <v>122</v>
      </c>
      <c r="H1570" s="788" t="s">
        <v>1841</v>
      </c>
      <c r="I1570" s="789"/>
      <c r="J1570" s="790"/>
      <c r="K1570" s="789"/>
      <c r="AE1570" s="592">
        <f t="shared" si="205"/>
        <v>0</v>
      </c>
    </row>
    <row r="1571" spans="6:31" ht="24" customHeight="1">
      <c r="F1571" s="791"/>
      <c r="G1571" s="792"/>
      <c r="H1571" s="793" t="s">
        <v>1842</v>
      </c>
      <c r="I1571" s="794"/>
      <c r="J1571" s="795"/>
      <c r="K1571" s="794"/>
      <c r="AE1571" s="592">
        <f t="shared" si="205"/>
        <v>0</v>
      </c>
    </row>
    <row r="1572" spans="6:31" ht="24" customHeight="1">
      <c r="F1572" s="791"/>
      <c r="G1572" s="792"/>
      <c r="H1572" s="796" t="s">
        <v>117</v>
      </c>
      <c r="I1572" s="794"/>
      <c r="J1572" s="795"/>
      <c r="K1572" s="794"/>
      <c r="AE1572" s="592">
        <f t="shared" si="205"/>
        <v>0</v>
      </c>
    </row>
    <row r="1573" spans="6:31" ht="24" customHeight="1">
      <c r="F1573" s="797">
        <v>1</v>
      </c>
      <c r="G1573" s="798" t="s">
        <v>1843</v>
      </c>
      <c r="H1573" s="793" t="s">
        <v>1844</v>
      </c>
      <c r="I1573" s="800">
        <f>(C139)</f>
        <v>45000</v>
      </c>
      <c r="J1573" s="793" t="s">
        <v>1123</v>
      </c>
      <c r="K1573" s="800">
        <f>(F1573*I1573)/10</f>
        <v>4500</v>
      </c>
      <c r="AE1573" s="592">
        <f t="shared" si="205"/>
        <v>0</v>
      </c>
    </row>
    <row r="1574" spans="6:31" ht="24" customHeight="1">
      <c r="F1574" s="813">
        <v>0.01</v>
      </c>
      <c r="G1574" s="798" t="s">
        <v>1843</v>
      </c>
      <c r="H1574" s="793" t="s">
        <v>1845</v>
      </c>
      <c r="I1574" s="800">
        <f>(C143)</f>
        <v>43750</v>
      </c>
      <c r="J1574" s="793" t="s">
        <v>1123</v>
      </c>
      <c r="K1574" s="800">
        <f>(F1574*I1574)/10</f>
        <v>43.75</v>
      </c>
      <c r="AE1574" s="592">
        <f t="shared" si="205"/>
        <v>0</v>
      </c>
    </row>
    <row r="1575" spans="6:31" ht="24" customHeight="1">
      <c r="F1575" s="813">
        <v>3.5</v>
      </c>
      <c r="G1575" s="798" t="s">
        <v>1</v>
      </c>
      <c r="H1575" s="793" t="s">
        <v>1846</v>
      </c>
      <c r="I1575" s="800">
        <f>AE38</f>
        <v>667</v>
      </c>
      <c r="J1575" s="793" t="s">
        <v>227</v>
      </c>
      <c r="K1575" s="800">
        <f>(F1575*I1575)</f>
        <v>2334.5</v>
      </c>
      <c r="AE1575" s="592">
        <f t="shared" si="205"/>
        <v>0</v>
      </c>
    </row>
    <row r="1576" spans="6:31" ht="24" customHeight="1">
      <c r="F1576" s="797">
        <v>1.3</v>
      </c>
      <c r="G1576" s="798" t="s">
        <v>148</v>
      </c>
      <c r="H1576" s="793" t="s">
        <v>1847</v>
      </c>
      <c r="I1576" s="800">
        <f>C67/1000</f>
        <v>5.8</v>
      </c>
      <c r="J1576" s="793" t="s">
        <v>148</v>
      </c>
      <c r="K1576" s="800">
        <f>(F1576*I1576)</f>
        <v>7.54</v>
      </c>
      <c r="AE1576" s="592">
        <f t="shared" si="205"/>
        <v>0</v>
      </c>
    </row>
    <row r="1577" spans="6:31" ht="24" customHeight="1">
      <c r="F1577" s="797">
        <v>0.25</v>
      </c>
      <c r="G1577" s="798" t="s">
        <v>1</v>
      </c>
      <c r="H1577" s="793" t="s">
        <v>1848</v>
      </c>
      <c r="I1577" s="800">
        <f>D14</f>
        <v>595</v>
      </c>
      <c r="J1577" s="793" t="s">
        <v>227</v>
      </c>
      <c r="K1577" s="800">
        <f>(F1577*I1577)</f>
        <v>148.75</v>
      </c>
      <c r="AE1577" s="592">
        <f t="shared" si="205"/>
        <v>0</v>
      </c>
    </row>
    <row r="1578" spans="6:31" ht="24" customHeight="1">
      <c r="F1578" s="813"/>
      <c r="G1578" s="798" t="s">
        <v>129</v>
      </c>
      <c r="H1578" s="793" t="s">
        <v>130</v>
      </c>
      <c r="I1578" s="794"/>
      <c r="J1578" s="793" t="s">
        <v>129</v>
      </c>
      <c r="K1578" s="800">
        <f>(F1578*I1578)</f>
        <v>0</v>
      </c>
      <c r="AE1578" s="592">
        <f t="shared" si="205"/>
        <v>0</v>
      </c>
    </row>
    <row r="1579" spans="6:31" ht="24" customHeight="1">
      <c r="F1579" s="813"/>
      <c r="G1579" s="792"/>
      <c r="H1579" s="794"/>
      <c r="I1579" s="794"/>
      <c r="J1579" s="795"/>
      <c r="K1579" s="796" t="s">
        <v>117</v>
      </c>
      <c r="AE1579" s="592">
        <f t="shared" si="205"/>
        <v>0</v>
      </c>
    </row>
    <row r="1580" spans="6:31" ht="24" customHeight="1">
      <c r="F1580" s="813"/>
      <c r="G1580" s="792"/>
      <c r="H1580" s="793" t="s">
        <v>1849</v>
      </c>
      <c r="I1580" s="794"/>
      <c r="J1580" s="795"/>
      <c r="K1580" s="800">
        <f>SUM(K1573:K1578)</f>
        <v>7034.54</v>
      </c>
      <c r="AE1580" s="592">
        <f t="shared" si="205"/>
        <v>0</v>
      </c>
    </row>
    <row r="1581" spans="6:31" ht="24" customHeight="1">
      <c r="F1581" s="813"/>
      <c r="G1581" s="792"/>
      <c r="H1581" s="794"/>
      <c r="I1581" s="794"/>
      <c r="J1581" s="795"/>
      <c r="K1581" s="796" t="s">
        <v>117</v>
      </c>
      <c r="AE1581" s="592">
        <f t="shared" si="205"/>
        <v>0</v>
      </c>
    </row>
    <row r="1582" spans="6:31" ht="24" customHeight="1">
      <c r="F1582" s="814"/>
      <c r="G1582" s="808"/>
      <c r="H1582" s="815" t="s">
        <v>1850</v>
      </c>
      <c r="I1582" s="816"/>
      <c r="J1582" s="817"/>
      <c r="K1582" s="818">
        <f>(K1580*10)</f>
        <v>70345.399999999994</v>
      </c>
      <c r="AE1582" s="592">
        <f t="shared" si="205"/>
        <v>0</v>
      </c>
    </row>
    <row r="1583" spans="6:31" ht="24" customHeight="1">
      <c r="F1583" s="617"/>
      <c r="K1583" s="582"/>
      <c r="AE1583" s="592">
        <f t="shared" si="205"/>
        <v>0</v>
      </c>
    </row>
    <row r="1584" spans="6:31" ht="24" customHeight="1">
      <c r="F1584" s="617"/>
      <c r="K1584" s="582"/>
      <c r="AE1584" s="592">
        <f t="shared" si="205"/>
        <v>0</v>
      </c>
    </row>
    <row r="1585" spans="6:31" ht="24" customHeight="1">
      <c r="F1585" s="617"/>
      <c r="H1585" s="819" t="s">
        <v>1851</v>
      </c>
      <c r="K1585" s="582"/>
      <c r="AE1585" s="592">
        <f t="shared" si="205"/>
        <v>0</v>
      </c>
    </row>
    <row r="1586" spans="6:31" ht="24" customHeight="1">
      <c r="F1586" s="587">
        <v>1</v>
      </c>
      <c r="G1586" s="585" t="s">
        <v>1843</v>
      </c>
      <c r="H1586" s="573" t="s">
        <v>1852</v>
      </c>
      <c r="I1586" s="575">
        <f>C138</f>
        <v>45000</v>
      </c>
      <c r="J1586" s="573" t="s">
        <v>1123</v>
      </c>
      <c r="K1586" s="587">
        <f>(F1586*I1586)/10</f>
        <v>4500</v>
      </c>
      <c r="AE1586" s="592">
        <f t="shared" si="205"/>
        <v>0</v>
      </c>
    </row>
    <row r="1587" spans="6:31" ht="24" customHeight="1">
      <c r="F1587" s="617">
        <v>0.01</v>
      </c>
      <c r="G1587" s="585" t="s">
        <v>1843</v>
      </c>
      <c r="H1587" s="573" t="s">
        <v>1845</v>
      </c>
      <c r="I1587" s="575">
        <f>C143</f>
        <v>43750</v>
      </c>
      <c r="J1587" s="573" t="s">
        <v>1123</v>
      </c>
      <c r="K1587" s="587">
        <f>(F1587*I1587)/10</f>
        <v>43.75</v>
      </c>
      <c r="AE1587" s="592">
        <f t="shared" si="205"/>
        <v>0</v>
      </c>
    </row>
    <row r="1588" spans="6:31" ht="24" customHeight="1">
      <c r="F1588" s="617">
        <v>3.5</v>
      </c>
      <c r="G1588" s="585" t="s">
        <v>1</v>
      </c>
      <c r="H1588" s="573" t="s">
        <v>1846</v>
      </c>
      <c r="I1588" s="575">
        <f>I1575</f>
        <v>667</v>
      </c>
      <c r="J1588" s="573" t="s">
        <v>227</v>
      </c>
      <c r="K1588" s="587">
        <f>(F1588*I1588)</f>
        <v>2334.5</v>
      </c>
      <c r="AE1588" s="592">
        <f t="shared" si="205"/>
        <v>0</v>
      </c>
    </row>
    <row r="1589" spans="6:31" ht="24" customHeight="1">
      <c r="F1589" s="587">
        <v>1.3</v>
      </c>
      <c r="G1589" s="585" t="s">
        <v>148</v>
      </c>
      <c r="H1589" s="573" t="s">
        <v>1847</v>
      </c>
      <c r="I1589" s="575">
        <f>C67/1000</f>
        <v>5.8</v>
      </c>
      <c r="J1589" s="573" t="s">
        <v>148</v>
      </c>
      <c r="K1589" s="587">
        <f>(F1589*I1589)</f>
        <v>7.54</v>
      </c>
      <c r="AE1589" s="592">
        <f t="shared" si="205"/>
        <v>0</v>
      </c>
    </row>
    <row r="1590" spans="6:31" ht="24" customHeight="1">
      <c r="F1590" s="587">
        <v>0.25</v>
      </c>
      <c r="G1590" s="585" t="s">
        <v>1</v>
      </c>
      <c r="H1590" s="573" t="s">
        <v>1848</v>
      </c>
      <c r="I1590" s="575">
        <f>D14</f>
        <v>595</v>
      </c>
      <c r="J1590" s="573" t="s">
        <v>227</v>
      </c>
      <c r="K1590" s="587">
        <f>(F1590*I1590)</f>
        <v>148.75</v>
      </c>
      <c r="AE1590" s="592">
        <f t="shared" si="205"/>
        <v>0</v>
      </c>
    </row>
    <row r="1591" spans="6:31" ht="24" customHeight="1">
      <c r="F1591" s="617"/>
      <c r="G1591" s="585" t="s">
        <v>129</v>
      </c>
      <c r="H1591" s="573" t="s">
        <v>130</v>
      </c>
      <c r="J1591" s="573" t="s">
        <v>129</v>
      </c>
      <c r="K1591" s="587">
        <f>(F1591*I1591)</f>
        <v>0</v>
      </c>
      <c r="AE1591" s="592">
        <f t="shared" si="205"/>
        <v>0</v>
      </c>
    </row>
    <row r="1592" spans="6:31" ht="24" customHeight="1">
      <c r="F1592" s="617"/>
      <c r="K1592" s="582" t="s">
        <v>117</v>
      </c>
      <c r="AE1592" s="592">
        <f t="shared" si="205"/>
        <v>0</v>
      </c>
    </row>
    <row r="1593" spans="6:31" ht="24" customHeight="1">
      <c r="F1593" s="617"/>
      <c r="H1593" s="573" t="s">
        <v>1849</v>
      </c>
      <c r="K1593" s="587">
        <f>SUM(K1586:K1591)</f>
        <v>7034.54</v>
      </c>
      <c r="AE1593" s="592">
        <f t="shared" si="205"/>
        <v>0</v>
      </c>
    </row>
    <row r="1594" spans="6:31" ht="24" customHeight="1">
      <c r="F1594" s="617"/>
      <c r="K1594" s="582" t="s">
        <v>117</v>
      </c>
      <c r="AE1594" s="592">
        <f t="shared" si="205"/>
        <v>0</v>
      </c>
    </row>
    <row r="1595" spans="6:31" ht="24" customHeight="1">
      <c r="F1595" s="617" t="s">
        <v>115</v>
      </c>
      <c r="H1595" s="589" t="s">
        <v>1850</v>
      </c>
      <c r="I1595" s="619"/>
      <c r="J1595" s="630"/>
      <c r="K1595" s="586">
        <f>(K1593*10)</f>
        <v>70345.399999999994</v>
      </c>
      <c r="AE1595" s="592">
        <f t="shared" si="205"/>
        <v>0</v>
      </c>
    </row>
    <row r="1596" spans="6:31" ht="24" customHeight="1">
      <c r="F1596" s="617"/>
      <c r="K1596" s="582" t="s">
        <v>155</v>
      </c>
      <c r="AE1596" s="592">
        <f t="shared" si="205"/>
        <v>0</v>
      </c>
    </row>
    <row r="1597" spans="6:31" ht="24" customHeight="1">
      <c r="F1597" s="617"/>
      <c r="H1597" s="573" t="s">
        <v>115</v>
      </c>
      <c r="K1597" s="573" t="s">
        <v>115</v>
      </c>
      <c r="AE1597" s="592">
        <f t="shared" si="205"/>
        <v>0</v>
      </c>
    </row>
    <row r="1598" spans="6:31" ht="24" customHeight="1">
      <c r="F1598" s="626" t="s">
        <v>1853</v>
      </c>
      <c r="G1598" s="585" t="s">
        <v>1196</v>
      </c>
      <c r="H1598" s="573" t="s">
        <v>1841</v>
      </c>
      <c r="O1598" s="619" t="s">
        <v>1854</v>
      </c>
      <c r="AE1598" s="592">
        <f t="shared" ref="AE1598:AE1661" si="207">AG1598</f>
        <v>0</v>
      </c>
    </row>
    <row r="1599" spans="6:31" ht="24" customHeight="1">
      <c r="F1599" s="617"/>
      <c r="H1599" s="573" t="s">
        <v>1855</v>
      </c>
      <c r="M1599" s="626" t="s">
        <v>1853</v>
      </c>
      <c r="N1599" s="585" t="s">
        <v>1196</v>
      </c>
      <c r="O1599" s="573" t="s">
        <v>1841</v>
      </c>
      <c r="Q1599" s="578"/>
      <c r="AE1599" s="592">
        <f t="shared" si="207"/>
        <v>0</v>
      </c>
    </row>
    <row r="1600" spans="6:31" ht="24" customHeight="1">
      <c r="F1600" s="617"/>
      <c r="H1600" s="582" t="s">
        <v>117</v>
      </c>
      <c r="M1600" s="617"/>
      <c r="N1600" s="576"/>
      <c r="O1600" s="573" t="s">
        <v>1855</v>
      </c>
      <c r="Q1600" s="578"/>
      <c r="AE1600" s="592">
        <f t="shared" si="207"/>
        <v>0</v>
      </c>
    </row>
    <row r="1601" spans="6:31" ht="24" customHeight="1">
      <c r="F1601" s="587">
        <v>1</v>
      </c>
      <c r="G1601" s="585" t="s">
        <v>1843</v>
      </c>
      <c r="H1601" s="573" t="s">
        <v>1844</v>
      </c>
      <c r="I1601" s="587">
        <f>(C139)</f>
        <v>45000</v>
      </c>
      <c r="J1601" s="573" t="s">
        <v>1123</v>
      </c>
      <c r="K1601" s="587">
        <f>(F1601*I1601)/10</f>
        <v>4500</v>
      </c>
      <c r="L1601" s="575">
        <f>K1626+K1630</f>
        <v>393.12</v>
      </c>
      <c r="M1601" s="617"/>
      <c r="N1601" s="576"/>
      <c r="O1601" s="582" t="s">
        <v>117</v>
      </c>
      <c r="Q1601" s="578"/>
      <c r="AE1601" s="592">
        <f t="shared" si="207"/>
        <v>0</v>
      </c>
    </row>
    <row r="1602" spans="6:31" ht="24" customHeight="1">
      <c r="F1602" s="617">
        <v>0.01</v>
      </c>
      <c r="G1602" s="585" t="s">
        <v>1843</v>
      </c>
      <c r="H1602" s="573" t="s">
        <v>1845</v>
      </c>
      <c r="I1602" s="629">
        <f>I1587</f>
        <v>43750</v>
      </c>
      <c r="J1602" s="573" t="s">
        <v>1123</v>
      </c>
      <c r="K1602" s="587">
        <f>(F1602*I1602)/10</f>
        <v>43.75</v>
      </c>
      <c r="L1602" s="575">
        <f>L1601/3</f>
        <v>131.04</v>
      </c>
      <c r="M1602" s="587">
        <v>1</v>
      </c>
      <c r="N1602" s="585" t="s">
        <v>1843</v>
      </c>
      <c r="O1602" s="573" t="s">
        <v>1844</v>
      </c>
      <c r="P1602" s="587">
        <f>I1601</f>
        <v>45000</v>
      </c>
      <c r="Q1602" s="573" t="s">
        <v>1123</v>
      </c>
      <c r="R1602" s="587">
        <f>(M1602*P1602)/10</f>
        <v>4500</v>
      </c>
      <c r="AE1602" s="592">
        <f t="shared" si="207"/>
        <v>0</v>
      </c>
    </row>
    <row r="1603" spans="6:31" ht="24" customHeight="1">
      <c r="F1603" s="617">
        <v>3.5</v>
      </c>
      <c r="G1603" s="585" t="s">
        <v>1</v>
      </c>
      <c r="H1603" s="573" t="s">
        <v>1846</v>
      </c>
      <c r="I1603" s="587">
        <f>I1588</f>
        <v>667</v>
      </c>
      <c r="J1603" s="573" t="s">
        <v>1</v>
      </c>
      <c r="K1603" s="587">
        <f>(F1603*I1603)</f>
        <v>2334.5</v>
      </c>
      <c r="M1603" s="617">
        <v>0.01</v>
      </c>
      <c r="N1603" s="585" t="s">
        <v>1843</v>
      </c>
      <c r="O1603" s="577" t="s">
        <v>1856</v>
      </c>
      <c r="P1603" s="728">
        <f>80000/112*100</f>
        <v>71428.571428571435</v>
      </c>
      <c r="Q1603" s="573" t="s">
        <v>1123</v>
      </c>
      <c r="R1603" s="587">
        <f>(M1603*P1603)/10</f>
        <v>71.428571428571431</v>
      </c>
      <c r="AE1603" s="592">
        <f t="shared" si="207"/>
        <v>0</v>
      </c>
    </row>
    <row r="1604" spans="6:31" ht="24" customHeight="1">
      <c r="F1604" s="617"/>
      <c r="G1604" s="585" t="s">
        <v>129</v>
      </c>
      <c r="H1604" s="573" t="s">
        <v>130</v>
      </c>
      <c r="J1604" s="573" t="s">
        <v>129</v>
      </c>
      <c r="K1604" s="587">
        <v>0</v>
      </c>
      <c r="M1604" s="617">
        <v>3.5</v>
      </c>
      <c r="N1604" s="585" t="s">
        <v>1</v>
      </c>
      <c r="O1604" s="573" t="s">
        <v>1846</v>
      </c>
      <c r="P1604" s="587">
        <f>I1603</f>
        <v>667</v>
      </c>
      <c r="Q1604" s="573" t="s">
        <v>1</v>
      </c>
      <c r="R1604" s="587">
        <f>(M1604*P1604)</f>
        <v>2334.5</v>
      </c>
      <c r="AE1604" s="592">
        <f t="shared" si="207"/>
        <v>0</v>
      </c>
    </row>
    <row r="1605" spans="6:31" ht="24" customHeight="1">
      <c r="K1605" s="582" t="s">
        <v>117</v>
      </c>
      <c r="M1605" s="617"/>
      <c r="N1605" s="585" t="s">
        <v>129</v>
      </c>
      <c r="O1605" s="573" t="s">
        <v>130</v>
      </c>
      <c r="Q1605" s="573" t="s">
        <v>129</v>
      </c>
      <c r="R1605" s="587">
        <v>0</v>
      </c>
      <c r="AE1605" s="592">
        <f t="shared" si="207"/>
        <v>0</v>
      </c>
    </row>
    <row r="1606" spans="6:31" ht="24" customHeight="1">
      <c r="H1606" s="573" t="s">
        <v>1849</v>
      </c>
      <c r="K1606" s="587">
        <f>SUM(K1601:K1604)</f>
        <v>6878.25</v>
      </c>
      <c r="N1606" s="576"/>
      <c r="Q1606" s="578"/>
      <c r="R1606" s="582" t="s">
        <v>117</v>
      </c>
      <c r="AE1606" s="592">
        <f t="shared" si="207"/>
        <v>0</v>
      </c>
    </row>
    <row r="1607" spans="6:31" ht="24" customHeight="1">
      <c r="K1607" s="582" t="s">
        <v>117</v>
      </c>
      <c r="N1607" s="576"/>
      <c r="O1607" s="573" t="s">
        <v>1849</v>
      </c>
      <c r="Q1607" s="578"/>
      <c r="R1607" s="587">
        <f>SUM(R1602:R1605)</f>
        <v>6905.9285714285716</v>
      </c>
      <c r="AE1607" s="592">
        <f t="shared" si="207"/>
        <v>0</v>
      </c>
    </row>
    <row r="1608" spans="6:31" ht="24" customHeight="1">
      <c r="H1608" s="589" t="s">
        <v>1850</v>
      </c>
      <c r="I1608" s="619"/>
      <c r="J1608" s="630"/>
      <c r="K1608" s="586">
        <f>(K1606*10)</f>
        <v>68782.5</v>
      </c>
      <c r="N1608" s="576"/>
      <c r="Q1608" s="578"/>
      <c r="R1608" s="582" t="s">
        <v>117</v>
      </c>
      <c r="AE1608" s="592">
        <f t="shared" si="207"/>
        <v>0</v>
      </c>
    </row>
    <row r="1609" spans="6:31" ht="24" customHeight="1">
      <c r="H1609" s="573" t="s">
        <v>115</v>
      </c>
      <c r="K1609" s="573" t="s">
        <v>115</v>
      </c>
      <c r="N1609" s="576"/>
      <c r="O1609" s="589" t="s">
        <v>1850</v>
      </c>
      <c r="P1609" s="619"/>
      <c r="Q1609" s="630"/>
      <c r="R1609" s="586">
        <f>(R1607*10)</f>
        <v>69059.28571428571</v>
      </c>
      <c r="AE1609" s="592">
        <f t="shared" si="207"/>
        <v>0</v>
      </c>
    </row>
    <row r="1610" spans="6:31" ht="24" customHeight="1">
      <c r="G1610" s="576" t="s">
        <v>1225</v>
      </c>
      <c r="H1610" s="573" t="s">
        <v>1841</v>
      </c>
      <c r="K1610" s="573"/>
      <c r="AE1610" s="592">
        <f t="shared" si="207"/>
        <v>0</v>
      </c>
    </row>
    <row r="1611" spans="6:31" ht="24" customHeight="1">
      <c r="H1611" s="573" t="s">
        <v>1857</v>
      </c>
      <c r="K1611" s="573"/>
      <c r="N1611" s="576" t="s">
        <v>1225</v>
      </c>
      <c r="O1611" s="573" t="s">
        <v>1841</v>
      </c>
      <c r="Q1611" s="578"/>
      <c r="R1611" s="573"/>
      <c r="AE1611" s="592">
        <f t="shared" si="207"/>
        <v>0</v>
      </c>
    </row>
    <row r="1612" spans="6:31" ht="24" customHeight="1">
      <c r="F1612" s="617"/>
      <c r="H1612" s="582" t="s">
        <v>117</v>
      </c>
      <c r="K1612" s="573"/>
      <c r="N1612" s="576"/>
      <c r="O1612" s="573" t="s">
        <v>1857</v>
      </c>
      <c r="Q1612" s="578"/>
      <c r="R1612" s="573"/>
      <c r="AE1612" s="592">
        <f t="shared" si="207"/>
        <v>0</v>
      </c>
    </row>
    <row r="1613" spans="6:31" ht="24" customHeight="1">
      <c r="F1613" s="587">
        <v>1</v>
      </c>
      <c r="G1613" s="585" t="s">
        <v>1843</v>
      </c>
      <c r="H1613" s="573" t="s">
        <v>1852</v>
      </c>
      <c r="I1613" s="575">
        <f>C138</f>
        <v>45000</v>
      </c>
      <c r="J1613" s="573" t="s">
        <v>1123</v>
      </c>
      <c r="K1613" s="587">
        <f>(F1613*I1613)/10</f>
        <v>4500</v>
      </c>
      <c r="M1613" s="617"/>
      <c r="N1613" s="576"/>
      <c r="O1613" s="582" t="s">
        <v>117</v>
      </c>
      <c r="Q1613" s="578"/>
      <c r="R1613" s="573"/>
      <c r="AE1613" s="592">
        <f t="shared" si="207"/>
        <v>0</v>
      </c>
    </row>
    <row r="1614" spans="6:31" ht="24" customHeight="1">
      <c r="F1614" s="617">
        <v>0.01</v>
      </c>
      <c r="G1614" s="585" t="s">
        <v>1843</v>
      </c>
      <c r="H1614" s="573" t="s">
        <v>1845</v>
      </c>
      <c r="I1614" s="575">
        <f>C143</f>
        <v>43750</v>
      </c>
      <c r="J1614" s="573" t="s">
        <v>1123</v>
      </c>
      <c r="K1614" s="587">
        <f>(F1614*I1614)/10</f>
        <v>43.75</v>
      </c>
      <c r="M1614" s="587">
        <v>1</v>
      </c>
      <c r="N1614" s="585" t="s">
        <v>1843</v>
      </c>
      <c r="O1614" s="573" t="s">
        <v>1852</v>
      </c>
      <c r="P1614" s="575">
        <f>I1613</f>
        <v>45000</v>
      </c>
      <c r="Q1614" s="573" t="s">
        <v>1123</v>
      </c>
      <c r="R1614" s="587">
        <f>(M1614*P1614)/10</f>
        <v>4500</v>
      </c>
      <c r="AE1614" s="592">
        <f t="shared" si="207"/>
        <v>0</v>
      </c>
    </row>
    <row r="1615" spans="6:31" ht="24" customHeight="1">
      <c r="F1615" s="617">
        <v>3.5</v>
      </c>
      <c r="G1615" s="585" t="s">
        <v>1</v>
      </c>
      <c r="H1615" s="573" t="s">
        <v>1846</v>
      </c>
      <c r="I1615" s="575">
        <f>I1603</f>
        <v>667</v>
      </c>
      <c r="J1615" s="573" t="s">
        <v>1</v>
      </c>
      <c r="K1615" s="587">
        <f>(F1615*I1615)</f>
        <v>2334.5</v>
      </c>
      <c r="M1615" s="617">
        <v>0.01</v>
      </c>
      <c r="N1615" s="585" t="s">
        <v>1843</v>
      </c>
      <c r="O1615" s="577" t="str">
        <f>O1603</f>
        <v>BINDING WIRE insulated with PVC as per circular</v>
      </c>
      <c r="P1615" s="575">
        <f>P1603</f>
        <v>71428.571428571435</v>
      </c>
      <c r="Q1615" s="573" t="s">
        <v>1123</v>
      </c>
      <c r="R1615" s="587">
        <f>(M1615*P1615)/10</f>
        <v>71.428571428571431</v>
      </c>
      <c r="AE1615" s="592">
        <f t="shared" si="207"/>
        <v>0</v>
      </c>
    </row>
    <row r="1616" spans="6:31" ht="24" customHeight="1">
      <c r="F1616" s="617"/>
      <c r="G1616" s="585" t="s">
        <v>129</v>
      </c>
      <c r="H1616" s="573" t="s">
        <v>130</v>
      </c>
      <c r="J1616" s="573" t="s">
        <v>129</v>
      </c>
      <c r="K1616" s="587">
        <v>0</v>
      </c>
      <c r="M1616" s="617">
        <v>3.5</v>
      </c>
      <c r="N1616" s="585" t="s">
        <v>1843</v>
      </c>
      <c r="O1616" s="573" t="s">
        <v>1846</v>
      </c>
      <c r="P1616" s="575">
        <f>I1615</f>
        <v>667</v>
      </c>
      <c r="Q1616" s="573" t="s">
        <v>1</v>
      </c>
      <c r="R1616" s="587">
        <f>(M1616*P1616)</f>
        <v>2334.5</v>
      </c>
      <c r="AE1616" s="592">
        <f t="shared" si="207"/>
        <v>0</v>
      </c>
    </row>
    <row r="1617" spans="6:31" ht="24" customHeight="1">
      <c r="K1617" s="582" t="s">
        <v>117</v>
      </c>
      <c r="M1617" s="617"/>
      <c r="N1617" s="585" t="s">
        <v>1843</v>
      </c>
      <c r="O1617" s="573" t="s">
        <v>130</v>
      </c>
      <c r="Q1617" s="573" t="s">
        <v>129</v>
      </c>
      <c r="R1617" s="587">
        <v>0</v>
      </c>
      <c r="AE1617" s="592">
        <f t="shared" si="207"/>
        <v>0</v>
      </c>
    </row>
    <row r="1618" spans="6:31" ht="24" customHeight="1">
      <c r="H1618" s="573" t="s">
        <v>1849</v>
      </c>
      <c r="K1618" s="587">
        <f>SUM(K1613:K1616)</f>
        <v>6878.25</v>
      </c>
      <c r="N1618" s="576"/>
      <c r="Q1618" s="578"/>
      <c r="R1618" s="582" t="s">
        <v>117</v>
      </c>
      <c r="AE1618" s="592">
        <f t="shared" si="207"/>
        <v>0</v>
      </c>
    </row>
    <row r="1619" spans="6:31" ht="24" customHeight="1">
      <c r="K1619" s="582" t="s">
        <v>117</v>
      </c>
      <c r="N1619" s="576"/>
      <c r="O1619" s="573" t="s">
        <v>1849</v>
      </c>
      <c r="Q1619" s="578"/>
      <c r="R1619" s="587">
        <f>SUM(R1614:R1617)</f>
        <v>6905.9285714285716</v>
      </c>
      <c r="AE1619" s="592">
        <f t="shared" si="207"/>
        <v>0</v>
      </c>
    </row>
    <row r="1620" spans="6:31" ht="24" customHeight="1">
      <c r="H1620" s="589" t="s">
        <v>1850</v>
      </c>
      <c r="I1620" s="619"/>
      <c r="J1620" s="630"/>
      <c r="K1620" s="586">
        <f>(K1618*10)</f>
        <v>68782.5</v>
      </c>
      <c r="N1620" s="576"/>
      <c r="Q1620" s="578"/>
      <c r="R1620" s="582" t="s">
        <v>117</v>
      </c>
      <c r="AE1620" s="592">
        <f t="shared" si="207"/>
        <v>0</v>
      </c>
    </row>
    <row r="1621" spans="6:31" ht="24" customHeight="1">
      <c r="H1621" s="573" t="s">
        <v>115</v>
      </c>
      <c r="J1621" s="578" t="s">
        <v>115</v>
      </c>
      <c r="N1621" s="576"/>
      <c r="O1621" s="589" t="s">
        <v>1850</v>
      </c>
      <c r="P1621" s="619"/>
      <c r="Q1621" s="630"/>
      <c r="R1621" s="586">
        <f>(R1619*10)</f>
        <v>69059.28571428571</v>
      </c>
      <c r="AE1621" s="592">
        <f t="shared" si="207"/>
        <v>0</v>
      </c>
    </row>
    <row r="1622" spans="6:31" ht="24" customHeight="1">
      <c r="F1622" s="620">
        <v>44.1</v>
      </c>
      <c r="G1622" s="585" t="s">
        <v>122</v>
      </c>
      <c r="H1622" s="573" t="s">
        <v>1858</v>
      </c>
      <c r="AE1622" s="592">
        <f t="shared" si="207"/>
        <v>0</v>
      </c>
    </row>
    <row r="1623" spans="6:31" ht="24" customHeight="1">
      <c r="H1623" s="573" t="s">
        <v>1859</v>
      </c>
      <c r="AE1623" s="592">
        <f t="shared" si="207"/>
        <v>0</v>
      </c>
    </row>
    <row r="1624" spans="6:31" ht="24" customHeight="1">
      <c r="H1624" s="573" t="s">
        <v>1860</v>
      </c>
      <c r="M1624" s="620">
        <v>44.1</v>
      </c>
      <c r="N1624" s="585" t="s">
        <v>122</v>
      </c>
      <c r="O1624" s="573" t="s">
        <v>1858</v>
      </c>
      <c r="AE1624" s="592">
        <f t="shared" si="207"/>
        <v>0</v>
      </c>
    </row>
    <row r="1625" spans="6:31" ht="24" customHeight="1">
      <c r="H1625" s="582" t="s">
        <v>117</v>
      </c>
      <c r="N1625" s="576"/>
      <c r="O1625" s="573" t="s">
        <v>1859</v>
      </c>
      <c r="AE1625" s="592">
        <f t="shared" si="207"/>
        <v>0</v>
      </c>
    </row>
    <row r="1626" spans="6:31" ht="24" customHeight="1">
      <c r="F1626" s="587">
        <v>3</v>
      </c>
      <c r="G1626" s="585" t="s">
        <v>203</v>
      </c>
      <c r="H1626" s="573" t="s">
        <v>1861</v>
      </c>
      <c r="I1626" s="587">
        <f>D620</f>
        <v>120.54</v>
      </c>
      <c r="J1626" s="573" t="s">
        <v>203</v>
      </c>
      <c r="K1626" s="587">
        <f t="shared" ref="K1626:K1631" si="208">(F1626*I1626)</f>
        <v>361.62</v>
      </c>
      <c r="N1626" s="576"/>
      <c r="O1626" s="573" t="s">
        <v>1860</v>
      </c>
      <c r="AE1626" s="592">
        <f t="shared" si="207"/>
        <v>0</v>
      </c>
    </row>
    <row r="1627" spans="6:31" ht="24" customHeight="1">
      <c r="F1627" s="587">
        <v>1</v>
      </c>
      <c r="G1627" s="585" t="s">
        <v>209</v>
      </c>
      <c r="H1627" s="573" t="s">
        <v>1862</v>
      </c>
      <c r="I1627" s="680">
        <f>(C623)</f>
        <v>76</v>
      </c>
      <c r="J1627" s="573" t="s">
        <v>209</v>
      </c>
      <c r="K1627" s="587">
        <f t="shared" si="208"/>
        <v>76</v>
      </c>
      <c r="N1627" s="576"/>
      <c r="O1627" s="582" t="s">
        <v>117</v>
      </c>
      <c r="AE1627" s="592">
        <f t="shared" si="207"/>
        <v>0</v>
      </c>
    </row>
    <row r="1628" spans="6:31" ht="24" customHeight="1">
      <c r="F1628" s="587">
        <v>1</v>
      </c>
      <c r="G1628" s="585" t="s">
        <v>209</v>
      </c>
      <c r="H1628" s="573" t="s">
        <v>1863</v>
      </c>
      <c r="I1628" s="587">
        <f>(C626)</f>
        <v>71</v>
      </c>
      <c r="J1628" s="573" t="s">
        <v>209</v>
      </c>
      <c r="K1628" s="587">
        <f t="shared" si="208"/>
        <v>71</v>
      </c>
      <c r="M1628" s="587">
        <v>3</v>
      </c>
      <c r="N1628" s="585" t="s">
        <v>203</v>
      </c>
      <c r="O1628" s="573" t="s">
        <v>1861</v>
      </c>
      <c r="P1628" s="575">
        <f>I1626</f>
        <v>120.54</v>
      </c>
      <c r="Q1628" s="575" t="str">
        <f>J1628</f>
        <v>NO.</v>
      </c>
      <c r="R1628" s="575">
        <f t="shared" ref="R1628:R1633" si="209">P1628*M1628</f>
        <v>361.62</v>
      </c>
      <c r="AE1628" s="592">
        <f t="shared" si="207"/>
        <v>0</v>
      </c>
    </row>
    <row r="1629" spans="6:31" ht="24" customHeight="1">
      <c r="F1629" s="587">
        <v>2</v>
      </c>
      <c r="G1629" s="585" t="s">
        <v>209</v>
      </c>
      <c r="H1629" s="573" t="s">
        <v>1864</v>
      </c>
      <c r="I1629" s="587">
        <f>C597</f>
        <v>21.2</v>
      </c>
      <c r="J1629" s="573" t="s">
        <v>209</v>
      </c>
      <c r="K1629" s="587">
        <f t="shared" si="208"/>
        <v>42.4</v>
      </c>
      <c r="M1629" s="587">
        <v>1</v>
      </c>
      <c r="N1629" s="585" t="s">
        <v>209</v>
      </c>
      <c r="O1629" s="573" t="s">
        <v>1862</v>
      </c>
      <c r="P1629" s="575">
        <v>76.78</v>
      </c>
      <c r="Q1629" s="575" t="str">
        <f>J1629</f>
        <v>NO.</v>
      </c>
      <c r="R1629" s="575">
        <f t="shared" si="209"/>
        <v>76.78</v>
      </c>
      <c r="AE1629" s="592">
        <f t="shared" si="207"/>
        <v>0</v>
      </c>
    </row>
    <row r="1630" spans="6:31" ht="24" customHeight="1">
      <c r="F1630" s="587">
        <v>1</v>
      </c>
      <c r="G1630" s="585" t="s">
        <v>209</v>
      </c>
      <c r="H1630" s="573" t="s">
        <v>1865</v>
      </c>
      <c r="I1630" s="587">
        <f>(C696)</f>
        <v>31.5</v>
      </c>
      <c r="J1630" s="573" t="s">
        <v>209</v>
      </c>
      <c r="K1630" s="587">
        <f t="shared" si="208"/>
        <v>31.5</v>
      </c>
      <c r="M1630" s="587">
        <v>1</v>
      </c>
      <c r="N1630" s="585" t="s">
        <v>209</v>
      </c>
      <c r="O1630" s="573" t="s">
        <v>1863</v>
      </c>
      <c r="P1630" s="575">
        <f>I1628</f>
        <v>71</v>
      </c>
      <c r="Q1630" s="575" t="str">
        <f>J1630</f>
        <v>NO.</v>
      </c>
      <c r="R1630" s="575">
        <f t="shared" si="209"/>
        <v>71</v>
      </c>
      <c r="AE1630" s="592">
        <f t="shared" si="207"/>
        <v>0</v>
      </c>
    </row>
    <row r="1631" spans="6:31" ht="24" customHeight="1">
      <c r="F1631" s="587">
        <v>0.5</v>
      </c>
      <c r="G1631" s="585" t="s">
        <v>209</v>
      </c>
      <c r="H1631" s="573" t="s">
        <v>210</v>
      </c>
      <c r="I1631" s="587">
        <f>(C15)</f>
        <v>667</v>
      </c>
      <c r="J1631" s="573" t="s">
        <v>209</v>
      </c>
      <c r="K1631" s="587">
        <f t="shared" si="208"/>
        <v>333.5</v>
      </c>
      <c r="M1631" s="586">
        <v>2</v>
      </c>
      <c r="N1631" s="645" t="s">
        <v>1492</v>
      </c>
      <c r="O1631" s="820" t="s">
        <v>1866</v>
      </c>
      <c r="P1631" s="657">
        <v>12</v>
      </c>
      <c r="Q1631" s="575" t="str">
        <f>J1631</f>
        <v>NO.</v>
      </c>
      <c r="R1631" s="575">
        <f t="shared" si="209"/>
        <v>24</v>
      </c>
      <c r="AE1631" s="592">
        <f t="shared" si="207"/>
        <v>0</v>
      </c>
    </row>
    <row r="1632" spans="6:31" ht="24" customHeight="1">
      <c r="G1632" s="585" t="s">
        <v>129</v>
      </c>
      <c r="H1632" s="573" t="s">
        <v>1867</v>
      </c>
      <c r="J1632" s="573" t="s">
        <v>129</v>
      </c>
      <c r="K1632" s="587"/>
      <c r="M1632" s="587">
        <v>1</v>
      </c>
      <c r="N1632" s="821" t="s">
        <v>1492</v>
      </c>
      <c r="O1632" s="573" t="s">
        <v>1865</v>
      </c>
      <c r="P1632" s="575">
        <f>I1630</f>
        <v>31.5</v>
      </c>
      <c r="Q1632" s="575" t="str">
        <f>J1632</f>
        <v>L.S</v>
      </c>
      <c r="R1632" s="575">
        <f t="shared" si="209"/>
        <v>31.5</v>
      </c>
      <c r="AE1632" s="592">
        <f t="shared" si="207"/>
        <v>0</v>
      </c>
    </row>
    <row r="1633" spans="6:31" ht="24" customHeight="1">
      <c r="H1633" s="573" t="s">
        <v>1868</v>
      </c>
      <c r="M1633" s="587">
        <v>0.5</v>
      </c>
      <c r="N1633" s="821" t="s">
        <v>1492</v>
      </c>
      <c r="O1633" s="573" t="s">
        <v>210</v>
      </c>
      <c r="P1633" s="575">
        <f>I1631</f>
        <v>667</v>
      </c>
      <c r="R1633" s="575">
        <f t="shared" si="209"/>
        <v>333.5</v>
      </c>
      <c r="AE1633" s="592">
        <f t="shared" si="207"/>
        <v>0</v>
      </c>
    </row>
    <row r="1634" spans="6:31" ht="24" customHeight="1">
      <c r="K1634" s="582" t="s">
        <v>117</v>
      </c>
      <c r="N1634" s="821" t="s">
        <v>1492</v>
      </c>
      <c r="O1634" s="573" t="s">
        <v>1867</v>
      </c>
      <c r="P1634" s="575">
        <f>I1634</f>
        <v>0</v>
      </c>
      <c r="AE1634" s="592">
        <f t="shared" si="207"/>
        <v>0</v>
      </c>
    </row>
    <row r="1635" spans="6:31" ht="24" customHeight="1">
      <c r="H1635" s="573" t="s">
        <v>215</v>
      </c>
      <c r="K1635" s="587">
        <f>SUM(K1626:K1632)</f>
        <v>916.02</v>
      </c>
      <c r="O1635" s="573" t="s">
        <v>1868</v>
      </c>
      <c r="R1635" s="575">
        <f>26.98+4.7</f>
        <v>31.68</v>
      </c>
      <c r="AE1635" s="592">
        <f t="shared" si="207"/>
        <v>0</v>
      </c>
    </row>
    <row r="1636" spans="6:31" ht="24" customHeight="1">
      <c r="F1636" s="573" t="s">
        <v>115</v>
      </c>
      <c r="AE1636" s="592">
        <f t="shared" si="207"/>
        <v>0</v>
      </c>
    </row>
    <row r="1637" spans="6:31" ht="24" customHeight="1">
      <c r="K1637" s="582" t="s">
        <v>117</v>
      </c>
      <c r="O1637" s="573" t="s">
        <v>215</v>
      </c>
      <c r="R1637" s="619">
        <f>SUM(R1628:R1636)</f>
        <v>930.07999999999993</v>
      </c>
      <c r="AE1637" s="592">
        <f t="shared" si="207"/>
        <v>0</v>
      </c>
    </row>
    <row r="1638" spans="6:31" ht="24" customHeight="1">
      <c r="H1638" s="589" t="s">
        <v>216</v>
      </c>
      <c r="I1638" s="619"/>
      <c r="J1638" s="630"/>
      <c r="K1638" s="586">
        <f>(K1635/3)</f>
        <v>305.33999999999997</v>
      </c>
      <c r="AE1638" s="592">
        <f t="shared" si="207"/>
        <v>0</v>
      </c>
    </row>
    <row r="1639" spans="6:31" ht="24" customHeight="1">
      <c r="H1639" s="573"/>
      <c r="K1639" s="582" t="s">
        <v>155</v>
      </c>
      <c r="N1639" s="576"/>
      <c r="Q1639" s="578"/>
      <c r="R1639" s="582" t="s">
        <v>117</v>
      </c>
      <c r="AE1639" s="592">
        <f t="shared" si="207"/>
        <v>0</v>
      </c>
    </row>
    <row r="1640" spans="6:31" ht="24" customHeight="1">
      <c r="F1640" s="574" t="s">
        <v>1869</v>
      </c>
      <c r="H1640" s="573" t="s">
        <v>1870</v>
      </c>
      <c r="N1640" s="576"/>
      <c r="O1640" s="589" t="s">
        <v>216</v>
      </c>
      <c r="P1640" s="619"/>
      <c r="Q1640" s="630"/>
      <c r="R1640" s="586">
        <f>(R1637/3)</f>
        <v>310.02666666666664</v>
      </c>
      <c r="S1640" s="579">
        <f>310*3</f>
        <v>930</v>
      </c>
      <c r="T1640" s="575">
        <f>S1640-R1637</f>
        <v>-7.999999999992724E-2</v>
      </c>
      <c r="AE1640" s="592">
        <f t="shared" si="207"/>
        <v>0</v>
      </c>
    </row>
    <row r="1641" spans="6:31" ht="24" customHeight="1">
      <c r="H1641" s="573" t="s">
        <v>1871</v>
      </c>
      <c r="N1641" s="576"/>
      <c r="O1641" s="573"/>
      <c r="Q1641" s="578"/>
      <c r="R1641" s="582" t="s">
        <v>155</v>
      </c>
      <c r="AE1641" s="592">
        <f t="shared" si="207"/>
        <v>0</v>
      </c>
    </row>
    <row r="1642" spans="6:31" ht="24" customHeight="1">
      <c r="H1642" s="573" t="s">
        <v>1872</v>
      </c>
      <c r="AE1642" s="592">
        <f t="shared" si="207"/>
        <v>0</v>
      </c>
    </row>
    <row r="1643" spans="6:31" ht="24" customHeight="1">
      <c r="H1643" s="582" t="s">
        <v>117</v>
      </c>
      <c r="AE1643" s="592">
        <f t="shared" si="207"/>
        <v>0</v>
      </c>
    </row>
    <row r="1644" spans="6:31" ht="24" customHeight="1">
      <c r="F1644" s="587">
        <v>0.15</v>
      </c>
      <c r="G1644" s="585" t="s">
        <v>126</v>
      </c>
      <c r="H1644" s="573" t="s">
        <v>1873</v>
      </c>
      <c r="I1644" s="587">
        <f>(C70)</f>
        <v>973.3599999999999</v>
      </c>
      <c r="J1644" s="573" t="s">
        <v>126</v>
      </c>
      <c r="K1644" s="587">
        <f>(F1644*I1644)</f>
        <v>146.00399999999999</v>
      </c>
      <c r="AE1644" s="592">
        <f t="shared" si="207"/>
        <v>0</v>
      </c>
    </row>
    <row r="1645" spans="6:31" ht="24" customHeight="1">
      <c r="F1645" s="652">
        <v>8.6499999999999994E-2</v>
      </c>
      <c r="G1645" s="585" t="s">
        <v>124</v>
      </c>
      <c r="H1645" s="573" t="s">
        <v>125</v>
      </c>
      <c r="I1645" s="587">
        <f>(C67)</f>
        <v>5800</v>
      </c>
      <c r="J1645" s="573" t="s">
        <v>124</v>
      </c>
      <c r="K1645" s="587">
        <f>(F1645*I1645)</f>
        <v>501.7</v>
      </c>
      <c r="AE1645" s="592">
        <f t="shared" si="207"/>
        <v>0</v>
      </c>
    </row>
    <row r="1646" spans="6:31" ht="24" customHeight="1">
      <c r="F1646" s="587">
        <v>1.6</v>
      </c>
      <c r="G1646" s="585" t="s">
        <v>1</v>
      </c>
      <c r="H1646" s="573" t="s">
        <v>144</v>
      </c>
      <c r="I1646" s="587">
        <f>(C10)</f>
        <v>769</v>
      </c>
      <c r="J1646" s="573" t="s">
        <v>1</v>
      </c>
      <c r="K1646" s="587">
        <f>(F1646*I1646)</f>
        <v>1230.4000000000001</v>
      </c>
      <c r="AE1646" s="592">
        <f t="shared" si="207"/>
        <v>0</v>
      </c>
    </row>
    <row r="1647" spans="6:31" ht="24" customHeight="1">
      <c r="F1647" s="587">
        <v>0.5</v>
      </c>
      <c r="G1647" s="585" t="s">
        <v>1</v>
      </c>
      <c r="H1647" s="573" t="s">
        <v>146</v>
      </c>
      <c r="I1647" s="587">
        <f>(C12)</f>
        <v>502</v>
      </c>
      <c r="J1647" s="573" t="s">
        <v>1</v>
      </c>
      <c r="K1647" s="587">
        <f>(F1647*I1647)</f>
        <v>251</v>
      </c>
      <c r="AE1647" s="592">
        <f t="shared" si="207"/>
        <v>0</v>
      </c>
    </row>
    <row r="1648" spans="6:31" ht="24" customHeight="1">
      <c r="F1648" s="587">
        <v>1.1000000000000001</v>
      </c>
      <c r="G1648" s="585" t="s">
        <v>1</v>
      </c>
      <c r="H1648" s="573" t="s">
        <v>147</v>
      </c>
      <c r="I1648" s="587">
        <f>(C13)</f>
        <v>412</v>
      </c>
      <c r="J1648" s="573" t="s">
        <v>1</v>
      </c>
      <c r="K1648" s="587">
        <f>(F1648*I1648)</f>
        <v>453.20000000000005</v>
      </c>
      <c r="AE1648" s="592">
        <f t="shared" si="207"/>
        <v>0</v>
      </c>
    </row>
    <row r="1649" spans="6:31" ht="24" customHeight="1">
      <c r="G1649" s="585" t="s">
        <v>129</v>
      </c>
      <c r="H1649" s="573" t="s">
        <v>130</v>
      </c>
      <c r="I1649" s="573" t="s">
        <v>115</v>
      </c>
      <c r="J1649" s="573" t="s">
        <v>129</v>
      </c>
      <c r="K1649" s="587">
        <v>0</v>
      </c>
      <c r="AE1649" s="592">
        <f t="shared" si="207"/>
        <v>0</v>
      </c>
    </row>
    <row r="1650" spans="6:31" ht="24" customHeight="1">
      <c r="K1650" s="582" t="s">
        <v>117</v>
      </c>
      <c r="AE1650" s="592">
        <f t="shared" si="207"/>
        <v>0</v>
      </c>
    </row>
    <row r="1651" spans="6:31" ht="24" customHeight="1">
      <c r="H1651" s="573" t="s">
        <v>153</v>
      </c>
      <c r="K1651" s="587">
        <f>SUM(K1644:K1649)</f>
        <v>2582.3040000000001</v>
      </c>
      <c r="AE1651" s="592">
        <f t="shared" si="207"/>
        <v>0</v>
      </c>
    </row>
    <row r="1652" spans="6:31" ht="24" customHeight="1">
      <c r="K1652" s="582" t="s">
        <v>117</v>
      </c>
      <c r="AE1652" s="592">
        <f t="shared" si="207"/>
        <v>0</v>
      </c>
    </row>
    <row r="1653" spans="6:31" ht="24" customHeight="1">
      <c r="H1653" s="589" t="s">
        <v>154</v>
      </c>
      <c r="I1653" s="619"/>
      <c r="J1653" s="630"/>
      <c r="K1653" s="586">
        <f>(K1651/10)</f>
        <v>258.23040000000003</v>
      </c>
      <c r="AE1653" s="592">
        <f t="shared" si="207"/>
        <v>0</v>
      </c>
    </row>
    <row r="1654" spans="6:31" ht="24" customHeight="1">
      <c r="K1654" s="582" t="s">
        <v>155</v>
      </c>
      <c r="AE1654" s="592">
        <f t="shared" si="207"/>
        <v>0</v>
      </c>
    </row>
    <row r="1655" spans="6:31" ht="24" customHeight="1">
      <c r="F1655" s="574" t="s">
        <v>1874</v>
      </c>
      <c r="G1655" s="585" t="s">
        <v>122</v>
      </c>
      <c r="H1655" s="573" t="s">
        <v>1875</v>
      </c>
      <c r="AE1655" s="592">
        <f t="shared" si="207"/>
        <v>0</v>
      </c>
    </row>
    <row r="1656" spans="6:31" ht="24" customHeight="1">
      <c r="H1656" s="573" t="s">
        <v>1876</v>
      </c>
      <c r="AE1656" s="592">
        <f t="shared" si="207"/>
        <v>0</v>
      </c>
    </row>
    <row r="1657" spans="6:31" ht="24" customHeight="1">
      <c r="H1657" s="573" t="s">
        <v>1877</v>
      </c>
      <c r="J1657" s="573" t="s">
        <v>115</v>
      </c>
      <c r="AE1657" s="592">
        <f t="shared" si="207"/>
        <v>0</v>
      </c>
    </row>
    <row r="1658" spans="6:31" ht="24" customHeight="1">
      <c r="H1658" s="573" t="s">
        <v>1878</v>
      </c>
      <c r="AE1658" s="592">
        <f t="shared" si="207"/>
        <v>0</v>
      </c>
    </row>
    <row r="1659" spans="6:31" ht="24" customHeight="1">
      <c r="H1659" s="573" t="s">
        <v>1879</v>
      </c>
      <c r="AE1659" s="592">
        <f t="shared" si="207"/>
        <v>0</v>
      </c>
    </row>
    <row r="1660" spans="6:31" ht="24" customHeight="1">
      <c r="H1660" s="573" t="s">
        <v>1880</v>
      </c>
      <c r="AE1660" s="592">
        <f t="shared" si="207"/>
        <v>0</v>
      </c>
    </row>
    <row r="1661" spans="6:31" ht="24" customHeight="1">
      <c r="H1661" s="573" t="s">
        <v>1881</v>
      </c>
      <c r="AE1661" s="592">
        <f t="shared" si="207"/>
        <v>0</v>
      </c>
    </row>
    <row r="1662" spans="6:31" ht="24" customHeight="1">
      <c r="H1662" s="573" t="s">
        <v>1882</v>
      </c>
      <c r="AE1662" s="592">
        <f t="shared" ref="AE1662:AE1695" si="210">AG1662</f>
        <v>0</v>
      </c>
    </row>
    <row r="1663" spans="6:31" ht="24" customHeight="1">
      <c r="H1663" s="573" t="s">
        <v>1883</v>
      </c>
      <c r="AE1663" s="592">
        <f t="shared" si="210"/>
        <v>0</v>
      </c>
    </row>
    <row r="1664" spans="6:31" ht="24" customHeight="1">
      <c r="H1664" s="582" t="s">
        <v>155</v>
      </c>
      <c r="AE1664" s="592">
        <f t="shared" si="210"/>
        <v>0</v>
      </c>
    </row>
    <row r="1665" spans="6:31" ht="24" customHeight="1">
      <c r="AE1665" s="592">
        <f t="shared" si="210"/>
        <v>0</v>
      </c>
    </row>
    <row r="1666" spans="6:31" ht="24" customHeight="1">
      <c r="F1666" s="587">
        <v>1</v>
      </c>
      <c r="G1666" s="585" t="s">
        <v>231</v>
      </c>
      <c r="H1666" s="573" t="s">
        <v>1884</v>
      </c>
      <c r="I1666" s="696">
        <v>45.72</v>
      </c>
      <c r="J1666" s="573" t="s">
        <v>231</v>
      </c>
      <c r="K1666" s="587">
        <f>(F1666*I1666)</f>
        <v>45.72</v>
      </c>
      <c r="AE1666" s="592">
        <f t="shared" si="210"/>
        <v>0</v>
      </c>
    </row>
    <row r="1667" spans="6:31" ht="24" customHeight="1">
      <c r="F1667" s="587">
        <v>1</v>
      </c>
      <c r="G1667" s="585" t="s">
        <v>1885</v>
      </c>
      <c r="H1667" s="573" t="s">
        <v>1886</v>
      </c>
      <c r="I1667" s="696">
        <v>5</v>
      </c>
      <c r="J1667" s="573" t="s">
        <v>1885</v>
      </c>
      <c r="K1667" s="587">
        <f>(F1667*I1667)</f>
        <v>5</v>
      </c>
      <c r="AE1667" s="592">
        <f t="shared" si="210"/>
        <v>0</v>
      </c>
    </row>
    <row r="1668" spans="6:31" ht="24" customHeight="1">
      <c r="G1668" s="585" t="s">
        <v>129</v>
      </c>
      <c r="H1668" s="573" t="s">
        <v>1887</v>
      </c>
      <c r="J1668" s="573" t="s">
        <v>129</v>
      </c>
      <c r="K1668" s="587">
        <v>7.28</v>
      </c>
      <c r="AE1668" s="592">
        <f t="shared" si="210"/>
        <v>0</v>
      </c>
    </row>
    <row r="1669" spans="6:31" ht="24" customHeight="1">
      <c r="K1669" s="582" t="s">
        <v>117</v>
      </c>
      <c r="AE1669" s="592">
        <f t="shared" si="210"/>
        <v>0</v>
      </c>
    </row>
    <row r="1670" spans="6:31" ht="24" customHeight="1">
      <c r="H1670" s="574" t="s">
        <v>1888</v>
      </c>
      <c r="K1670" s="587">
        <f>SUM(K1666:K1668)</f>
        <v>58</v>
      </c>
      <c r="AE1670" s="592">
        <f t="shared" si="210"/>
        <v>0</v>
      </c>
    </row>
    <row r="1671" spans="6:31" ht="24" customHeight="1">
      <c r="K1671" s="582" t="s">
        <v>155</v>
      </c>
      <c r="AE1671" s="592">
        <f t="shared" si="210"/>
        <v>0</v>
      </c>
    </row>
    <row r="1672" spans="6:31" ht="24" customHeight="1">
      <c r="F1672" s="574" t="s">
        <v>1889</v>
      </c>
      <c r="G1672" s="585" t="s">
        <v>122</v>
      </c>
      <c r="H1672" s="573" t="s">
        <v>1890</v>
      </c>
      <c r="AE1672" s="592">
        <f t="shared" si="210"/>
        <v>0</v>
      </c>
    </row>
    <row r="1673" spans="6:31" ht="24" customHeight="1">
      <c r="H1673" s="573" t="s">
        <v>1891</v>
      </c>
      <c r="AE1673" s="592">
        <f t="shared" si="210"/>
        <v>0</v>
      </c>
    </row>
    <row r="1674" spans="6:31" ht="24" customHeight="1">
      <c r="H1674" s="573" t="s">
        <v>1892</v>
      </c>
      <c r="AE1674" s="592">
        <f t="shared" si="210"/>
        <v>0</v>
      </c>
    </row>
    <row r="1675" spans="6:31" ht="24" customHeight="1">
      <c r="H1675" s="573" t="s">
        <v>1893</v>
      </c>
      <c r="AE1675" s="592">
        <f t="shared" si="210"/>
        <v>0</v>
      </c>
    </row>
    <row r="1676" spans="6:31" ht="24" customHeight="1">
      <c r="H1676" s="573" t="s">
        <v>1894</v>
      </c>
      <c r="AE1676" s="592">
        <f t="shared" si="210"/>
        <v>0</v>
      </c>
    </row>
    <row r="1677" spans="6:31" ht="24" customHeight="1">
      <c r="H1677" s="582" t="s">
        <v>117</v>
      </c>
      <c r="I1677" s="582" t="s">
        <v>117</v>
      </c>
      <c r="AE1677" s="592">
        <f t="shared" si="210"/>
        <v>0</v>
      </c>
    </row>
    <row r="1678" spans="6:31" ht="24" customHeight="1">
      <c r="F1678" s="587">
        <v>1</v>
      </c>
      <c r="G1678" s="585" t="s">
        <v>1895</v>
      </c>
      <c r="H1678" s="573" t="s">
        <v>1896</v>
      </c>
      <c r="I1678" s="696">
        <v>85</v>
      </c>
      <c r="J1678" s="573" t="s">
        <v>227</v>
      </c>
      <c r="K1678" s="587">
        <f>(F1678*I1678)</f>
        <v>85</v>
      </c>
      <c r="AE1678" s="592">
        <f t="shared" si="210"/>
        <v>0</v>
      </c>
    </row>
    <row r="1679" spans="6:31" ht="24" customHeight="1">
      <c r="G1679" s="585" t="s">
        <v>129</v>
      </c>
      <c r="H1679" s="573" t="s">
        <v>1897</v>
      </c>
      <c r="J1679" s="573" t="s">
        <v>129</v>
      </c>
      <c r="K1679" s="587">
        <v>7.5</v>
      </c>
      <c r="AE1679" s="592">
        <f t="shared" si="210"/>
        <v>0</v>
      </c>
    </row>
    <row r="1680" spans="6:31" ht="24" customHeight="1">
      <c r="G1680" s="585" t="s">
        <v>129</v>
      </c>
      <c r="H1680" s="573" t="s">
        <v>1898</v>
      </c>
      <c r="J1680" s="573" t="s">
        <v>129</v>
      </c>
      <c r="K1680" s="587">
        <f>1.75+0.75</f>
        <v>2.5</v>
      </c>
      <c r="AE1680" s="592">
        <f t="shared" si="210"/>
        <v>0</v>
      </c>
    </row>
    <row r="1681" spans="6:31" ht="24" customHeight="1">
      <c r="H1681" s="573" t="s">
        <v>1899</v>
      </c>
      <c r="K1681" s="582" t="s">
        <v>117</v>
      </c>
      <c r="AE1681" s="592">
        <f t="shared" si="210"/>
        <v>0</v>
      </c>
    </row>
    <row r="1682" spans="6:31" ht="24" customHeight="1">
      <c r="H1682" s="574" t="s">
        <v>1888</v>
      </c>
      <c r="K1682" s="587">
        <f>SUM(K1678:K1680)</f>
        <v>95</v>
      </c>
      <c r="AE1682" s="592">
        <f t="shared" si="210"/>
        <v>0</v>
      </c>
    </row>
    <row r="1683" spans="6:31" ht="24" customHeight="1">
      <c r="K1683" s="582" t="s">
        <v>155</v>
      </c>
      <c r="AE1683" s="592">
        <f t="shared" si="210"/>
        <v>0</v>
      </c>
    </row>
    <row r="1684" spans="6:31" ht="24" customHeight="1">
      <c r="F1684" s="574" t="s">
        <v>1900</v>
      </c>
      <c r="G1684" s="585" t="s">
        <v>122</v>
      </c>
      <c r="H1684" s="573" t="s">
        <v>1901</v>
      </c>
      <c r="AE1684" s="592">
        <f t="shared" si="210"/>
        <v>0</v>
      </c>
    </row>
    <row r="1685" spans="6:31" ht="24" customHeight="1">
      <c r="H1685" s="573" t="s">
        <v>1902</v>
      </c>
      <c r="K1685" s="573" t="s">
        <v>115</v>
      </c>
      <c r="AE1685" s="592">
        <f t="shared" si="210"/>
        <v>0</v>
      </c>
    </row>
    <row r="1686" spans="6:31" ht="24" customHeight="1">
      <c r="H1686" s="582" t="s">
        <v>117</v>
      </c>
      <c r="AE1686" s="592">
        <f t="shared" si="210"/>
        <v>0</v>
      </c>
    </row>
    <row r="1687" spans="6:31" ht="24" customHeight="1">
      <c r="F1687" s="587">
        <v>1</v>
      </c>
      <c r="G1687" s="585" t="s">
        <v>1895</v>
      </c>
      <c r="H1687" s="573" t="s">
        <v>1903</v>
      </c>
      <c r="I1687" s="696">
        <v>50</v>
      </c>
      <c r="J1687" s="573" t="s">
        <v>227</v>
      </c>
      <c r="K1687" s="587">
        <f>(F1687*I1687)</f>
        <v>50</v>
      </c>
      <c r="AE1687" s="592">
        <f t="shared" si="210"/>
        <v>0</v>
      </c>
    </row>
    <row r="1688" spans="6:31" ht="24" customHeight="1">
      <c r="G1688" s="585" t="s">
        <v>129</v>
      </c>
      <c r="H1688" s="573" t="s">
        <v>1904</v>
      </c>
      <c r="J1688" s="573" t="s">
        <v>129</v>
      </c>
      <c r="K1688" s="587">
        <v>5</v>
      </c>
      <c r="AE1688" s="592">
        <f t="shared" si="210"/>
        <v>0</v>
      </c>
    </row>
    <row r="1689" spans="6:31" ht="24" customHeight="1">
      <c r="K1689" s="582" t="s">
        <v>117</v>
      </c>
      <c r="AE1689" s="592">
        <f t="shared" si="210"/>
        <v>0</v>
      </c>
    </row>
    <row r="1690" spans="6:31" ht="24" customHeight="1">
      <c r="H1690" s="574" t="s">
        <v>1905</v>
      </c>
      <c r="K1690" s="587">
        <f>SUM(K1686:K1688)</f>
        <v>55</v>
      </c>
      <c r="AE1690" s="592">
        <f t="shared" si="210"/>
        <v>0</v>
      </c>
    </row>
    <row r="1691" spans="6:31" ht="24" customHeight="1">
      <c r="K1691" s="582" t="s">
        <v>155</v>
      </c>
      <c r="AE1691" s="592">
        <f t="shared" si="210"/>
        <v>0</v>
      </c>
    </row>
    <row r="1692" spans="6:31" ht="24" customHeight="1">
      <c r="F1692" s="574" t="s">
        <v>1906</v>
      </c>
      <c r="G1692" s="585" t="s">
        <v>122</v>
      </c>
      <c r="H1692" s="573" t="s">
        <v>1907</v>
      </c>
      <c r="AE1692" s="592">
        <f t="shared" si="210"/>
        <v>0</v>
      </c>
    </row>
    <row r="1693" spans="6:31" ht="24" customHeight="1">
      <c r="H1693" s="582" t="s">
        <v>117</v>
      </c>
      <c r="I1693" s="582" t="s">
        <v>117</v>
      </c>
      <c r="AE1693" s="592">
        <f t="shared" si="210"/>
        <v>0</v>
      </c>
    </row>
    <row r="1694" spans="6:31" ht="24" customHeight="1">
      <c r="F1694" s="587">
        <v>1</v>
      </c>
      <c r="G1694" s="585" t="s">
        <v>1895</v>
      </c>
      <c r="H1694" s="573" t="s">
        <v>1908</v>
      </c>
      <c r="I1694" s="696">
        <v>1.2</v>
      </c>
      <c r="J1694" s="573" t="s">
        <v>227</v>
      </c>
      <c r="K1694" s="587">
        <f>(F1694*I1694)</f>
        <v>1.2</v>
      </c>
      <c r="AE1694" s="592">
        <f t="shared" si="210"/>
        <v>0</v>
      </c>
    </row>
    <row r="1695" spans="6:31" ht="24" customHeight="1">
      <c r="G1695" s="585" t="s">
        <v>129</v>
      </c>
      <c r="H1695" s="573" t="s">
        <v>1904</v>
      </c>
      <c r="J1695" s="573" t="s">
        <v>129</v>
      </c>
      <c r="K1695" s="587">
        <f>K1694*0.25</f>
        <v>0.3</v>
      </c>
      <c r="AE1695" s="592">
        <f t="shared" si="210"/>
        <v>0</v>
      </c>
    </row>
    <row r="1696" spans="6:31" ht="24" customHeight="1">
      <c r="K1696" s="582" t="s">
        <v>117</v>
      </c>
    </row>
    <row r="1697" spans="6:11" ht="24" customHeight="1">
      <c r="H1697" s="574" t="s">
        <v>1905</v>
      </c>
      <c r="K1697" s="587">
        <f>SUM(K1692:K1695)</f>
        <v>1.5</v>
      </c>
    </row>
    <row r="1698" spans="6:11" ht="24" customHeight="1">
      <c r="F1698" s="573" t="s">
        <v>115</v>
      </c>
      <c r="K1698" s="582" t="s">
        <v>117</v>
      </c>
    </row>
    <row r="1699" spans="6:11" ht="24" customHeight="1">
      <c r="F1699" s="620">
        <v>50.1</v>
      </c>
      <c r="G1699" s="585" t="s">
        <v>122</v>
      </c>
      <c r="H1699" s="573" t="s">
        <v>1909</v>
      </c>
    </row>
    <row r="1700" spans="6:11" ht="24" customHeight="1">
      <c r="H1700" s="573" t="s">
        <v>1910</v>
      </c>
    </row>
    <row r="1701" spans="6:11" ht="24" customHeight="1">
      <c r="H1701" s="573" t="s">
        <v>1911</v>
      </c>
    </row>
    <row r="1702" spans="6:11" ht="24" customHeight="1">
      <c r="H1702" s="573" t="s">
        <v>1912</v>
      </c>
    </row>
    <row r="1703" spans="6:11" ht="24" customHeight="1">
      <c r="H1703" s="573" t="s">
        <v>1913</v>
      </c>
    </row>
    <row r="1704" spans="6:11" ht="24" customHeight="1">
      <c r="H1704" s="582" t="s">
        <v>117</v>
      </c>
      <c r="I1704" s="582" t="s">
        <v>117</v>
      </c>
    </row>
    <row r="1705" spans="6:11" ht="24" customHeight="1">
      <c r="F1705" s="587">
        <v>9</v>
      </c>
      <c r="G1705" s="585" t="s">
        <v>429</v>
      </c>
      <c r="H1705" s="573" t="s">
        <v>1914</v>
      </c>
      <c r="I1705" s="587">
        <f>C73</f>
        <v>1644.69</v>
      </c>
      <c r="J1705" s="573" t="s">
        <v>429</v>
      </c>
      <c r="K1705" s="587">
        <f>(F1705*I1705)</f>
        <v>14802.210000000001</v>
      </c>
    </row>
    <row r="1706" spans="6:11" ht="24" customHeight="1">
      <c r="F1706" s="587">
        <v>4.5</v>
      </c>
      <c r="G1706" s="585" t="s">
        <v>429</v>
      </c>
      <c r="H1706" s="573" t="s">
        <v>1915</v>
      </c>
      <c r="I1706" s="587">
        <f>K32</f>
        <v>4193.8</v>
      </c>
      <c r="J1706" s="573" t="s">
        <v>429</v>
      </c>
      <c r="K1706" s="587">
        <f>(F1706*I1706)</f>
        <v>18872.100000000002</v>
      </c>
    </row>
    <row r="1707" spans="6:11" ht="24" customHeight="1">
      <c r="F1707" s="587">
        <v>1.8</v>
      </c>
      <c r="G1707" s="585" t="s">
        <v>233</v>
      </c>
      <c r="H1707" s="573" t="s">
        <v>1916</v>
      </c>
      <c r="I1707" s="587">
        <f>C11</f>
        <v>718</v>
      </c>
      <c r="J1707" s="573" t="s">
        <v>227</v>
      </c>
      <c r="K1707" s="587">
        <f>(F1707*I1707)</f>
        <v>1292.4000000000001</v>
      </c>
    </row>
    <row r="1708" spans="6:11" ht="24" customHeight="1">
      <c r="F1708" s="587">
        <v>17.7</v>
      </c>
      <c r="G1708" s="585" t="s">
        <v>233</v>
      </c>
      <c r="H1708" s="573" t="s">
        <v>956</v>
      </c>
      <c r="I1708" s="587">
        <f>C12</f>
        <v>502</v>
      </c>
      <c r="J1708" s="573" t="s">
        <v>227</v>
      </c>
      <c r="K1708" s="587">
        <f>(F1708*I1708)</f>
        <v>8885.4</v>
      </c>
    </row>
    <row r="1709" spans="6:11" ht="24" customHeight="1">
      <c r="F1709" s="587">
        <v>14.1</v>
      </c>
      <c r="G1709" s="585" t="s">
        <v>233</v>
      </c>
      <c r="H1709" s="573" t="s">
        <v>1809</v>
      </c>
      <c r="I1709" s="587">
        <f>C13</f>
        <v>412</v>
      </c>
      <c r="J1709" s="573" t="s">
        <v>227</v>
      </c>
      <c r="K1709" s="587">
        <f>(F1709*I1709)</f>
        <v>5809.2</v>
      </c>
    </row>
    <row r="1710" spans="6:11" ht="24" customHeight="1">
      <c r="K1710" s="582" t="s">
        <v>117</v>
      </c>
    </row>
    <row r="1711" spans="6:11" ht="24" customHeight="1">
      <c r="H1711" s="574" t="s">
        <v>1917</v>
      </c>
      <c r="K1711" s="587">
        <f>SUM(K1705:K1709)</f>
        <v>49661.310000000005</v>
      </c>
    </row>
    <row r="1712" spans="6:11" ht="24" customHeight="1">
      <c r="K1712" s="582" t="s">
        <v>117</v>
      </c>
    </row>
    <row r="1713" spans="6:11" ht="24" customHeight="1">
      <c r="H1713" s="574" t="s">
        <v>1918</v>
      </c>
      <c r="K1713" s="586">
        <f>(K1711/10)</f>
        <v>4966.1310000000003</v>
      </c>
    </row>
    <row r="1714" spans="6:11" ht="24" customHeight="1">
      <c r="K1714" s="582" t="s">
        <v>155</v>
      </c>
    </row>
    <row r="1716" spans="6:11" ht="24" customHeight="1">
      <c r="G1716" s="585" t="s">
        <v>558</v>
      </c>
      <c r="H1716" s="573" t="s">
        <v>1919</v>
      </c>
    </row>
    <row r="1717" spans="6:11" ht="24" customHeight="1">
      <c r="H1717" s="573" t="s">
        <v>1920</v>
      </c>
    </row>
    <row r="1718" spans="6:11" ht="24" customHeight="1">
      <c r="H1718" s="582" t="s">
        <v>117</v>
      </c>
      <c r="I1718" s="582" t="s">
        <v>117</v>
      </c>
    </row>
    <row r="1720" spans="6:11" ht="24" customHeight="1">
      <c r="F1720" s="617">
        <v>0.314</v>
      </c>
      <c r="G1720" s="585" t="s">
        <v>429</v>
      </c>
      <c r="H1720" s="573" t="s">
        <v>1921</v>
      </c>
      <c r="I1720" s="587">
        <f>K1713</f>
        <v>4966.1310000000003</v>
      </c>
      <c r="J1720" s="573" t="s">
        <v>429</v>
      </c>
      <c r="K1720" s="587">
        <f>(F1720*I1720)</f>
        <v>1559.3651340000001</v>
      </c>
    </row>
    <row r="1721" spans="6:11" ht="24" customHeight="1">
      <c r="F1721" s="587">
        <v>18</v>
      </c>
      <c r="G1721" s="585" t="s">
        <v>233</v>
      </c>
      <c r="H1721" s="621" t="s">
        <v>1922</v>
      </c>
      <c r="I1721" s="680">
        <v>41.87</v>
      </c>
      <c r="J1721" s="573" t="s">
        <v>227</v>
      </c>
      <c r="K1721" s="587">
        <f>(F1721*I1721)</f>
        <v>753.66</v>
      </c>
    </row>
    <row r="1722" spans="6:11" ht="24" customHeight="1">
      <c r="F1722" s="587">
        <v>18</v>
      </c>
      <c r="G1722" s="585" t="s">
        <v>233</v>
      </c>
      <c r="H1722" s="573" t="s">
        <v>1923</v>
      </c>
      <c r="I1722" s="587">
        <v>1</v>
      </c>
      <c r="J1722" s="573" t="s">
        <v>227</v>
      </c>
      <c r="K1722" s="587">
        <f>(F1722*I1722)</f>
        <v>18</v>
      </c>
    </row>
    <row r="1723" spans="6:11" ht="24" customHeight="1">
      <c r="F1723" s="587">
        <v>18</v>
      </c>
      <c r="G1723" s="585" t="s">
        <v>233</v>
      </c>
      <c r="H1723" s="573" t="s">
        <v>1924</v>
      </c>
      <c r="I1723" s="587">
        <v>2</v>
      </c>
      <c r="J1723" s="573" t="s">
        <v>227</v>
      </c>
      <c r="K1723" s="587">
        <f>(F1723*I1723)</f>
        <v>36</v>
      </c>
    </row>
    <row r="1724" spans="6:11" ht="24" customHeight="1">
      <c r="K1724" s="582" t="s">
        <v>117</v>
      </c>
    </row>
    <row r="1725" spans="6:11" ht="24" customHeight="1">
      <c r="H1725" s="574" t="s">
        <v>1925</v>
      </c>
      <c r="K1725" s="587">
        <f>SUM(K1719:K1723)</f>
        <v>2367.025134</v>
      </c>
    </row>
    <row r="1726" spans="6:11" ht="24" customHeight="1">
      <c r="K1726" s="582" t="s">
        <v>117</v>
      </c>
    </row>
    <row r="1727" spans="6:11" ht="24" customHeight="1">
      <c r="H1727" s="574" t="s">
        <v>1926</v>
      </c>
      <c r="K1727" s="586">
        <f>(K1725/6.28)</f>
        <v>376.91483025477703</v>
      </c>
    </row>
    <row r="1728" spans="6:11" ht="24" customHeight="1">
      <c r="K1728" s="582" t="s">
        <v>155</v>
      </c>
    </row>
    <row r="1729" spans="6:11" ht="24" customHeight="1">
      <c r="F1729" s="573" t="s">
        <v>115</v>
      </c>
      <c r="H1729" s="573" t="s">
        <v>1927</v>
      </c>
    </row>
    <row r="1730" spans="6:11" ht="24" customHeight="1">
      <c r="H1730" s="582" t="s">
        <v>117</v>
      </c>
    </row>
    <row r="1731" spans="6:11" ht="24" customHeight="1">
      <c r="F1731" s="617">
        <v>0.01</v>
      </c>
      <c r="G1731" s="585" t="s">
        <v>429</v>
      </c>
      <c r="H1731" s="573" t="s">
        <v>1921</v>
      </c>
      <c r="I1731" s="587">
        <f>K1713</f>
        <v>4966.1310000000003</v>
      </c>
      <c r="J1731" s="573" t="s">
        <v>429</v>
      </c>
      <c r="K1731" s="587">
        <f>ROUND(F1731*I1731,2)</f>
        <v>49.66</v>
      </c>
    </row>
    <row r="1732" spans="6:11" ht="24" customHeight="1">
      <c r="F1732" s="587">
        <v>0.01</v>
      </c>
      <c r="G1732" s="585" t="s">
        <v>642</v>
      </c>
      <c r="H1732" s="573" t="s">
        <v>1928</v>
      </c>
      <c r="I1732" s="685" t="s">
        <v>166</v>
      </c>
      <c r="K1732" s="587">
        <v>1.2</v>
      </c>
    </row>
    <row r="1733" spans="6:11" ht="24" customHeight="1">
      <c r="I1733" s="661"/>
      <c r="K1733" s="582" t="s">
        <v>117</v>
      </c>
    </row>
    <row r="1734" spans="6:11" ht="24" customHeight="1">
      <c r="H1734" s="574" t="s">
        <v>1929</v>
      </c>
      <c r="K1734" s="587">
        <f>SUM(K1728:K1732)</f>
        <v>50.86</v>
      </c>
    </row>
    <row r="1735" spans="6:11" ht="24" customHeight="1">
      <c r="K1735" s="582" t="s">
        <v>117</v>
      </c>
    </row>
    <row r="1736" spans="6:11" ht="24" customHeight="1">
      <c r="H1736" s="574" t="s">
        <v>1930</v>
      </c>
      <c r="K1736" s="587">
        <f>K1734/0.01</f>
        <v>5086</v>
      </c>
    </row>
    <row r="1737" spans="6:11" ht="24" customHeight="1">
      <c r="K1737" s="582" t="s">
        <v>155</v>
      </c>
    </row>
    <row r="1738" spans="6:11" ht="24" customHeight="1">
      <c r="F1738" s="574" t="s">
        <v>1931</v>
      </c>
      <c r="G1738" s="585" t="s">
        <v>558</v>
      </c>
      <c r="H1738" s="573" t="s">
        <v>1919</v>
      </c>
    </row>
    <row r="1739" spans="6:11" ht="24" customHeight="1">
      <c r="H1739" s="577" t="s">
        <v>1932</v>
      </c>
    </row>
    <row r="1740" spans="6:11" ht="24" customHeight="1">
      <c r="H1740" s="582" t="s">
        <v>117</v>
      </c>
      <c r="I1740" s="582" t="s">
        <v>117</v>
      </c>
    </row>
    <row r="1741" spans="6:11" ht="24" customHeight="1">
      <c r="F1741" s="617">
        <v>0.40500000000000003</v>
      </c>
      <c r="G1741" s="585" t="s">
        <v>429</v>
      </c>
      <c r="H1741" s="573" t="s">
        <v>1921</v>
      </c>
      <c r="I1741" s="587">
        <f>K1736</f>
        <v>5086</v>
      </c>
      <c r="J1741" s="573" t="s">
        <v>429</v>
      </c>
      <c r="K1741" s="587">
        <f>(F1741*I1741)</f>
        <v>2059.83</v>
      </c>
    </row>
    <row r="1742" spans="6:11" ht="24" customHeight="1">
      <c r="F1742" s="573" t="s">
        <v>115</v>
      </c>
      <c r="G1742" s="585" t="s">
        <v>115</v>
      </c>
      <c r="H1742" s="573" t="s">
        <v>1933</v>
      </c>
      <c r="I1742" s="685" t="s">
        <v>166</v>
      </c>
      <c r="K1742" s="573" t="s">
        <v>115</v>
      </c>
    </row>
    <row r="1743" spans="6:11" ht="24" customHeight="1">
      <c r="K1743" s="582" t="s">
        <v>117</v>
      </c>
    </row>
    <row r="1744" spans="6:11" ht="24" customHeight="1">
      <c r="H1744" s="574" t="s">
        <v>1934</v>
      </c>
      <c r="K1744" s="587">
        <f>SUM(K1738:K1742)</f>
        <v>2059.83</v>
      </c>
    </row>
    <row r="1745" spans="6:11" ht="24" customHeight="1">
      <c r="K1745" s="582" t="s">
        <v>117</v>
      </c>
    </row>
    <row r="1746" spans="6:11" ht="24" customHeight="1">
      <c r="H1746" s="574" t="s">
        <v>1935</v>
      </c>
      <c r="K1746" s="586">
        <f>K1744/9</f>
        <v>228.87</v>
      </c>
    </row>
    <row r="1747" spans="6:11" ht="24" customHeight="1">
      <c r="K1747" s="582" t="s">
        <v>155</v>
      </c>
    </row>
    <row r="1748" spans="6:11" ht="24" customHeight="1">
      <c r="F1748" s="574" t="s">
        <v>1936</v>
      </c>
      <c r="H1748" s="573" t="s">
        <v>1937</v>
      </c>
    </row>
    <row r="1749" spans="6:11" ht="24" customHeight="1">
      <c r="H1749" s="582" t="s">
        <v>117</v>
      </c>
    </row>
    <row r="1750" spans="6:11" ht="24" customHeight="1">
      <c r="F1750" s="587">
        <v>4.32</v>
      </c>
      <c r="G1750" s="585" t="s">
        <v>126</v>
      </c>
      <c r="H1750" s="573" t="s">
        <v>1938</v>
      </c>
      <c r="I1750" s="587">
        <f>C61</f>
        <v>84</v>
      </c>
      <c r="J1750" s="573" t="s">
        <v>126</v>
      </c>
      <c r="K1750" s="587">
        <f t="shared" ref="K1750:K1757" si="211">(F1750*I1750)</f>
        <v>362.88</v>
      </c>
    </row>
    <row r="1751" spans="6:11" ht="24" customHeight="1">
      <c r="F1751" s="587">
        <v>1.44</v>
      </c>
      <c r="G1751" s="585" t="s">
        <v>126</v>
      </c>
      <c r="H1751" s="573" t="s">
        <v>1939</v>
      </c>
      <c r="I1751" s="696">
        <v>69.099999999999994</v>
      </c>
      <c r="J1751" s="573" t="s">
        <v>126</v>
      </c>
      <c r="K1751" s="587">
        <f t="shared" si="211"/>
        <v>99.503999999999991</v>
      </c>
    </row>
    <row r="1752" spans="6:11" ht="24" customHeight="1">
      <c r="F1752" s="587">
        <v>1.44</v>
      </c>
      <c r="G1752" s="585" t="s">
        <v>126</v>
      </c>
      <c r="H1752" s="573" t="s">
        <v>1940</v>
      </c>
      <c r="I1752" s="587">
        <f>C35</f>
        <v>456.69</v>
      </c>
      <c r="J1752" s="573" t="s">
        <v>126</v>
      </c>
      <c r="K1752" s="587">
        <f t="shared" si="211"/>
        <v>657.6336</v>
      </c>
    </row>
    <row r="1753" spans="6:11" ht="24" customHeight="1">
      <c r="F1753" s="587">
        <v>1.44</v>
      </c>
      <c r="G1753" s="585" t="s">
        <v>126</v>
      </c>
      <c r="H1753" s="573" t="s">
        <v>1941</v>
      </c>
      <c r="I1753" s="587">
        <f>C78</f>
        <v>1322.8</v>
      </c>
      <c r="J1753" s="573" t="s">
        <v>126</v>
      </c>
      <c r="K1753" s="587">
        <f t="shared" si="211"/>
        <v>1904.8319999999999</v>
      </c>
    </row>
    <row r="1754" spans="6:11" ht="24" customHeight="1">
      <c r="F1754" s="587">
        <v>2.88</v>
      </c>
      <c r="G1754" s="585" t="s">
        <v>126</v>
      </c>
      <c r="H1754" s="573" t="s">
        <v>1942</v>
      </c>
      <c r="I1754" s="680">
        <v>10</v>
      </c>
      <c r="J1754" s="573" t="s">
        <v>126</v>
      </c>
      <c r="K1754" s="587">
        <f t="shared" si="211"/>
        <v>28.799999999999997</v>
      </c>
    </row>
    <row r="1755" spans="6:11" ht="24" customHeight="1">
      <c r="F1755" s="587">
        <v>20</v>
      </c>
      <c r="G1755" s="585" t="s">
        <v>188</v>
      </c>
      <c r="H1755" s="573" t="s">
        <v>1943</v>
      </c>
      <c r="I1755" s="696">
        <v>46.1</v>
      </c>
      <c r="J1755" s="573" t="s">
        <v>188</v>
      </c>
      <c r="K1755" s="587">
        <f t="shared" si="211"/>
        <v>922</v>
      </c>
    </row>
    <row r="1756" spans="6:11" ht="24" customHeight="1">
      <c r="F1756" s="587">
        <v>42</v>
      </c>
      <c r="G1756" s="585" t="s">
        <v>1944</v>
      </c>
      <c r="H1756" s="573" t="s">
        <v>1945</v>
      </c>
      <c r="I1756" s="592">
        <v>17.5</v>
      </c>
      <c r="J1756" s="573" t="s">
        <v>1944</v>
      </c>
      <c r="K1756" s="587">
        <f t="shared" si="211"/>
        <v>735</v>
      </c>
    </row>
    <row r="1757" spans="6:11" ht="24" customHeight="1">
      <c r="F1757" s="587">
        <v>4.32</v>
      </c>
      <c r="G1757" s="585" t="s">
        <v>126</v>
      </c>
      <c r="H1757" s="573" t="s">
        <v>1946</v>
      </c>
      <c r="I1757" s="587">
        <f>C26</f>
        <v>29.3</v>
      </c>
      <c r="J1757" s="573" t="s">
        <v>126</v>
      </c>
      <c r="K1757" s="587">
        <f t="shared" si="211"/>
        <v>126.57600000000001</v>
      </c>
    </row>
    <row r="1758" spans="6:11" ht="24" customHeight="1">
      <c r="F1758" s="574" t="s">
        <v>1947</v>
      </c>
      <c r="H1758" s="573" t="s">
        <v>1948</v>
      </c>
      <c r="K1758" s="587">
        <v>2000</v>
      </c>
    </row>
    <row r="1759" spans="6:11" ht="24" customHeight="1">
      <c r="K1759" s="582" t="s">
        <v>117</v>
      </c>
    </row>
    <row r="1760" spans="6:11" ht="24" customHeight="1">
      <c r="H1760" s="573" t="s">
        <v>1949</v>
      </c>
      <c r="K1760" s="587">
        <f>SUM(K1750:K1758)</f>
        <v>6837.2256000000007</v>
      </c>
    </row>
    <row r="1761" spans="6:12" ht="24" customHeight="1">
      <c r="K1761" s="582" t="s">
        <v>117</v>
      </c>
    </row>
    <row r="1762" spans="6:12" ht="24" customHeight="1">
      <c r="H1762" s="573" t="s">
        <v>1950</v>
      </c>
      <c r="K1762" s="586">
        <f>K1760/20</f>
        <v>341.86128000000002</v>
      </c>
    </row>
    <row r="1763" spans="6:12" ht="24" customHeight="1">
      <c r="K1763" s="582" t="s">
        <v>155</v>
      </c>
    </row>
    <row r="1765" spans="6:12" ht="24" customHeight="1">
      <c r="F1765" s="574" t="s">
        <v>1951</v>
      </c>
      <c r="H1765" s="573" t="s">
        <v>1952</v>
      </c>
    </row>
    <row r="1766" spans="6:12" ht="24" customHeight="1">
      <c r="H1766" s="582" t="s">
        <v>117</v>
      </c>
    </row>
    <row r="1767" spans="6:12" ht="24" customHeight="1">
      <c r="F1767" s="587">
        <v>0.1</v>
      </c>
      <c r="G1767" s="585" t="s">
        <v>126</v>
      </c>
      <c r="H1767" s="573" t="s">
        <v>1938</v>
      </c>
      <c r="I1767" s="587">
        <f>K90</f>
        <v>168</v>
      </c>
      <c r="J1767" s="573" t="s">
        <v>126</v>
      </c>
      <c r="K1767" s="587">
        <f t="shared" ref="K1767:K1772" si="212">(F1767*I1767)</f>
        <v>16.8</v>
      </c>
    </row>
    <row r="1768" spans="6:12" ht="24" customHeight="1">
      <c r="F1768" s="587">
        <v>6.3</v>
      </c>
      <c r="G1768" s="585" t="s">
        <v>1944</v>
      </c>
      <c r="H1768" s="573" t="s">
        <v>1953</v>
      </c>
      <c r="I1768" s="592">
        <v>34.6</v>
      </c>
      <c r="J1768" s="573" t="s">
        <v>1944</v>
      </c>
      <c r="K1768" s="587">
        <f t="shared" si="212"/>
        <v>217.98</v>
      </c>
    </row>
    <row r="1769" spans="6:12" ht="24" customHeight="1">
      <c r="F1769" s="587">
        <v>6.3</v>
      </c>
      <c r="G1769" s="585" t="s">
        <v>1944</v>
      </c>
      <c r="H1769" s="573" t="s">
        <v>1954</v>
      </c>
      <c r="I1769" s="629">
        <f>I1756</f>
        <v>17.5</v>
      </c>
      <c r="J1769" s="573" t="s">
        <v>1944</v>
      </c>
      <c r="K1769" s="587">
        <f t="shared" si="212"/>
        <v>110.25</v>
      </c>
    </row>
    <row r="1770" spans="6:12" ht="24" customHeight="1">
      <c r="F1770" s="587">
        <v>3.15</v>
      </c>
      <c r="G1770" s="585" t="s">
        <v>110</v>
      </c>
      <c r="H1770" s="573" t="s">
        <v>1955</v>
      </c>
      <c r="I1770" s="587">
        <f>C198</f>
        <v>31.65</v>
      </c>
      <c r="J1770" s="573" t="s">
        <v>110</v>
      </c>
      <c r="K1770" s="587">
        <f t="shared" si="212"/>
        <v>99.697499999999991</v>
      </c>
      <c r="L1770" s="575" t="s">
        <v>1603</v>
      </c>
    </row>
    <row r="1771" spans="6:12" ht="24" customHeight="1">
      <c r="F1771" s="587">
        <v>0.25</v>
      </c>
      <c r="G1771" s="585" t="s">
        <v>1895</v>
      </c>
      <c r="H1771" s="573" t="s">
        <v>1956</v>
      </c>
      <c r="I1771" s="587">
        <f>D16</f>
        <v>718</v>
      </c>
      <c r="J1771" s="573" t="s">
        <v>1895</v>
      </c>
      <c r="K1771" s="587">
        <f t="shared" si="212"/>
        <v>179.5</v>
      </c>
    </row>
    <row r="1772" spans="6:12" ht="24" customHeight="1">
      <c r="F1772" s="587">
        <v>0.2</v>
      </c>
      <c r="G1772" s="585" t="s">
        <v>1895</v>
      </c>
      <c r="H1772" s="573" t="s">
        <v>1957</v>
      </c>
      <c r="I1772" s="587">
        <f>AE38</f>
        <v>667</v>
      </c>
      <c r="J1772" s="573" t="s">
        <v>1895</v>
      </c>
      <c r="K1772" s="587">
        <f t="shared" si="212"/>
        <v>133.4</v>
      </c>
    </row>
    <row r="1773" spans="6:12" ht="24" customHeight="1">
      <c r="H1773" s="573" t="s">
        <v>1958</v>
      </c>
      <c r="I1773" s="573" t="s">
        <v>115</v>
      </c>
      <c r="J1773" s="573" t="s">
        <v>115</v>
      </c>
      <c r="K1773" s="587">
        <v>0</v>
      </c>
    </row>
    <row r="1774" spans="6:12" ht="24" customHeight="1">
      <c r="J1774" s="573" t="s">
        <v>115</v>
      </c>
      <c r="K1774" s="582" t="s">
        <v>117</v>
      </c>
    </row>
    <row r="1775" spans="6:12" ht="24" customHeight="1">
      <c r="F1775" s="573" t="s">
        <v>115</v>
      </c>
      <c r="G1775" s="585" t="s">
        <v>115</v>
      </c>
      <c r="H1775" s="573" t="s">
        <v>1950</v>
      </c>
      <c r="K1775" s="586">
        <f>SUM(K1767:K1774)</f>
        <v>757.62749999999994</v>
      </c>
    </row>
    <row r="1776" spans="6:12" ht="24" customHeight="1">
      <c r="H1776" s="573" t="s">
        <v>115</v>
      </c>
      <c r="K1776" s="582" t="s">
        <v>117</v>
      </c>
    </row>
    <row r="1777" spans="6:11" ht="24" customHeight="1">
      <c r="K1777" s="582"/>
    </row>
    <row r="1778" spans="6:11" ht="24" customHeight="1">
      <c r="F1778" s="574" t="s">
        <v>1959</v>
      </c>
      <c r="H1778" s="573" t="s">
        <v>1960</v>
      </c>
    </row>
    <row r="1779" spans="6:11" ht="24" customHeight="1">
      <c r="H1779" s="582" t="s">
        <v>117</v>
      </c>
    </row>
    <row r="1780" spans="6:11" ht="24" customHeight="1">
      <c r="F1780" s="652">
        <v>0.48599999999999999</v>
      </c>
      <c r="G1780" s="585" t="s">
        <v>642</v>
      </c>
      <c r="H1780" s="573" t="s">
        <v>1938</v>
      </c>
      <c r="I1780" s="587">
        <f>C61</f>
        <v>84</v>
      </c>
      <c r="J1780" s="573" t="s">
        <v>642</v>
      </c>
      <c r="K1780" s="587">
        <f t="shared" ref="K1780:K1786" si="213">(F1780*I1780)</f>
        <v>40.823999999999998</v>
      </c>
    </row>
    <row r="1781" spans="6:11" ht="24" customHeight="1">
      <c r="F1781" s="652">
        <v>0.48599999999999999</v>
      </c>
      <c r="G1781" s="585" t="s">
        <v>642</v>
      </c>
      <c r="H1781" s="573" t="s">
        <v>1961</v>
      </c>
      <c r="I1781" s="587">
        <f>K204</f>
        <v>4110.4110000000001</v>
      </c>
      <c r="J1781" s="573" t="s">
        <v>642</v>
      </c>
      <c r="K1781" s="587">
        <f t="shared" si="213"/>
        <v>1997.659746</v>
      </c>
    </row>
    <row r="1782" spans="6:11" ht="24" customHeight="1">
      <c r="F1782" s="587">
        <v>81.75</v>
      </c>
      <c r="G1782" s="585" t="s">
        <v>1962</v>
      </c>
      <c r="H1782" s="573" t="s">
        <v>1963</v>
      </c>
      <c r="I1782" s="587">
        <f>I745</f>
        <v>41.2</v>
      </c>
      <c r="J1782" s="573" t="s">
        <v>1962</v>
      </c>
      <c r="K1782" s="587">
        <f t="shared" si="213"/>
        <v>3368.1000000000004</v>
      </c>
    </row>
    <row r="1783" spans="6:11" ht="24" customHeight="1">
      <c r="F1783" s="587">
        <v>7.2</v>
      </c>
      <c r="G1783" s="585" t="s">
        <v>1962</v>
      </c>
      <c r="H1783" s="573" t="s">
        <v>1964</v>
      </c>
      <c r="I1783" s="587">
        <f>I745</f>
        <v>41.2</v>
      </c>
      <c r="J1783" s="573" t="s">
        <v>1962</v>
      </c>
      <c r="K1783" s="587">
        <f t="shared" si="213"/>
        <v>296.64000000000004</v>
      </c>
    </row>
    <row r="1784" spans="6:11" ht="24" customHeight="1">
      <c r="F1784" s="587">
        <v>43.68</v>
      </c>
      <c r="G1784" s="585" t="s">
        <v>1962</v>
      </c>
      <c r="H1784" s="573" t="s">
        <v>1965</v>
      </c>
      <c r="I1784" s="587">
        <f>I743</f>
        <v>41.2</v>
      </c>
      <c r="J1784" s="573" t="s">
        <v>1962</v>
      </c>
      <c r="K1784" s="587">
        <f t="shared" si="213"/>
        <v>1799.6160000000002</v>
      </c>
    </row>
    <row r="1785" spans="6:11" ht="24" customHeight="1">
      <c r="F1785" s="587">
        <v>132.63</v>
      </c>
      <c r="G1785" s="585" t="s">
        <v>1962</v>
      </c>
      <c r="H1785" s="573" t="s">
        <v>1966</v>
      </c>
      <c r="I1785" s="587">
        <f>C37</f>
        <v>41.6</v>
      </c>
      <c r="J1785" s="573" t="s">
        <v>1962</v>
      </c>
      <c r="K1785" s="587">
        <f t="shared" si="213"/>
        <v>5517.4080000000004</v>
      </c>
    </row>
    <row r="1786" spans="6:11" ht="24" customHeight="1">
      <c r="F1786" s="587">
        <v>2.2000000000000002</v>
      </c>
      <c r="G1786" s="585" t="s">
        <v>110</v>
      </c>
      <c r="H1786" s="573" t="s">
        <v>1967</v>
      </c>
      <c r="I1786" s="680">
        <v>970</v>
      </c>
      <c r="J1786" s="573" t="s">
        <v>110</v>
      </c>
      <c r="K1786" s="587">
        <f t="shared" si="213"/>
        <v>2134</v>
      </c>
    </row>
    <row r="1787" spans="6:11" ht="24" customHeight="1">
      <c r="F1787" s="685" t="s">
        <v>166</v>
      </c>
      <c r="H1787" s="573" t="s">
        <v>1968</v>
      </c>
      <c r="I1787" s="685" t="s">
        <v>166</v>
      </c>
      <c r="K1787" s="587">
        <v>250</v>
      </c>
    </row>
    <row r="1788" spans="6:11" ht="24" customHeight="1">
      <c r="F1788" s="685" t="s">
        <v>166</v>
      </c>
      <c r="H1788" s="573" t="s">
        <v>1969</v>
      </c>
      <c r="I1788" s="685" t="s">
        <v>166</v>
      </c>
      <c r="K1788" s="587">
        <v>20.47</v>
      </c>
    </row>
    <row r="1789" spans="6:11" ht="24" customHeight="1">
      <c r="K1789" s="582" t="s">
        <v>117</v>
      </c>
    </row>
    <row r="1790" spans="6:11" ht="24" customHeight="1">
      <c r="K1790" s="587">
        <f>SUM(K1780:K1789)</f>
        <v>15424.717746</v>
      </c>
    </row>
    <row r="1791" spans="6:11" ht="24" customHeight="1">
      <c r="K1791" s="582" t="s">
        <v>117</v>
      </c>
    </row>
    <row r="1792" spans="6:11" ht="24" customHeight="1">
      <c r="K1792" s="582"/>
    </row>
    <row r="1793" spans="6:11" ht="24" customHeight="1">
      <c r="F1793" s="607">
        <v>86</v>
      </c>
      <c r="H1793" s="573" t="s">
        <v>1970</v>
      </c>
      <c r="K1793" s="615">
        <f>C806</f>
        <v>33.9</v>
      </c>
    </row>
    <row r="1794" spans="6:11" ht="24" customHeight="1">
      <c r="F1794" s="620"/>
      <c r="H1794" s="573"/>
      <c r="K1794" s="587"/>
    </row>
    <row r="1795" spans="6:11" ht="24" customHeight="1">
      <c r="F1795" s="574" t="s">
        <v>1971</v>
      </c>
      <c r="H1795" s="573" t="s">
        <v>1972</v>
      </c>
      <c r="K1795" s="677">
        <v>8.6</v>
      </c>
    </row>
    <row r="1796" spans="6:11" ht="24" customHeight="1">
      <c r="H1796" s="573" t="s">
        <v>1973</v>
      </c>
      <c r="K1796" s="575">
        <f>700*K1795</f>
        <v>6020</v>
      </c>
    </row>
    <row r="1797" spans="6:11" ht="24" customHeight="1">
      <c r="F1797" s="573" t="s">
        <v>115</v>
      </c>
      <c r="H1797" s="573" t="s">
        <v>1974</v>
      </c>
      <c r="K1797" s="575">
        <f>200*K1795</f>
        <v>1720</v>
      </c>
    </row>
    <row r="1798" spans="6:11" ht="24" customHeight="1">
      <c r="F1798" s="620"/>
      <c r="G1798" s="585" t="s">
        <v>122</v>
      </c>
      <c r="H1798" s="573" t="s">
        <v>807</v>
      </c>
    </row>
    <row r="1799" spans="6:11" ht="24" customHeight="1">
      <c r="H1799" s="573" t="s">
        <v>1975</v>
      </c>
    </row>
    <row r="1800" spans="6:11" ht="24" customHeight="1">
      <c r="H1800" s="573" t="s">
        <v>873</v>
      </c>
    </row>
    <row r="1801" spans="6:11" ht="24" customHeight="1">
      <c r="H1801" s="582" t="s">
        <v>117</v>
      </c>
    </row>
    <row r="1802" spans="6:11" ht="24" customHeight="1">
      <c r="G1802" s="585" t="s">
        <v>1976</v>
      </c>
      <c r="H1802" s="573" t="s">
        <v>873</v>
      </c>
      <c r="K1802" s="573" t="s">
        <v>1977</v>
      </c>
    </row>
    <row r="1803" spans="6:11" ht="24" customHeight="1">
      <c r="H1803" s="582" t="s">
        <v>117</v>
      </c>
      <c r="K1803" s="582" t="s">
        <v>155</v>
      </c>
    </row>
    <row r="1804" spans="6:11" ht="24" customHeight="1">
      <c r="F1804" s="587">
        <v>30</v>
      </c>
      <c r="G1804" s="585" t="s">
        <v>203</v>
      </c>
      <c r="H1804" s="573" t="s">
        <v>879</v>
      </c>
      <c r="I1804" s="587">
        <v>9.1199999999999992</v>
      </c>
      <c r="J1804" s="573" t="s">
        <v>203</v>
      </c>
      <c r="K1804" s="587">
        <f>(F1804*I1804)</f>
        <v>273.59999999999997</v>
      </c>
    </row>
    <row r="1805" spans="6:11" ht="24" customHeight="1">
      <c r="F1805" s="573" t="s">
        <v>115</v>
      </c>
      <c r="H1805" s="573" t="s">
        <v>882</v>
      </c>
      <c r="I1805" s="573" t="s">
        <v>115</v>
      </c>
      <c r="K1805" s="573" t="s">
        <v>115</v>
      </c>
    </row>
    <row r="1806" spans="6:11" ht="24" customHeight="1">
      <c r="F1806" s="587">
        <v>8</v>
      </c>
      <c r="G1806" s="585" t="s">
        <v>209</v>
      </c>
      <c r="H1806" s="573" t="s">
        <v>823</v>
      </c>
      <c r="I1806" s="587">
        <f>(C663)</f>
        <v>7.1</v>
      </c>
      <c r="J1806" s="573" t="s">
        <v>209</v>
      </c>
      <c r="K1806" s="587">
        <f t="shared" ref="K1806:K1812" si="214">(F1806*I1806)</f>
        <v>56.8</v>
      </c>
    </row>
    <row r="1807" spans="6:11" ht="24" customHeight="1">
      <c r="F1807" s="587">
        <v>8</v>
      </c>
      <c r="G1807" s="585" t="s">
        <v>209</v>
      </c>
      <c r="H1807" s="573" t="s">
        <v>826</v>
      </c>
      <c r="I1807" s="587">
        <f>(C672)</f>
        <v>10</v>
      </c>
      <c r="J1807" s="573" t="s">
        <v>209</v>
      </c>
      <c r="K1807" s="587">
        <f t="shared" si="214"/>
        <v>80</v>
      </c>
    </row>
    <row r="1808" spans="6:11" ht="24" customHeight="1">
      <c r="F1808" s="587">
        <v>3</v>
      </c>
      <c r="G1808" s="585" t="s">
        <v>209</v>
      </c>
      <c r="H1808" s="573" t="s">
        <v>887</v>
      </c>
      <c r="I1808" s="587">
        <f>(C41)</f>
        <v>569</v>
      </c>
      <c r="J1808" s="573" t="s">
        <v>209</v>
      </c>
      <c r="K1808" s="587">
        <f t="shared" si="214"/>
        <v>1707</v>
      </c>
    </row>
    <row r="1809" spans="6:11" ht="24" customHeight="1">
      <c r="F1809" s="587">
        <v>1</v>
      </c>
      <c r="G1809" s="585" t="s">
        <v>209</v>
      </c>
      <c r="H1809" s="573" t="s">
        <v>1978</v>
      </c>
      <c r="I1809" s="587">
        <f>(C10)</f>
        <v>769</v>
      </c>
      <c r="J1809" s="573" t="s">
        <v>209</v>
      </c>
      <c r="K1809" s="587">
        <f t="shared" si="214"/>
        <v>769</v>
      </c>
    </row>
    <row r="1810" spans="6:11" ht="24" customHeight="1">
      <c r="F1810" s="587">
        <v>2</v>
      </c>
      <c r="G1810" s="585" t="s">
        <v>209</v>
      </c>
      <c r="H1810" s="573" t="s">
        <v>146</v>
      </c>
      <c r="I1810" s="587">
        <f>(C12)</f>
        <v>502</v>
      </c>
      <c r="J1810" s="573" t="s">
        <v>209</v>
      </c>
      <c r="K1810" s="587">
        <f t="shared" si="214"/>
        <v>1004</v>
      </c>
    </row>
    <row r="1811" spans="6:11" ht="24" customHeight="1">
      <c r="F1811" s="587">
        <v>1</v>
      </c>
      <c r="G1811" s="585" t="s">
        <v>209</v>
      </c>
      <c r="H1811" s="573" t="s">
        <v>147</v>
      </c>
      <c r="I1811" s="587">
        <f>(C13)</f>
        <v>412</v>
      </c>
      <c r="J1811" s="573" t="s">
        <v>209</v>
      </c>
      <c r="K1811" s="587">
        <f t="shared" si="214"/>
        <v>412</v>
      </c>
    </row>
    <row r="1812" spans="6:11" ht="24" customHeight="1">
      <c r="F1812" s="587">
        <v>1</v>
      </c>
      <c r="G1812" s="585" t="s">
        <v>209</v>
      </c>
      <c r="H1812" s="573" t="s">
        <v>1979</v>
      </c>
      <c r="I1812" s="573">
        <v>5</v>
      </c>
      <c r="J1812" s="573" t="s">
        <v>227</v>
      </c>
      <c r="K1812" s="587">
        <f t="shared" si="214"/>
        <v>5</v>
      </c>
    </row>
    <row r="1813" spans="6:11" ht="24" customHeight="1">
      <c r="H1813" s="573" t="s">
        <v>1980</v>
      </c>
      <c r="I1813" s="573" t="s">
        <v>115</v>
      </c>
      <c r="K1813" s="573" t="s">
        <v>115</v>
      </c>
    </row>
    <row r="1814" spans="6:11" ht="24" customHeight="1">
      <c r="G1814" s="585" t="s">
        <v>129</v>
      </c>
      <c r="H1814" s="573" t="s">
        <v>130</v>
      </c>
      <c r="J1814" s="573" t="s">
        <v>129</v>
      </c>
      <c r="K1814" s="587">
        <v>0</v>
      </c>
    </row>
    <row r="1815" spans="6:11" ht="24" customHeight="1">
      <c r="K1815" s="582" t="s">
        <v>117</v>
      </c>
    </row>
    <row r="1816" spans="6:11" ht="24" customHeight="1">
      <c r="H1816" s="573" t="s">
        <v>893</v>
      </c>
      <c r="K1816" s="587">
        <f>SUM(K1804:K1814)</f>
        <v>4307.3999999999996</v>
      </c>
    </row>
    <row r="1817" spans="6:11" ht="24" customHeight="1">
      <c r="K1817" s="582" t="s">
        <v>117</v>
      </c>
    </row>
    <row r="1818" spans="6:11" ht="24" customHeight="1">
      <c r="H1818" s="573" t="s">
        <v>216</v>
      </c>
      <c r="K1818" s="587">
        <f>(K1816/30)</f>
        <v>143.57999999999998</v>
      </c>
    </row>
    <row r="1819" spans="6:11" ht="24" customHeight="1">
      <c r="K1819" s="582" t="s">
        <v>117</v>
      </c>
    </row>
    <row r="1820" spans="6:11" ht="24" customHeight="1">
      <c r="G1820" s="585" t="s">
        <v>1225</v>
      </c>
      <c r="H1820" s="573" t="s">
        <v>873</v>
      </c>
      <c r="K1820" s="573" t="s">
        <v>1981</v>
      </c>
    </row>
    <row r="1821" spans="6:11" ht="24" customHeight="1">
      <c r="H1821" s="582" t="s">
        <v>117</v>
      </c>
      <c r="K1821" s="582" t="s">
        <v>155</v>
      </c>
    </row>
    <row r="1822" spans="6:11" ht="24" customHeight="1">
      <c r="F1822" s="587">
        <v>30</v>
      </c>
      <c r="G1822" s="585" t="s">
        <v>203</v>
      </c>
      <c r="H1822" s="573" t="s">
        <v>879</v>
      </c>
      <c r="I1822" s="587">
        <v>9.1199999999999992</v>
      </c>
      <c r="J1822" s="573" t="s">
        <v>203</v>
      </c>
      <c r="K1822" s="587">
        <f>(F1822*I1822)</f>
        <v>273.59999999999997</v>
      </c>
    </row>
    <row r="1823" spans="6:11" ht="24" customHeight="1">
      <c r="F1823" s="573" t="s">
        <v>115</v>
      </c>
      <c r="H1823" s="573" t="s">
        <v>882</v>
      </c>
      <c r="I1823" s="573" t="s">
        <v>115</v>
      </c>
      <c r="K1823" s="573" t="s">
        <v>115</v>
      </c>
    </row>
    <row r="1824" spans="6:11" ht="24" customHeight="1">
      <c r="F1824" s="587">
        <v>8</v>
      </c>
      <c r="G1824" s="585" t="s">
        <v>209</v>
      </c>
      <c r="H1824" s="573" t="s">
        <v>823</v>
      </c>
      <c r="I1824" s="587">
        <f>(C663)</f>
        <v>7.1</v>
      </c>
      <c r="J1824" s="573" t="s">
        <v>209</v>
      </c>
      <c r="K1824" s="587">
        <f t="shared" ref="K1824:K1830" si="215">(F1824*I1824)</f>
        <v>56.8</v>
      </c>
    </row>
    <row r="1825" spans="6:11" ht="24" customHeight="1">
      <c r="F1825" s="587">
        <v>8</v>
      </c>
      <c r="G1825" s="585" t="s">
        <v>209</v>
      </c>
      <c r="H1825" s="573" t="s">
        <v>826</v>
      </c>
      <c r="I1825" s="587">
        <f>D672</f>
        <v>10.199999999999999</v>
      </c>
      <c r="J1825" s="573" t="s">
        <v>209</v>
      </c>
      <c r="K1825" s="587">
        <f t="shared" si="215"/>
        <v>81.599999999999994</v>
      </c>
    </row>
    <row r="1826" spans="6:11" ht="24" customHeight="1">
      <c r="F1826" s="587">
        <v>3</v>
      </c>
      <c r="G1826" s="585" t="s">
        <v>209</v>
      </c>
      <c r="H1826" s="573" t="s">
        <v>887</v>
      </c>
      <c r="I1826" s="587">
        <f>(C41)</f>
        <v>569</v>
      </c>
      <c r="J1826" s="573" t="s">
        <v>209</v>
      </c>
      <c r="K1826" s="587">
        <f t="shared" si="215"/>
        <v>1707</v>
      </c>
    </row>
    <row r="1827" spans="6:11" ht="24" customHeight="1">
      <c r="F1827" s="587">
        <v>1</v>
      </c>
      <c r="G1827" s="585" t="s">
        <v>209</v>
      </c>
      <c r="H1827" s="573" t="s">
        <v>1978</v>
      </c>
      <c r="I1827" s="587">
        <f>(C10)</f>
        <v>769</v>
      </c>
      <c r="J1827" s="573" t="s">
        <v>209</v>
      </c>
      <c r="K1827" s="587">
        <f t="shared" si="215"/>
        <v>769</v>
      </c>
    </row>
    <row r="1828" spans="6:11" ht="24" customHeight="1">
      <c r="F1828" s="587">
        <v>2</v>
      </c>
      <c r="G1828" s="585" t="s">
        <v>209</v>
      </c>
      <c r="H1828" s="573" t="s">
        <v>146</v>
      </c>
      <c r="I1828" s="587">
        <f>(C12)</f>
        <v>502</v>
      </c>
      <c r="J1828" s="573" t="s">
        <v>209</v>
      </c>
      <c r="K1828" s="587">
        <f t="shared" si="215"/>
        <v>1004</v>
      </c>
    </row>
    <row r="1829" spans="6:11" ht="24" customHeight="1">
      <c r="F1829" s="587">
        <v>1</v>
      </c>
      <c r="G1829" s="585" t="s">
        <v>209</v>
      </c>
      <c r="H1829" s="573" t="s">
        <v>147</v>
      </c>
      <c r="I1829" s="587">
        <f>(C13)</f>
        <v>412</v>
      </c>
      <c r="J1829" s="573" t="s">
        <v>209</v>
      </c>
      <c r="K1829" s="587">
        <f t="shared" si="215"/>
        <v>412</v>
      </c>
    </row>
    <row r="1830" spans="6:11" ht="24" customHeight="1">
      <c r="F1830" s="587">
        <v>1</v>
      </c>
      <c r="G1830" s="585" t="s">
        <v>209</v>
      </c>
      <c r="H1830" s="573" t="s">
        <v>1979</v>
      </c>
      <c r="I1830" s="573">
        <v>3</v>
      </c>
      <c r="J1830" s="573" t="s">
        <v>209</v>
      </c>
      <c r="K1830" s="587">
        <f t="shared" si="215"/>
        <v>3</v>
      </c>
    </row>
    <row r="1831" spans="6:11" ht="24" customHeight="1">
      <c r="H1831" s="573" t="s">
        <v>1980</v>
      </c>
      <c r="I1831" s="573" t="s">
        <v>115</v>
      </c>
      <c r="K1831" s="573" t="s">
        <v>115</v>
      </c>
    </row>
    <row r="1832" spans="6:11" ht="24" customHeight="1">
      <c r="G1832" s="585" t="s">
        <v>129</v>
      </c>
      <c r="H1832" s="573" t="s">
        <v>130</v>
      </c>
      <c r="J1832" s="573" t="s">
        <v>129</v>
      </c>
      <c r="K1832" s="587">
        <v>0</v>
      </c>
    </row>
    <row r="1833" spans="6:11" ht="24" customHeight="1">
      <c r="K1833" s="582" t="s">
        <v>117</v>
      </c>
    </row>
    <row r="1834" spans="6:11" ht="24" customHeight="1">
      <c r="H1834" s="573" t="s">
        <v>893</v>
      </c>
      <c r="K1834" s="587">
        <f>SUM(K1822:K1832)</f>
        <v>4307</v>
      </c>
    </row>
    <row r="1835" spans="6:11" ht="24" customHeight="1">
      <c r="K1835" s="582" t="s">
        <v>117</v>
      </c>
    </row>
    <row r="1836" spans="6:11" ht="24" customHeight="1">
      <c r="H1836" s="573" t="s">
        <v>216</v>
      </c>
      <c r="K1836" s="587">
        <f>(K1834/30)</f>
        <v>143.56666666666666</v>
      </c>
    </row>
    <row r="1837" spans="6:11" ht="24" customHeight="1">
      <c r="K1837" s="582" t="s">
        <v>117</v>
      </c>
    </row>
    <row r="1838" spans="6:11" ht="24" customHeight="1">
      <c r="G1838" s="585" t="s">
        <v>1196</v>
      </c>
      <c r="H1838" s="573" t="s">
        <v>873</v>
      </c>
      <c r="K1838" s="573" t="s">
        <v>1982</v>
      </c>
    </row>
    <row r="1839" spans="6:11" ht="24" customHeight="1">
      <c r="H1839" s="582" t="s">
        <v>117</v>
      </c>
      <c r="K1839" s="582" t="s">
        <v>155</v>
      </c>
    </row>
    <row r="1840" spans="6:11" ht="24" customHeight="1">
      <c r="F1840" s="587">
        <v>30</v>
      </c>
      <c r="G1840" s="585" t="s">
        <v>203</v>
      </c>
      <c r="H1840" s="573" t="s">
        <v>879</v>
      </c>
      <c r="I1840" s="587">
        <v>9.1199999999999992</v>
      </c>
      <c r="J1840" s="573" t="s">
        <v>203</v>
      </c>
      <c r="K1840" s="587">
        <f>(F1840*I1840)</f>
        <v>273.59999999999997</v>
      </c>
    </row>
    <row r="1841" spans="6:18" ht="24" customHeight="1">
      <c r="F1841" s="573" t="s">
        <v>115</v>
      </c>
      <c r="H1841" s="573" t="s">
        <v>882</v>
      </c>
      <c r="I1841" s="573" t="s">
        <v>115</v>
      </c>
      <c r="K1841" s="573" t="s">
        <v>115</v>
      </c>
    </row>
    <row r="1842" spans="6:18" ht="24" customHeight="1">
      <c r="F1842" s="587">
        <v>8</v>
      </c>
      <c r="G1842" s="585" t="s">
        <v>209</v>
      </c>
      <c r="H1842" s="573" t="s">
        <v>823</v>
      </c>
      <c r="I1842" s="587">
        <f>D663</f>
        <v>8.5</v>
      </c>
      <c r="J1842" s="573" t="s">
        <v>209</v>
      </c>
      <c r="K1842" s="587">
        <f t="shared" ref="K1842:K1848" si="216">(F1842*I1842)</f>
        <v>68</v>
      </c>
    </row>
    <row r="1843" spans="6:18" ht="24" customHeight="1">
      <c r="F1843" s="587">
        <v>8</v>
      </c>
      <c r="G1843" s="585" t="s">
        <v>209</v>
      </c>
      <c r="H1843" s="573" t="s">
        <v>826</v>
      </c>
      <c r="I1843" s="587">
        <f>C677</f>
        <v>21.1</v>
      </c>
      <c r="J1843" s="573" t="s">
        <v>209</v>
      </c>
      <c r="K1843" s="587">
        <f t="shared" si="216"/>
        <v>168.8</v>
      </c>
    </row>
    <row r="1844" spans="6:18" ht="24" customHeight="1">
      <c r="F1844" s="587">
        <v>3</v>
      </c>
      <c r="G1844" s="585" t="s">
        <v>209</v>
      </c>
      <c r="H1844" s="573" t="s">
        <v>887</v>
      </c>
      <c r="I1844" s="587">
        <f>(C41)</f>
        <v>569</v>
      </c>
      <c r="J1844" s="573" t="s">
        <v>209</v>
      </c>
      <c r="K1844" s="587">
        <f t="shared" si="216"/>
        <v>1707</v>
      </c>
    </row>
    <row r="1845" spans="6:18" ht="24" customHeight="1">
      <c r="F1845" s="587">
        <v>1</v>
      </c>
      <c r="G1845" s="585" t="s">
        <v>209</v>
      </c>
      <c r="H1845" s="573" t="s">
        <v>1978</v>
      </c>
      <c r="I1845" s="587">
        <f>(C10)</f>
        <v>769</v>
      </c>
      <c r="J1845" s="573" t="s">
        <v>209</v>
      </c>
      <c r="K1845" s="587">
        <f t="shared" si="216"/>
        <v>769</v>
      </c>
    </row>
    <row r="1846" spans="6:18" ht="24" customHeight="1">
      <c r="F1846" s="587">
        <v>2</v>
      </c>
      <c r="G1846" s="585" t="s">
        <v>209</v>
      </c>
      <c r="H1846" s="573" t="s">
        <v>146</v>
      </c>
      <c r="I1846" s="587">
        <f>(C12)</f>
        <v>502</v>
      </c>
      <c r="J1846" s="573" t="s">
        <v>209</v>
      </c>
      <c r="K1846" s="587">
        <f t="shared" si="216"/>
        <v>1004</v>
      </c>
    </row>
    <row r="1847" spans="6:18" ht="24" customHeight="1">
      <c r="F1847" s="587">
        <v>1</v>
      </c>
      <c r="G1847" s="585" t="s">
        <v>209</v>
      </c>
      <c r="H1847" s="573" t="s">
        <v>147</v>
      </c>
      <c r="I1847" s="587">
        <f>(C13)</f>
        <v>412</v>
      </c>
      <c r="J1847" s="573" t="s">
        <v>209</v>
      </c>
      <c r="K1847" s="587">
        <f t="shared" si="216"/>
        <v>412</v>
      </c>
    </row>
    <row r="1848" spans="6:18" ht="24" customHeight="1">
      <c r="F1848" s="587">
        <v>1</v>
      </c>
      <c r="G1848" s="585" t="s">
        <v>209</v>
      </c>
      <c r="H1848" s="573" t="s">
        <v>1979</v>
      </c>
      <c r="I1848" s="573">
        <v>5</v>
      </c>
      <c r="J1848" s="573" t="s">
        <v>209</v>
      </c>
      <c r="K1848" s="587">
        <f t="shared" si="216"/>
        <v>5</v>
      </c>
    </row>
    <row r="1849" spans="6:18" ht="24" customHeight="1">
      <c r="H1849" s="573" t="s">
        <v>1980</v>
      </c>
      <c r="I1849" s="573" t="s">
        <v>115</v>
      </c>
      <c r="K1849" s="573" t="s">
        <v>115</v>
      </c>
    </row>
    <row r="1850" spans="6:18" ht="24" customHeight="1">
      <c r="G1850" s="585" t="s">
        <v>129</v>
      </c>
      <c r="H1850" s="573" t="s">
        <v>130</v>
      </c>
      <c r="J1850" s="573" t="s">
        <v>129</v>
      </c>
      <c r="K1850" s="587">
        <v>0</v>
      </c>
    </row>
    <row r="1851" spans="6:18" ht="24" customHeight="1">
      <c r="K1851" s="582" t="s">
        <v>117</v>
      </c>
    </row>
    <row r="1852" spans="6:18" ht="24" customHeight="1">
      <c r="H1852" s="573" t="s">
        <v>893</v>
      </c>
      <c r="K1852" s="587">
        <f>SUM(K1840:K1850)</f>
        <v>4407.3999999999996</v>
      </c>
    </row>
    <row r="1853" spans="6:18" ht="24" customHeight="1">
      <c r="K1853" s="582" t="s">
        <v>117</v>
      </c>
    </row>
    <row r="1854" spans="6:18" ht="24" customHeight="1">
      <c r="H1854" s="573" t="s">
        <v>216</v>
      </c>
      <c r="K1854" s="587">
        <f>(K1852/30)</f>
        <v>146.91333333333333</v>
      </c>
      <c r="N1854" s="585" t="s">
        <v>1196</v>
      </c>
      <c r="O1854" s="573" t="s">
        <v>873</v>
      </c>
      <c r="Q1854" s="578"/>
      <c r="R1854" s="573" t="s">
        <v>1983</v>
      </c>
    </row>
    <row r="1855" spans="6:18" ht="24" customHeight="1">
      <c r="K1855" s="582" t="s">
        <v>117</v>
      </c>
      <c r="N1855" s="576"/>
      <c r="O1855" s="582" t="s">
        <v>117</v>
      </c>
      <c r="Q1855" s="578"/>
      <c r="R1855" s="582" t="s">
        <v>155</v>
      </c>
    </row>
    <row r="1856" spans="6:18" ht="24" customHeight="1">
      <c r="M1856" s="587">
        <v>30</v>
      </c>
      <c r="N1856" s="585" t="s">
        <v>203</v>
      </c>
      <c r="O1856" s="573" t="s">
        <v>879</v>
      </c>
      <c r="P1856" s="587">
        <f>I1840</f>
        <v>9.1199999999999992</v>
      </c>
      <c r="Q1856" s="573" t="s">
        <v>203</v>
      </c>
      <c r="R1856" s="587">
        <f>(M1856*P1856)</f>
        <v>273.59999999999997</v>
      </c>
    </row>
    <row r="1857" spans="6:18" ht="24" customHeight="1">
      <c r="F1857" s="822">
        <v>52</v>
      </c>
      <c r="G1857" s="585" t="s">
        <v>122</v>
      </c>
      <c r="H1857" s="573" t="s">
        <v>1984</v>
      </c>
      <c r="M1857" s="573" t="s">
        <v>115</v>
      </c>
      <c r="N1857" s="576"/>
      <c r="O1857" s="573" t="s">
        <v>882</v>
      </c>
      <c r="P1857" s="587" t="str">
        <f t="shared" ref="P1857:P1866" si="217">I1841</f>
        <v/>
      </c>
      <c r="Q1857" s="578"/>
      <c r="R1857" s="573" t="s">
        <v>115</v>
      </c>
    </row>
    <row r="1858" spans="6:18" ht="24" customHeight="1">
      <c r="H1858" s="573" t="s">
        <v>1985</v>
      </c>
      <c r="M1858" s="587">
        <v>8</v>
      </c>
      <c r="N1858" s="585" t="s">
        <v>209</v>
      </c>
      <c r="O1858" s="641" t="s">
        <v>1986</v>
      </c>
      <c r="P1858" s="592">
        <v>10.199999999999999</v>
      </c>
      <c r="Q1858" s="573" t="s">
        <v>209</v>
      </c>
      <c r="R1858" s="587">
        <f t="shared" ref="R1858:R1863" si="218">(M1858*P1858)</f>
        <v>81.599999999999994</v>
      </c>
    </row>
    <row r="1859" spans="6:18" ht="24" customHeight="1">
      <c r="H1859" s="573" t="s">
        <v>1987</v>
      </c>
      <c r="M1859" s="587">
        <v>8</v>
      </c>
      <c r="N1859" s="585" t="s">
        <v>209</v>
      </c>
      <c r="O1859" s="641" t="s">
        <v>1988</v>
      </c>
      <c r="P1859" s="592">
        <v>28.5</v>
      </c>
      <c r="Q1859" s="573" t="s">
        <v>209</v>
      </c>
      <c r="R1859" s="587">
        <f t="shared" si="218"/>
        <v>228</v>
      </c>
    </row>
    <row r="1860" spans="6:18" ht="24" customHeight="1">
      <c r="H1860" s="573" t="s">
        <v>1989</v>
      </c>
      <c r="M1860" s="587">
        <v>3</v>
      </c>
      <c r="N1860" s="585" t="s">
        <v>209</v>
      </c>
      <c r="O1860" s="573" t="s">
        <v>887</v>
      </c>
      <c r="P1860" s="587">
        <f t="shared" si="217"/>
        <v>569</v>
      </c>
      <c r="Q1860" s="573" t="s">
        <v>209</v>
      </c>
      <c r="R1860" s="587">
        <f t="shared" si="218"/>
        <v>1707</v>
      </c>
    </row>
    <row r="1861" spans="6:18" ht="24" customHeight="1">
      <c r="H1861" s="573" t="s">
        <v>1990</v>
      </c>
      <c r="M1861" s="587">
        <v>1</v>
      </c>
      <c r="N1861" s="585" t="s">
        <v>209</v>
      </c>
      <c r="O1861" s="573" t="s">
        <v>1978</v>
      </c>
      <c r="P1861" s="587">
        <f t="shared" si="217"/>
        <v>769</v>
      </c>
      <c r="Q1861" s="573" t="s">
        <v>209</v>
      </c>
      <c r="R1861" s="587">
        <f t="shared" si="218"/>
        <v>769</v>
      </c>
    </row>
    <row r="1862" spans="6:18" ht="24" customHeight="1">
      <c r="H1862" s="573" t="s">
        <v>1991</v>
      </c>
      <c r="M1862" s="587">
        <v>2</v>
      </c>
      <c r="N1862" s="585" t="s">
        <v>209</v>
      </c>
      <c r="O1862" s="573" t="s">
        <v>146</v>
      </c>
      <c r="P1862" s="587">
        <f t="shared" si="217"/>
        <v>502</v>
      </c>
      <c r="Q1862" s="573" t="s">
        <v>209</v>
      </c>
      <c r="R1862" s="587">
        <f t="shared" si="218"/>
        <v>1004</v>
      </c>
    </row>
    <row r="1863" spans="6:18" ht="24" customHeight="1">
      <c r="H1863" s="573" t="s">
        <v>1992</v>
      </c>
      <c r="M1863" s="587">
        <v>1</v>
      </c>
      <c r="N1863" s="585" t="s">
        <v>209</v>
      </c>
      <c r="O1863" s="573" t="s">
        <v>147</v>
      </c>
      <c r="P1863" s="587">
        <f t="shared" si="217"/>
        <v>412</v>
      </c>
      <c r="Q1863" s="573" t="s">
        <v>209</v>
      </c>
      <c r="R1863" s="587">
        <f t="shared" si="218"/>
        <v>412</v>
      </c>
    </row>
    <row r="1864" spans="6:18" ht="24" customHeight="1">
      <c r="H1864" s="573" t="s">
        <v>1993</v>
      </c>
      <c r="N1864" s="585" t="s">
        <v>129</v>
      </c>
      <c r="O1864" s="573" t="s">
        <v>1979</v>
      </c>
      <c r="P1864" s="587">
        <f t="shared" si="217"/>
        <v>5</v>
      </c>
      <c r="Q1864" s="573" t="s">
        <v>129</v>
      </c>
      <c r="R1864" s="587">
        <v>5</v>
      </c>
    </row>
    <row r="1865" spans="6:18" ht="24" customHeight="1">
      <c r="H1865" s="582" t="s">
        <v>155</v>
      </c>
      <c r="I1865" s="582" t="s">
        <v>155</v>
      </c>
      <c r="N1865" s="576"/>
      <c r="O1865" s="573" t="s">
        <v>1980</v>
      </c>
      <c r="P1865" s="587" t="str">
        <f t="shared" si="217"/>
        <v/>
      </c>
      <c r="Q1865" s="578"/>
      <c r="R1865" s="573" t="s">
        <v>115</v>
      </c>
    </row>
    <row r="1866" spans="6:18" ht="24" customHeight="1">
      <c r="G1866" s="585" t="s">
        <v>122</v>
      </c>
      <c r="H1866" s="573" t="s">
        <v>1994</v>
      </c>
      <c r="N1866" s="585" t="s">
        <v>129</v>
      </c>
      <c r="O1866" s="573" t="s">
        <v>130</v>
      </c>
      <c r="P1866" s="587">
        <f t="shared" si="217"/>
        <v>0</v>
      </c>
      <c r="Q1866" s="573" t="s">
        <v>129</v>
      </c>
      <c r="R1866" s="587">
        <v>0</v>
      </c>
    </row>
    <row r="1867" spans="6:18" ht="24" customHeight="1">
      <c r="H1867" s="573" t="s">
        <v>1995</v>
      </c>
      <c r="N1867" s="576"/>
      <c r="Q1867" s="578"/>
      <c r="R1867" s="582" t="s">
        <v>117</v>
      </c>
    </row>
    <row r="1868" spans="6:18" ht="24" customHeight="1">
      <c r="G1868" s="585" t="s">
        <v>1258</v>
      </c>
      <c r="H1868" s="573" t="s">
        <v>1996</v>
      </c>
      <c r="N1868" s="576"/>
      <c r="O1868" s="573" t="s">
        <v>893</v>
      </c>
      <c r="Q1868" s="578"/>
      <c r="R1868" s="587">
        <f>SUM(R1856:R1866)</f>
        <v>4480.2</v>
      </c>
    </row>
    <row r="1869" spans="6:18" ht="24" customHeight="1">
      <c r="H1869" s="582" t="s">
        <v>117</v>
      </c>
      <c r="N1869" s="576"/>
      <c r="Q1869" s="578"/>
      <c r="R1869" s="582" t="s">
        <v>117</v>
      </c>
    </row>
    <row r="1870" spans="6:18" ht="24" customHeight="1">
      <c r="F1870" s="587">
        <v>1</v>
      </c>
      <c r="G1870" s="585" t="s">
        <v>231</v>
      </c>
      <c r="H1870" s="573" t="s">
        <v>1997</v>
      </c>
      <c r="I1870" s="587">
        <f>C517</f>
        <v>26</v>
      </c>
      <c r="J1870" s="573" t="s">
        <v>231</v>
      </c>
      <c r="K1870" s="587">
        <f>(F1870*I1870)</f>
        <v>26</v>
      </c>
      <c r="N1870" s="576"/>
      <c r="O1870" s="573" t="s">
        <v>216</v>
      </c>
      <c r="Q1870" s="578"/>
      <c r="R1870" s="587">
        <f>(R1868/30)</f>
        <v>149.34</v>
      </c>
    </row>
    <row r="1871" spans="6:18" ht="24" customHeight="1">
      <c r="F1871" s="587">
        <v>1</v>
      </c>
      <c r="G1871" s="585" t="s">
        <v>129</v>
      </c>
      <c r="H1871" s="573" t="s">
        <v>1998</v>
      </c>
      <c r="I1871" s="587">
        <f>I1870*0.7</f>
        <v>18.2</v>
      </c>
      <c r="J1871" s="573" t="s">
        <v>129</v>
      </c>
      <c r="K1871" s="587">
        <f>(F1871*I1871)</f>
        <v>18.2</v>
      </c>
      <c r="N1871" s="576"/>
      <c r="Q1871" s="578"/>
      <c r="R1871" s="582" t="s">
        <v>117</v>
      </c>
    </row>
    <row r="1872" spans="6:18" ht="24" customHeight="1">
      <c r="F1872" s="587">
        <v>1</v>
      </c>
      <c r="G1872" s="585" t="s">
        <v>231</v>
      </c>
      <c r="H1872" s="573" t="s">
        <v>1999</v>
      </c>
      <c r="I1872" s="587">
        <f>K1818</f>
        <v>143.57999999999998</v>
      </c>
      <c r="J1872" s="573" t="s">
        <v>231</v>
      </c>
      <c r="K1872" s="587">
        <f>(F1872*I1872)</f>
        <v>143.57999999999998</v>
      </c>
    </row>
    <row r="1873" spans="6:18" ht="24" customHeight="1">
      <c r="I1873" s="573" t="s">
        <v>115</v>
      </c>
      <c r="K1873" s="582" t="s">
        <v>117</v>
      </c>
    </row>
    <row r="1874" spans="6:18" ht="24" customHeight="1">
      <c r="H1874" s="573" t="s">
        <v>2000</v>
      </c>
      <c r="I1874" s="575" t="s">
        <v>3101</v>
      </c>
      <c r="K1874" s="586">
        <f>SUM(K1870:K1872)</f>
        <v>187.77999999999997</v>
      </c>
    </row>
    <row r="1875" spans="6:18" ht="24" customHeight="1">
      <c r="H1875" s="573" t="s">
        <v>115</v>
      </c>
      <c r="I1875" s="573" t="s">
        <v>115</v>
      </c>
      <c r="K1875" s="582" t="s">
        <v>155</v>
      </c>
      <c r="N1875" s="585" t="s">
        <v>1196</v>
      </c>
      <c r="O1875" s="573" t="s">
        <v>2001</v>
      </c>
      <c r="Q1875" s="578"/>
    </row>
    <row r="1876" spans="6:18" ht="24" customHeight="1">
      <c r="G1876" s="585" t="s">
        <v>1225</v>
      </c>
      <c r="H1876" s="573" t="s">
        <v>2002</v>
      </c>
      <c r="N1876" s="576"/>
      <c r="O1876" s="582" t="s">
        <v>117</v>
      </c>
      <c r="Q1876" s="578"/>
    </row>
    <row r="1877" spans="6:18" ht="24" customHeight="1">
      <c r="H1877" s="582" t="s">
        <v>117</v>
      </c>
      <c r="M1877" s="587">
        <v>1</v>
      </c>
      <c r="N1877" s="585" t="s">
        <v>231</v>
      </c>
      <c r="O1877" s="573" t="s">
        <v>2003</v>
      </c>
      <c r="P1877" s="587">
        <f>C520</f>
        <v>65</v>
      </c>
      <c r="Q1877" s="573" t="s">
        <v>231</v>
      </c>
      <c r="R1877" s="587">
        <f>(M1877*P1877)</f>
        <v>65</v>
      </c>
    </row>
    <row r="1878" spans="6:18" ht="24" customHeight="1">
      <c r="F1878" s="587">
        <v>1</v>
      </c>
      <c r="G1878" s="585" t="s">
        <v>231</v>
      </c>
      <c r="H1878" s="573" t="s">
        <v>2004</v>
      </c>
      <c r="I1878" s="587">
        <f>C518</f>
        <v>35</v>
      </c>
      <c r="J1878" s="573" t="s">
        <v>231</v>
      </c>
      <c r="K1878" s="587">
        <f>(F1878*I1878)</f>
        <v>35</v>
      </c>
      <c r="M1878" s="587">
        <v>1</v>
      </c>
      <c r="N1878" s="585" t="s">
        <v>129</v>
      </c>
      <c r="O1878" s="573" t="s">
        <v>2005</v>
      </c>
      <c r="P1878" s="587">
        <f>P1877*0.2</f>
        <v>13</v>
      </c>
      <c r="Q1878" s="573" t="s">
        <v>129</v>
      </c>
      <c r="R1878" s="587">
        <f>(M1878*P1878)</f>
        <v>13</v>
      </c>
    </row>
    <row r="1879" spans="6:18" ht="24" customHeight="1">
      <c r="F1879" s="587">
        <v>1</v>
      </c>
      <c r="G1879" s="585" t="s">
        <v>129</v>
      </c>
      <c r="H1879" s="573" t="s">
        <v>2006</v>
      </c>
      <c r="I1879" s="587">
        <f>I1878*0.4</f>
        <v>14</v>
      </c>
      <c r="J1879" s="573" t="s">
        <v>129</v>
      </c>
      <c r="K1879" s="587">
        <f>(F1879*I1879)</f>
        <v>14</v>
      </c>
      <c r="M1879" s="587">
        <v>1</v>
      </c>
      <c r="N1879" s="585" t="s">
        <v>231</v>
      </c>
      <c r="O1879" s="573" t="s">
        <v>1999</v>
      </c>
      <c r="P1879" s="587">
        <f>R1870</f>
        <v>149.34</v>
      </c>
      <c r="Q1879" s="573" t="s">
        <v>231</v>
      </c>
      <c r="R1879" s="587">
        <f>(M1879*P1879)</f>
        <v>149.34</v>
      </c>
    </row>
    <row r="1880" spans="6:18" ht="24" customHeight="1">
      <c r="F1880" s="587">
        <v>1</v>
      </c>
      <c r="G1880" s="585" t="s">
        <v>231</v>
      </c>
      <c r="H1880" s="573" t="s">
        <v>1999</v>
      </c>
      <c r="I1880" s="587">
        <f>K1836</f>
        <v>143.56666666666666</v>
      </c>
      <c r="J1880" s="573" t="s">
        <v>231</v>
      </c>
      <c r="K1880" s="587">
        <f>(F1880*I1880)</f>
        <v>143.56666666666666</v>
      </c>
      <c r="N1880" s="576"/>
      <c r="P1880" s="573" t="s">
        <v>115</v>
      </c>
      <c r="Q1880" s="578"/>
      <c r="R1880" s="582" t="s">
        <v>117</v>
      </c>
    </row>
    <row r="1881" spans="6:18" ht="24" customHeight="1">
      <c r="I1881" s="573" t="s">
        <v>115</v>
      </c>
      <c r="K1881" s="582" t="s">
        <v>117</v>
      </c>
      <c r="N1881" s="576"/>
      <c r="O1881" s="573" t="s">
        <v>2000</v>
      </c>
      <c r="Q1881" s="578"/>
      <c r="R1881" s="586">
        <f>SUM(R1877:R1879)</f>
        <v>227.34</v>
      </c>
    </row>
    <row r="1882" spans="6:18" ht="24" customHeight="1">
      <c r="H1882" s="573" t="s">
        <v>2000</v>
      </c>
      <c r="K1882" s="586">
        <f>SUM(K1878:K1880)</f>
        <v>192.56666666666666</v>
      </c>
      <c r="N1882" s="576"/>
      <c r="P1882" s="573" t="s">
        <v>115</v>
      </c>
      <c r="Q1882" s="578"/>
      <c r="R1882" s="582" t="s">
        <v>155</v>
      </c>
    </row>
    <row r="1883" spans="6:18" ht="24" customHeight="1">
      <c r="I1883" s="573" t="s">
        <v>115</v>
      </c>
      <c r="K1883" s="582" t="s">
        <v>155</v>
      </c>
    </row>
    <row r="1884" spans="6:18" ht="49.5" customHeight="1">
      <c r="G1884" s="585" t="s">
        <v>1196</v>
      </c>
      <c r="H1884" s="573" t="s">
        <v>2007</v>
      </c>
    </row>
    <row r="1885" spans="6:18" ht="24" customHeight="1">
      <c r="H1885" s="582" t="s">
        <v>117</v>
      </c>
      <c r="N1885" s="585" t="s">
        <v>1196</v>
      </c>
      <c r="O1885" s="573" t="s">
        <v>873</v>
      </c>
      <c r="Q1885" s="578"/>
      <c r="R1885" s="573" t="s">
        <v>2008</v>
      </c>
    </row>
    <row r="1886" spans="6:18" ht="24" customHeight="1">
      <c r="F1886" s="587">
        <v>1</v>
      </c>
      <c r="G1886" s="585" t="s">
        <v>231</v>
      </c>
      <c r="H1886" s="573" t="s">
        <v>2009</v>
      </c>
      <c r="I1886" s="587">
        <v>52</v>
      </c>
      <c r="J1886" s="573" t="s">
        <v>231</v>
      </c>
      <c r="K1886" s="587">
        <f>(F1886*I1886)</f>
        <v>52</v>
      </c>
      <c r="N1886" s="576"/>
      <c r="O1886" s="582" t="s">
        <v>117</v>
      </c>
      <c r="Q1886" s="578"/>
      <c r="R1886" s="582" t="s">
        <v>155</v>
      </c>
    </row>
    <row r="1887" spans="6:18" ht="24" customHeight="1">
      <c r="F1887" s="587">
        <v>1</v>
      </c>
      <c r="G1887" s="585" t="s">
        <v>129</v>
      </c>
      <c r="H1887" s="573" t="s">
        <v>2005</v>
      </c>
      <c r="I1887" s="587">
        <f>I1886*0.2</f>
        <v>10.4</v>
      </c>
      <c r="J1887" s="573" t="s">
        <v>129</v>
      </c>
      <c r="K1887" s="587">
        <f>(F1887*I1887)</f>
        <v>10.4</v>
      </c>
      <c r="M1887" s="587">
        <v>30</v>
      </c>
      <c r="N1887" s="585" t="s">
        <v>203</v>
      </c>
      <c r="O1887" s="573" t="s">
        <v>879</v>
      </c>
      <c r="P1887" s="587">
        <v>9.5</v>
      </c>
      <c r="Q1887" s="573" t="s">
        <v>203</v>
      </c>
      <c r="R1887" s="587">
        <f>(M1887*P1887)</f>
        <v>285</v>
      </c>
    </row>
    <row r="1888" spans="6:18" ht="24" customHeight="1">
      <c r="F1888" s="587">
        <v>1</v>
      </c>
      <c r="G1888" s="585" t="s">
        <v>231</v>
      </c>
      <c r="H1888" s="573" t="s">
        <v>1999</v>
      </c>
      <c r="I1888" s="587">
        <f>K1854</f>
        <v>146.91333333333333</v>
      </c>
      <c r="J1888" s="573" t="s">
        <v>231</v>
      </c>
      <c r="K1888" s="587">
        <f>(F1888*I1888)</f>
        <v>146.91333333333333</v>
      </c>
      <c r="M1888" s="573" t="s">
        <v>115</v>
      </c>
      <c r="N1888" s="576"/>
      <c r="O1888" s="573" t="s">
        <v>882</v>
      </c>
      <c r="P1888" s="587" t="str">
        <f t="shared" ref="P1888:P1896" si="219">P1857</f>
        <v/>
      </c>
      <c r="Q1888" s="578"/>
      <c r="R1888" s="573" t="s">
        <v>115</v>
      </c>
    </row>
    <row r="1889" spans="6:18" ht="24" customHeight="1">
      <c r="I1889" s="573" t="s">
        <v>115</v>
      </c>
      <c r="K1889" s="582" t="s">
        <v>117</v>
      </c>
      <c r="M1889" s="587">
        <v>8</v>
      </c>
      <c r="N1889" s="585" t="s">
        <v>209</v>
      </c>
      <c r="O1889" s="573" t="s">
        <v>2010</v>
      </c>
      <c r="P1889" s="593">
        <v>13.8</v>
      </c>
      <c r="Q1889" s="573" t="s">
        <v>209</v>
      </c>
      <c r="R1889" s="587">
        <f t="shared" ref="R1889:R1894" si="220">(M1889*P1889)</f>
        <v>110.4</v>
      </c>
    </row>
    <row r="1890" spans="6:18" ht="24" customHeight="1">
      <c r="H1890" s="573" t="s">
        <v>2000</v>
      </c>
      <c r="K1890" s="586">
        <f>SUM(K1886:K1888)</f>
        <v>209.31333333333333</v>
      </c>
      <c r="M1890" s="587">
        <v>8</v>
      </c>
      <c r="N1890" s="585" t="s">
        <v>209</v>
      </c>
      <c r="O1890" s="573" t="s">
        <v>2011</v>
      </c>
      <c r="P1890" s="593">
        <v>32</v>
      </c>
      <c r="Q1890" s="573" t="s">
        <v>209</v>
      </c>
      <c r="R1890" s="587">
        <f t="shared" si="220"/>
        <v>256</v>
      </c>
    </row>
    <row r="1891" spans="6:18" ht="36.75" customHeight="1">
      <c r="I1891" s="573" t="s">
        <v>115</v>
      </c>
      <c r="K1891" s="582" t="s">
        <v>155</v>
      </c>
      <c r="M1891" s="587">
        <v>3</v>
      </c>
      <c r="N1891" s="585" t="s">
        <v>209</v>
      </c>
      <c r="O1891" s="573" t="s">
        <v>887</v>
      </c>
      <c r="P1891" s="587">
        <f t="shared" si="219"/>
        <v>569</v>
      </c>
      <c r="Q1891" s="573" t="s">
        <v>209</v>
      </c>
      <c r="R1891" s="587">
        <f t="shared" si="220"/>
        <v>1707</v>
      </c>
    </row>
    <row r="1892" spans="6:18" ht="24" customHeight="1">
      <c r="I1892" s="573"/>
      <c r="K1892" s="582"/>
      <c r="M1892" s="587">
        <v>1</v>
      </c>
      <c r="N1892" s="585" t="s">
        <v>209</v>
      </c>
      <c r="O1892" s="573" t="s">
        <v>1978</v>
      </c>
      <c r="P1892" s="587">
        <f t="shared" si="219"/>
        <v>769</v>
      </c>
      <c r="Q1892" s="573" t="s">
        <v>209</v>
      </c>
      <c r="R1892" s="587">
        <f t="shared" si="220"/>
        <v>769</v>
      </c>
    </row>
    <row r="1893" spans="6:18" ht="24" customHeight="1">
      <c r="G1893" s="585" t="s">
        <v>1196</v>
      </c>
      <c r="H1893" s="573" t="s">
        <v>2012</v>
      </c>
      <c r="M1893" s="587">
        <v>2</v>
      </c>
      <c r="N1893" s="585" t="s">
        <v>209</v>
      </c>
      <c r="O1893" s="573" t="s">
        <v>146</v>
      </c>
      <c r="P1893" s="587">
        <f t="shared" si="219"/>
        <v>502</v>
      </c>
      <c r="Q1893" s="573" t="s">
        <v>209</v>
      </c>
      <c r="R1893" s="587">
        <f t="shared" si="220"/>
        <v>1004</v>
      </c>
    </row>
    <row r="1894" spans="6:18" ht="24" customHeight="1">
      <c r="H1894" s="582" t="s">
        <v>117</v>
      </c>
      <c r="M1894" s="587">
        <v>1</v>
      </c>
      <c r="N1894" s="585" t="s">
        <v>209</v>
      </c>
      <c r="O1894" s="573" t="s">
        <v>147</v>
      </c>
      <c r="P1894" s="587">
        <f t="shared" si="219"/>
        <v>412</v>
      </c>
      <c r="Q1894" s="573" t="s">
        <v>209</v>
      </c>
      <c r="R1894" s="587">
        <f t="shared" si="220"/>
        <v>412</v>
      </c>
    </row>
    <row r="1895" spans="6:18" ht="24" customHeight="1">
      <c r="F1895" s="587">
        <v>1</v>
      </c>
      <c r="G1895" s="585" t="s">
        <v>231</v>
      </c>
      <c r="H1895" s="573" t="s">
        <v>2013</v>
      </c>
      <c r="I1895" s="587">
        <f>C521</f>
        <v>82</v>
      </c>
      <c r="J1895" s="573" t="s">
        <v>231</v>
      </c>
      <c r="K1895" s="587">
        <f>(F1895*I1895)</f>
        <v>82</v>
      </c>
      <c r="N1895" s="585" t="s">
        <v>129</v>
      </c>
      <c r="O1895" s="573" t="s">
        <v>1979</v>
      </c>
      <c r="P1895" s="587">
        <f t="shared" si="219"/>
        <v>5</v>
      </c>
      <c r="Q1895" s="573" t="s">
        <v>129</v>
      </c>
      <c r="R1895" s="587">
        <v>5</v>
      </c>
    </row>
    <row r="1896" spans="6:18" ht="24" customHeight="1">
      <c r="F1896" s="587">
        <v>1</v>
      </c>
      <c r="G1896" s="585" t="s">
        <v>129</v>
      </c>
      <c r="H1896" s="573" t="s">
        <v>2005</v>
      </c>
      <c r="I1896" s="587">
        <f>I1895*0.2</f>
        <v>16.400000000000002</v>
      </c>
      <c r="J1896" s="573" t="s">
        <v>129</v>
      </c>
      <c r="K1896" s="587">
        <f>(F1896*I1896)</f>
        <v>16.400000000000002</v>
      </c>
      <c r="N1896" s="576"/>
      <c r="O1896" s="573" t="s">
        <v>1980</v>
      </c>
      <c r="P1896" s="587" t="str">
        <f t="shared" si="219"/>
        <v/>
      </c>
      <c r="Q1896" s="578"/>
      <c r="R1896" s="573" t="s">
        <v>115</v>
      </c>
    </row>
    <row r="1897" spans="6:18" ht="24" customHeight="1">
      <c r="F1897" s="587">
        <v>1</v>
      </c>
      <c r="G1897" s="585" t="s">
        <v>231</v>
      </c>
      <c r="H1897" s="573" t="s">
        <v>1999</v>
      </c>
      <c r="I1897" s="587">
        <f>I1888</f>
        <v>146.91333333333333</v>
      </c>
      <c r="J1897" s="573" t="s">
        <v>231</v>
      </c>
      <c r="K1897" s="587">
        <f>(F1897*I1897)</f>
        <v>146.91333333333333</v>
      </c>
      <c r="N1897" s="585" t="s">
        <v>129</v>
      </c>
      <c r="O1897" s="573" t="s">
        <v>130</v>
      </c>
      <c r="P1897" s="587" t="str">
        <f>I1881</f>
        <v/>
      </c>
      <c r="Q1897" s="573" t="s">
        <v>129</v>
      </c>
      <c r="R1897" s="587">
        <v>0</v>
      </c>
    </row>
    <row r="1898" spans="6:18" ht="24" customHeight="1">
      <c r="I1898" s="573" t="s">
        <v>115</v>
      </c>
      <c r="K1898" s="582" t="s">
        <v>117</v>
      </c>
      <c r="N1898" s="576"/>
      <c r="Q1898" s="578"/>
      <c r="R1898" s="582" t="s">
        <v>117</v>
      </c>
    </row>
    <row r="1899" spans="6:18" ht="24" customHeight="1">
      <c r="H1899" s="573" t="s">
        <v>2000</v>
      </c>
      <c r="K1899" s="586">
        <f>SUM(K1895:K1897)</f>
        <v>245.31333333333333</v>
      </c>
      <c r="N1899" s="576"/>
      <c r="O1899" s="573" t="s">
        <v>893</v>
      </c>
      <c r="Q1899" s="578"/>
      <c r="R1899" s="587">
        <f>SUM(R1887:R1897)</f>
        <v>4548.3999999999996</v>
      </c>
    </row>
    <row r="1900" spans="6:18" ht="24" customHeight="1">
      <c r="I1900" s="573" t="s">
        <v>115</v>
      </c>
      <c r="K1900" s="582" t="s">
        <v>155</v>
      </c>
      <c r="N1900" s="576"/>
      <c r="Q1900" s="578"/>
      <c r="R1900" s="582" t="s">
        <v>117</v>
      </c>
    </row>
    <row r="1901" spans="6:18" ht="24" customHeight="1">
      <c r="I1901" s="573"/>
      <c r="K1901" s="582"/>
      <c r="N1901" s="576"/>
      <c r="O1901" s="573" t="s">
        <v>216</v>
      </c>
      <c r="Q1901" s="578"/>
      <c r="R1901" s="587">
        <f>(R1899/30)</f>
        <v>151.61333333333332</v>
      </c>
    </row>
    <row r="1902" spans="6:18" ht="39" customHeight="1">
      <c r="F1902" s="823">
        <v>52.1</v>
      </c>
      <c r="H1902" s="731" t="s">
        <v>2014</v>
      </c>
      <c r="I1902" s="573"/>
      <c r="K1902" s="582"/>
      <c r="N1902" s="576"/>
      <c r="Q1902" s="578"/>
      <c r="R1902" s="582" t="s">
        <v>117</v>
      </c>
    </row>
    <row r="1903" spans="6:18" ht="24" customHeight="1">
      <c r="I1903" s="573"/>
      <c r="K1903" s="582"/>
    </row>
    <row r="1904" spans="6:18" ht="24" customHeight="1">
      <c r="F1904" s="574"/>
      <c r="G1904" s="585"/>
      <c r="H1904" s="573" t="s">
        <v>807</v>
      </c>
      <c r="I1904" s="573"/>
      <c r="K1904" s="582"/>
    </row>
    <row r="1905" spans="6:18" ht="24" customHeight="1">
      <c r="G1905" s="585"/>
      <c r="H1905" s="573" t="s">
        <v>2015</v>
      </c>
      <c r="I1905" s="573"/>
      <c r="K1905" s="582"/>
    </row>
    <row r="1906" spans="6:18" ht="24" customHeight="1">
      <c r="H1906" s="582" t="s">
        <v>117</v>
      </c>
      <c r="I1906" s="573"/>
      <c r="K1906" s="582"/>
      <c r="N1906" s="585" t="s">
        <v>1196</v>
      </c>
      <c r="O1906" s="573" t="s">
        <v>2012</v>
      </c>
      <c r="Q1906" s="578"/>
    </row>
    <row r="1907" spans="6:18" ht="24" customHeight="1">
      <c r="F1907" s="587">
        <v>30</v>
      </c>
      <c r="G1907" s="585" t="s">
        <v>203</v>
      </c>
      <c r="H1907" s="573" t="s">
        <v>2016</v>
      </c>
      <c r="I1907" s="685">
        <v>15.53</v>
      </c>
      <c r="J1907" s="573" t="s">
        <v>203</v>
      </c>
      <c r="K1907" s="587">
        <f>(F1907*I1907)</f>
        <v>465.9</v>
      </c>
      <c r="N1907" s="576"/>
      <c r="O1907" s="582" t="s">
        <v>117</v>
      </c>
      <c r="Q1907" s="578"/>
    </row>
    <row r="1908" spans="6:18" ht="24" customHeight="1">
      <c r="F1908" s="587">
        <v>8</v>
      </c>
      <c r="G1908" s="585" t="s">
        <v>209</v>
      </c>
      <c r="H1908" s="573" t="s">
        <v>823</v>
      </c>
      <c r="I1908" s="685">
        <f>C663</f>
        <v>7.1</v>
      </c>
      <c r="J1908" s="573" t="s">
        <v>209</v>
      </c>
      <c r="K1908" s="587">
        <f t="shared" ref="K1908:K1913" si="221">(F1908*I1908)</f>
        <v>56.8</v>
      </c>
      <c r="M1908" s="587">
        <v>1</v>
      </c>
      <c r="N1908" s="585" t="s">
        <v>231</v>
      </c>
      <c r="O1908" s="573" t="s">
        <v>2017</v>
      </c>
      <c r="P1908" s="587">
        <f>C521</f>
        <v>82</v>
      </c>
      <c r="Q1908" s="573" t="s">
        <v>231</v>
      </c>
      <c r="R1908" s="587">
        <f>(M1908*P1908)</f>
        <v>82</v>
      </c>
    </row>
    <row r="1909" spans="6:18" ht="24" customHeight="1">
      <c r="F1909" s="587">
        <v>8</v>
      </c>
      <c r="G1909" s="585" t="s">
        <v>209</v>
      </c>
      <c r="H1909" s="573" t="s">
        <v>826</v>
      </c>
      <c r="I1909" s="685">
        <f>D672</f>
        <v>10.199999999999999</v>
      </c>
      <c r="J1909" s="573" t="s">
        <v>209</v>
      </c>
      <c r="K1909" s="587">
        <f t="shared" si="221"/>
        <v>81.599999999999994</v>
      </c>
      <c r="M1909" s="587">
        <v>1</v>
      </c>
      <c r="N1909" s="585" t="s">
        <v>129</v>
      </c>
      <c r="O1909" s="573" t="s">
        <v>2005</v>
      </c>
      <c r="P1909" s="587">
        <f>P1908*0.2</f>
        <v>16.400000000000002</v>
      </c>
      <c r="Q1909" s="573" t="s">
        <v>129</v>
      </c>
      <c r="R1909" s="587">
        <f>(M1909*P1909)</f>
        <v>16.400000000000002</v>
      </c>
    </row>
    <row r="1910" spans="6:18" ht="24" customHeight="1">
      <c r="F1910" s="587">
        <v>3</v>
      </c>
      <c r="G1910" s="585" t="s">
        <v>209</v>
      </c>
      <c r="H1910" s="573" t="s">
        <v>887</v>
      </c>
      <c r="I1910" s="685">
        <f>C41</f>
        <v>569</v>
      </c>
      <c r="J1910" s="573" t="s">
        <v>209</v>
      </c>
      <c r="K1910" s="587">
        <f t="shared" si="221"/>
        <v>1707</v>
      </c>
      <c r="M1910" s="587">
        <v>1</v>
      </c>
      <c r="N1910" s="585" t="s">
        <v>231</v>
      </c>
      <c r="O1910" s="573" t="s">
        <v>1999</v>
      </c>
      <c r="P1910" s="587">
        <f>R1901</f>
        <v>151.61333333333332</v>
      </c>
      <c r="Q1910" s="573" t="s">
        <v>231</v>
      </c>
      <c r="R1910" s="587">
        <f>(M1910*P1910)</f>
        <v>151.61333333333332</v>
      </c>
    </row>
    <row r="1911" spans="6:18" ht="24" customHeight="1">
      <c r="F1911" s="587">
        <v>1</v>
      </c>
      <c r="G1911" s="585" t="s">
        <v>209</v>
      </c>
      <c r="H1911" s="573" t="s">
        <v>1978</v>
      </c>
      <c r="I1911" s="685">
        <f>C10</f>
        <v>769</v>
      </c>
      <c r="J1911" s="573" t="s">
        <v>209</v>
      </c>
      <c r="K1911" s="587">
        <f t="shared" si="221"/>
        <v>769</v>
      </c>
      <c r="N1911" s="576"/>
      <c r="P1911" s="573" t="s">
        <v>115</v>
      </c>
      <c r="Q1911" s="578"/>
      <c r="R1911" s="582" t="s">
        <v>117</v>
      </c>
    </row>
    <row r="1912" spans="6:18" ht="24" customHeight="1">
      <c r="F1912" s="587">
        <v>2</v>
      </c>
      <c r="G1912" s="585" t="s">
        <v>209</v>
      </c>
      <c r="H1912" s="573" t="s">
        <v>146</v>
      </c>
      <c r="I1912" s="685">
        <f>C12</f>
        <v>502</v>
      </c>
      <c r="J1912" s="573" t="s">
        <v>209</v>
      </c>
      <c r="K1912" s="587">
        <f t="shared" si="221"/>
        <v>1004</v>
      </c>
      <c r="N1912" s="576"/>
      <c r="O1912" s="573" t="s">
        <v>2000</v>
      </c>
      <c r="Q1912" s="578"/>
      <c r="R1912" s="586">
        <f>SUM(R1908:R1910)</f>
        <v>250.01333333333332</v>
      </c>
    </row>
    <row r="1913" spans="6:18" ht="24" customHeight="1">
      <c r="F1913" s="587">
        <v>1</v>
      </c>
      <c r="G1913" s="585" t="s">
        <v>209</v>
      </c>
      <c r="H1913" s="573" t="s">
        <v>147</v>
      </c>
      <c r="I1913" s="685">
        <f>C13</f>
        <v>412</v>
      </c>
      <c r="J1913" s="573" t="s">
        <v>209</v>
      </c>
      <c r="K1913" s="587">
        <f t="shared" si="221"/>
        <v>412</v>
      </c>
      <c r="N1913" s="576"/>
      <c r="P1913" s="573" t="s">
        <v>115</v>
      </c>
      <c r="Q1913" s="578"/>
      <c r="R1913" s="582" t="s">
        <v>155</v>
      </c>
    </row>
    <row r="1914" spans="6:18" ht="24" customHeight="1">
      <c r="K1914" s="582" t="s">
        <v>117</v>
      </c>
    </row>
    <row r="1915" spans="6:18" ht="24" customHeight="1">
      <c r="H1915" s="573" t="s">
        <v>893</v>
      </c>
      <c r="K1915" s="587">
        <f>SUM(K1907:K1913)</f>
        <v>4496.3</v>
      </c>
    </row>
    <row r="1916" spans="6:18" ht="24" customHeight="1">
      <c r="K1916" s="582" t="s">
        <v>117</v>
      </c>
    </row>
    <row r="1917" spans="6:18" ht="24" customHeight="1">
      <c r="H1917" s="573" t="s">
        <v>216</v>
      </c>
      <c r="K1917" s="587">
        <f>(K1915/30)</f>
        <v>149.87666666666667</v>
      </c>
    </row>
    <row r="1918" spans="6:18" ht="24" customHeight="1">
      <c r="K1918" s="582" t="s">
        <v>117</v>
      </c>
    </row>
    <row r="1919" spans="6:18" ht="24" customHeight="1">
      <c r="I1919" s="573"/>
      <c r="K1919" s="582"/>
    </row>
    <row r="1920" spans="6:18" ht="24" customHeight="1">
      <c r="H1920" s="575" t="s">
        <v>2018</v>
      </c>
      <c r="I1920" s="573"/>
      <c r="K1920" s="582"/>
    </row>
    <row r="1921" spans="6:17" ht="24" customHeight="1">
      <c r="H1921" s="582" t="s">
        <v>117</v>
      </c>
      <c r="I1921" s="573"/>
      <c r="K1921" s="582"/>
    </row>
    <row r="1922" spans="6:17" ht="24" customHeight="1">
      <c r="F1922" s="587">
        <v>1</v>
      </c>
      <c r="G1922" s="585" t="s">
        <v>231</v>
      </c>
      <c r="H1922" s="573" t="s">
        <v>2019</v>
      </c>
      <c r="I1922" s="685">
        <f>E698</f>
        <v>98.6</v>
      </c>
      <c r="J1922" s="573" t="s">
        <v>231</v>
      </c>
      <c r="K1922" s="587">
        <f>(F1922*I1922)</f>
        <v>98.6</v>
      </c>
    </row>
    <row r="1923" spans="6:17" ht="24" customHeight="1">
      <c r="F1923" s="587">
        <v>1</v>
      </c>
      <c r="G1923" s="585" t="s">
        <v>129</v>
      </c>
      <c r="H1923" s="573" t="s">
        <v>2020</v>
      </c>
      <c r="I1923" s="685">
        <f>I1922*0.2</f>
        <v>19.72</v>
      </c>
      <c r="J1923" s="573" t="s">
        <v>129</v>
      </c>
      <c r="K1923" s="587">
        <f>(F1923*I1923)</f>
        <v>19.72</v>
      </c>
    </row>
    <row r="1924" spans="6:17" ht="24" customHeight="1">
      <c r="F1924" s="587">
        <v>1</v>
      </c>
      <c r="G1924" s="585" t="s">
        <v>231</v>
      </c>
      <c r="H1924" s="573" t="s">
        <v>1999</v>
      </c>
      <c r="I1924" s="685">
        <f>K1917</f>
        <v>149.87666666666667</v>
      </c>
      <c r="J1924" s="573" t="s">
        <v>231</v>
      </c>
      <c r="K1924" s="587">
        <f>(F1924*I1924)</f>
        <v>149.87666666666667</v>
      </c>
    </row>
    <row r="1925" spans="6:17" ht="24" customHeight="1">
      <c r="F1925" s="587"/>
      <c r="G1925" s="585"/>
      <c r="H1925" s="633" t="s">
        <v>2021</v>
      </c>
      <c r="I1925" s="685"/>
      <c r="J1925" s="573" t="s">
        <v>129</v>
      </c>
      <c r="K1925" s="587">
        <f>1.25+0.47</f>
        <v>1.72</v>
      </c>
    </row>
    <row r="1926" spans="6:17" ht="24" customHeight="1">
      <c r="I1926" s="573"/>
      <c r="K1926" s="582" t="s">
        <v>117</v>
      </c>
    </row>
    <row r="1927" spans="6:17" ht="24" customHeight="1">
      <c r="H1927" s="573" t="s">
        <v>2000</v>
      </c>
      <c r="I1927" s="573"/>
      <c r="K1927" s="586">
        <f>SUM(K1922:K1925)</f>
        <v>269.91666666666669</v>
      </c>
    </row>
    <row r="1928" spans="6:17" ht="24" customHeight="1">
      <c r="I1928" s="573"/>
      <c r="K1928" s="582" t="s">
        <v>155</v>
      </c>
    </row>
    <row r="1929" spans="6:17" ht="24" customHeight="1">
      <c r="I1929" s="573"/>
      <c r="K1929" s="582"/>
    </row>
    <row r="1930" spans="6:17" ht="24" customHeight="1">
      <c r="I1930" s="573"/>
      <c r="K1930" s="582"/>
    </row>
    <row r="1931" spans="6:17" ht="24" customHeight="1">
      <c r="F1931" s="620">
        <v>53.1</v>
      </c>
      <c r="G1931" s="585" t="s">
        <v>122</v>
      </c>
      <c r="H1931" s="573" t="s">
        <v>2022</v>
      </c>
    </row>
    <row r="1932" spans="6:17" ht="24" customHeight="1">
      <c r="H1932" s="577" t="s">
        <v>2023</v>
      </c>
    </row>
    <row r="1933" spans="6:17" ht="24" customHeight="1">
      <c r="H1933" s="573" t="s">
        <v>2024</v>
      </c>
    </row>
    <row r="1934" spans="6:17" ht="24" customHeight="1">
      <c r="H1934" s="573" t="s">
        <v>2025</v>
      </c>
    </row>
    <row r="1935" spans="6:17" ht="24" customHeight="1">
      <c r="H1935" s="582" t="s">
        <v>117</v>
      </c>
    </row>
    <row r="1936" spans="6:17" ht="85.5" customHeight="1">
      <c r="F1936" s="824">
        <v>1</v>
      </c>
      <c r="G1936" s="824" t="s">
        <v>209</v>
      </c>
      <c r="H1936" s="825" t="s">
        <v>2026</v>
      </c>
      <c r="I1936" s="824">
        <f>(C617)</f>
        <v>1640</v>
      </c>
      <c r="J1936" s="826" t="s">
        <v>209</v>
      </c>
      <c r="K1936" s="824">
        <f>(F1936*I1936)</f>
        <v>1640</v>
      </c>
      <c r="P1936" s="575">
        <v>2429</v>
      </c>
      <c r="Q1936" s="575">
        <f>P1936*F1936</f>
        <v>2429</v>
      </c>
    </row>
    <row r="1937" spans="6:22" ht="24" customHeight="1">
      <c r="F1937" s="587"/>
      <c r="G1937" s="585"/>
      <c r="H1937" s="606"/>
      <c r="I1937" s="587"/>
      <c r="J1937" s="573"/>
      <c r="K1937" s="587"/>
      <c r="P1937" s="575">
        <f t="shared" ref="P1937:P1944" si="222">I1937</f>
        <v>0</v>
      </c>
    </row>
    <row r="1938" spans="6:22" ht="24" customHeight="1">
      <c r="F1938" s="587"/>
      <c r="G1938" s="585"/>
      <c r="H1938" s="606"/>
      <c r="I1938" s="587"/>
      <c r="J1938" s="574"/>
      <c r="K1938" s="587"/>
      <c r="P1938" s="575">
        <f t="shared" si="222"/>
        <v>0</v>
      </c>
    </row>
    <row r="1939" spans="6:22" ht="24" customHeight="1">
      <c r="F1939" s="827">
        <v>1</v>
      </c>
      <c r="G1939" s="827" t="s">
        <v>209</v>
      </c>
      <c r="H1939" s="573" t="s">
        <v>2027</v>
      </c>
      <c r="I1939" s="828">
        <v>-167</v>
      </c>
      <c r="J1939" s="606" t="s">
        <v>209</v>
      </c>
      <c r="K1939" s="827">
        <f>(F1939*I1939)</f>
        <v>-167</v>
      </c>
      <c r="P1939" s="575">
        <f t="shared" si="222"/>
        <v>-167</v>
      </c>
      <c r="Q1939" s="575">
        <f>F1939*P1939</f>
        <v>-167</v>
      </c>
    </row>
    <row r="1940" spans="6:22" ht="24" customHeight="1">
      <c r="F1940" s="629"/>
      <c r="G1940" s="821"/>
      <c r="H1940" s="606"/>
      <c r="I1940" s="629"/>
      <c r="J1940" s="648"/>
      <c r="K1940" s="629"/>
      <c r="P1940" s="575">
        <f t="shared" si="222"/>
        <v>0</v>
      </c>
      <c r="Q1940" s="575">
        <f t="shared" ref="Q1940:Q1945" si="223">F1940*P1940</f>
        <v>0</v>
      </c>
    </row>
    <row r="1941" spans="6:22" ht="24" customHeight="1">
      <c r="F1941" s="629">
        <v>1</v>
      </c>
      <c r="G1941" s="821" t="s">
        <v>209</v>
      </c>
      <c r="H1941" s="606" t="s">
        <v>2028</v>
      </c>
      <c r="I1941" s="829">
        <v>250</v>
      </c>
      <c r="J1941" s="606" t="s">
        <v>209</v>
      </c>
      <c r="K1941" s="830">
        <f>(F1941*I1941)</f>
        <v>250</v>
      </c>
      <c r="P1941" s="575">
        <f t="shared" si="222"/>
        <v>250</v>
      </c>
      <c r="Q1941" s="575">
        <f t="shared" si="223"/>
        <v>250</v>
      </c>
    </row>
    <row r="1942" spans="6:22" ht="24" customHeight="1">
      <c r="F1942" s="587"/>
      <c r="G1942" s="585"/>
      <c r="H1942" s="573"/>
      <c r="I1942" s="587"/>
      <c r="J1942" s="573"/>
      <c r="K1942" s="587"/>
      <c r="P1942" s="575">
        <f t="shared" si="222"/>
        <v>0</v>
      </c>
      <c r="Q1942" s="575">
        <f t="shared" si="223"/>
        <v>0</v>
      </c>
    </row>
    <row r="1943" spans="6:22" ht="24" customHeight="1">
      <c r="F1943" s="587">
        <v>0.5</v>
      </c>
      <c r="G1943" s="585" t="s">
        <v>209</v>
      </c>
      <c r="H1943" s="573" t="s">
        <v>210</v>
      </c>
      <c r="I1943" s="587">
        <f>(C15)</f>
        <v>667</v>
      </c>
      <c r="J1943" s="573" t="s">
        <v>209</v>
      </c>
      <c r="K1943" s="587">
        <f>(F1943*I1943)</f>
        <v>333.5</v>
      </c>
      <c r="N1943" s="575">
        <f>7635</f>
        <v>7635</v>
      </c>
      <c r="P1943" s="575">
        <f t="shared" si="222"/>
        <v>667</v>
      </c>
      <c r="Q1943" s="575">
        <f t="shared" si="223"/>
        <v>333.5</v>
      </c>
    </row>
    <row r="1944" spans="6:22" ht="24" customHeight="1">
      <c r="F1944" s="587">
        <v>1</v>
      </c>
      <c r="G1944" s="585" t="s">
        <v>209</v>
      </c>
      <c r="H1944" s="573" t="s">
        <v>146</v>
      </c>
      <c r="I1944" s="587">
        <f>(C12)</f>
        <v>502</v>
      </c>
      <c r="J1944" s="573" t="s">
        <v>209</v>
      </c>
      <c r="K1944" s="587">
        <f>(F1944*I1944)</f>
        <v>502</v>
      </c>
      <c r="N1944" s="575">
        <f>N1943*4%</f>
        <v>305.40000000000003</v>
      </c>
      <c r="P1944" s="575">
        <f t="shared" si="222"/>
        <v>502</v>
      </c>
      <c r="Q1944" s="575">
        <f t="shared" si="223"/>
        <v>502</v>
      </c>
    </row>
    <row r="1945" spans="6:22" ht="24" customHeight="1">
      <c r="F1945" s="587">
        <v>0.5</v>
      </c>
      <c r="G1945" s="585" t="s">
        <v>209</v>
      </c>
      <c r="H1945" s="573" t="s">
        <v>144</v>
      </c>
      <c r="I1945" s="587">
        <f>(C10)</f>
        <v>769</v>
      </c>
      <c r="J1945" s="573" t="s">
        <v>209</v>
      </c>
      <c r="K1945" s="587">
        <f>(F1945*I1945)</f>
        <v>384.5</v>
      </c>
      <c r="N1945" s="575">
        <f>SUM(N1943:N1944)</f>
        <v>7940.4</v>
      </c>
      <c r="P1945" s="575">
        <f>I1945</f>
        <v>769</v>
      </c>
      <c r="Q1945" s="575">
        <f t="shared" si="223"/>
        <v>384.5</v>
      </c>
    </row>
    <row r="1946" spans="6:22" ht="24" customHeight="1">
      <c r="G1946" s="585" t="s">
        <v>129</v>
      </c>
      <c r="H1946" s="573" t="s">
        <v>2029</v>
      </c>
      <c r="J1946" s="573" t="s">
        <v>129</v>
      </c>
      <c r="K1946" s="587">
        <v>0.82</v>
      </c>
      <c r="Q1946" s="575">
        <v>0.82</v>
      </c>
    </row>
    <row r="1947" spans="6:22" ht="24" customHeight="1">
      <c r="K1947" s="582" t="s">
        <v>117</v>
      </c>
      <c r="Q1947" s="575">
        <f>SUM(Q1936:Q1946)</f>
        <v>3732.82</v>
      </c>
    </row>
    <row r="1948" spans="6:22" ht="24" customHeight="1">
      <c r="H1948" s="573" t="s">
        <v>991</v>
      </c>
      <c r="K1948" s="587">
        <f>SUM(K1936:K1946)</f>
        <v>2943.82</v>
      </c>
    </row>
    <row r="1949" spans="6:22" ht="24" customHeight="1">
      <c r="K1949" s="582" t="s">
        <v>117</v>
      </c>
    </row>
    <row r="1950" spans="6:22" ht="24" customHeight="1">
      <c r="F1950" s="574" t="s">
        <v>2030</v>
      </c>
      <c r="H1950" s="573" t="s">
        <v>2031</v>
      </c>
      <c r="J1950" s="573" t="s">
        <v>227</v>
      </c>
      <c r="K1950" s="831">
        <v>967.5</v>
      </c>
      <c r="V1950" s="573" t="s">
        <v>1977</v>
      </c>
    </row>
    <row r="1951" spans="6:22" ht="24" customHeight="1">
      <c r="H1951" s="573" t="s">
        <v>3102</v>
      </c>
      <c r="J1951" s="573" t="s">
        <v>227</v>
      </c>
      <c r="K1951" s="832">
        <v>1828</v>
      </c>
    </row>
    <row r="1952" spans="6:22" ht="24" customHeight="1">
      <c r="F1952" s="574" t="s">
        <v>2033</v>
      </c>
      <c r="H1952" s="573" t="s">
        <v>2034</v>
      </c>
      <c r="J1952" s="573" t="s">
        <v>227</v>
      </c>
      <c r="K1952" s="831">
        <v>30</v>
      </c>
    </row>
    <row r="1953" spans="6:18" ht="24" customHeight="1">
      <c r="F1953" s="574"/>
      <c r="H1953" s="573"/>
      <c r="K1953" s="573"/>
    </row>
    <row r="1954" spans="6:18" ht="24" customHeight="1">
      <c r="F1954" s="607">
        <v>54</v>
      </c>
      <c r="G1954" s="585" t="s">
        <v>122</v>
      </c>
      <c r="H1954" s="573" t="s">
        <v>2035</v>
      </c>
      <c r="J1954" s="573" t="s">
        <v>227</v>
      </c>
      <c r="K1954" s="833">
        <v>202</v>
      </c>
    </row>
    <row r="1955" spans="6:18" ht="24" customHeight="1">
      <c r="K1955" s="582" t="s">
        <v>155</v>
      </c>
    </row>
    <row r="1957" spans="6:18" ht="24" customHeight="1">
      <c r="F1957" s="620">
        <v>54.1</v>
      </c>
      <c r="G1957" s="585" t="s">
        <v>122</v>
      </c>
      <c r="H1957" s="573" t="s">
        <v>2036</v>
      </c>
      <c r="J1957" s="573" t="s">
        <v>227</v>
      </c>
      <c r="K1957" s="696">
        <v>300</v>
      </c>
    </row>
    <row r="1958" spans="6:18" ht="24" customHeight="1">
      <c r="K1958" s="582" t="s">
        <v>155</v>
      </c>
    </row>
    <row r="1960" spans="6:18" ht="24" customHeight="1">
      <c r="F1960" s="620">
        <v>54.2</v>
      </c>
      <c r="G1960" s="585" t="s">
        <v>122</v>
      </c>
      <c r="H1960" s="573" t="s">
        <v>2037</v>
      </c>
      <c r="J1960" s="573" t="s">
        <v>227</v>
      </c>
      <c r="K1960" s="696">
        <v>250</v>
      </c>
    </row>
    <row r="1961" spans="6:18" ht="24" customHeight="1">
      <c r="K1961" s="582" t="s">
        <v>155</v>
      </c>
    </row>
    <row r="1962" spans="6:18" ht="24" hidden="1" customHeight="1"/>
    <row r="1963" spans="6:18" ht="24" customHeight="1">
      <c r="F1963" s="574" t="s">
        <v>2038</v>
      </c>
      <c r="G1963" s="585" t="s">
        <v>122</v>
      </c>
      <c r="H1963" s="573" t="s">
        <v>2039</v>
      </c>
      <c r="M1963" s="574" t="s">
        <v>2038</v>
      </c>
      <c r="N1963" s="585" t="s">
        <v>122</v>
      </c>
      <c r="O1963" s="573" t="s">
        <v>2039</v>
      </c>
      <c r="Q1963" s="578"/>
    </row>
    <row r="1964" spans="6:18" ht="24" customHeight="1">
      <c r="H1964" s="573" t="s">
        <v>2040</v>
      </c>
      <c r="N1964" s="576"/>
      <c r="O1964" s="573" t="s">
        <v>2040</v>
      </c>
      <c r="Q1964" s="578"/>
    </row>
    <row r="1965" spans="6:18" ht="24" customHeight="1">
      <c r="H1965" s="573" t="s">
        <v>2041</v>
      </c>
      <c r="N1965" s="576"/>
      <c r="O1965" s="573" t="s">
        <v>2041</v>
      </c>
      <c r="Q1965" s="578"/>
    </row>
    <row r="1966" spans="6:18" ht="24" customHeight="1">
      <c r="H1966" s="573" t="s">
        <v>2042</v>
      </c>
      <c r="N1966" s="576"/>
      <c r="O1966" s="573" t="s">
        <v>2042</v>
      </c>
      <c r="Q1966" s="578"/>
    </row>
    <row r="1967" spans="6:18" ht="24" customHeight="1">
      <c r="H1967" s="582" t="s">
        <v>117</v>
      </c>
      <c r="N1967" s="576"/>
      <c r="O1967" s="582" t="s">
        <v>117</v>
      </c>
      <c r="Q1967" s="578"/>
    </row>
    <row r="1968" spans="6:18" ht="24" customHeight="1">
      <c r="F1968" s="587">
        <v>1</v>
      </c>
      <c r="G1968" s="585" t="s">
        <v>209</v>
      </c>
      <c r="H1968" s="573" t="s">
        <v>2043</v>
      </c>
      <c r="I1968" s="587">
        <f>(C201)</f>
        <v>1180</v>
      </c>
      <c r="J1968" s="573" t="s">
        <v>209</v>
      </c>
      <c r="K1968" s="587">
        <f t="shared" ref="K1968:K1974" si="224">(F1968*I1968)</f>
        <v>1180</v>
      </c>
      <c r="M1968" s="587">
        <v>1</v>
      </c>
      <c r="N1968" s="585" t="s">
        <v>209</v>
      </c>
      <c r="O1968" s="573" t="s">
        <v>2043</v>
      </c>
      <c r="P1968" s="587">
        <f>I1968</f>
        <v>1180</v>
      </c>
      <c r="Q1968" s="573" t="s">
        <v>209</v>
      </c>
      <c r="R1968" s="587">
        <f t="shared" ref="R1968:R1974" si="225">(M1968*P1968)</f>
        <v>1180</v>
      </c>
    </row>
    <row r="1969" spans="6:18" ht="24" customHeight="1">
      <c r="F1969" s="587">
        <v>0.65</v>
      </c>
      <c r="G1969" s="585" t="s">
        <v>126</v>
      </c>
      <c r="H1969" s="573" t="s">
        <v>2044</v>
      </c>
      <c r="I1969" s="587">
        <f>(C61*2)</f>
        <v>168</v>
      </c>
      <c r="J1969" s="573" t="s">
        <v>126</v>
      </c>
      <c r="K1969" s="587">
        <f t="shared" si="224"/>
        <v>109.2</v>
      </c>
      <c r="M1969" s="587">
        <v>0.65</v>
      </c>
      <c r="N1969" s="585" t="s">
        <v>126</v>
      </c>
      <c r="O1969" s="573" t="s">
        <v>2044</v>
      </c>
      <c r="P1969" s="587">
        <f t="shared" ref="P1969:P1975" si="226">I1969</f>
        <v>168</v>
      </c>
      <c r="Q1969" s="573" t="s">
        <v>126</v>
      </c>
      <c r="R1969" s="587">
        <f t="shared" si="225"/>
        <v>109.2</v>
      </c>
    </row>
    <row r="1970" spans="6:18" ht="24" customHeight="1">
      <c r="F1970" s="587">
        <v>0.56999999999999995</v>
      </c>
      <c r="G1970" s="585" t="s">
        <v>126</v>
      </c>
      <c r="H1970" s="573" t="s">
        <v>2045</v>
      </c>
      <c r="I1970" s="587">
        <f>(C26)</f>
        <v>29.3</v>
      </c>
      <c r="J1970" s="573" t="s">
        <v>126</v>
      </c>
      <c r="K1970" s="587">
        <f t="shared" si="224"/>
        <v>16.701000000000001</v>
      </c>
      <c r="M1970" s="587">
        <v>0.56999999999999995</v>
      </c>
      <c r="N1970" s="585" t="s">
        <v>126</v>
      </c>
      <c r="O1970" s="573" t="s">
        <v>2045</v>
      </c>
      <c r="P1970" s="587">
        <f t="shared" si="226"/>
        <v>29.3</v>
      </c>
      <c r="Q1970" s="573" t="s">
        <v>126</v>
      </c>
      <c r="R1970" s="587">
        <f t="shared" si="225"/>
        <v>16.701000000000001</v>
      </c>
    </row>
    <row r="1971" spans="6:18" ht="24" customHeight="1">
      <c r="F1971" s="617">
        <v>8.1000000000000003E-2</v>
      </c>
      <c r="G1971" s="585" t="s">
        <v>126</v>
      </c>
      <c r="H1971" s="573" t="s">
        <v>2046</v>
      </c>
      <c r="I1971" s="587">
        <f>(R60)</f>
        <v>3502.9379999999996</v>
      </c>
      <c r="J1971" s="573" t="s">
        <v>126</v>
      </c>
      <c r="K1971" s="587">
        <f t="shared" si="224"/>
        <v>283.737978</v>
      </c>
      <c r="M1971" s="617">
        <v>8.1000000000000003E-2</v>
      </c>
      <c r="N1971" s="585" t="s">
        <v>126</v>
      </c>
      <c r="O1971" s="573" t="s">
        <v>2046</v>
      </c>
      <c r="P1971" s="587">
        <f t="shared" si="226"/>
        <v>3502.9379999999996</v>
      </c>
      <c r="Q1971" s="573" t="s">
        <v>126</v>
      </c>
      <c r="R1971" s="587">
        <f t="shared" si="225"/>
        <v>283.737978</v>
      </c>
    </row>
    <row r="1972" spans="6:18" ht="24" customHeight="1">
      <c r="F1972" s="587">
        <v>1</v>
      </c>
      <c r="G1972" s="585" t="s">
        <v>209</v>
      </c>
      <c r="H1972" s="573" t="s">
        <v>210</v>
      </c>
      <c r="I1972" s="587">
        <f>(C15)</f>
        <v>667</v>
      </c>
      <c r="J1972" s="573" t="s">
        <v>209</v>
      </c>
      <c r="K1972" s="587">
        <f t="shared" si="224"/>
        <v>667</v>
      </c>
      <c r="M1972" s="587">
        <v>1</v>
      </c>
      <c r="N1972" s="585" t="s">
        <v>209</v>
      </c>
      <c r="O1972" s="573" t="s">
        <v>210</v>
      </c>
      <c r="P1972" s="587">
        <f t="shared" si="226"/>
        <v>667</v>
      </c>
      <c r="Q1972" s="573" t="s">
        <v>209</v>
      </c>
      <c r="R1972" s="587">
        <f t="shared" si="225"/>
        <v>667</v>
      </c>
    </row>
    <row r="1973" spans="6:18" ht="24" customHeight="1">
      <c r="F1973" s="587">
        <v>0.5</v>
      </c>
      <c r="G1973" s="585" t="s">
        <v>209</v>
      </c>
      <c r="H1973" s="573" t="s">
        <v>145</v>
      </c>
      <c r="I1973" s="587">
        <f>(C11)</f>
        <v>718</v>
      </c>
      <c r="J1973" s="573" t="s">
        <v>209</v>
      </c>
      <c r="K1973" s="587">
        <f t="shared" si="224"/>
        <v>359</v>
      </c>
      <c r="M1973" s="587">
        <v>0.5</v>
      </c>
      <c r="N1973" s="585" t="s">
        <v>209</v>
      </c>
      <c r="O1973" s="573" t="s">
        <v>145</v>
      </c>
      <c r="P1973" s="587">
        <f t="shared" si="226"/>
        <v>718</v>
      </c>
      <c r="Q1973" s="573" t="s">
        <v>209</v>
      </c>
      <c r="R1973" s="587">
        <f t="shared" si="225"/>
        <v>359</v>
      </c>
    </row>
    <row r="1974" spans="6:18" ht="24" customHeight="1">
      <c r="F1974" s="587">
        <v>0.5</v>
      </c>
      <c r="G1974" s="585" t="s">
        <v>209</v>
      </c>
      <c r="H1974" s="573" t="s">
        <v>146</v>
      </c>
      <c r="I1974" s="587">
        <f>(C12)</f>
        <v>502</v>
      </c>
      <c r="J1974" s="573" t="s">
        <v>209</v>
      </c>
      <c r="K1974" s="587">
        <f t="shared" si="224"/>
        <v>251</v>
      </c>
      <c r="M1974" s="587">
        <v>0.5</v>
      </c>
      <c r="N1974" s="585" t="s">
        <v>209</v>
      </c>
      <c r="O1974" s="573" t="s">
        <v>146</v>
      </c>
      <c r="P1974" s="587">
        <f t="shared" si="226"/>
        <v>502</v>
      </c>
      <c r="Q1974" s="573" t="s">
        <v>209</v>
      </c>
      <c r="R1974" s="587">
        <f t="shared" si="225"/>
        <v>251</v>
      </c>
    </row>
    <row r="1975" spans="6:18" ht="24" customHeight="1">
      <c r="G1975" s="585" t="s">
        <v>129</v>
      </c>
      <c r="H1975" s="573" t="s">
        <v>130</v>
      </c>
      <c r="I1975" s="573" t="s">
        <v>115</v>
      </c>
      <c r="J1975" s="573" t="s">
        <v>129</v>
      </c>
      <c r="K1975" s="587">
        <v>1.25</v>
      </c>
      <c r="N1975" s="585"/>
      <c r="O1975" s="577" t="s">
        <v>2047</v>
      </c>
      <c r="P1975" s="587" t="str">
        <f t="shared" si="226"/>
        <v/>
      </c>
      <c r="Q1975" s="573"/>
      <c r="R1975" s="615">
        <v>-164</v>
      </c>
    </row>
    <row r="1976" spans="6:18" ht="24" customHeight="1">
      <c r="K1976" s="582" t="s">
        <v>117</v>
      </c>
      <c r="O1976" s="577" t="s">
        <v>2048</v>
      </c>
      <c r="P1976" s="587"/>
      <c r="Q1976" s="573"/>
      <c r="R1976" s="615">
        <v>134.1</v>
      </c>
    </row>
    <row r="1977" spans="6:18" ht="24" customHeight="1" thickBot="1">
      <c r="H1977" s="573" t="s">
        <v>991</v>
      </c>
      <c r="K1977" s="587">
        <f>SUM(K1968:K1975)</f>
        <v>2867.888978</v>
      </c>
      <c r="N1977" s="576" t="s">
        <v>166</v>
      </c>
      <c r="O1977" s="577" t="s">
        <v>236</v>
      </c>
      <c r="Q1977" s="578"/>
      <c r="R1977" s="587">
        <v>0.32</v>
      </c>
    </row>
    <row r="1978" spans="6:18" ht="24" customHeight="1" thickTop="1">
      <c r="K1978" s="582" t="s">
        <v>155</v>
      </c>
      <c r="N1978" s="576"/>
      <c r="O1978" s="573" t="s">
        <v>991</v>
      </c>
      <c r="Q1978" s="578"/>
      <c r="R1978" s="834">
        <f>SUM(R1968:R1977)</f>
        <v>2837.058978</v>
      </c>
    </row>
    <row r="1979" spans="6:18" ht="24" customHeight="1" thickBot="1">
      <c r="G1979" s="585" t="s">
        <v>115</v>
      </c>
      <c r="H1979" s="573" t="s">
        <v>115</v>
      </c>
      <c r="K1979" s="573" t="s">
        <v>115</v>
      </c>
      <c r="N1979" s="576"/>
      <c r="Q1979" s="578"/>
      <c r="R1979" s="835"/>
    </row>
    <row r="1980" spans="6:18" ht="24" customHeight="1" thickTop="1">
      <c r="J1980" s="573" t="s">
        <v>115</v>
      </c>
      <c r="K1980" s="573" t="s">
        <v>115</v>
      </c>
    </row>
    <row r="1981" spans="6:18" ht="24" customHeight="1">
      <c r="F1981" s="574" t="s">
        <v>2049</v>
      </c>
      <c r="G1981" s="585" t="s">
        <v>122</v>
      </c>
      <c r="H1981" s="573" t="s">
        <v>2039</v>
      </c>
      <c r="M1981" s="574" t="s">
        <v>2049</v>
      </c>
      <c r="N1981" s="585" t="s">
        <v>122</v>
      </c>
      <c r="O1981" s="573" t="s">
        <v>2039</v>
      </c>
      <c r="Q1981" s="578"/>
    </row>
    <row r="1982" spans="6:18" ht="24" customHeight="1">
      <c r="H1982" s="573" t="s">
        <v>2040</v>
      </c>
      <c r="N1982" s="576"/>
      <c r="O1982" s="573" t="s">
        <v>2040</v>
      </c>
      <c r="Q1982" s="578"/>
    </row>
    <row r="1983" spans="6:18" ht="24" customHeight="1">
      <c r="H1983" s="573" t="s">
        <v>2041</v>
      </c>
      <c r="N1983" s="576"/>
      <c r="O1983" s="573" t="s">
        <v>2041</v>
      </c>
      <c r="Q1983" s="578"/>
    </row>
    <row r="1984" spans="6:18" ht="24" customHeight="1">
      <c r="H1984" s="573" t="s">
        <v>2050</v>
      </c>
      <c r="N1984" s="576"/>
      <c r="O1984" s="573" t="s">
        <v>2050</v>
      </c>
      <c r="Q1984" s="578"/>
    </row>
    <row r="1985" spans="6:18" ht="24" customHeight="1">
      <c r="H1985" s="582" t="s">
        <v>117</v>
      </c>
      <c r="N1985" s="576"/>
      <c r="O1985" s="582" t="s">
        <v>117</v>
      </c>
      <c r="Q1985" s="578"/>
    </row>
    <row r="1986" spans="6:18" ht="24" customHeight="1">
      <c r="F1986" s="587">
        <v>1</v>
      </c>
      <c r="G1986" s="585" t="s">
        <v>209</v>
      </c>
      <c r="H1986" s="573" t="s">
        <v>2043</v>
      </c>
      <c r="I1986" s="587">
        <f>(C201)</f>
        <v>1180</v>
      </c>
      <c r="J1986" s="573" t="s">
        <v>209</v>
      </c>
      <c r="K1986" s="587">
        <f>(F1986*I1986)</f>
        <v>1180</v>
      </c>
      <c r="M1986" s="587">
        <v>1</v>
      </c>
      <c r="N1986" s="585" t="s">
        <v>209</v>
      </c>
      <c r="O1986" s="573" t="s">
        <v>2043</v>
      </c>
      <c r="P1986" s="587">
        <f>I1986</f>
        <v>1180</v>
      </c>
      <c r="Q1986" s="573" t="s">
        <v>209</v>
      </c>
      <c r="R1986" s="587">
        <f>(M1986*P1986)</f>
        <v>1180</v>
      </c>
    </row>
    <row r="1987" spans="6:18" ht="24" customHeight="1">
      <c r="F1987" s="617">
        <v>0.40500000000000003</v>
      </c>
      <c r="G1987" s="585" t="s">
        <v>126</v>
      </c>
      <c r="H1987" s="573" t="s">
        <v>2051</v>
      </c>
      <c r="I1987" s="587">
        <f>(K1330)</f>
        <v>3346.7475999999997</v>
      </c>
      <c r="J1987" s="573" t="s">
        <v>126</v>
      </c>
      <c r="K1987" s="587">
        <f>(F1987*I1987)</f>
        <v>1355.4327779999999</v>
      </c>
      <c r="M1987" s="617">
        <v>0.40500000000000003</v>
      </c>
      <c r="N1987" s="585" t="s">
        <v>126</v>
      </c>
      <c r="O1987" s="573" t="s">
        <v>2051</v>
      </c>
      <c r="P1987" s="587">
        <f t="shared" ref="P1987:P1996" si="227">I1987</f>
        <v>3346.7475999999997</v>
      </c>
      <c r="Q1987" s="573" t="s">
        <v>126</v>
      </c>
      <c r="R1987" s="587">
        <f>(M1987*P1987)</f>
        <v>1355.4327779999999</v>
      </c>
    </row>
    <row r="1988" spans="6:18" ht="24" customHeight="1">
      <c r="H1988" s="573" t="s">
        <v>2052</v>
      </c>
      <c r="I1988" s="573" t="s">
        <v>115</v>
      </c>
      <c r="K1988" s="573" t="s">
        <v>115</v>
      </c>
      <c r="N1988" s="576"/>
      <c r="O1988" s="573" t="s">
        <v>2052</v>
      </c>
      <c r="P1988" s="587" t="str">
        <f t="shared" si="227"/>
        <v/>
      </c>
      <c r="Q1988" s="578"/>
      <c r="R1988" s="573" t="s">
        <v>115</v>
      </c>
    </row>
    <row r="1989" spans="6:18" ht="24" customHeight="1">
      <c r="F1989" s="587">
        <v>1.89</v>
      </c>
      <c r="G1989" s="585" t="s">
        <v>140</v>
      </c>
      <c r="H1989" s="573" t="s">
        <v>2053</v>
      </c>
      <c r="I1989" s="587">
        <f>(K1442)</f>
        <v>222.60320000000002</v>
      </c>
      <c r="J1989" s="573" t="s">
        <v>140</v>
      </c>
      <c r="K1989" s="587">
        <f>(F1989*I1989)</f>
        <v>420.72004800000002</v>
      </c>
      <c r="M1989" s="587">
        <v>1.89</v>
      </c>
      <c r="N1989" s="585" t="s">
        <v>140</v>
      </c>
      <c r="O1989" s="573" t="s">
        <v>2053</v>
      </c>
      <c r="P1989" s="587">
        <f t="shared" si="227"/>
        <v>222.60320000000002</v>
      </c>
      <c r="Q1989" s="573" t="s">
        <v>140</v>
      </c>
      <c r="R1989" s="587">
        <f>(M1989*P1989)</f>
        <v>420.72004800000002</v>
      </c>
    </row>
    <row r="1990" spans="6:18" ht="24" customHeight="1">
      <c r="H1990" s="573" t="s">
        <v>2054</v>
      </c>
      <c r="I1990" s="573" t="s">
        <v>115</v>
      </c>
      <c r="K1990" s="573" t="s">
        <v>115</v>
      </c>
      <c r="N1990" s="576"/>
      <c r="O1990" s="573" t="s">
        <v>2054</v>
      </c>
      <c r="P1990" s="587" t="str">
        <f t="shared" si="227"/>
        <v/>
      </c>
      <c r="Q1990" s="578"/>
      <c r="R1990" s="573" t="s">
        <v>115</v>
      </c>
    </row>
    <row r="1991" spans="6:18" ht="24" customHeight="1">
      <c r="F1991" s="617">
        <v>8.1000000000000003E-2</v>
      </c>
      <c r="G1991" s="585" t="s">
        <v>126</v>
      </c>
      <c r="H1991" s="573" t="s">
        <v>2055</v>
      </c>
      <c r="I1991" s="587">
        <f>(R60)</f>
        <v>3502.9379999999996</v>
      </c>
      <c r="J1991" s="573" t="s">
        <v>126</v>
      </c>
      <c r="K1991" s="587">
        <f>(F1991*I1991)</f>
        <v>283.737978</v>
      </c>
      <c r="M1991" s="617">
        <v>8.1000000000000003E-2</v>
      </c>
      <c r="N1991" s="585" t="s">
        <v>126</v>
      </c>
      <c r="O1991" s="573" t="s">
        <v>2055</v>
      </c>
      <c r="P1991" s="587">
        <f t="shared" si="227"/>
        <v>3502.9379999999996</v>
      </c>
      <c r="Q1991" s="573" t="s">
        <v>126</v>
      </c>
      <c r="R1991" s="587">
        <f>(M1991*P1991)</f>
        <v>283.737978</v>
      </c>
    </row>
    <row r="1992" spans="6:18" ht="24" customHeight="1">
      <c r="H1992" s="573" t="s">
        <v>2056</v>
      </c>
      <c r="N1992" s="576"/>
      <c r="O1992" s="573" t="s">
        <v>2056</v>
      </c>
      <c r="P1992" s="587"/>
      <c r="Q1992" s="578"/>
    </row>
    <row r="1993" spans="6:18" ht="24" customHeight="1">
      <c r="F1993" s="587">
        <v>1</v>
      </c>
      <c r="G1993" s="585" t="s">
        <v>1</v>
      </c>
      <c r="H1993" s="573" t="s">
        <v>210</v>
      </c>
      <c r="I1993" s="587">
        <f>(C15)</f>
        <v>667</v>
      </c>
      <c r="J1993" s="573" t="s">
        <v>1</v>
      </c>
      <c r="K1993" s="587">
        <f>(F1993*I1993)</f>
        <v>667</v>
      </c>
      <c r="M1993" s="587">
        <v>1</v>
      </c>
      <c r="N1993" s="585" t="s">
        <v>1</v>
      </c>
      <c r="O1993" s="573" t="s">
        <v>210</v>
      </c>
      <c r="P1993" s="587">
        <f t="shared" si="227"/>
        <v>667</v>
      </c>
      <c r="Q1993" s="573" t="s">
        <v>1</v>
      </c>
      <c r="R1993" s="587">
        <f>(M1993*P1993)</f>
        <v>667</v>
      </c>
    </row>
    <row r="1994" spans="6:18" ht="24" customHeight="1">
      <c r="F1994" s="587">
        <v>0.5</v>
      </c>
      <c r="G1994" s="585" t="s">
        <v>209</v>
      </c>
      <c r="H1994" s="573" t="s">
        <v>145</v>
      </c>
      <c r="I1994" s="587">
        <f>(C11)</f>
        <v>718</v>
      </c>
      <c r="J1994" s="573" t="s">
        <v>209</v>
      </c>
      <c r="K1994" s="587">
        <f>(F1994*I1994)</f>
        <v>359</v>
      </c>
      <c r="M1994" s="587">
        <v>0.5</v>
      </c>
      <c r="N1994" s="585" t="s">
        <v>209</v>
      </c>
      <c r="O1994" s="573" t="s">
        <v>145</v>
      </c>
      <c r="P1994" s="587">
        <f t="shared" si="227"/>
        <v>718</v>
      </c>
      <c r="Q1994" s="573" t="s">
        <v>209</v>
      </c>
      <c r="R1994" s="587">
        <f>(M1994*P1994)</f>
        <v>359</v>
      </c>
    </row>
    <row r="1995" spans="6:18" ht="24" customHeight="1">
      <c r="F1995" s="587">
        <v>0.5</v>
      </c>
      <c r="G1995" s="585" t="s">
        <v>209</v>
      </c>
      <c r="H1995" s="573" t="s">
        <v>146</v>
      </c>
      <c r="I1995" s="587">
        <f>(C12)</f>
        <v>502</v>
      </c>
      <c r="J1995" s="573" t="s">
        <v>209</v>
      </c>
      <c r="K1995" s="587">
        <f>(F1995*I1995)</f>
        <v>251</v>
      </c>
      <c r="M1995" s="587">
        <v>0.5</v>
      </c>
      <c r="N1995" s="585" t="s">
        <v>209</v>
      </c>
      <c r="O1995" s="573" t="s">
        <v>146</v>
      </c>
      <c r="P1995" s="587">
        <f t="shared" si="227"/>
        <v>502</v>
      </c>
      <c r="Q1995" s="573" t="s">
        <v>209</v>
      </c>
      <c r="R1995" s="587">
        <f>(M1995*P1995)</f>
        <v>251</v>
      </c>
    </row>
    <row r="1996" spans="6:18" ht="24" customHeight="1">
      <c r="G1996" s="585" t="s">
        <v>129</v>
      </c>
      <c r="H1996" s="573" t="s">
        <v>130</v>
      </c>
      <c r="I1996" s="573" t="s">
        <v>115</v>
      </c>
      <c r="J1996" s="573" t="s">
        <v>129</v>
      </c>
      <c r="K1996" s="587">
        <v>1.03</v>
      </c>
      <c r="N1996" s="585"/>
      <c r="O1996" s="577" t="s">
        <v>2047</v>
      </c>
      <c r="P1996" s="587" t="str">
        <f t="shared" si="227"/>
        <v/>
      </c>
      <c r="Q1996" s="573"/>
      <c r="R1996" s="615">
        <v>-164</v>
      </c>
    </row>
    <row r="1997" spans="6:18" ht="24" customHeight="1">
      <c r="H1997" s="573" t="s">
        <v>115</v>
      </c>
      <c r="K1997" s="582" t="s">
        <v>117</v>
      </c>
      <c r="O1997" s="577" t="s">
        <v>2048</v>
      </c>
      <c r="P1997" s="587"/>
      <c r="Q1997" s="573"/>
      <c r="R1997" s="615">
        <v>134.1</v>
      </c>
    </row>
    <row r="1998" spans="6:18" ht="24" customHeight="1" thickBot="1">
      <c r="H1998" s="573" t="s">
        <v>991</v>
      </c>
      <c r="K1998" s="587">
        <f>SUM(K1986:K1996)</f>
        <v>4517.9208040000003</v>
      </c>
      <c r="N1998" s="576" t="s">
        <v>166</v>
      </c>
      <c r="O1998" s="577" t="s">
        <v>236</v>
      </c>
      <c r="Q1998" s="578"/>
      <c r="R1998" s="587">
        <v>0.47</v>
      </c>
    </row>
    <row r="1999" spans="6:18" ht="24" customHeight="1" thickTop="1">
      <c r="K1999" s="582" t="s">
        <v>155</v>
      </c>
      <c r="N1999" s="576"/>
      <c r="O1999" s="606" t="s">
        <v>991</v>
      </c>
      <c r="Q1999" s="578"/>
      <c r="R1999" s="834">
        <f>SUM(R1986:R1998)</f>
        <v>4487.4608040000012</v>
      </c>
    </row>
    <row r="2000" spans="6:18" ht="24" customHeight="1" thickBot="1">
      <c r="G2000" s="585" t="s">
        <v>115</v>
      </c>
      <c r="H2000" s="573" t="s">
        <v>115</v>
      </c>
      <c r="K2000" s="573" t="s">
        <v>115</v>
      </c>
      <c r="N2000" s="576"/>
      <c r="Q2000" s="578"/>
      <c r="R2000" s="835"/>
    </row>
    <row r="2001" spans="6:19" ht="24" customHeight="1" thickTop="1">
      <c r="F2001" s="607">
        <v>57</v>
      </c>
      <c r="G2001" s="585" t="s">
        <v>122</v>
      </c>
      <c r="H2001" s="573" t="s">
        <v>2057</v>
      </c>
    </row>
    <row r="2002" spans="6:19" ht="24" customHeight="1">
      <c r="H2002" s="573" t="s">
        <v>2058</v>
      </c>
      <c r="M2002" s="607">
        <v>57</v>
      </c>
      <c r="N2002" s="585" t="s">
        <v>122</v>
      </c>
      <c r="O2002" s="573" t="s">
        <v>2057</v>
      </c>
      <c r="Q2002" s="578"/>
      <c r="S2002" s="575"/>
    </row>
    <row r="2003" spans="6:19" ht="24" customHeight="1">
      <c r="H2003" s="573" t="s">
        <v>2059</v>
      </c>
      <c r="N2003" s="576"/>
      <c r="O2003" s="573" t="s">
        <v>2058</v>
      </c>
      <c r="Q2003" s="578"/>
      <c r="S2003" s="575"/>
    </row>
    <row r="2004" spans="6:19" ht="24" customHeight="1">
      <c r="H2004" s="582" t="s">
        <v>117</v>
      </c>
      <c r="N2004" s="576"/>
      <c r="O2004" s="573" t="s">
        <v>2059</v>
      </c>
      <c r="Q2004" s="578"/>
      <c r="S2004" s="575"/>
    </row>
    <row r="2005" spans="6:19" ht="60.75" customHeight="1">
      <c r="F2005" s="824">
        <v>1</v>
      </c>
      <c r="G2005" s="824" t="s">
        <v>1006</v>
      </c>
      <c r="H2005" s="637" t="s">
        <v>2060</v>
      </c>
      <c r="I2005" s="824">
        <f>C613</f>
        <v>3030</v>
      </c>
      <c r="J2005" s="826" t="s">
        <v>1006</v>
      </c>
      <c r="K2005" s="824">
        <f>(F2005*I2005)</f>
        <v>3030</v>
      </c>
      <c r="N2005" s="576"/>
      <c r="O2005" s="582" t="s">
        <v>117</v>
      </c>
      <c r="Q2005" s="578"/>
      <c r="S2005" s="575"/>
    </row>
    <row r="2006" spans="6:19" ht="48.75" customHeight="1">
      <c r="F2006" s="587"/>
      <c r="G2006" s="585"/>
      <c r="H2006" s="836" t="s">
        <v>2061</v>
      </c>
      <c r="I2006" s="587"/>
      <c r="J2006" s="573"/>
      <c r="K2006" s="587"/>
      <c r="M2006" s="824">
        <v>1</v>
      </c>
      <c r="N2006" s="824" t="s">
        <v>1006</v>
      </c>
      <c r="O2006" s="637" t="s">
        <v>2062</v>
      </c>
      <c r="P2006" s="824">
        <f>I2005</f>
        <v>3030</v>
      </c>
      <c r="Q2006" s="826" t="s">
        <v>1006</v>
      </c>
      <c r="R2006" s="824">
        <f>(M2006*P2006)</f>
        <v>3030</v>
      </c>
      <c r="S2006" s="575"/>
    </row>
    <row r="2007" spans="6:19" ht="36" customHeight="1">
      <c r="F2007" s="587">
        <v>1</v>
      </c>
      <c r="G2007" s="585" t="s">
        <v>209</v>
      </c>
      <c r="H2007" s="573" t="s">
        <v>144</v>
      </c>
      <c r="I2007" s="587">
        <f>(C10)</f>
        <v>769</v>
      </c>
      <c r="J2007" s="573" t="s">
        <v>209</v>
      </c>
      <c r="K2007" s="587">
        <f>(F2007*I2007)</f>
        <v>769</v>
      </c>
      <c r="M2007" s="587"/>
      <c r="N2007" s="585"/>
      <c r="O2007" s="836" t="s">
        <v>2061</v>
      </c>
      <c r="P2007" s="587"/>
      <c r="Q2007" s="573"/>
      <c r="R2007" s="587"/>
      <c r="S2007" s="575"/>
    </row>
    <row r="2008" spans="6:19" ht="24" customHeight="1">
      <c r="F2008" s="587">
        <v>2</v>
      </c>
      <c r="G2008" s="585" t="s">
        <v>209</v>
      </c>
      <c r="H2008" s="573" t="s">
        <v>210</v>
      </c>
      <c r="I2008" s="587">
        <f>(C15)</f>
        <v>667</v>
      </c>
      <c r="J2008" s="573" t="s">
        <v>209</v>
      </c>
      <c r="K2008" s="587">
        <f>(F2008*I2008)</f>
        <v>1334</v>
      </c>
      <c r="M2008" s="587">
        <v>1</v>
      </c>
      <c r="N2008" s="585" t="s">
        <v>209</v>
      </c>
      <c r="O2008" s="573" t="s">
        <v>144</v>
      </c>
      <c r="P2008" s="587">
        <f t="shared" ref="P2008:P2013" si="228">I2007</f>
        <v>769</v>
      </c>
      <c r="Q2008" s="573" t="s">
        <v>209</v>
      </c>
      <c r="R2008" s="587">
        <f>(M2008*P2008)</f>
        <v>769</v>
      </c>
      <c r="S2008" s="575"/>
    </row>
    <row r="2009" spans="6:19" ht="24" customHeight="1">
      <c r="F2009" s="587">
        <v>1</v>
      </c>
      <c r="G2009" s="585" t="s">
        <v>209</v>
      </c>
      <c r="H2009" s="573" t="s">
        <v>147</v>
      </c>
      <c r="I2009" s="587">
        <f>(C13)</f>
        <v>412</v>
      </c>
      <c r="J2009" s="573" t="s">
        <v>209</v>
      </c>
      <c r="K2009" s="587">
        <f>(F2009*I2009)</f>
        <v>412</v>
      </c>
      <c r="M2009" s="587">
        <v>2</v>
      </c>
      <c r="N2009" s="585" t="s">
        <v>209</v>
      </c>
      <c r="O2009" s="573" t="s">
        <v>210</v>
      </c>
      <c r="P2009" s="587">
        <f t="shared" si="228"/>
        <v>667</v>
      </c>
      <c r="Q2009" s="573" t="s">
        <v>209</v>
      </c>
      <c r="R2009" s="587">
        <f>(M2009*P2009)</f>
        <v>1334</v>
      </c>
      <c r="S2009" s="575"/>
    </row>
    <row r="2010" spans="6:19" ht="24" customHeight="1">
      <c r="F2010" s="587"/>
      <c r="G2010" s="585"/>
      <c r="H2010" s="836" t="s">
        <v>2063</v>
      </c>
      <c r="I2010" s="587"/>
      <c r="J2010" s="573"/>
      <c r="K2010" s="587"/>
      <c r="M2010" s="587">
        <v>1</v>
      </c>
      <c r="N2010" s="585" t="s">
        <v>209</v>
      </c>
      <c r="O2010" s="573" t="s">
        <v>147</v>
      </c>
      <c r="P2010" s="587">
        <f t="shared" si="228"/>
        <v>412</v>
      </c>
      <c r="Q2010" s="573" t="s">
        <v>209</v>
      </c>
      <c r="R2010" s="587">
        <f>(M2010*P2010)</f>
        <v>412</v>
      </c>
      <c r="S2010" s="575"/>
    </row>
    <row r="2011" spans="6:19" ht="24" customHeight="1">
      <c r="F2011" s="587">
        <v>0.5</v>
      </c>
      <c r="G2011" s="585" t="s">
        <v>209</v>
      </c>
      <c r="H2011" s="573" t="s">
        <v>210</v>
      </c>
      <c r="I2011" s="587">
        <f>(C15)</f>
        <v>667</v>
      </c>
      <c r="J2011" s="573" t="s">
        <v>209</v>
      </c>
      <c r="K2011" s="587">
        <f>(F2011*I2011)</f>
        <v>333.5</v>
      </c>
      <c r="M2011" s="587"/>
      <c r="N2011" s="585"/>
      <c r="O2011" s="836" t="s">
        <v>2063</v>
      </c>
      <c r="P2011" s="587"/>
      <c r="Q2011" s="573"/>
      <c r="R2011" s="587"/>
      <c r="S2011" s="575"/>
    </row>
    <row r="2012" spans="6:19" ht="24" customHeight="1">
      <c r="F2012" s="587">
        <v>0.5</v>
      </c>
      <c r="G2012" s="585" t="s">
        <v>209</v>
      </c>
      <c r="H2012" s="573" t="s">
        <v>146</v>
      </c>
      <c r="I2012" s="587">
        <f>(C12)</f>
        <v>502</v>
      </c>
      <c r="J2012" s="573" t="s">
        <v>209</v>
      </c>
      <c r="K2012" s="587">
        <f>(F2012*I2012)</f>
        <v>251</v>
      </c>
      <c r="M2012" s="587">
        <v>0.5</v>
      </c>
      <c r="N2012" s="585" t="s">
        <v>209</v>
      </c>
      <c r="O2012" s="573" t="s">
        <v>210</v>
      </c>
      <c r="P2012" s="587">
        <f t="shared" si="228"/>
        <v>667</v>
      </c>
      <c r="Q2012" s="573" t="s">
        <v>209</v>
      </c>
      <c r="R2012" s="587">
        <f>(M2012*P2012)</f>
        <v>333.5</v>
      </c>
      <c r="S2012" s="575"/>
    </row>
    <row r="2013" spans="6:19" ht="24" customHeight="1">
      <c r="G2013" s="585" t="s">
        <v>129</v>
      </c>
      <c r="H2013" s="573" t="s">
        <v>130</v>
      </c>
      <c r="J2013" s="573" t="s">
        <v>129</v>
      </c>
      <c r="K2013" s="587">
        <v>0.7</v>
      </c>
      <c r="M2013" s="587">
        <v>0.5</v>
      </c>
      <c r="N2013" s="585" t="s">
        <v>209</v>
      </c>
      <c r="O2013" s="573" t="s">
        <v>146</v>
      </c>
      <c r="P2013" s="587">
        <f t="shared" si="228"/>
        <v>502</v>
      </c>
      <c r="Q2013" s="573" t="s">
        <v>209</v>
      </c>
      <c r="R2013" s="587">
        <f>(M2013*P2013)</f>
        <v>251</v>
      </c>
      <c r="S2013" s="575"/>
    </row>
    <row r="2014" spans="6:19" ht="24" customHeight="1">
      <c r="K2014" s="582" t="s">
        <v>117</v>
      </c>
      <c r="M2014" s="587"/>
      <c r="N2014" s="585"/>
      <c r="O2014" s="577" t="s">
        <v>2047</v>
      </c>
      <c r="P2014" s="587">
        <f>I2014</f>
        <v>0</v>
      </c>
      <c r="Q2014" s="573"/>
      <c r="R2014" s="615">
        <v>-164</v>
      </c>
      <c r="S2014" s="575"/>
    </row>
    <row r="2015" spans="6:19" ht="24" customHeight="1">
      <c r="H2015" s="573" t="s">
        <v>991</v>
      </c>
      <c r="K2015" s="587">
        <f>SUM(K2005:K2013)</f>
        <v>6130.2</v>
      </c>
      <c r="M2015" s="587"/>
      <c r="N2015" s="585"/>
      <c r="O2015" s="577" t="s">
        <v>2048</v>
      </c>
      <c r="P2015" s="587"/>
      <c r="Q2015" s="573"/>
      <c r="R2015" s="615">
        <v>134.1</v>
      </c>
      <c r="S2015" s="575"/>
    </row>
    <row r="2016" spans="6:19" ht="24" customHeight="1">
      <c r="F2016" s="573" t="s">
        <v>115</v>
      </c>
      <c r="N2016" s="585" t="s">
        <v>129</v>
      </c>
      <c r="O2016" s="573" t="s">
        <v>130</v>
      </c>
      <c r="Q2016" s="573" t="s">
        <v>129</v>
      </c>
      <c r="R2016" s="587">
        <v>0.7</v>
      </c>
      <c r="S2016" s="575"/>
    </row>
    <row r="2017" spans="6:19" ht="24" customHeight="1">
      <c r="K2017" s="582" t="s">
        <v>117</v>
      </c>
      <c r="N2017" s="576"/>
      <c r="O2017" s="573" t="s">
        <v>991</v>
      </c>
      <c r="Q2017" s="578"/>
      <c r="R2017" s="587"/>
      <c r="S2017" s="575"/>
    </row>
    <row r="2018" spans="6:19" ht="24" customHeight="1">
      <c r="G2018" s="585" t="s">
        <v>115</v>
      </c>
      <c r="H2018" s="573" t="s">
        <v>115</v>
      </c>
      <c r="K2018" s="573" t="s">
        <v>115</v>
      </c>
      <c r="N2018" s="576"/>
      <c r="Q2018" s="578"/>
      <c r="R2018" s="619">
        <f>SUM(R2006:R2017)</f>
        <v>6100.3</v>
      </c>
      <c r="S2018" s="575"/>
    </row>
    <row r="2019" spans="6:19" ht="24" customHeight="1">
      <c r="H2019" s="573" t="s">
        <v>115</v>
      </c>
      <c r="M2019" s="573" t="s">
        <v>115</v>
      </c>
      <c r="N2019" s="576"/>
      <c r="S2019" s="575"/>
    </row>
    <row r="2020" spans="6:19" ht="24" customHeight="1">
      <c r="F2020" s="620">
        <v>57.1</v>
      </c>
      <c r="G2020" s="585" t="s">
        <v>122</v>
      </c>
      <c r="H2020" s="573" t="s">
        <v>2064</v>
      </c>
      <c r="M2020" s="607">
        <v>57</v>
      </c>
      <c r="N2020" s="585" t="s">
        <v>122</v>
      </c>
      <c r="O2020" s="573" t="s">
        <v>2064</v>
      </c>
      <c r="Q2020" s="578"/>
      <c r="S2020" s="575"/>
    </row>
    <row r="2021" spans="6:19" ht="24" customHeight="1">
      <c r="H2021" s="573" t="s">
        <v>2058</v>
      </c>
      <c r="N2021" s="576"/>
      <c r="O2021" s="573" t="s">
        <v>2058</v>
      </c>
      <c r="Q2021" s="578"/>
    </row>
    <row r="2022" spans="6:19" ht="24" customHeight="1">
      <c r="H2022" s="573" t="s">
        <v>2059</v>
      </c>
      <c r="N2022" s="576"/>
      <c r="O2022" s="573" t="s">
        <v>2059</v>
      </c>
      <c r="Q2022" s="578"/>
    </row>
    <row r="2023" spans="6:19" ht="24" customHeight="1">
      <c r="H2023" s="582" t="s">
        <v>117</v>
      </c>
      <c r="N2023" s="576"/>
      <c r="O2023" s="582" t="s">
        <v>117</v>
      </c>
      <c r="Q2023" s="578"/>
    </row>
    <row r="2024" spans="6:19" ht="62.25" customHeight="1">
      <c r="F2024" s="824">
        <v>1</v>
      </c>
      <c r="G2024" s="824" t="s">
        <v>1006</v>
      </c>
      <c r="H2024" s="633" t="s">
        <v>2062</v>
      </c>
      <c r="I2024" s="575">
        <f>E613</f>
        <v>3420</v>
      </c>
      <c r="J2024" s="826" t="s">
        <v>1006</v>
      </c>
      <c r="K2024" s="824">
        <f>(F2024*I2024)</f>
        <v>3420</v>
      </c>
      <c r="M2024" s="824">
        <v>1</v>
      </c>
      <c r="N2024" s="824" t="s">
        <v>1006</v>
      </c>
      <c r="O2024" s="637" t="s">
        <v>2062</v>
      </c>
      <c r="P2024" s="824">
        <f>I2024</f>
        <v>3420</v>
      </c>
      <c r="Q2024" s="826" t="s">
        <v>1006</v>
      </c>
      <c r="R2024" s="824">
        <f>(M2024*P2024)</f>
        <v>3420</v>
      </c>
    </row>
    <row r="2025" spans="6:19" ht="54.75" customHeight="1">
      <c r="F2025" s="587"/>
      <c r="G2025" s="585"/>
      <c r="H2025" s="836" t="s">
        <v>2061</v>
      </c>
      <c r="J2025" s="573"/>
      <c r="K2025" s="587"/>
      <c r="M2025" s="587"/>
      <c r="N2025" s="585"/>
      <c r="O2025" s="836" t="s">
        <v>2061</v>
      </c>
      <c r="P2025" s="587"/>
      <c r="Q2025" s="573"/>
      <c r="R2025" s="824"/>
    </row>
    <row r="2026" spans="6:19" ht="24" customHeight="1">
      <c r="F2026" s="587">
        <v>1</v>
      </c>
      <c r="G2026" s="585" t="s">
        <v>209</v>
      </c>
      <c r="H2026" s="573" t="s">
        <v>144</v>
      </c>
      <c r="I2026" s="575">
        <f>C10</f>
        <v>769</v>
      </c>
      <c r="J2026" s="573" t="s">
        <v>209</v>
      </c>
      <c r="K2026" s="587">
        <f>(F2026*I2026)</f>
        <v>769</v>
      </c>
      <c r="M2026" s="587">
        <v>1</v>
      </c>
      <c r="N2026" s="585" t="s">
        <v>209</v>
      </c>
      <c r="O2026" s="573" t="s">
        <v>144</v>
      </c>
      <c r="P2026" s="587">
        <f>I2026</f>
        <v>769</v>
      </c>
      <c r="Q2026" s="573" t="s">
        <v>209</v>
      </c>
      <c r="R2026" s="824">
        <f>(M2026*P2026)</f>
        <v>769</v>
      </c>
    </row>
    <row r="2027" spans="6:19" ht="24" customHeight="1">
      <c r="F2027" s="587">
        <v>2</v>
      </c>
      <c r="G2027" s="585" t="s">
        <v>209</v>
      </c>
      <c r="H2027" s="573" t="s">
        <v>210</v>
      </c>
      <c r="I2027" s="575">
        <f>C15</f>
        <v>667</v>
      </c>
      <c r="J2027" s="573" t="s">
        <v>209</v>
      </c>
      <c r="K2027" s="587">
        <f>(F2027*I2027)</f>
        <v>1334</v>
      </c>
      <c r="M2027" s="587">
        <v>2</v>
      </c>
      <c r="N2027" s="585" t="s">
        <v>209</v>
      </c>
      <c r="O2027" s="573" t="s">
        <v>210</v>
      </c>
      <c r="P2027" s="587">
        <f>I2027</f>
        <v>667</v>
      </c>
      <c r="Q2027" s="573" t="s">
        <v>209</v>
      </c>
      <c r="R2027" s="824">
        <f>(M2027*P2027)</f>
        <v>1334</v>
      </c>
    </row>
    <row r="2028" spans="6:19" ht="24" customHeight="1">
      <c r="F2028" s="587">
        <v>1</v>
      </c>
      <c r="G2028" s="585" t="s">
        <v>209</v>
      </c>
      <c r="H2028" s="573" t="s">
        <v>147</v>
      </c>
      <c r="I2028" s="575">
        <f>C13</f>
        <v>412</v>
      </c>
      <c r="J2028" s="573" t="s">
        <v>209</v>
      </c>
      <c r="K2028" s="587">
        <f>(F2028*I2028)</f>
        <v>412</v>
      </c>
      <c r="M2028" s="587">
        <v>1</v>
      </c>
      <c r="N2028" s="585" t="s">
        <v>209</v>
      </c>
      <c r="O2028" s="573" t="s">
        <v>147</v>
      </c>
      <c r="P2028" s="587">
        <f>I2028</f>
        <v>412</v>
      </c>
      <c r="Q2028" s="573" t="s">
        <v>209</v>
      </c>
      <c r="R2028" s="824">
        <f>(M2028*P2028)</f>
        <v>412</v>
      </c>
    </row>
    <row r="2029" spans="6:19" ht="24" customHeight="1">
      <c r="F2029" s="587"/>
      <c r="G2029" s="585"/>
      <c r="H2029" s="836" t="s">
        <v>2063</v>
      </c>
      <c r="J2029" s="573"/>
      <c r="K2029" s="587"/>
      <c r="M2029" s="587"/>
      <c r="N2029" s="585"/>
      <c r="O2029" s="836" t="s">
        <v>2063</v>
      </c>
      <c r="Q2029" s="573"/>
      <c r="R2029" s="587"/>
    </row>
    <row r="2030" spans="6:19" ht="24" customHeight="1">
      <c r="F2030" s="587">
        <v>0.5</v>
      </c>
      <c r="G2030" s="585" t="s">
        <v>209</v>
      </c>
      <c r="H2030" s="573" t="s">
        <v>210</v>
      </c>
      <c r="I2030" s="575">
        <f>C15</f>
        <v>667</v>
      </c>
      <c r="J2030" s="573" t="s">
        <v>209</v>
      </c>
      <c r="K2030" s="587">
        <f>(F2030*I2030)</f>
        <v>333.5</v>
      </c>
      <c r="M2030" s="587">
        <v>0.5</v>
      </c>
      <c r="N2030" s="585" t="s">
        <v>209</v>
      </c>
      <c r="O2030" s="573" t="s">
        <v>210</v>
      </c>
      <c r="P2030" s="587">
        <f>I2030</f>
        <v>667</v>
      </c>
      <c r="Q2030" s="573" t="s">
        <v>209</v>
      </c>
      <c r="R2030" s="587">
        <f>(M2030*P2030)</f>
        <v>333.5</v>
      </c>
    </row>
    <row r="2031" spans="6:19" ht="24" customHeight="1">
      <c r="F2031" s="587">
        <v>0.5</v>
      </c>
      <c r="G2031" s="585" t="s">
        <v>209</v>
      </c>
      <c r="H2031" s="573" t="s">
        <v>146</v>
      </c>
      <c r="I2031" s="575">
        <f>C12</f>
        <v>502</v>
      </c>
      <c r="J2031" s="573" t="s">
        <v>209</v>
      </c>
      <c r="K2031" s="587">
        <f>(F2031*I2031)</f>
        <v>251</v>
      </c>
      <c r="M2031" s="587">
        <v>0.5</v>
      </c>
      <c r="N2031" s="585" t="s">
        <v>209</v>
      </c>
      <c r="O2031" s="573" t="s">
        <v>146</v>
      </c>
      <c r="P2031" s="587">
        <f>I2031</f>
        <v>502</v>
      </c>
      <c r="Q2031" s="573" t="s">
        <v>209</v>
      </c>
      <c r="R2031" s="587">
        <f>(M2031*P2031)</f>
        <v>251</v>
      </c>
    </row>
    <row r="2032" spans="6:19" ht="24" customHeight="1">
      <c r="G2032" s="585" t="s">
        <v>129</v>
      </c>
      <c r="H2032" s="573" t="s">
        <v>130</v>
      </c>
      <c r="J2032" s="573" t="s">
        <v>129</v>
      </c>
      <c r="K2032" s="587">
        <v>0.7</v>
      </c>
      <c r="M2032" s="587"/>
      <c r="N2032" s="585"/>
      <c r="O2032" s="577" t="s">
        <v>2047</v>
      </c>
      <c r="P2032" s="587">
        <f>I2032</f>
        <v>0</v>
      </c>
      <c r="Q2032" s="573"/>
      <c r="R2032" s="615">
        <v>-164</v>
      </c>
    </row>
    <row r="2033" spans="6:18" ht="24" customHeight="1">
      <c r="K2033" s="582" t="s">
        <v>117</v>
      </c>
      <c r="M2033" s="587"/>
      <c r="N2033" s="585"/>
      <c r="O2033" s="577" t="s">
        <v>2048</v>
      </c>
      <c r="P2033" s="587"/>
      <c r="Q2033" s="573"/>
      <c r="R2033" s="615">
        <v>134.1</v>
      </c>
    </row>
    <row r="2034" spans="6:18" ht="24" customHeight="1">
      <c r="H2034" s="573" t="s">
        <v>991</v>
      </c>
      <c r="K2034" s="587">
        <f>SUM(K2024:K2032)</f>
        <v>6520.2</v>
      </c>
      <c r="N2034" s="585" t="s">
        <v>129</v>
      </c>
      <c r="O2034" s="573" t="s">
        <v>130</v>
      </c>
      <c r="Q2034" s="573" t="s">
        <v>129</v>
      </c>
      <c r="R2034" s="587">
        <v>0.7</v>
      </c>
    </row>
    <row r="2035" spans="6:18" ht="24" customHeight="1">
      <c r="H2035" s="573"/>
      <c r="N2035" s="576"/>
      <c r="Q2035" s="578"/>
      <c r="R2035" s="582" t="s">
        <v>117</v>
      </c>
    </row>
    <row r="2036" spans="6:18" ht="24" customHeight="1">
      <c r="H2036" s="573" t="s">
        <v>3103</v>
      </c>
      <c r="K2036" s="582" t="s">
        <v>117</v>
      </c>
      <c r="N2036" s="576"/>
      <c r="O2036" s="573" t="s">
        <v>991</v>
      </c>
      <c r="Q2036" s="578"/>
      <c r="R2036" s="587"/>
    </row>
    <row r="2037" spans="6:18" ht="24" customHeight="1">
      <c r="H2037" s="573"/>
      <c r="M2037" s="573" t="s">
        <v>115</v>
      </c>
      <c r="N2037" s="576"/>
      <c r="Q2037" s="578"/>
      <c r="R2037" s="619">
        <f>SUM(R2024:R2036)</f>
        <v>6490.3</v>
      </c>
    </row>
    <row r="2038" spans="6:18" ht="24" customHeight="1">
      <c r="F2038" s="574" t="s">
        <v>193</v>
      </c>
      <c r="G2038" s="585" t="s">
        <v>122</v>
      </c>
      <c r="H2038" s="573" t="s">
        <v>194</v>
      </c>
      <c r="N2038" s="576"/>
      <c r="Q2038" s="578"/>
      <c r="R2038" s="582" t="s">
        <v>117</v>
      </c>
    </row>
    <row r="2039" spans="6:18" ht="24" customHeight="1">
      <c r="H2039" s="573" t="s">
        <v>195</v>
      </c>
    </row>
    <row r="2040" spans="6:18" ht="24" customHeight="1">
      <c r="H2040" s="582" t="s">
        <v>117</v>
      </c>
    </row>
    <row r="2041" spans="6:18" ht="24" customHeight="1">
      <c r="G2041" s="585" t="s">
        <v>196</v>
      </c>
      <c r="H2041" s="573" t="s">
        <v>197</v>
      </c>
    </row>
    <row r="2042" spans="6:18" ht="24" customHeight="1">
      <c r="H2042" s="573" t="s">
        <v>2065</v>
      </c>
    </row>
    <row r="2043" spans="6:18" ht="24" customHeight="1">
      <c r="H2043" s="573" t="s">
        <v>198</v>
      </c>
    </row>
    <row r="2044" spans="6:18" ht="24" customHeight="1">
      <c r="H2044" s="573" t="s">
        <v>199</v>
      </c>
    </row>
    <row r="2045" spans="6:18" ht="24" customHeight="1">
      <c r="H2045" s="573" t="s">
        <v>200</v>
      </c>
    </row>
    <row r="2046" spans="6:18" ht="24" customHeight="1">
      <c r="H2046" s="573" t="s">
        <v>201</v>
      </c>
    </row>
    <row r="2047" spans="6:18" ht="24" customHeight="1">
      <c r="H2047" s="573" t="s">
        <v>202</v>
      </c>
    </row>
    <row r="2048" spans="6:18" ht="24" customHeight="1">
      <c r="H2048" s="582" t="s">
        <v>117</v>
      </c>
    </row>
    <row r="2049" spans="6:11" ht="24" customHeight="1">
      <c r="F2049" s="587">
        <v>3</v>
      </c>
      <c r="G2049" s="585" t="s">
        <v>203</v>
      </c>
      <c r="H2049" s="573" t="s">
        <v>204</v>
      </c>
      <c r="I2049" s="680">
        <f>(C620)</f>
        <v>193.05</v>
      </c>
      <c r="J2049" s="573" t="s">
        <v>203</v>
      </c>
      <c r="K2049" s="587">
        <f t="shared" ref="K2049:K2055" si="229">(F2049*I2049)</f>
        <v>579.15000000000009</v>
      </c>
    </row>
    <row r="2050" spans="6:11" ht="24" customHeight="1">
      <c r="F2050" s="587">
        <v>1</v>
      </c>
      <c r="G2050" s="585" t="s">
        <v>1</v>
      </c>
      <c r="H2050" s="573" t="s">
        <v>205</v>
      </c>
      <c r="I2050" s="615">
        <v>76</v>
      </c>
      <c r="J2050" s="573" t="s">
        <v>206</v>
      </c>
      <c r="K2050" s="587">
        <f t="shared" si="229"/>
        <v>76</v>
      </c>
    </row>
    <row r="2051" spans="6:11" ht="24" customHeight="1">
      <c r="F2051" s="587">
        <v>1</v>
      </c>
      <c r="G2051" s="585" t="s">
        <v>1</v>
      </c>
      <c r="H2051" s="573" t="s">
        <v>207</v>
      </c>
      <c r="I2051" s="587">
        <f>C648</f>
        <v>70</v>
      </c>
      <c r="J2051" s="573" t="s">
        <v>206</v>
      </c>
      <c r="K2051" s="587">
        <f t="shared" si="229"/>
        <v>70</v>
      </c>
    </row>
    <row r="2052" spans="6:11" ht="24" customHeight="1">
      <c r="F2052" s="587">
        <v>1</v>
      </c>
      <c r="G2052" s="585" t="s">
        <v>1</v>
      </c>
      <c r="H2052" s="573" t="s">
        <v>208</v>
      </c>
      <c r="I2052" s="587">
        <f>C645</f>
        <v>159.80000000000001</v>
      </c>
      <c r="J2052" s="573" t="s">
        <v>206</v>
      </c>
      <c r="K2052" s="587">
        <f t="shared" si="229"/>
        <v>159.80000000000001</v>
      </c>
    </row>
    <row r="2053" spans="6:11" ht="24" customHeight="1">
      <c r="F2053" s="587">
        <v>0.5</v>
      </c>
      <c r="G2053" s="585" t="s">
        <v>209</v>
      </c>
      <c r="H2053" s="573" t="s">
        <v>210</v>
      </c>
      <c r="I2053" s="587">
        <f>(C15)</f>
        <v>667</v>
      </c>
      <c r="J2053" s="573" t="s">
        <v>206</v>
      </c>
      <c r="K2053" s="587">
        <f t="shared" si="229"/>
        <v>333.5</v>
      </c>
    </row>
    <row r="2054" spans="6:11" ht="24" customHeight="1">
      <c r="F2054" s="587">
        <v>0.5</v>
      </c>
      <c r="G2054" s="585" t="s">
        <v>209</v>
      </c>
      <c r="H2054" s="573" t="s">
        <v>145</v>
      </c>
      <c r="I2054" s="587">
        <f>(C11)</f>
        <v>718</v>
      </c>
      <c r="J2054" s="573" t="s">
        <v>206</v>
      </c>
      <c r="K2054" s="587">
        <f t="shared" si="229"/>
        <v>359</v>
      </c>
    </row>
    <row r="2055" spans="6:11" ht="24" customHeight="1">
      <c r="F2055" s="587">
        <v>0.5</v>
      </c>
      <c r="G2055" s="585" t="s">
        <v>209</v>
      </c>
      <c r="H2055" s="573" t="s">
        <v>146</v>
      </c>
      <c r="I2055" s="587">
        <f>(C12)</f>
        <v>502</v>
      </c>
      <c r="J2055" s="573" t="s">
        <v>206</v>
      </c>
      <c r="K2055" s="587">
        <f t="shared" si="229"/>
        <v>251</v>
      </c>
    </row>
    <row r="2056" spans="6:11" ht="24" customHeight="1">
      <c r="G2056" s="585" t="s">
        <v>129</v>
      </c>
      <c r="H2056" s="573" t="s">
        <v>211</v>
      </c>
      <c r="I2056" s="680">
        <v>2.79</v>
      </c>
      <c r="J2056" s="573" t="s">
        <v>129</v>
      </c>
      <c r="K2056" s="587">
        <v>2.79</v>
      </c>
    </row>
    <row r="2057" spans="6:11" ht="24" customHeight="1">
      <c r="H2057" s="573" t="s">
        <v>212</v>
      </c>
    </row>
    <row r="2058" spans="6:11" ht="24" customHeight="1">
      <c r="H2058" s="573" t="s">
        <v>213</v>
      </c>
    </row>
    <row r="2059" spans="6:11" ht="24" customHeight="1">
      <c r="H2059" s="573" t="s">
        <v>214</v>
      </c>
      <c r="J2059" s="573" t="s">
        <v>129</v>
      </c>
      <c r="K2059" s="587">
        <v>0.12</v>
      </c>
    </row>
    <row r="2060" spans="6:11" ht="24" customHeight="1">
      <c r="K2060" s="582" t="s">
        <v>117</v>
      </c>
    </row>
    <row r="2061" spans="6:11" ht="24" customHeight="1">
      <c r="H2061" s="573" t="s">
        <v>215</v>
      </c>
      <c r="K2061" s="587">
        <f>SUM(K2049:K2059)</f>
        <v>1831.36</v>
      </c>
    </row>
    <row r="2062" spans="6:11" ht="24" customHeight="1">
      <c r="K2062" s="582" t="s">
        <v>117</v>
      </c>
    </row>
    <row r="2063" spans="6:11" ht="24" customHeight="1">
      <c r="H2063" s="573" t="s">
        <v>216</v>
      </c>
      <c r="K2063" s="587">
        <f>(K2061/3)</f>
        <v>610.45333333333326</v>
      </c>
    </row>
    <row r="2064" spans="6:11" ht="24" customHeight="1">
      <c r="K2064" s="582" t="s">
        <v>117</v>
      </c>
    </row>
    <row r="2065" spans="6:11" ht="24" customHeight="1">
      <c r="F2065" s="574" t="s">
        <v>217</v>
      </c>
      <c r="G2065" s="585" t="s">
        <v>218</v>
      </c>
      <c r="H2065" s="573" t="s">
        <v>219</v>
      </c>
    </row>
    <row r="2066" spans="6:11" ht="24" customHeight="1">
      <c r="H2066" s="573" t="s">
        <v>2066</v>
      </c>
    </row>
    <row r="2067" spans="6:11" ht="24" customHeight="1">
      <c r="H2067" s="573" t="s">
        <v>198</v>
      </c>
    </row>
    <row r="2068" spans="6:11" ht="24" customHeight="1">
      <c r="H2068" s="573" t="s">
        <v>220</v>
      </c>
    </row>
    <row r="2069" spans="6:11" ht="24" customHeight="1">
      <c r="H2069" s="573" t="s">
        <v>221</v>
      </c>
    </row>
    <row r="2070" spans="6:11" ht="24" customHeight="1">
      <c r="H2070" s="573" t="s">
        <v>201</v>
      </c>
    </row>
    <row r="2071" spans="6:11" ht="24" customHeight="1">
      <c r="H2071" s="573" t="s">
        <v>202</v>
      </c>
    </row>
    <row r="2072" spans="6:11" ht="24" customHeight="1">
      <c r="H2072" s="582" t="s">
        <v>117</v>
      </c>
    </row>
    <row r="2073" spans="6:11" ht="24" customHeight="1">
      <c r="F2073" s="587">
        <v>3</v>
      </c>
      <c r="G2073" s="585" t="s">
        <v>203</v>
      </c>
      <c r="H2073" s="573" t="s">
        <v>222</v>
      </c>
      <c r="I2073" s="615">
        <f>C621</f>
        <v>115.85</v>
      </c>
      <c r="J2073" s="573" t="s">
        <v>203</v>
      </c>
      <c r="K2073" s="587">
        <f t="shared" ref="K2073:K2079" si="230">(F2073*I2073)</f>
        <v>347.54999999999995</v>
      </c>
    </row>
    <row r="2074" spans="6:11" ht="24" customHeight="1">
      <c r="F2074" s="587">
        <v>1</v>
      </c>
      <c r="G2074" s="585" t="s">
        <v>1</v>
      </c>
      <c r="H2074" s="573" t="s">
        <v>223</v>
      </c>
      <c r="I2074" s="615">
        <f>C624</f>
        <v>45</v>
      </c>
      <c r="J2074" s="573" t="s">
        <v>206</v>
      </c>
      <c r="K2074" s="587">
        <f t="shared" si="230"/>
        <v>45</v>
      </c>
    </row>
    <row r="2075" spans="6:11" ht="24" customHeight="1">
      <c r="F2075" s="587">
        <v>1</v>
      </c>
      <c r="G2075" s="585" t="s">
        <v>1</v>
      </c>
      <c r="H2075" s="573" t="s">
        <v>224</v>
      </c>
      <c r="I2075" s="587">
        <f>C649</f>
        <v>47.3</v>
      </c>
      <c r="J2075" s="573" t="s">
        <v>206</v>
      </c>
      <c r="K2075" s="587">
        <f t="shared" si="230"/>
        <v>47.3</v>
      </c>
    </row>
    <row r="2076" spans="6:11" ht="24" customHeight="1">
      <c r="F2076" s="587">
        <v>1</v>
      </c>
      <c r="G2076" s="585" t="s">
        <v>1</v>
      </c>
      <c r="H2076" s="573" t="s">
        <v>225</v>
      </c>
      <c r="I2076" s="587">
        <f>C646</f>
        <v>106.6</v>
      </c>
      <c r="J2076" s="573" t="s">
        <v>206</v>
      </c>
      <c r="K2076" s="587">
        <f t="shared" si="230"/>
        <v>106.6</v>
      </c>
    </row>
    <row r="2077" spans="6:11" ht="24" customHeight="1">
      <c r="F2077" s="587">
        <v>0.5</v>
      </c>
      <c r="G2077" s="585" t="s">
        <v>209</v>
      </c>
      <c r="H2077" s="573" t="s">
        <v>210</v>
      </c>
      <c r="I2077" s="587">
        <f>(C15)</f>
        <v>667</v>
      </c>
      <c r="J2077" s="573" t="s">
        <v>206</v>
      </c>
      <c r="K2077" s="587">
        <f t="shared" si="230"/>
        <v>333.5</v>
      </c>
    </row>
    <row r="2078" spans="6:11" ht="24" customHeight="1">
      <c r="F2078" s="587">
        <v>0.5</v>
      </c>
      <c r="G2078" s="585" t="s">
        <v>209</v>
      </c>
      <c r="H2078" s="573" t="s">
        <v>145</v>
      </c>
      <c r="I2078" s="587">
        <f>(C11)</f>
        <v>718</v>
      </c>
      <c r="J2078" s="573" t="s">
        <v>206</v>
      </c>
      <c r="K2078" s="587">
        <f t="shared" si="230"/>
        <v>359</v>
      </c>
    </row>
    <row r="2079" spans="6:11" ht="24" customHeight="1">
      <c r="F2079" s="587">
        <v>0.5</v>
      </c>
      <c r="G2079" s="585" t="s">
        <v>209</v>
      </c>
      <c r="H2079" s="573" t="s">
        <v>146</v>
      </c>
      <c r="I2079" s="587">
        <f>(C12)</f>
        <v>502</v>
      </c>
      <c r="J2079" s="573" t="s">
        <v>206</v>
      </c>
      <c r="K2079" s="587">
        <f t="shared" si="230"/>
        <v>251</v>
      </c>
    </row>
    <row r="2080" spans="6:11" ht="24" customHeight="1">
      <c r="G2080" s="585" t="s">
        <v>129</v>
      </c>
      <c r="H2080" s="573" t="s">
        <v>211</v>
      </c>
      <c r="I2080" s="573" t="s">
        <v>115</v>
      </c>
      <c r="J2080" s="573" t="s">
        <v>129</v>
      </c>
      <c r="K2080" s="587">
        <v>2.73</v>
      </c>
    </row>
    <row r="2081" spans="6:11" ht="24" customHeight="1">
      <c r="H2081" s="573" t="s">
        <v>212</v>
      </c>
    </row>
    <row r="2082" spans="6:11" ht="24" customHeight="1">
      <c r="H2082" s="573" t="s">
        <v>213</v>
      </c>
    </row>
    <row r="2083" spans="6:11" ht="24" customHeight="1">
      <c r="H2083" s="573" t="s">
        <v>214</v>
      </c>
      <c r="J2083" s="573" t="s">
        <v>129</v>
      </c>
      <c r="K2083" s="587">
        <v>0.27</v>
      </c>
    </row>
    <row r="2084" spans="6:11" ht="24" customHeight="1">
      <c r="K2084" s="582" t="s">
        <v>117</v>
      </c>
    </row>
    <row r="2085" spans="6:11" ht="24" customHeight="1">
      <c r="H2085" s="573" t="s">
        <v>215</v>
      </c>
      <c r="K2085" s="587">
        <f>SUM(K2073:K2083)</f>
        <v>1492.9499999999998</v>
      </c>
    </row>
    <row r="2086" spans="6:11" ht="24" customHeight="1">
      <c r="K2086" s="582" t="s">
        <v>117</v>
      </c>
    </row>
    <row r="2087" spans="6:11" ht="24" customHeight="1">
      <c r="H2087" s="573" t="s">
        <v>216</v>
      </c>
      <c r="K2087" s="587">
        <f>(K2085/3)</f>
        <v>497.64999999999992</v>
      </c>
    </row>
    <row r="2088" spans="6:11" ht="24" customHeight="1">
      <c r="K2088" s="582" t="s">
        <v>117</v>
      </c>
    </row>
    <row r="2089" spans="6:11" ht="24" customHeight="1">
      <c r="F2089" s="574" t="s">
        <v>2067</v>
      </c>
      <c r="H2089" s="573" t="s">
        <v>2068</v>
      </c>
    </row>
    <row r="2090" spans="6:11" ht="24" customHeight="1">
      <c r="H2090" s="573" t="s">
        <v>2069</v>
      </c>
    </row>
    <row r="2091" spans="6:11" ht="24" customHeight="1">
      <c r="F2091" s="573" t="s">
        <v>115</v>
      </c>
      <c r="H2091" s="573" t="s">
        <v>2070</v>
      </c>
    </row>
    <row r="2092" spans="6:11" ht="24" customHeight="1">
      <c r="H2092" s="582" t="s">
        <v>117</v>
      </c>
    </row>
    <row r="2093" spans="6:11" ht="24" customHeight="1">
      <c r="F2093" s="587">
        <v>3</v>
      </c>
      <c r="G2093" s="585" t="s">
        <v>1944</v>
      </c>
      <c r="H2093" s="573" t="s">
        <v>2071</v>
      </c>
      <c r="I2093" s="615">
        <f>D620</f>
        <v>120.54</v>
      </c>
      <c r="J2093" s="573" t="s">
        <v>1944</v>
      </c>
      <c r="K2093" s="587">
        <f>(F2093*I2093)</f>
        <v>361.62</v>
      </c>
    </row>
    <row r="2094" spans="6:11" ht="24" customHeight="1">
      <c r="F2094" s="587">
        <v>1</v>
      </c>
      <c r="G2094" s="585" t="s">
        <v>1895</v>
      </c>
      <c r="H2094" s="573" t="s">
        <v>2072</v>
      </c>
      <c r="I2094" s="587">
        <f>C648</f>
        <v>70</v>
      </c>
      <c r="J2094" s="573" t="s">
        <v>1895</v>
      </c>
      <c r="K2094" s="587">
        <f>(F2094*I2094)</f>
        <v>70</v>
      </c>
    </row>
    <row r="2095" spans="6:11" ht="24" customHeight="1">
      <c r="F2095" s="587">
        <v>1</v>
      </c>
      <c r="G2095" s="585" t="s">
        <v>1895</v>
      </c>
      <c r="H2095" s="573" t="s">
        <v>2073</v>
      </c>
      <c r="I2095" s="587">
        <v>8</v>
      </c>
      <c r="J2095" s="573" t="s">
        <v>1895</v>
      </c>
      <c r="K2095" s="587">
        <f>(F2095*I2095)</f>
        <v>8</v>
      </c>
    </row>
    <row r="2096" spans="6:11" ht="24" customHeight="1">
      <c r="F2096" s="574" t="s">
        <v>1947</v>
      </c>
      <c r="H2096" s="573" t="s">
        <v>2074</v>
      </c>
      <c r="I2096" s="574" t="s">
        <v>1947</v>
      </c>
      <c r="K2096" s="587">
        <f>1.21+0.47+0.4</f>
        <v>2.08</v>
      </c>
    </row>
    <row r="2097" spans="6:11" ht="24" customHeight="1">
      <c r="K2097" s="582" t="s">
        <v>117</v>
      </c>
    </row>
    <row r="2098" spans="6:11" ht="24" customHeight="1">
      <c r="H2098" s="573" t="s">
        <v>2075</v>
      </c>
      <c r="K2098" s="587">
        <f>SUM(K2093:K2096)</f>
        <v>441.7</v>
      </c>
    </row>
    <row r="2099" spans="6:11" ht="24" customHeight="1">
      <c r="K2099" s="582" t="s">
        <v>117</v>
      </c>
    </row>
    <row r="2101" spans="6:11" ht="24" customHeight="1">
      <c r="F2101" s="574" t="s">
        <v>2076</v>
      </c>
      <c r="G2101" s="585" t="s">
        <v>122</v>
      </c>
      <c r="H2101" s="573" t="s">
        <v>2077</v>
      </c>
    </row>
    <row r="2102" spans="6:11" ht="24" customHeight="1">
      <c r="H2102" s="573" t="s">
        <v>2078</v>
      </c>
    </row>
    <row r="2103" spans="6:11" ht="24" customHeight="1">
      <c r="H2103" s="582" t="s">
        <v>117</v>
      </c>
    </row>
    <row r="2104" spans="6:11" ht="24" customHeight="1">
      <c r="F2104" s="587">
        <v>1</v>
      </c>
      <c r="G2104" s="585" t="s">
        <v>209</v>
      </c>
      <c r="H2104" s="573" t="s">
        <v>2078</v>
      </c>
      <c r="I2104" s="587">
        <f>(C266)</f>
        <v>167.1</v>
      </c>
      <c r="J2104" s="573" t="s">
        <v>209</v>
      </c>
      <c r="K2104" s="587">
        <f>(F2104*I2104)</f>
        <v>167.1</v>
      </c>
    </row>
    <row r="2105" spans="6:11" ht="24" customHeight="1">
      <c r="F2105" s="587">
        <v>0.05</v>
      </c>
      <c r="G2105" s="585" t="s">
        <v>126</v>
      </c>
      <c r="H2105" s="573" t="s">
        <v>2079</v>
      </c>
      <c r="I2105" s="587">
        <f>(R60)</f>
        <v>3502.9379999999996</v>
      </c>
      <c r="J2105" s="573" t="s">
        <v>126</v>
      </c>
      <c r="K2105" s="587">
        <f>(F2105*I2105)</f>
        <v>175.14689999999999</v>
      </c>
    </row>
    <row r="2106" spans="6:11" ht="24" customHeight="1">
      <c r="F2106" s="587">
        <v>0.5</v>
      </c>
      <c r="G2106" s="585" t="s">
        <v>209</v>
      </c>
      <c r="H2106" s="573" t="s">
        <v>210</v>
      </c>
      <c r="I2106" s="587">
        <f>(C15)</f>
        <v>667</v>
      </c>
      <c r="J2106" s="573" t="s">
        <v>209</v>
      </c>
      <c r="K2106" s="587">
        <f>(F2106*I2106)</f>
        <v>333.5</v>
      </c>
    </row>
    <row r="2107" spans="6:11" ht="24" customHeight="1">
      <c r="F2107" s="587">
        <v>1</v>
      </c>
      <c r="G2107" s="585" t="s">
        <v>209</v>
      </c>
      <c r="H2107" s="573" t="s">
        <v>146</v>
      </c>
      <c r="I2107" s="587">
        <f>(C12)</f>
        <v>502</v>
      </c>
      <c r="J2107" s="573" t="s">
        <v>209</v>
      </c>
      <c r="K2107" s="587">
        <f>(F2107*I2107)</f>
        <v>502</v>
      </c>
    </row>
    <row r="2108" spans="6:11" ht="24" customHeight="1">
      <c r="F2108" s="587">
        <v>1</v>
      </c>
      <c r="G2108" s="585" t="s">
        <v>209</v>
      </c>
      <c r="H2108" s="573" t="s">
        <v>147</v>
      </c>
      <c r="I2108" s="587">
        <f>(C13)</f>
        <v>412</v>
      </c>
      <c r="J2108" s="573" t="s">
        <v>209</v>
      </c>
      <c r="K2108" s="587">
        <f>(F2108*I2108)</f>
        <v>412</v>
      </c>
    </row>
    <row r="2109" spans="6:11" ht="24" customHeight="1">
      <c r="G2109" s="585" t="s">
        <v>129</v>
      </c>
      <c r="H2109" s="573" t="s">
        <v>130</v>
      </c>
      <c r="I2109" s="573" t="s">
        <v>115</v>
      </c>
      <c r="J2109" s="573" t="s">
        <v>129</v>
      </c>
      <c r="K2109" s="587">
        <v>0.54</v>
      </c>
    </row>
    <row r="2110" spans="6:11" ht="24" customHeight="1">
      <c r="H2110" s="573" t="s">
        <v>115</v>
      </c>
      <c r="K2110" s="582" t="s">
        <v>117</v>
      </c>
    </row>
    <row r="2111" spans="6:11" ht="24" customHeight="1">
      <c r="H2111" s="573" t="s">
        <v>991</v>
      </c>
      <c r="K2111" s="587">
        <f>SUM(K2104:K2109)</f>
        <v>1590.2869000000001</v>
      </c>
    </row>
    <row r="2112" spans="6:11" ht="24" customHeight="1">
      <c r="K2112" s="582" t="s">
        <v>155</v>
      </c>
    </row>
    <row r="2113" spans="6:11" ht="24" customHeight="1">
      <c r="F2113" s="574" t="s">
        <v>2080</v>
      </c>
      <c r="G2113" s="585" t="s">
        <v>122</v>
      </c>
      <c r="H2113" s="573" t="s">
        <v>2081</v>
      </c>
    </row>
    <row r="2114" spans="6:11" ht="24" customHeight="1">
      <c r="H2114" s="573" t="s">
        <v>2082</v>
      </c>
    </row>
    <row r="2115" spans="6:11" ht="24" customHeight="1">
      <c r="H2115" s="582" t="s">
        <v>117</v>
      </c>
    </row>
    <row r="2116" spans="6:11" ht="24" customHeight="1">
      <c r="F2116" s="587">
        <v>1</v>
      </c>
      <c r="G2116" s="585" t="s">
        <v>209</v>
      </c>
      <c r="H2116" s="573" t="s">
        <v>2083</v>
      </c>
      <c r="I2116" s="587">
        <f>(D267)</f>
        <v>132.69999999999999</v>
      </c>
      <c r="J2116" s="573" t="s">
        <v>209</v>
      </c>
      <c r="K2116" s="587">
        <f>(F2116*I2116)</f>
        <v>132.69999999999999</v>
      </c>
    </row>
    <row r="2117" spans="6:11" ht="24" customHeight="1">
      <c r="G2117" s="585" t="s">
        <v>129</v>
      </c>
      <c r="H2117" s="573" t="s">
        <v>2084</v>
      </c>
      <c r="J2117" s="573" t="s">
        <v>129</v>
      </c>
      <c r="K2117" s="587">
        <v>4</v>
      </c>
    </row>
    <row r="2118" spans="6:11" ht="24" customHeight="1">
      <c r="J2118" s="573" t="s">
        <v>115</v>
      </c>
      <c r="K2118" s="582" t="s">
        <v>117</v>
      </c>
    </row>
    <row r="2119" spans="6:11" ht="24" customHeight="1">
      <c r="H2119" s="573" t="s">
        <v>991</v>
      </c>
      <c r="K2119" s="587">
        <f>SUM(K2116:K2118)</f>
        <v>136.69999999999999</v>
      </c>
    </row>
    <row r="2120" spans="6:11" ht="24" customHeight="1">
      <c r="K2120" s="582" t="s">
        <v>117</v>
      </c>
    </row>
    <row r="2121" spans="6:11" ht="24" customHeight="1">
      <c r="F2121" s="574" t="s">
        <v>2085</v>
      </c>
      <c r="G2121" s="585" t="s">
        <v>122</v>
      </c>
      <c r="H2121" s="573" t="s">
        <v>2086</v>
      </c>
    </row>
    <row r="2122" spans="6:11" ht="24" customHeight="1">
      <c r="H2122" s="573" t="s">
        <v>2087</v>
      </c>
    </row>
    <row r="2123" spans="6:11" ht="24" customHeight="1">
      <c r="H2123" s="582" t="s">
        <v>117</v>
      </c>
    </row>
    <row r="2124" spans="6:11" ht="24" customHeight="1">
      <c r="F2124" s="587">
        <v>50</v>
      </c>
      <c r="G2124" s="585" t="s">
        <v>209</v>
      </c>
      <c r="H2124" s="573" t="s">
        <v>2088</v>
      </c>
      <c r="I2124" s="629">
        <f>C204</f>
        <v>62.2</v>
      </c>
      <c r="J2124" s="573" t="s">
        <v>209</v>
      </c>
      <c r="K2124" s="587">
        <f t="shared" ref="K2124:K2133" si="231">(F2124*I2124)</f>
        <v>3110</v>
      </c>
    </row>
    <row r="2125" spans="6:11" ht="24" customHeight="1">
      <c r="F2125" s="587">
        <v>21.6</v>
      </c>
      <c r="G2125" s="585" t="s">
        <v>126</v>
      </c>
      <c r="H2125" s="573" t="s">
        <v>2089</v>
      </c>
      <c r="I2125" s="587">
        <f>(C61*2)</f>
        <v>168</v>
      </c>
      <c r="J2125" s="573" t="s">
        <v>126</v>
      </c>
      <c r="K2125" s="587">
        <f t="shared" si="231"/>
        <v>3628.8</v>
      </c>
    </row>
    <row r="2126" spans="6:11" ht="24" customHeight="1">
      <c r="F2126" s="587">
        <v>21.6</v>
      </c>
      <c r="G2126" s="585" t="s">
        <v>126</v>
      </c>
      <c r="H2126" s="573" t="s">
        <v>2045</v>
      </c>
      <c r="I2126" s="587">
        <f>(C26)</f>
        <v>29.3</v>
      </c>
      <c r="J2126" s="573" t="s">
        <v>126</v>
      </c>
      <c r="K2126" s="587">
        <f t="shared" si="231"/>
        <v>632.88000000000011</v>
      </c>
    </row>
    <row r="2127" spans="6:11" ht="24" customHeight="1">
      <c r="F2127" s="587">
        <v>45</v>
      </c>
      <c r="G2127" s="585" t="s">
        <v>148</v>
      </c>
      <c r="H2127" s="573" t="s">
        <v>125</v>
      </c>
      <c r="I2127" s="587">
        <f>(C67/1000)</f>
        <v>5.8</v>
      </c>
      <c r="J2127" s="573" t="s">
        <v>148</v>
      </c>
      <c r="K2127" s="587">
        <f t="shared" si="231"/>
        <v>261</v>
      </c>
    </row>
    <row r="2128" spans="6:11" ht="24" customHeight="1">
      <c r="F2128" s="587">
        <v>0.04</v>
      </c>
      <c r="G2128" s="585" t="s">
        <v>126</v>
      </c>
      <c r="H2128" s="573" t="s">
        <v>127</v>
      </c>
      <c r="I2128" s="587">
        <f>(C78)</f>
        <v>1322.8</v>
      </c>
      <c r="J2128" s="573" t="s">
        <v>126</v>
      </c>
      <c r="K2128" s="587">
        <f t="shared" si="231"/>
        <v>52.911999999999999</v>
      </c>
    </row>
    <row r="2129" spans="6:11" ht="24" customHeight="1">
      <c r="F2129" s="587">
        <v>3.63</v>
      </c>
      <c r="G2129" s="585" t="s">
        <v>148</v>
      </c>
      <c r="H2129" s="573" t="s">
        <v>2090</v>
      </c>
      <c r="I2129" s="587">
        <f>(C607)</f>
        <v>11.6</v>
      </c>
      <c r="J2129" s="573" t="s">
        <v>148</v>
      </c>
      <c r="K2129" s="587">
        <f t="shared" si="231"/>
        <v>42.107999999999997</v>
      </c>
    </row>
    <row r="2130" spans="6:11" ht="24" customHeight="1">
      <c r="F2130" s="587">
        <v>2</v>
      </c>
      <c r="G2130" s="585" t="s">
        <v>209</v>
      </c>
      <c r="H2130" s="573" t="s">
        <v>144</v>
      </c>
      <c r="I2130" s="587">
        <f>(C10)</f>
        <v>769</v>
      </c>
      <c r="J2130" s="573" t="s">
        <v>209</v>
      </c>
      <c r="K2130" s="587">
        <f t="shared" si="231"/>
        <v>1538</v>
      </c>
    </row>
    <row r="2131" spans="6:11" ht="24" customHeight="1">
      <c r="F2131" s="587">
        <v>1</v>
      </c>
      <c r="G2131" s="585" t="s">
        <v>209</v>
      </c>
      <c r="H2131" s="573" t="s">
        <v>2091</v>
      </c>
      <c r="I2131" s="587">
        <f>AE37</f>
        <v>647</v>
      </c>
      <c r="J2131" s="573" t="s">
        <v>209</v>
      </c>
      <c r="K2131" s="587">
        <f t="shared" si="231"/>
        <v>647</v>
      </c>
    </row>
    <row r="2132" spans="6:11" ht="24" customHeight="1">
      <c r="F2132" s="587">
        <v>5</v>
      </c>
      <c r="G2132" s="585" t="s">
        <v>209</v>
      </c>
      <c r="H2132" s="573" t="s">
        <v>146</v>
      </c>
      <c r="I2132" s="587">
        <f>(C12)</f>
        <v>502</v>
      </c>
      <c r="J2132" s="573" t="s">
        <v>209</v>
      </c>
      <c r="K2132" s="587">
        <f t="shared" si="231"/>
        <v>2510</v>
      </c>
    </row>
    <row r="2133" spans="6:11" ht="24" customHeight="1">
      <c r="F2133" s="587">
        <v>2</v>
      </c>
      <c r="G2133" s="585" t="s">
        <v>209</v>
      </c>
      <c r="H2133" s="573" t="s">
        <v>147</v>
      </c>
      <c r="I2133" s="587">
        <f>(C13)</f>
        <v>412</v>
      </c>
      <c r="J2133" s="573" t="s">
        <v>209</v>
      </c>
      <c r="K2133" s="587">
        <f t="shared" si="231"/>
        <v>824</v>
      </c>
    </row>
    <row r="2134" spans="6:11" ht="24" customHeight="1">
      <c r="G2134" s="585" t="s">
        <v>129</v>
      </c>
      <c r="H2134" s="573" t="s">
        <v>2092</v>
      </c>
      <c r="J2134" s="573" t="s">
        <v>129</v>
      </c>
      <c r="K2134" s="587">
        <f>SUM(K2130:K2133)/10+7.5</f>
        <v>559.4</v>
      </c>
    </row>
    <row r="2135" spans="6:11" ht="24" customHeight="1">
      <c r="K2135" s="582" t="s">
        <v>117</v>
      </c>
    </row>
    <row r="2136" spans="6:11" ht="24" customHeight="1">
      <c r="H2136" s="573" t="s">
        <v>2093</v>
      </c>
      <c r="K2136" s="587">
        <f>SUM(K2124:K2134)</f>
        <v>13806.1</v>
      </c>
    </row>
    <row r="2137" spans="6:11" ht="24" customHeight="1">
      <c r="K2137" s="582" t="s">
        <v>117</v>
      </c>
    </row>
    <row r="2138" spans="6:11" ht="24" customHeight="1">
      <c r="H2138" s="573" t="s">
        <v>2094</v>
      </c>
      <c r="K2138" s="587">
        <f>(K2136/30)</f>
        <v>460.20333333333332</v>
      </c>
    </row>
    <row r="2139" spans="6:11" ht="24" customHeight="1">
      <c r="K2139" s="582" t="s">
        <v>155</v>
      </c>
    </row>
    <row r="2141" spans="6:11" ht="24" customHeight="1">
      <c r="F2141" s="574" t="s">
        <v>2095</v>
      </c>
      <c r="G2141" s="585" t="s">
        <v>122</v>
      </c>
      <c r="H2141" s="573" t="s">
        <v>2096</v>
      </c>
    </row>
    <row r="2142" spans="6:11" ht="24" customHeight="1">
      <c r="H2142" s="573" t="s">
        <v>2087</v>
      </c>
    </row>
    <row r="2143" spans="6:11" ht="24" customHeight="1">
      <c r="H2143" s="582" t="s">
        <v>117</v>
      </c>
    </row>
    <row r="2144" spans="6:11" ht="24" customHeight="1">
      <c r="F2144" s="587">
        <v>50</v>
      </c>
      <c r="G2144" s="585" t="s">
        <v>209</v>
      </c>
      <c r="H2144" s="573" t="s">
        <v>2097</v>
      </c>
      <c r="I2144" s="629">
        <f>C205</f>
        <v>100</v>
      </c>
      <c r="J2144" s="573" t="s">
        <v>209</v>
      </c>
      <c r="K2144" s="587">
        <f t="shared" ref="K2144:K2153" si="232">(F2144*I2144)</f>
        <v>5000</v>
      </c>
    </row>
    <row r="2145" spans="6:18" ht="24" customHeight="1">
      <c r="F2145" s="587">
        <v>21.6</v>
      </c>
      <c r="G2145" s="585" t="s">
        <v>126</v>
      </c>
      <c r="H2145" s="573" t="s">
        <v>2089</v>
      </c>
      <c r="I2145" s="587">
        <f>(C61*2)</f>
        <v>168</v>
      </c>
      <c r="J2145" s="573" t="s">
        <v>126</v>
      </c>
      <c r="K2145" s="587">
        <f t="shared" si="232"/>
        <v>3628.8</v>
      </c>
    </row>
    <row r="2146" spans="6:18" ht="24" customHeight="1">
      <c r="F2146" s="587">
        <v>21.6</v>
      </c>
      <c r="G2146" s="585" t="s">
        <v>126</v>
      </c>
      <c r="H2146" s="573" t="s">
        <v>2045</v>
      </c>
      <c r="I2146" s="587">
        <f>(C26)</f>
        <v>29.3</v>
      </c>
      <c r="J2146" s="573" t="s">
        <v>126</v>
      </c>
      <c r="K2146" s="587">
        <f t="shared" si="232"/>
        <v>632.88000000000011</v>
      </c>
    </row>
    <row r="2147" spans="6:18" ht="24" customHeight="1">
      <c r="F2147" s="587">
        <v>68</v>
      </c>
      <c r="G2147" s="585" t="s">
        <v>148</v>
      </c>
      <c r="H2147" s="573" t="s">
        <v>125</v>
      </c>
      <c r="I2147" s="587">
        <f>(C67/1000)</f>
        <v>5.8</v>
      </c>
      <c r="J2147" s="573" t="s">
        <v>148</v>
      </c>
      <c r="K2147" s="587">
        <f t="shared" si="232"/>
        <v>394.4</v>
      </c>
    </row>
    <row r="2148" spans="6:18" ht="24" customHeight="1">
      <c r="F2148" s="587">
        <v>7.0000000000000007E-2</v>
      </c>
      <c r="G2148" s="585" t="s">
        <v>126</v>
      </c>
      <c r="H2148" s="573" t="s">
        <v>127</v>
      </c>
      <c r="I2148" s="587">
        <f>(C78)</f>
        <v>1322.8</v>
      </c>
      <c r="J2148" s="573" t="s">
        <v>126</v>
      </c>
      <c r="K2148" s="587">
        <f t="shared" si="232"/>
        <v>92.596000000000004</v>
      </c>
      <c r="M2148" s="574" t="s">
        <v>2095</v>
      </c>
      <c r="N2148" s="585" t="s">
        <v>122</v>
      </c>
      <c r="O2148" s="573" t="s">
        <v>2098</v>
      </c>
      <c r="Q2148" s="578"/>
    </row>
    <row r="2149" spans="6:18" ht="24" customHeight="1">
      <c r="F2149" s="587">
        <v>5.45</v>
      </c>
      <c r="G2149" s="585" t="s">
        <v>148</v>
      </c>
      <c r="H2149" s="573" t="s">
        <v>2090</v>
      </c>
      <c r="I2149" s="587">
        <f>(C607)</f>
        <v>11.6</v>
      </c>
      <c r="J2149" s="573" t="s">
        <v>148</v>
      </c>
      <c r="K2149" s="587">
        <f t="shared" si="232"/>
        <v>63.22</v>
      </c>
      <c r="N2149" s="576"/>
      <c r="O2149" s="573" t="s">
        <v>2087</v>
      </c>
      <c r="Q2149" s="578"/>
    </row>
    <row r="2150" spans="6:18" ht="24" customHeight="1">
      <c r="F2150" s="587">
        <v>3</v>
      </c>
      <c r="G2150" s="585" t="s">
        <v>209</v>
      </c>
      <c r="H2150" s="573" t="s">
        <v>144</v>
      </c>
      <c r="I2150" s="587">
        <f>(C10)</f>
        <v>769</v>
      </c>
      <c r="J2150" s="573" t="s">
        <v>209</v>
      </c>
      <c r="K2150" s="587">
        <f t="shared" si="232"/>
        <v>2307</v>
      </c>
      <c r="N2150" s="576"/>
      <c r="O2150" s="582" t="s">
        <v>117</v>
      </c>
      <c r="Q2150" s="578"/>
    </row>
    <row r="2151" spans="6:18" ht="39" customHeight="1">
      <c r="F2151" s="587">
        <v>2</v>
      </c>
      <c r="G2151" s="585" t="s">
        <v>209</v>
      </c>
      <c r="H2151" s="573" t="s">
        <v>2091</v>
      </c>
      <c r="I2151" s="587">
        <f>AE37</f>
        <v>647</v>
      </c>
      <c r="J2151" s="573" t="s">
        <v>209</v>
      </c>
      <c r="K2151" s="587">
        <f t="shared" si="232"/>
        <v>1294</v>
      </c>
      <c r="M2151" s="587">
        <v>50</v>
      </c>
      <c r="N2151" s="585" t="s">
        <v>209</v>
      </c>
      <c r="O2151" s="633" t="s">
        <v>2099</v>
      </c>
      <c r="P2151" s="837">
        <v>412</v>
      </c>
      <c r="Q2151" s="573" t="s">
        <v>209</v>
      </c>
      <c r="R2151" s="587">
        <f t="shared" ref="R2151:R2160" si="233">(M2151*P2151)</f>
        <v>20600</v>
      </c>
    </row>
    <row r="2152" spans="6:18" ht="24" customHeight="1">
      <c r="F2152" s="587">
        <v>6</v>
      </c>
      <c r="G2152" s="585" t="s">
        <v>209</v>
      </c>
      <c r="H2152" s="573" t="s">
        <v>146</v>
      </c>
      <c r="I2152" s="587">
        <f>(C12)</f>
        <v>502</v>
      </c>
      <c r="J2152" s="573" t="s">
        <v>209</v>
      </c>
      <c r="K2152" s="587">
        <f t="shared" si="232"/>
        <v>3012</v>
      </c>
      <c r="M2152" s="587">
        <v>21.6</v>
      </c>
      <c r="N2152" s="585" t="s">
        <v>126</v>
      </c>
      <c r="O2152" s="573" t="s">
        <v>2089</v>
      </c>
      <c r="P2152" s="587">
        <f>I2145</f>
        <v>168</v>
      </c>
      <c r="Q2152" s="573" t="s">
        <v>126</v>
      </c>
      <c r="R2152" s="587">
        <f t="shared" si="233"/>
        <v>3628.8</v>
      </c>
    </row>
    <row r="2153" spans="6:18" ht="24" customHeight="1">
      <c r="F2153" s="587">
        <v>3</v>
      </c>
      <c r="G2153" s="585" t="s">
        <v>209</v>
      </c>
      <c r="H2153" s="573" t="s">
        <v>147</v>
      </c>
      <c r="I2153" s="587">
        <f>(C13)</f>
        <v>412</v>
      </c>
      <c r="J2153" s="573" t="s">
        <v>209</v>
      </c>
      <c r="K2153" s="587">
        <f t="shared" si="232"/>
        <v>1236</v>
      </c>
      <c r="M2153" s="587">
        <v>21.6</v>
      </c>
      <c r="N2153" s="585" t="s">
        <v>126</v>
      </c>
      <c r="O2153" s="573" t="s">
        <v>2045</v>
      </c>
      <c r="P2153" s="587">
        <f t="shared" ref="P2153:P2160" si="234">I2146</f>
        <v>29.3</v>
      </c>
      <c r="Q2153" s="573" t="s">
        <v>126</v>
      </c>
      <c r="R2153" s="587">
        <f t="shared" si="233"/>
        <v>632.88000000000011</v>
      </c>
    </row>
    <row r="2154" spans="6:18" ht="24" customHeight="1">
      <c r="G2154" s="585" t="s">
        <v>129</v>
      </c>
      <c r="H2154" s="573" t="s">
        <v>2092</v>
      </c>
      <c r="J2154" s="573" t="s">
        <v>129</v>
      </c>
      <c r="K2154" s="587">
        <f>SUM(K2150:K2153)/10+4.8</f>
        <v>789.69999999999993</v>
      </c>
      <c r="M2154" s="587">
        <v>115</v>
      </c>
      <c r="N2154" s="585" t="s">
        <v>148</v>
      </c>
      <c r="O2154" s="573" t="s">
        <v>125</v>
      </c>
      <c r="P2154" s="587">
        <f t="shared" si="234"/>
        <v>5.8</v>
      </c>
      <c r="Q2154" s="573" t="s">
        <v>148</v>
      </c>
      <c r="R2154" s="587">
        <f t="shared" si="233"/>
        <v>667</v>
      </c>
    </row>
    <row r="2155" spans="6:18" ht="24" customHeight="1">
      <c r="K2155" s="582" t="s">
        <v>117</v>
      </c>
      <c r="M2155" s="587">
        <v>0.11</v>
      </c>
      <c r="N2155" s="585" t="s">
        <v>126</v>
      </c>
      <c r="O2155" s="573" t="s">
        <v>127</v>
      </c>
      <c r="P2155" s="587">
        <f t="shared" si="234"/>
        <v>1322.8</v>
      </c>
      <c r="Q2155" s="573" t="s">
        <v>126</v>
      </c>
      <c r="R2155" s="587">
        <f t="shared" si="233"/>
        <v>145.50800000000001</v>
      </c>
    </row>
    <row r="2156" spans="6:18" ht="24" customHeight="1">
      <c r="H2156" s="573" t="s">
        <v>2093</v>
      </c>
      <c r="K2156" s="587">
        <f>SUM(K2144:K2154)</f>
        <v>18450.596000000001</v>
      </c>
      <c r="M2156" s="587">
        <v>8.35</v>
      </c>
      <c r="N2156" s="585" t="s">
        <v>148</v>
      </c>
      <c r="O2156" s="573" t="s">
        <v>2090</v>
      </c>
      <c r="P2156" s="587">
        <f t="shared" si="234"/>
        <v>11.6</v>
      </c>
      <c r="Q2156" s="573" t="s">
        <v>148</v>
      </c>
      <c r="R2156" s="587">
        <f t="shared" si="233"/>
        <v>96.86</v>
      </c>
    </row>
    <row r="2157" spans="6:18" ht="24" customHeight="1">
      <c r="K2157" s="582" t="s">
        <v>117</v>
      </c>
      <c r="M2157" s="587">
        <v>5</v>
      </c>
      <c r="N2157" s="585" t="s">
        <v>209</v>
      </c>
      <c r="O2157" s="573" t="s">
        <v>144</v>
      </c>
      <c r="P2157" s="587">
        <f t="shared" si="234"/>
        <v>769</v>
      </c>
      <c r="Q2157" s="573" t="s">
        <v>209</v>
      </c>
      <c r="R2157" s="587">
        <f t="shared" si="233"/>
        <v>3845</v>
      </c>
    </row>
    <row r="2158" spans="6:18" ht="24" customHeight="1">
      <c r="H2158" s="573" t="s">
        <v>2094</v>
      </c>
      <c r="K2158" s="587">
        <f>(K2156/30)</f>
        <v>615.01986666666676</v>
      </c>
      <c r="M2158" s="587">
        <v>3</v>
      </c>
      <c r="N2158" s="585" t="s">
        <v>209</v>
      </c>
      <c r="O2158" s="573" t="s">
        <v>2091</v>
      </c>
      <c r="P2158" s="587">
        <f t="shared" si="234"/>
        <v>647</v>
      </c>
      <c r="Q2158" s="573" t="s">
        <v>209</v>
      </c>
      <c r="R2158" s="587">
        <f t="shared" si="233"/>
        <v>1941</v>
      </c>
    </row>
    <row r="2159" spans="6:18" ht="24" customHeight="1">
      <c r="K2159" s="582" t="s">
        <v>155</v>
      </c>
      <c r="M2159" s="587">
        <v>7</v>
      </c>
      <c r="N2159" s="585" t="s">
        <v>209</v>
      </c>
      <c r="O2159" s="573" t="s">
        <v>146</v>
      </c>
      <c r="P2159" s="587">
        <f t="shared" si="234"/>
        <v>502</v>
      </c>
      <c r="Q2159" s="573" t="s">
        <v>209</v>
      </c>
      <c r="R2159" s="587">
        <f t="shared" si="233"/>
        <v>3514</v>
      </c>
    </row>
    <row r="2160" spans="6:18" ht="24" customHeight="1">
      <c r="F2160" s="574" t="s">
        <v>2100</v>
      </c>
      <c r="G2160" s="585" t="s">
        <v>122</v>
      </c>
      <c r="H2160" s="573" t="s">
        <v>2086</v>
      </c>
      <c r="M2160" s="587">
        <v>5</v>
      </c>
      <c r="N2160" s="585" t="s">
        <v>209</v>
      </c>
      <c r="O2160" s="573" t="s">
        <v>147</v>
      </c>
      <c r="P2160" s="587">
        <f t="shared" si="234"/>
        <v>412</v>
      </c>
      <c r="Q2160" s="573" t="s">
        <v>209</v>
      </c>
      <c r="R2160" s="587">
        <f t="shared" si="233"/>
        <v>2060</v>
      </c>
    </row>
    <row r="2161" spans="6:18" ht="24" customHeight="1">
      <c r="H2161" s="573" t="s">
        <v>2101</v>
      </c>
      <c r="N2161" s="585" t="s">
        <v>129</v>
      </c>
      <c r="O2161" s="573" t="s">
        <v>2092</v>
      </c>
      <c r="Q2161" s="573" t="s">
        <v>129</v>
      </c>
      <c r="R2161" s="587">
        <v>234</v>
      </c>
    </row>
    <row r="2162" spans="6:18" ht="24" customHeight="1">
      <c r="H2162" s="582" t="s">
        <v>117</v>
      </c>
      <c r="N2162" s="576"/>
      <c r="Q2162" s="578"/>
      <c r="R2162" s="582" t="s">
        <v>117</v>
      </c>
    </row>
    <row r="2163" spans="6:18" ht="24" customHeight="1">
      <c r="F2163" s="587">
        <v>50</v>
      </c>
      <c r="G2163" s="585" t="s">
        <v>209</v>
      </c>
      <c r="H2163" s="573" t="s">
        <v>2102</v>
      </c>
      <c r="I2163" s="587">
        <f>C204</f>
        <v>62.2</v>
      </c>
      <c r="J2163" s="573" t="s">
        <v>209</v>
      </c>
      <c r="K2163" s="587">
        <f>(F2163*I2163)</f>
        <v>3110</v>
      </c>
      <c r="N2163" s="576"/>
      <c r="O2163" s="573" t="s">
        <v>2093</v>
      </c>
      <c r="Q2163" s="578"/>
      <c r="R2163" s="587">
        <f>SUM(R2151:R2161)</f>
        <v>37365.048000000003</v>
      </c>
    </row>
    <row r="2164" spans="6:18" ht="24" customHeight="1">
      <c r="F2164" s="587">
        <v>1</v>
      </c>
      <c r="G2164" s="585" t="s">
        <v>209</v>
      </c>
      <c r="H2164" s="573" t="s">
        <v>2091</v>
      </c>
      <c r="I2164" s="587">
        <f>AE37</f>
        <v>647</v>
      </c>
      <c r="J2164" s="573" t="s">
        <v>209</v>
      </c>
      <c r="K2164" s="587">
        <f>(F2164*I2164)</f>
        <v>647</v>
      </c>
      <c r="N2164" s="576"/>
      <c r="Q2164" s="578"/>
      <c r="R2164" s="582" t="s">
        <v>117</v>
      </c>
    </row>
    <row r="2165" spans="6:18" ht="24" customHeight="1">
      <c r="F2165" s="587">
        <v>5</v>
      </c>
      <c r="G2165" s="585" t="s">
        <v>209</v>
      </c>
      <c r="H2165" s="573" t="s">
        <v>146</v>
      </c>
      <c r="I2165" s="587">
        <f>C12</f>
        <v>502</v>
      </c>
      <c r="J2165" s="573" t="s">
        <v>209</v>
      </c>
      <c r="K2165" s="587">
        <f>(F2165*I2165)</f>
        <v>2510</v>
      </c>
      <c r="N2165" s="576"/>
      <c r="O2165" s="573" t="s">
        <v>2094</v>
      </c>
      <c r="Q2165" s="578"/>
      <c r="R2165" s="587">
        <f>(R2163/30)</f>
        <v>1245.5016000000001</v>
      </c>
    </row>
    <row r="2166" spans="6:18" ht="24" customHeight="1">
      <c r="H2166" s="573" t="s">
        <v>236</v>
      </c>
      <c r="K2166" s="685">
        <v>1.8</v>
      </c>
      <c r="N2166" s="576"/>
      <c r="Q2166" s="578"/>
      <c r="R2166" s="582" t="s">
        <v>155</v>
      </c>
    </row>
    <row r="2167" spans="6:18" ht="24" customHeight="1">
      <c r="H2167" s="573" t="s">
        <v>2093</v>
      </c>
      <c r="K2167" s="587">
        <f>SUM(K2163:K2166)</f>
        <v>6268.8</v>
      </c>
    </row>
    <row r="2168" spans="6:18" ht="24" customHeight="1">
      <c r="F2168" s="573" t="s">
        <v>115</v>
      </c>
      <c r="K2168" s="582" t="s">
        <v>117</v>
      </c>
    </row>
    <row r="2169" spans="6:18" ht="24" customHeight="1">
      <c r="H2169" s="573" t="s">
        <v>2094</v>
      </c>
      <c r="K2169" s="587">
        <f>(K2167/30)</f>
        <v>208.96</v>
      </c>
    </row>
    <row r="2170" spans="6:18" ht="24" customHeight="1">
      <c r="F2170" s="573" t="s">
        <v>115</v>
      </c>
    </row>
    <row r="2171" spans="6:18" ht="24" customHeight="1">
      <c r="F2171" s="573" t="s">
        <v>115</v>
      </c>
    </row>
    <row r="2172" spans="6:18" ht="24" customHeight="1">
      <c r="K2172" s="582" t="s">
        <v>155</v>
      </c>
    </row>
    <row r="2173" spans="6:18" ht="24" customHeight="1">
      <c r="F2173" s="574" t="s">
        <v>2095</v>
      </c>
      <c r="G2173" s="585" t="s">
        <v>122</v>
      </c>
      <c r="H2173" s="573" t="s">
        <v>2096</v>
      </c>
    </row>
    <row r="2174" spans="6:18" ht="24" customHeight="1">
      <c r="H2174" s="587" t="str">
        <f>H2161</f>
        <v>DIA S.W.PIPE(LOOSE JOINTING)</v>
      </c>
    </row>
    <row r="2175" spans="6:18" ht="24" customHeight="1">
      <c r="H2175" s="582" t="s">
        <v>117</v>
      </c>
    </row>
    <row r="2176" spans="6:18" ht="24" customHeight="1">
      <c r="F2176" s="587">
        <v>50</v>
      </c>
      <c r="G2176" s="585" t="s">
        <v>209</v>
      </c>
      <c r="H2176" s="573" t="s">
        <v>2103</v>
      </c>
      <c r="I2176" s="587">
        <f>C205</f>
        <v>100</v>
      </c>
      <c r="J2176" s="573" t="s">
        <v>209</v>
      </c>
      <c r="K2176" s="587">
        <f>(F2176*I2176)</f>
        <v>5000</v>
      </c>
    </row>
    <row r="2177" spans="6:11" ht="24" customHeight="1">
      <c r="F2177" s="587">
        <v>2</v>
      </c>
      <c r="G2177" s="585" t="s">
        <v>209</v>
      </c>
      <c r="H2177" s="573" t="s">
        <v>2091</v>
      </c>
      <c r="I2177" s="587">
        <f>AE37</f>
        <v>647</v>
      </c>
      <c r="J2177" s="573" t="s">
        <v>209</v>
      </c>
      <c r="K2177" s="587">
        <f>(F2177*I2177)</f>
        <v>1294</v>
      </c>
    </row>
    <row r="2178" spans="6:11" ht="24" customHeight="1">
      <c r="F2178" s="587">
        <v>6</v>
      </c>
      <c r="G2178" s="585" t="s">
        <v>209</v>
      </c>
      <c r="H2178" s="573" t="s">
        <v>146</v>
      </c>
      <c r="I2178" s="587">
        <f>C12</f>
        <v>502</v>
      </c>
      <c r="J2178" s="573" t="s">
        <v>209</v>
      </c>
      <c r="K2178" s="587">
        <f>(F2178*I2178)</f>
        <v>3012</v>
      </c>
    </row>
    <row r="2179" spans="6:11" ht="24" customHeight="1">
      <c r="H2179" s="573" t="s">
        <v>236</v>
      </c>
      <c r="K2179" s="685">
        <v>0.6</v>
      </c>
    </row>
    <row r="2180" spans="6:11" ht="24" customHeight="1">
      <c r="H2180" s="573" t="s">
        <v>2093</v>
      </c>
      <c r="K2180" s="587">
        <f>SUM(K2176:K2179)</f>
        <v>9306.6</v>
      </c>
    </row>
    <row r="2181" spans="6:11" ht="24" customHeight="1">
      <c r="K2181" s="582" t="s">
        <v>117</v>
      </c>
    </row>
    <row r="2182" spans="6:11" ht="24" customHeight="1">
      <c r="H2182" s="573" t="s">
        <v>2094</v>
      </c>
      <c r="K2182" s="587">
        <f>(K2180/30)</f>
        <v>310.22000000000003</v>
      </c>
    </row>
    <row r="2183" spans="6:11" ht="24" customHeight="1">
      <c r="K2183" s="582" t="s">
        <v>155</v>
      </c>
    </row>
    <row r="2184" spans="6:11" ht="24" customHeight="1">
      <c r="H2184" s="574" t="s">
        <v>2104</v>
      </c>
      <c r="K2184" s="587">
        <f>SUM(K2181:K2182)</f>
        <v>310.22000000000003</v>
      </c>
    </row>
    <row r="2185" spans="6:11" ht="24" customHeight="1">
      <c r="K2185" s="582" t="s">
        <v>155</v>
      </c>
    </row>
    <row r="2186" spans="6:11" ht="24" customHeight="1">
      <c r="F2186" s="574" t="s">
        <v>2105</v>
      </c>
      <c r="G2186" s="585" t="s">
        <v>122</v>
      </c>
      <c r="H2186" s="573" t="s">
        <v>2086</v>
      </c>
    </row>
    <row r="2187" spans="6:11" ht="24" customHeight="1">
      <c r="H2187" s="573" t="s">
        <v>2106</v>
      </c>
    </row>
    <row r="2188" spans="6:11" ht="24" customHeight="1">
      <c r="H2188" s="582" t="s">
        <v>117</v>
      </c>
    </row>
    <row r="2189" spans="6:11" ht="24" customHeight="1">
      <c r="F2189" s="587">
        <v>1</v>
      </c>
      <c r="G2189" s="585" t="s">
        <v>209</v>
      </c>
      <c r="H2189" s="573" t="s">
        <v>2107</v>
      </c>
      <c r="I2189" s="587">
        <f>C206</f>
        <v>99.6</v>
      </c>
      <c r="J2189" s="573" t="s">
        <v>209</v>
      </c>
      <c r="K2189" s="587">
        <f>(F2189*I2189)</f>
        <v>99.6</v>
      </c>
    </row>
    <row r="2190" spans="6:11" ht="24" customHeight="1">
      <c r="F2190" s="573" t="s">
        <v>115</v>
      </c>
      <c r="H2190" s="573" t="s">
        <v>2108</v>
      </c>
    </row>
    <row r="2191" spans="6:11" ht="24" customHeight="1">
      <c r="F2191" s="573" t="s">
        <v>115</v>
      </c>
      <c r="H2191" s="573" t="s">
        <v>2109</v>
      </c>
      <c r="I2191" s="574" t="s">
        <v>129</v>
      </c>
      <c r="K2191" s="587">
        <v>2.5</v>
      </c>
    </row>
    <row r="2192" spans="6:11" ht="24" customHeight="1">
      <c r="K2192" s="582" t="s">
        <v>117</v>
      </c>
    </row>
    <row r="2193" spans="6:11" ht="24" customHeight="1">
      <c r="H2193" s="573" t="s">
        <v>2093</v>
      </c>
      <c r="K2193" s="587">
        <f>SUM(K2189:K2191)</f>
        <v>102.1</v>
      </c>
    </row>
    <row r="2194" spans="6:11" ht="24" customHeight="1">
      <c r="F2194" s="574" t="s">
        <v>2105</v>
      </c>
      <c r="G2194" s="585" t="s">
        <v>122</v>
      </c>
      <c r="H2194" s="573" t="s">
        <v>2096</v>
      </c>
      <c r="K2194" s="582" t="s">
        <v>117</v>
      </c>
    </row>
    <row r="2195" spans="6:11" ht="24" customHeight="1">
      <c r="H2195" s="573" t="s">
        <v>2106</v>
      </c>
      <c r="K2195" s="587"/>
    </row>
    <row r="2196" spans="6:11" ht="24" customHeight="1">
      <c r="H2196" s="582" t="s">
        <v>117</v>
      </c>
      <c r="K2196" s="582" t="s">
        <v>117</v>
      </c>
    </row>
    <row r="2197" spans="6:11" ht="24" customHeight="1">
      <c r="F2197" s="575">
        <v>1</v>
      </c>
      <c r="G2197" s="576" t="s">
        <v>1</v>
      </c>
      <c r="H2197" s="573" t="s">
        <v>2110</v>
      </c>
      <c r="J2197" s="578">
        <f>E206</f>
        <v>138</v>
      </c>
      <c r="K2197" s="587">
        <f>J2197</f>
        <v>138</v>
      </c>
    </row>
    <row r="2198" spans="6:11" ht="24" customHeight="1">
      <c r="H2198" s="573" t="s">
        <v>2109</v>
      </c>
      <c r="I2198" s="574" t="s">
        <v>129</v>
      </c>
      <c r="K2198" s="587">
        <v>2.5</v>
      </c>
    </row>
    <row r="2199" spans="6:11" ht="24" customHeight="1">
      <c r="F2199" s="574" t="s">
        <v>2111</v>
      </c>
      <c r="G2199" s="585" t="s">
        <v>122</v>
      </c>
      <c r="H2199" s="577" t="s">
        <v>2086</v>
      </c>
      <c r="K2199" s="582" t="s">
        <v>117</v>
      </c>
    </row>
    <row r="2200" spans="6:11" ht="24" customHeight="1">
      <c r="H2200" s="577" t="s">
        <v>2112</v>
      </c>
      <c r="K2200" s="587">
        <f>SUM(K2196:K2198)</f>
        <v>140.5</v>
      </c>
    </row>
    <row r="2201" spans="6:11" ht="24" customHeight="1">
      <c r="H2201" s="582" t="s">
        <v>117</v>
      </c>
      <c r="K2201" s="582" t="s">
        <v>117</v>
      </c>
    </row>
    <row r="2202" spans="6:11" ht="24" customHeight="1">
      <c r="F2202" s="587">
        <v>1</v>
      </c>
      <c r="G2202" s="585" t="s">
        <v>209</v>
      </c>
      <c r="H2202" s="573" t="s">
        <v>2113</v>
      </c>
      <c r="I2202" s="587">
        <f>C203</f>
        <v>125.6</v>
      </c>
      <c r="J2202" s="573" t="s">
        <v>209</v>
      </c>
      <c r="K2202" s="587">
        <f>(F2202*I2202)</f>
        <v>125.6</v>
      </c>
    </row>
    <row r="2203" spans="6:11" ht="24" customHeight="1">
      <c r="F2203" s="573" t="s">
        <v>115</v>
      </c>
      <c r="H2203" s="573" t="s">
        <v>2108</v>
      </c>
    </row>
    <row r="2204" spans="6:11" ht="24" customHeight="1">
      <c r="F2204" s="573" t="s">
        <v>115</v>
      </c>
      <c r="H2204" s="573" t="s">
        <v>2109</v>
      </c>
      <c r="I2204" s="574" t="s">
        <v>129</v>
      </c>
      <c r="K2204" s="587">
        <v>3</v>
      </c>
    </row>
    <row r="2205" spans="6:11" ht="24" customHeight="1">
      <c r="K2205" s="582" t="s">
        <v>117</v>
      </c>
    </row>
    <row r="2206" spans="6:11" ht="24" customHeight="1">
      <c r="H2206" s="573" t="s">
        <v>2093</v>
      </c>
      <c r="K2206" s="587">
        <f>SUM(K2202:K2204)</f>
        <v>128.6</v>
      </c>
    </row>
    <row r="2207" spans="6:11" ht="24" customHeight="1">
      <c r="K2207" s="582" t="s">
        <v>117</v>
      </c>
    </row>
    <row r="2209" spans="6:12" ht="24" customHeight="1">
      <c r="F2209" s="574" t="s">
        <v>2114</v>
      </c>
      <c r="G2209" s="585" t="s">
        <v>122</v>
      </c>
      <c r="H2209" s="577" t="s">
        <v>2096</v>
      </c>
    </row>
    <row r="2210" spans="6:12" ht="24" customHeight="1">
      <c r="H2210" s="577" t="s">
        <v>2112</v>
      </c>
    </row>
    <row r="2211" spans="6:12" ht="24" customHeight="1">
      <c r="H2211" s="582" t="s">
        <v>117</v>
      </c>
    </row>
    <row r="2212" spans="6:12" ht="24" customHeight="1">
      <c r="F2212" s="587">
        <v>1</v>
      </c>
      <c r="G2212" s="585" t="s">
        <v>209</v>
      </c>
      <c r="H2212" s="573" t="s">
        <v>2115</v>
      </c>
      <c r="I2212" s="587">
        <f>C208</f>
        <v>162.9</v>
      </c>
      <c r="J2212" s="573" t="s">
        <v>209</v>
      </c>
      <c r="K2212" s="587">
        <f>(F2212*I2212)</f>
        <v>162.9</v>
      </c>
    </row>
    <row r="2213" spans="6:12" ht="24" customHeight="1">
      <c r="F2213" s="573" t="s">
        <v>115</v>
      </c>
      <c r="H2213" s="573" t="s">
        <v>2108</v>
      </c>
    </row>
    <row r="2214" spans="6:12" ht="24" customHeight="1">
      <c r="F2214" s="573" t="s">
        <v>115</v>
      </c>
      <c r="H2214" s="573" t="s">
        <v>2109</v>
      </c>
      <c r="I2214" s="574" t="s">
        <v>129</v>
      </c>
      <c r="K2214" s="587">
        <v>3</v>
      </c>
    </row>
    <row r="2215" spans="6:12" ht="24" customHeight="1">
      <c r="K2215" s="582" t="s">
        <v>117</v>
      </c>
    </row>
    <row r="2216" spans="6:12" ht="24" customHeight="1">
      <c r="H2216" s="577" t="s">
        <v>2093</v>
      </c>
      <c r="K2216" s="587">
        <f>SUM(K2212:K2214)</f>
        <v>165.9</v>
      </c>
    </row>
    <row r="2217" spans="6:12" ht="24" customHeight="1">
      <c r="K2217" s="582" t="s">
        <v>117</v>
      </c>
    </row>
    <row r="2218" spans="6:12" ht="24" customHeight="1">
      <c r="F2218" s="574" t="s">
        <v>2116</v>
      </c>
      <c r="H2218" s="577" t="s">
        <v>2117</v>
      </c>
    </row>
    <row r="2219" spans="6:12" ht="24" customHeight="1">
      <c r="H2219" s="577" t="s">
        <v>2118</v>
      </c>
    </row>
    <row r="2220" spans="6:12" ht="24" customHeight="1">
      <c r="H2220" s="582" t="s">
        <v>117</v>
      </c>
    </row>
    <row r="2221" spans="6:12" ht="24" customHeight="1">
      <c r="F2221" s="587">
        <v>2.5</v>
      </c>
      <c r="G2221" s="585" t="s">
        <v>2119</v>
      </c>
      <c r="H2221" s="573" t="s">
        <v>2117</v>
      </c>
      <c r="I2221" s="587">
        <f>C588</f>
        <v>30</v>
      </c>
      <c r="J2221" s="573">
        <v>2.5</v>
      </c>
      <c r="K2221" s="838">
        <f>(F2221*I2221)/F2221</f>
        <v>30</v>
      </c>
      <c r="L2221" s="575">
        <f>1394*1.62-K2252</f>
        <v>-1324.4650000000001</v>
      </c>
    </row>
    <row r="2222" spans="6:12" ht="24" customHeight="1">
      <c r="H2222" s="573" t="s">
        <v>2120</v>
      </c>
      <c r="J2222" s="573" t="s">
        <v>2119</v>
      </c>
      <c r="K2222" s="839"/>
    </row>
    <row r="2223" spans="6:12" ht="24" customHeight="1">
      <c r="G2223" s="585" t="s">
        <v>129</v>
      </c>
      <c r="H2223" s="573" t="s">
        <v>2121</v>
      </c>
      <c r="J2223" s="573" t="s">
        <v>129</v>
      </c>
      <c r="K2223" s="696">
        <v>1.87</v>
      </c>
    </row>
    <row r="2224" spans="6:12" ht="24" customHeight="1">
      <c r="K2224" s="582" t="s">
        <v>117</v>
      </c>
    </row>
    <row r="2225" spans="6:11" ht="24" customHeight="1">
      <c r="H2225" s="589" t="s">
        <v>2104</v>
      </c>
      <c r="K2225" s="586">
        <f>SUM(K2221:K2223)</f>
        <v>31.87</v>
      </c>
    </row>
    <row r="2226" spans="6:11" ht="24" customHeight="1">
      <c r="K2226" s="582" t="s">
        <v>155</v>
      </c>
    </row>
    <row r="2228" spans="6:11" ht="24" customHeight="1">
      <c r="F2228" s="574" t="s">
        <v>2122</v>
      </c>
      <c r="G2228" s="585" t="s">
        <v>122</v>
      </c>
      <c r="H2228" s="573" t="s">
        <v>2123</v>
      </c>
    </row>
    <row r="2229" spans="6:11" ht="24" customHeight="1">
      <c r="H2229" s="573" t="s">
        <v>2124</v>
      </c>
    </row>
    <row r="2230" spans="6:11" ht="24" customHeight="1">
      <c r="H2230" s="573" t="s">
        <v>2125</v>
      </c>
    </row>
    <row r="2231" spans="6:11" ht="24" customHeight="1">
      <c r="H2231" s="573" t="s">
        <v>2126</v>
      </c>
    </row>
    <row r="2232" spans="6:11" ht="24" customHeight="1">
      <c r="H2232" s="573" t="s">
        <v>2127</v>
      </c>
    </row>
    <row r="2233" spans="6:11" ht="24" customHeight="1">
      <c r="H2233" s="573" t="s">
        <v>2128</v>
      </c>
    </row>
    <row r="2234" spans="6:11" ht="24" customHeight="1">
      <c r="H2234" s="573" t="s">
        <v>2129</v>
      </c>
    </row>
    <row r="2235" spans="6:11" ht="24" customHeight="1">
      <c r="H2235" s="573" t="s">
        <v>2130</v>
      </c>
    </row>
    <row r="2236" spans="6:11" ht="24" customHeight="1">
      <c r="H2236" s="573" t="s">
        <v>2131</v>
      </c>
    </row>
    <row r="2237" spans="6:11" ht="24" customHeight="1">
      <c r="H2237" s="573" t="s">
        <v>2132</v>
      </c>
    </row>
    <row r="2238" spans="6:11" ht="24" customHeight="1">
      <c r="H2238" s="573" t="s">
        <v>2133</v>
      </c>
    </row>
    <row r="2239" spans="6:11" ht="24" customHeight="1">
      <c r="H2239" s="573" t="s">
        <v>2134</v>
      </c>
    </row>
    <row r="2240" spans="6:11" ht="24" customHeight="1">
      <c r="H2240" s="582" t="s">
        <v>117</v>
      </c>
      <c r="I2240" s="582" t="s">
        <v>117</v>
      </c>
    </row>
    <row r="2241" spans="6:13" ht="24" customHeight="1">
      <c r="F2241" s="573" t="s">
        <v>115</v>
      </c>
    </row>
    <row r="2242" spans="6:13" ht="24" customHeight="1">
      <c r="F2242" s="652">
        <v>1.7399999999999999E-2</v>
      </c>
      <c r="G2242" s="585" t="s">
        <v>429</v>
      </c>
      <c r="H2242" s="573" t="s">
        <v>2135</v>
      </c>
      <c r="I2242" s="587">
        <f>C86</f>
        <v>34300</v>
      </c>
      <c r="J2242" s="573" t="s">
        <v>429</v>
      </c>
      <c r="K2242" s="587">
        <f t="shared" ref="K2242:K2249" si="235">F2242*I2242</f>
        <v>596.81999999999994</v>
      </c>
    </row>
    <row r="2243" spans="6:13" ht="24" customHeight="1">
      <c r="F2243" s="652">
        <v>2.93E-2</v>
      </c>
      <c r="G2243" s="585" t="s">
        <v>429</v>
      </c>
      <c r="H2243" s="573" t="s">
        <v>2136</v>
      </c>
      <c r="I2243" s="587">
        <f>C87</f>
        <v>39400</v>
      </c>
      <c r="J2243" s="573" t="s">
        <v>429</v>
      </c>
      <c r="K2243" s="587">
        <f t="shared" si="235"/>
        <v>1154.42</v>
      </c>
    </row>
    <row r="2244" spans="6:13" ht="24" customHeight="1">
      <c r="F2244" s="652">
        <v>1.093</v>
      </c>
      <c r="G2244" s="585" t="s">
        <v>174</v>
      </c>
      <c r="H2244" s="573" t="s">
        <v>2137</v>
      </c>
      <c r="I2244" s="587">
        <f>C199</f>
        <v>295</v>
      </c>
      <c r="J2244" s="573" t="s">
        <v>174</v>
      </c>
      <c r="K2244" s="587">
        <f t="shared" si="235"/>
        <v>322.435</v>
      </c>
    </row>
    <row r="2245" spans="6:13" ht="24" customHeight="1">
      <c r="F2245" s="587">
        <v>6</v>
      </c>
      <c r="G2245" s="585" t="s">
        <v>233</v>
      </c>
      <c r="H2245" s="573" t="s">
        <v>2138</v>
      </c>
      <c r="I2245" s="587">
        <f>C297</f>
        <v>7</v>
      </c>
      <c r="J2245" s="573" t="s">
        <v>227</v>
      </c>
      <c r="K2245" s="587">
        <f t="shared" si="235"/>
        <v>42</v>
      </c>
    </row>
    <row r="2246" spans="6:13" ht="24" customHeight="1">
      <c r="F2246" s="587">
        <v>1</v>
      </c>
      <c r="G2246" s="585" t="s">
        <v>233</v>
      </c>
      <c r="H2246" s="573" t="s">
        <v>2139</v>
      </c>
      <c r="I2246" s="587">
        <f>C287</f>
        <v>89.7</v>
      </c>
      <c r="J2246" s="573" t="s">
        <v>227</v>
      </c>
      <c r="K2246" s="587">
        <f t="shared" si="235"/>
        <v>89.7</v>
      </c>
    </row>
    <row r="2247" spans="6:13" ht="24" customHeight="1">
      <c r="F2247" s="587">
        <v>2</v>
      </c>
      <c r="G2247" s="585" t="s">
        <v>233</v>
      </c>
      <c r="H2247" s="573" t="s">
        <v>2140</v>
      </c>
      <c r="I2247" s="587">
        <f>C308</f>
        <v>3</v>
      </c>
      <c r="J2247" s="573" t="s">
        <v>227</v>
      </c>
      <c r="K2247" s="587">
        <f t="shared" si="235"/>
        <v>6</v>
      </c>
    </row>
    <row r="2248" spans="6:13" ht="24" customHeight="1">
      <c r="F2248" s="587">
        <v>6</v>
      </c>
      <c r="G2248" s="585" t="s">
        <v>233</v>
      </c>
      <c r="H2248" s="573" t="s">
        <v>2141</v>
      </c>
      <c r="I2248" s="840">
        <v>10.5</v>
      </c>
      <c r="J2248" s="573" t="s">
        <v>227</v>
      </c>
      <c r="K2248" s="587">
        <f t="shared" si="235"/>
        <v>63</v>
      </c>
    </row>
    <row r="2249" spans="6:13" ht="24" customHeight="1">
      <c r="F2249" s="617">
        <v>1.62</v>
      </c>
      <c r="G2249" s="585" t="s">
        <v>174</v>
      </c>
      <c r="H2249" s="573" t="s">
        <v>2142</v>
      </c>
      <c r="I2249" s="587">
        <f>D33</f>
        <v>805</v>
      </c>
      <c r="J2249" s="573" t="s">
        <v>174</v>
      </c>
      <c r="K2249" s="587">
        <f t="shared" si="235"/>
        <v>1304.1000000000001</v>
      </c>
    </row>
    <row r="2250" spans="6:13" ht="24" customHeight="1">
      <c r="G2250" s="585" t="s">
        <v>129</v>
      </c>
      <c r="H2250" s="573" t="s">
        <v>2143</v>
      </c>
      <c r="J2250" s="573" t="s">
        <v>129</v>
      </c>
      <c r="K2250" s="587">
        <v>4.2699999999999996</v>
      </c>
    </row>
    <row r="2251" spans="6:13" ht="24" customHeight="1">
      <c r="K2251" s="582" t="s">
        <v>117</v>
      </c>
    </row>
    <row r="2252" spans="6:13" ht="24" customHeight="1">
      <c r="H2252" s="589" t="s">
        <v>2144</v>
      </c>
      <c r="K2252" s="586">
        <f>SUM(K2242:K2250)</f>
        <v>3582.7450000000003</v>
      </c>
    </row>
    <row r="2253" spans="6:13" ht="24" customHeight="1">
      <c r="K2253" s="632" t="s">
        <v>117</v>
      </c>
    </row>
    <row r="2254" spans="6:13" ht="24" customHeight="1">
      <c r="K2254" s="619"/>
    </row>
    <row r="2255" spans="6:13" ht="24" customHeight="1">
      <c r="H2255" s="589" t="s">
        <v>2145</v>
      </c>
      <c r="I2255" s="573" t="s">
        <v>115</v>
      </c>
      <c r="K2255" s="586">
        <f>K2252/1.62</f>
        <v>2211.570987654321</v>
      </c>
      <c r="M2255" s="575">
        <f>1921*1.62</f>
        <v>3112.02</v>
      </c>
    </row>
    <row r="2256" spans="6:13" ht="15" customHeight="1">
      <c r="F2256" s="573" t="s">
        <v>115</v>
      </c>
      <c r="G2256" s="585" t="s">
        <v>115</v>
      </c>
      <c r="H2256" s="573" t="s">
        <v>115</v>
      </c>
      <c r="I2256" s="573" t="s">
        <v>115</v>
      </c>
      <c r="J2256" s="573" t="s">
        <v>115</v>
      </c>
      <c r="M2256" s="575">
        <f>M2255-K2252</f>
        <v>-470.72500000000036</v>
      </c>
    </row>
    <row r="2257" spans="6:12" ht="13.5" hidden="1" customHeight="1"/>
    <row r="2258" spans="6:12" ht="24" customHeight="1">
      <c r="G2258" s="585" t="s">
        <v>589</v>
      </c>
      <c r="H2258" s="577" t="s">
        <v>1271</v>
      </c>
    </row>
    <row r="2259" spans="6:12" ht="24" customHeight="1">
      <c r="H2259" s="573" t="s">
        <v>2146</v>
      </c>
      <c r="L2259" s="575">
        <f>3.6*1.1</f>
        <v>3.9600000000000004</v>
      </c>
    </row>
    <row r="2260" spans="6:12" ht="24" customHeight="1">
      <c r="F2260" s="573" t="s">
        <v>115</v>
      </c>
      <c r="H2260" s="573" t="s">
        <v>2147</v>
      </c>
      <c r="L2260" s="575">
        <f>3.6*1.6</f>
        <v>5.7600000000000007</v>
      </c>
    </row>
    <row r="2261" spans="6:12" ht="35.25" customHeight="1">
      <c r="F2261" s="574" t="s">
        <v>2148</v>
      </c>
      <c r="H2261" s="573" t="s">
        <v>1275</v>
      </c>
      <c r="K2261" s="841">
        <f>[2]Elec.Data!K2860</f>
        <v>1340</v>
      </c>
    </row>
    <row r="2262" spans="6:12" ht="30.75" customHeight="1">
      <c r="F2262" s="574" t="s">
        <v>2149</v>
      </c>
      <c r="H2262" s="574" t="s">
        <v>1279</v>
      </c>
      <c r="K2262" s="841">
        <f>[2]Elec.Data!K2884</f>
        <v>1344</v>
      </c>
    </row>
    <row r="2263" spans="6:12" ht="30.75" customHeight="1">
      <c r="F2263" s="574" t="s">
        <v>2150</v>
      </c>
      <c r="H2263" s="573" t="s">
        <v>1342</v>
      </c>
      <c r="K2263" s="841">
        <f>[2]Elec.Data!K2899</f>
        <v>1372</v>
      </c>
    </row>
    <row r="2264" spans="6:12" ht="30.75" customHeight="1">
      <c r="F2264" s="607">
        <v>65</v>
      </c>
      <c r="H2264" s="573" t="s">
        <v>1281</v>
      </c>
      <c r="K2264" s="841">
        <f>[2]Elec.Data!K2921</f>
        <v>1398</v>
      </c>
    </row>
    <row r="2265" spans="6:12" ht="30.75" customHeight="1">
      <c r="F2265" s="607">
        <v>66</v>
      </c>
      <c r="H2265" s="573" t="s">
        <v>1288</v>
      </c>
      <c r="K2265" s="841">
        <f>[2]Elec.Data!K2945</f>
        <v>2506</v>
      </c>
    </row>
    <row r="2266" spans="6:12" ht="30.75" customHeight="1">
      <c r="F2266" s="607">
        <v>67</v>
      </c>
      <c r="H2266" s="573" t="s">
        <v>1284</v>
      </c>
      <c r="K2266" s="841">
        <f>[2]Elec.Data!K2977</f>
        <v>688</v>
      </c>
    </row>
    <row r="2267" spans="6:12" ht="30.75" customHeight="1">
      <c r="F2267" s="607">
        <v>68</v>
      </c>
      <c r="H2267" s="573" t="s">
        <v>1286</v>
      </c>
      <c r="K2267" s="841">
        <f>[2]Elec.Data!K2965</f>
        <v>932</v>
      </c>
    </row>
    <row r="2268" spans="6:12" ht="30.75" customHeight="1">
      <c r="F2268" s="607">
        <v>69</v>
      </c>
      <c r="H2268" s="573" t="s">
        <v>2151</v>
      </c>
      <c r="K2268" s="841">
        <f>[2]Elec.Data!K2988</f>
        <v>129</v>
      </c>
    </row>
    <row r="2269" spans="6:12" ht="30.75" customHeight="1">
      <c r="F2269" s="607" t="s">
        <v>2152</v>
      </c>
      <c r="H2269" s="573" t="s">
        <v>1351</v>
      </c>
      <c r="K2269" s="841">
        <f>[2]Elec.Data!K3135</f>
        <v>462</v>
      </c>
    </row>
    <row r="2270" spans="6:12" ht="30.75" customHeight="1">
      <c r="F2270" s="607" t="s">
        <v>2153</v>
      </c>
      <c r="H2270" s="573" t="s">
        <v>2154</v>
      </c>
      <c r="J2270" s="580"/>
      <c r="K2270" s="841"/>
      <c r="L2270" s="575">
        <f>37.7*90</f>
        <v>3393.0000000000005</v>
      </c>
    </row>
    <row r="2271" spans="6:12" ht="30.75" customHeight="1">
      <c r="F2271" s="607" t="s">
        <v>2155</v>
      </c>
      <c r="H2271" s="573" t="s">
        <v>2156</v>
      </c>
      <c r="K2271" s="629">
        <v>12</v>
      </c>
    </row>
    <row r="2272" spans="6:12" ht="24" customHeight="1">
      <c r="F2272" s="607" t="s">
        <v>2157</v>
      </c>
      <c r="H2272" s="573" t="s">
        <v>2158</v>
      </c>
      <c r="K2272" s="842">
        <v>10</v>
      </c>
    </row>
    <row r="2273" spans="6:11" ht="24" customHeight="1">
      <c r="F2273" s="607">
        <v>71</v>
      </c>
      <c r="H2273" s="573" t="s">
        <v>1352</v>
      </c>
      <c r="K2273" s="841">
        <f>[3]Elec.Data!K3154</f>
        <v>562</v>
      </c>
    </row>
    <row r="2274" spans="6:11" ht="24" customHeight="1">
      <c r="F2274" s="607">
        <v>72</v>
      </c>
      <c r="H2274" s="573" t="s">
        <v>2159</v>
      </c>
      <c r="K2274" s="842">
        <v>33.9</v>
      </c>
    </row>
    <row r="2275" spans="6:11" ht="24" customHeight="1">
      <c r="F2275" s="607" t="s">
        <v>2160</v>
      </c>
      <c r="H2275" s="573" t="s">
        <v>1355</v>
      </c>
      <c r="K2275" s="841">
        <f>[2]Elec.Data!K3233</f>
        <v>4016</v>
      </c>
    </row>
    <row r="2276" spans="6:11" ht="24" customHeight="1">
      <c r="F2276" s="607" t="s">
        <v>2161</v>
      </c>
      <c r="H2276" s="573" t="s">
        <v>2162</v>
      </c>
      <c r="K2276" s="841">
        <f>[2]Elec.Data!K3221</f>
        <v>3250</v>
      </c>
    </row>
    <row r="2277" spans="6:11" ht="24" customHeight="1">
      <c r="F2277" s="607">
        <v>74</v>
      </c>
      <c r="H2277" s="573" t="s">
        <v>242</v>
      </c>
      <c r="K2277" s="841">
        <f>[2]Elec.Data!K3277</f>
        <v>467</v>
      </c>
    </row>
    <row r="2278" spans="6:11" ht="24" customHeight="1">
      <c r="F2278" s="607" t="s">
        <v>2163</v>
      </c>
      <c r="H2278" s="573" t="s">
        <v>2164</v>
      </c>
      <c r="K2278" s="841">
        <v>1185</v>
      </c>
    </row>
    <row r="2279" spans="6:11" ht="24" customHeight="1">
      <c r="F2279" s="607" t="s">
        <v>2165</v>
      </c>
      <c r="H2279" s="573" t="s">
        <v>1358</v>
      </c>
      <c r="K2279" s="843"/>
    </row>
    <row r="2280" spans="6:11" ht="24" customHeight="1">
      <c r="F2280" s="607">
        <v>112</v>
      </c>
      <c r="H2280" s="573" t="s">
        <v>2166</v>
      </c>
      <c r="K2280" s="841">
        <f>[2]Elec.Data!K3744</f>
        <v>1919</v>
      </c>
    </row>
    <row r="2281" spans="6:11" ht="34.5" customHeight="1">
      <c r="F2281" s="607">
        <v>76</v>
      </c>
      <c r="H2281" s="573" t="s">
        <v>1360</v>
      </c>
      <c r="K2281" s="841">
        <f>[2]Elec.Data!K3295</f>
        <v>21</v>
      </c>
    </row>
    <row r="2282" spans="6:11" ht="31.5" customHeight="1">
      <c r="F2282" s="607">
        <v>77</v>
      </c>
      <c r="H2282" s="573" t="s">
        <v>2167</v>
      </c>
      <c r="K2282" s="841">
        <f>[2]Elec.Data!K3080</f>
        <v>172</v>
      </c>
    </row>
    <row r="2283" spans="6:11" ht="38.25" customHeight="1">
      <c r="F2283" s="844">
        <v>77.099999999999994</v>
      </c>
      <c r="H2283" s="633" t="s">
        <v>2168</v>
      </c>
      <c r="K2283" s="845">
        <f>[2]Elec.Data!K3105</f>
        <v>219</v>
      </c>
    </row>
    <row r="2284" spans="6:11" ht="24" customHeight="1">
      <c r="F2284" s="620">
        <v>77.2</v>
      </c>
      <c r="H2284" s="573" t="s">
        <v>2169</v>
      </c>
      <c r="K2284" s="841">
        <v>500</v>
      </c>
    </row>
    <row r="2285" spans="6:11" ht="24" customHeight="1">
      <c r="F2285" s="620">
        <v>77.3</v>
      </c>
      <c r="H2285" s="573" t="s">
        <v>2170</v>
      </c>
      <c r="K2285" s="841">
        <f>[2]Elec.Data!K3712</f>
        <v>76</v>
      </c>
    </row>
    <row r="2286" spans="6:11" ht="24" customHeight="1">
      <c r="F2286" s="607">
        <v>78</v>
      </c>
      <c r="H2286" s="573" t="s">
        <v>1366</v>
      </c>
      <c r="K2286" s="841">
        <f>[2]Elec.Data!K3319</f>
        <v>2588</v>
      </c>
    </row>
    <row r="2287" spans="6:11" ht="24" customHeight="1">
      <c r="F2287" s="607">
        <v>80</v>
      </c>
      <c r="H2287" s="573" t="s">
        <v>1373</v>
      </c>
      <c r="K2287" s="841">
        <f>[2]Elec.Data!K3441</f>
        <v>718</v>
      </c>
    </row>
    <row r="2288" spans="6:11" ht="24" customHeight="1">
      <c r="F2288" s="607">
        <v>81</v>
      </c>
      <c r="H2288" s="573" t="s">
        <v>1376</v>
      </c>
      <c r="K2288" s="841">
        <f>K2255</f>
        <v>2211.570987654321</v>
      </c>
    </row>
    <row r="2289" spans="6:33" ht="24" customHeight="1">
      <c r="F2289" s="607">
        <v>82</v>
      </c>
      <c r="H2289" s="573" t="s">
        <v>1378</v>
      </c>
      <c r="K2289" s="841">
        <f>[2]Elec.Data!K3638</f>
        <v>2579</v>
      </c>
    </row>
    <row r="2290" spans="6:33" ht="24" customHeight="1">
      <c r="F2290" s="607">
        <v>87</v>
      </c>
      <c r="H2290" s="573" t="s">
        <v>1381</v>
      </c>
      <c r="K2290" s="841">
        <f>[2]Elec.Data!K3458</f>
        <v>2505</v>
      </c>
    </row>
    <row r="2291" spans="6:33" ht="24" customHeight="1">
      <c r="H2291" s="846" t="s">
        <v>2171</v>
      </c>
      <c r="K2291" s="841">
        <f>[2]Elec.Data!K3762</f>
        <v>1768</v>
      </c>
    </row>
    <row r="2292" spans="6:33" ht="24" customHeight="1">
      <c r="H2292" s="847" t="s">
        <v>2172</v>
      </c>
      <c r="K2292" s="841">
        <v>137</v>
      </c>
    </row>
    <row r="2293" spans="6:33" ht="28.5" customHeight="1">
      <c r="F2293" s="848">
        <v>77.400000000000006</v>
      </c>
      <c r="H2293" s="849" t="s">
        <v>2173</v>
      </c>
    </row>
    <row r="2294" spans="6:33" ht="27" customHeight="1">
      <c r="H2294" s="573" t="s">
        <v>2146</v>
      </c>
    </row>
    <row r="2295" spans="6:33" ht="42.75" customHeight="1">
      <c r="F2295" s="575">
        <v>90</v>
      </c>
      <c r="G2295" s="576" t="s">
        <v>2174</v>
      </c>
      <c r="H2295" s="731" t="s">
        <v>2175</v>
      </c>
      <c r="I2295" s="850">
        <v>17.100000000000001</v>
      </c>
      <c r="J2295" s="578" t="s">
        <v>2174</v>
      </c>
      <c r="K2295" s="575">
        <f>I2295*F2295</f>
        <v>1539.0000000000002</v>
      </c>
    </row>
    <row r="2296" spans="6:33" ht="24" customHeight="1">
      <c r="F2296" s="575">
        <v>0.15</v>
      </c>
      <c r="G2296" s="576" t="s">
        <v>1123</v>
      </c>
      <c r="H2296" s="575" t="s">
        <v>125</v>
      </c>
      <c r="I2296" s="575">
        <f>AC31</f>
        <v>5800</v>
      </c>
      <c r="J2296" s="578" t="s">
        <v>1123</v>
      </c>
      <c r="K2296" s="575">
        <f>I2296*F2296</f>
        <v>870</v>
      </c>
    </row>
    <row r="2297" spans="6:33" ht="24" customHeight="1">
      <c r="F2297" s="575">
        <v>1</v>
      </c>
      <c r="G2297" s="576" t="s">
        <v>1</v>
      </c>
      <c r="H2297" s="575" t="s">
        <v>2176</v>
      </c>
      <c r="I2297" s="851">
        <f>C809</f>
        <v>636</v>
      </c>
      <c r="J2297" s="578" t="s">
        <v>1</v>
      </c>
      <c r="K2297" s="575">
        <f>I2297*F2297</f>
        <v>636</v>
      </c>
    </row>
    <row r="2298" spans="6:33" ht="24" customHeight="1">
      <c r="F2298" s="575">
        <v>2</v>
      </c>
      <c r="G2298" s="576" t="s">
        <v>1</v>
      </c>
      <c r="H2298" s="575" t="s">
        <v>145</v>
      </c>
      <c r="I2298" s="575">
        <f>AE10</f>
        <v>718</v>
      </c>
      <c r="J2298" s="578" t="s">
        <v>1</v>
      </c>
      <c r="K2298" s="575">
        <f>I2298*F2298</f>
        <v>1436</v>
      </c>
    </row>
    <row r="2299" spans="6:33" ht="24" customHeight="1">
      <c r="F2299" s="575">
        <v>4</v>
      </c>
      <c r="G2299" s="576" t="s">
        <v>1</v>
      </c>
      <c r="H2299" s="575" t="str">
        <f>B810</f>
        <v>Electrical HELPERp-15 it-100</v>
      </c>
      <c r="I2299" s="851">
        <f>C810</f>
        <v>497</v>
      </c>
      <c r="J2299" s="578" t="s">
        <v>1</v>
      </c>
      <c r="K2299" s="575">
        <f>I2299*F2299</f>
        <v>1988</v>
      </c>
    </row>
    <row r="2300" spans="6:33" ht="24" customHeight="1">
      <c r="H2300" s="575" t="s">
        <v>2177</v>
      </c>
      <c r="K2300" s="575">
        <v>11.5</v>
      </c>
    </row>
    <row r="2301" spans="6:33" ht="24" customHeight="1">
      <c r="K2301" s="582" t="s">
        <v>117</v>
      </c>
    </row>
    <row r="2302" spans="6:33" ht="36.75" customHeight="1">
      <c r="H2302" s="573" t="s">
        <v>2178</v>
      </c>
      <c r="K2302" s="587">
        <f>SUM(K2295:K2300)</f>
        <v>6480.5</v>
      </c>
    </row>
    <row r="2303" spans="6:33" ht="24" customHeight="1">
      <c r="K2303" s="582" t="s">
        <v>117</v>
      </c>
    </row>
    <row r="2304" spans="6:33" ht="24" customHeight="1">
      <c r="H2304" s="573" t="s">
        <v>2094</v>
      </c>
      <c r="K2304" s="587">
        <f>(K2302/90)</f>
        <v>72.00555555555556</v>
      </c>
      <c r="AG2304" s="575">
        <v>0</v>
      </c>
    </row>
    <row r="2305" spans="5:253" ht="24" customHeight="1">
      <c r="K2305" s="582" t="s">
        <v>155</v>
      </c>
      <c r="IS2305" s="575">
        <v>0</v>
      </c>
    </row>
    <row r="2307" spans="5:253" ht="24" customHeight="1">
      <c r="F2307" s="679">
        <v>78.099999999999994</v>
      </c>
      <c r="H2307" s="577" t="s">
        <v>2179</v>
      </c>
      <c r="L2307" s="575">
        <f>31.5+85</f>
        <v>116.5</v>
      </c>
    </row>
    <row r="2308" spans="5:253" ht="24" customHeight="1">
      <c r="H2308" s="573" t="s">
        <v>2146</v>
      </c>
      <c r="L2308" s="575">
        <f>L2307*10%</f>
        <v>11.65</v>
      </c>
    </row>
    <row r="2309" spans="5:253" ht="24" customHeight="1">
      <c r="F2309" s="575">
        <v>2.5</v>
      </c>
      <c r="G2309" s="576" t="s">
        <v>1</v>
      </c>
      <c r="H2309" s="575" t="s">
        <v>2180</v>
      </c>
      <c r="I2309" s="686">
        <f>C395</f>
        <v>163</v>
      </c>
      <c r="J2309" s="578" t="s">
        <v>1</v>
      </c>
      <c r="K2309" s="575">
        <f t="shared" ref="K2309:K2314" si="236">I2309*F2309</f>
        <v>407.5</v>
      </c>
    </row>
    <row r="2310" spans="5:253" ht="24" customHeight="1">
      <c r="F2310" s="575">
        <v>20</v>
      </c>
      <c r="G2310" s="576" t="s">
        <v>1962</v>
      </c>
      <c r="H2310" s="852" t="s">
        <v>2181</v>
      </c>
      <c r="I2310" s="853">
        <f>[2]Elec.Data!I3313</f>
        <v>4.96</v>
      </c>
      <c r="J2310" s="578" t="s">
        <v>1962</v>
      </c>
      <c r="K2310" s="575">
        <f t="shared" si="236"/>
        <v>99.2</v>
      </c>
    </row>
    <row r="2311" spans="5:253" ht="24" customHeight="1">
      <c r="F2311" s="575">
        <v>9</v>
      </c>
      <c r="G2311" s="576" t="s">
        <v>1962</v>
      </c>
      <c r="H2311" s="575" t="s">
        <v>2182</v>
      </c>
      <c r="I2311" s="686">
        <f>[2]Elec.Data!I3316</f>
        <v>3.7</v>
      </c>
      <c r="J2311" s="578" t="s">
        <v>1962</v>
      </c>
      <c r="K2311" s="575">
        <f t="shared" si="236"/>
        <v>33.300000000000004</v>
      </c>
    </row>
    <row r="2312" spans="5:253" ht="51.75" customHeight="1">
      <c r="F2312" s="575">
        <v>0.5</v>
      </c>
      <c r="G2312" s="576" t="s">
        <v>1962</v>
      </c>
      <c r="H2312" s="575" t="s">
        <v>2183</v>
      </c>
      <c r="I2312" s="854">
        <f>[2]Elec.Data!I3289</f>
        <v>82.6</v>
      </c>
      <c r="J2312" s="578" t="s">
        <v>1962</v>
      </c>
      <c r="K2312" s="575">
        <f t="shared" si="236"/>
        <v>41.3</v>
      </c>
    </row>
    <row r="2313" spans="5:253" ht="36.75" customHeight="1">
      <c r="E2313" s="579">
        <f>25.2/5</f>
        <v>5.04</v>
      </c>
      <c r="F2313" s="575">
        <v>0.5</v>
      </c>
      <c r="G2313" s="576" t="s">
        <v>1</v>
      </c>
      <c r="H2313" s="575" t="s">
        <v>2184</v>
      </c>
      <c r="I2313" s="575">
        <f>I2297</f>
        <v>636</v>
      </c>
      <c r="J2313" s="578" t="s">
        <v>1</v>
      </c>
      <c r="K2313" s="575">
        <f t="shared" si="236"/>
        <v>318</v>
      </c>
    </row>
    <row r="2314" spans="5:253" ht="24" customHeight="1">
      <c r="F2314" s="575">
        <v>1</v>
      </c>
      <c r="G2314" s="576" t="s">
        <v>1</v>
      </c>
      <c r="H2314" s="575" t="s">
        <v>2185</v>
      </c>
      <c r="I2314" s="575">
        <f>I2299</f>
        <v>497</v>
      </c>
      <c r="J2314" s="578" t="s">
        <v>1</v>
      </c>
      <c r="K2314" s="575">
        <f t="shared" si="236"/>
        <v>497</v>
      </c>
    </row>
    <row r="2315" spans="5:253" ht="45.75" customHeight="1">
      <c r="G2315" s="576" t="s">
        <v>166</v>
      </c>
      <c r="H2315" s="693" t="s">
        <v>2186</v>
      </c>
      <c r="J2315" s="578" t="s">
        <v>166</v>
      </c>
      <c r="K2315" s="575">
        <v>200</v>
      </c>
    </row>
    <row r="2316" spans="5:253" ht="24" customHeight="1">
      <c r="G2316" s="576" t="s">
        <v>166</v>
      </c>
      <c r="H2316" s="575" t="s">
        <v>2187</v>
      </c>
      <c r="J2316" s="578" t="s">
        <v>166</v>
      </c>
      <c r="K2316" s="575">
        <v>8.32</v>
      </c>
    </row>
    <row r="2317" spans="5:253" ht="24" customHeight="1">
      <c r="K2317" s="582" t="s">
        <v>117</v>
      </c>
    </row>
    <row r="2318" spans="5:253" ht="24" customHeight="1">
      <c r="H2318" s="575" t="s">
        <v>1440</v>
      </c>
      <c r="K2318" s="587">
        <f>SUM(K2309:K2316)</f>
        <v>1604.62</v>
      </c>
      <c r="L2318" s="575">
        <f>K2352/3</f>
        <v>29.117999999999999</v>
      </c>
    </row>
    <row r="2319" spans="5:253" ht="27" customHeight="1">
      <c r="K2319" s="582" t="s">
        <v>117</v>
      </c>
    </row>
    <row r="2320" spans="5:253" ht="45" customHeight="1">
      <c r="H2320" s="619" t="s">
        <v>2188</v>
      </c>
    </row>
    <row r="2321" spans="6:19" ht="24" customHeight="1">
      <c r="F2321" s="575">
        <v>0.7</v>
      </c>
      <c r="G2321" s="576" t="s">
        <v>1</v>
      </c>
      <c r="H2321" s="575" t="s">
        <v>2189</v>
      </c>
      <c r="I2321" s="575">
        <f>C17</f>
        <v>679</v>
      </c>
      <c r="J2321" s="578" t="s">
        <v>227</v>
      </c>
      <c r="K2321" s="575">
        <f>I2321*F2321</f>
        <v>475.29999999999995</v>
      </c>
      <c r="S2321" s="579">
        <f>R2359+R2360</f>
        <v>681.5</v>
      </c>
    </row>
    <row r="2322" spans="6:19" ht="24" customHeight="1">
      <c r="F2322" s="575">
        <v>0.5</v>
      </c>
      <c r="G2322" s="576" t="s">
        <v>1</v>
      </c>
      <c r="H2322" s="575" t="s">
        <v>2190</v>
      </c>
      <c r="I2322" s="575">
        <f>C12</f>
        <v>502</v>
      </c>
      <c r="J2322" s="578" t="s">
        <v>227</v>
      </c>
      <c r="K2322" s="575">
        <f>I2322*F2322</f>
        <v>251</v>
      </c>
    </row>
    <row r="2323" spans="6:19" ht="24" customHeight="1">
      <c r="H2323" s="575" t="s">
        <v>2191</v>
      </c>
      <c r="K2323" s="575">
        <f>SUM(K2321:K2322)</f>
        <v>726.3</v>
      </c>
    </row>
    <row r="2324" spans="6:19" ht="24" customHeight="1">
      <c r="H2324" s="575" t="s">
        <v>2192</v>
      </c>
      <c r="K2324" s="619">
        <f>K2323/8.16</f>
        <v>89.007352941176464</v>
      </c>
    </row>
    <row r="2326" spans="6:19" ht="24" customHeight="1">
      <c r="H2326" s="619" t="s">
        <v>2193</v>
      </c>
    </row>
    <row r="2327" spans="6:19" ht="24" customHeight="1">
      <c r="F2327" s="575">
        <v>2</v>
      </c>
      <c r="G2327" s="576" t="s">
        <v>654</v>
      </c>
      <c r="H2327" s="575" t="s">
        <v>3104</v>
      </c>
      <c r="I2327" s="855">
        <v>60.9</v>
      </c>
      <c r="J2327" s="578" t="s">
        <v>654</v>
      </c>
      <c r="K2327" s="575">
        <f>I2327*F2327</f>
        <v>121.8</v>
      </c>
    </row>
    <row r="2328" spans="6:19" ht="24" customHeight="1">
      <c r="F2328" s="575">
        <v>0.2</v>
      </c>
      <c r="G2328" s="576" t="s">
        <v>654</v>
      </c>
      <c r="H2328" s="575" t="s">
        <v>2195</v>
      </c>
      <c r="I2328" s="575">
        <f>C143/1000</f>
        <v>43.75</v>
      </c>
      <c r="J2328" s="578" t="s">
        <v>654</v>
      </c>
      <c r="K2328" s="575">
        <f>I2328*F2328</f>
        <v>8.75</v>
      </c>
    </row>
    <row r="2329" spans="6:19" ht="24" customHeight="1">
      <c r="F2329" s="575">
        <v>2</v>
      </c>
      <c r="G2329" s="576" t="s">
        <v>654</v>
      </c>
      <c r="H2329" s="575" t="s">
        <v>2196</v>
      </c>
      <c r="I2329" s="575">
        <f>K2324</f>
        <v>89.007352941176464</v>
      </c>
      <c r="J2329" s="578" t="s">
        <v>654</v>
      </c>
      <c r="K2329" s="575">
        <f>I2329*F2329</f>
        <v>178.01470588235293</v>
      </c>
    </row>
    <row r="2330" spans="6:19" ht="24" customHeight="1">
      <c r="H2330" s="575" t="s">
        <v>2197</v>
      </c>
      <c r="K2330" s="575">
        <f>SUM(K2327:K2329)</f>
        <v>308.56470588235294</v>
      </c>
    </row>
    <row r="2331" spans="6:19" ht="24" customHeight="1">
      <c r="H2331" s="575" t="s">
        <v>2198</v>
      </c>
      <c r="K2331" s="619">
        <f>K2330/10</f>
        <v>30.856470588235293</v>
      </c>
    </row>
    <row r="2333" spans="6:19" ht="24" customHeight="1">
      <c r="H2333" s="619" t="s">
        <v>2199</v>
      </c>
      <c r="N2333" s="576"/>
      <c r="O2333" s="619" t="s">
        <v>2200</v>
      </c>
      <c r="Q2333" s="578"/>
    </row>
    <row r="2334" spans="6:19" ht="24" customHeight="1">
      <c r="F2334" s="575">
        <v>0.25</v>
      </c>
      <c r="G2334" s="576" t="s">
        <v>233</v>
      </c>
      <c r="H2334" s="575" t="s">
        <v>2201</v>
      </c>
      <c r="I2334" s="575">
        <f>C11</f>
        <v>718</v>
      </c>
      <c r="J2334" s="578" t="s">
        <v>227</v>
      </c>
      <c r="K2334" s="575">
        <f>I2334*F2334</f>
        <v>179.5</v>
      </c>
      <c r="M2334" s="575">
        <v>15</v>
      </c>
      <c r="N2334" s="576" t="s">
        <v>110</v>
      </c>
      <c r="O2334" s="763" t="s">
        <v>2202</v>
      </c>
      <c r="P2334" s="618">
        <v>157.19999999999999</v>
      </c>
      <c r="Q2334" s="578" t="s">
        <v>110</v>
      </c>
      <c r="R2334" s="575">
        <f>P2334*M2334</f>
        <v>2358</v>
      </c>
    </row>
    <row r="2335" spans="6:19" ht="24" customHeight="1">
      <c r="F2335" s="575">
        <v>1</v>
      </c>
      <c r="G2335" s="576" t="s">
        <v>233</v>
      </c>
      <c r="H2335" s="575" t="s">
        <v>2190</v>
      </c>
      <c r="I2335" s="575">
        <f>C12</f>
        <v>502</v>
      </c>
      <c r="J2335" s="578" t="s">
        <v>227</v>
      </c>
      <c r="K2335" s="575">
        <f>I2335*F2335</f>
        <v>502</v>
      </c>
      <c r="M2335" s="575">
        <v>0.5</v>
      </c>
      <c r="N2335" s="576" t="s">
        <v>654</v>
      </c>
      <c r="O2335" s="575" t="s">
        <v>2195</v>
      </c>
      <c r="P2335" s="575">
        <f>C143/1000</f>
        <v>43.75</v>
      </c>
      <c r="Q2335" s="578" t="s">
        <v>654</v>
      </c>
      <c r="R2335" s="575">
        <f>P2335*M2335</f>
        <v>21.875</v>
      </c>
    </row>
    <row r="2336" spans="6:19" ht="24" customHeight="1">
      <c r="G2336" s="578" t="s">
        <v>129</v>
      </c>
      <c r="H2336" s="575" t="s">
        <v>2203</v>
      </c>
      <c r="I2336" s="575">
        <f>SUM(K2334:K2335)*10/100</f>
        <v>68.150000000000006</v>
      </c>
      <c r="J2336" s="578" t="s">
        <v>129</v>
      </c>
      <c r="K2336" s="575">
        <f>I2336</f>
        <v>68.150000000000006</v>
      </c>
      <c r="M2336" s="575">
        <v>0.5</v>
      </c>
      <c r="N2336" s="576" t="s">
        <v>233</v>
      </c>
      <c r="O2336" s="575" t="s">
        <v>2189</v>
      </c>
      <c r="P2336" s="575">
        <f>C17</f>
        <v>679</v>
      </c>
      <c r="Q2336" s="578" t="s">
        <v>654</v>
      </c>
      <c r="R2336" s="575">
        <f>P2336*M2336</f>
        <v>339.5</v>
      </c>
    </row>
    <row r="2337" spans="4:18" ht="24" customHeight="1">
      <c r="H2337" s="575" t="s">
        <v>2204</v>
      </c>
      <c r="K2337" s="575">
        <f>SUM(K2334:K2336)</f>
        <v>749.65</v>
      </c>
      <c r="M2337" s="575">
        <v>0.5</v>
      </c>
      <c r="N2337" s="576" t="s">
        <v>233</v>
      </c>
      <c r="O2337" s="575" t="s">
        <v>2190</v>
      </c>
      <c r="P2337" s="575">
        <f>C12</f>
        <v>502</v>
      </c>
      <c r="Q2337" s="578" t="s">
        <v>654</v>
      </c>
      <c r="R2337" s="575">
        <f>P2337*M2337</f>
        <v>251</v>
      </c>
    </row>
    <row r="2338" spans="4:18" ht="24" customHeight="1">
      <c r="H2338" s="575" t="s">
        <v>2205</v>
      </c>
      <c r="K2338" s="619">
        <f>K2337/2.44</f>
        <v>307.23360655737707</v>
      </c>
      <c r="N2338" s="576"/>
      <c r="O2338" s="575" t="s">
        <v>2206</v>
      </c>
      <c r="Q2338" s="578"/>
      <c r="R2338" s="575">
        <f>SUM(R2334:R2337)</f>
        <v>2970.375</v>
      </c>
    </row>
    <row r="2339" spans="4:18" ht="24" customHeight="1">
      <c r="K2339" s="575">
        <v>0</v>
      </c>
      <c r="O2339" s="619" t="s">
        <v>2207</v>
      </c>
      <c r="Q2339" s="578"/>
      <c r="R2339" s="619">
        <f>R2338/15</f>
        <v>198.02500000000001</v>
      </c>
    </row>
    <row r="2340" spans="4:18" ht="24" customHeight="1">
      <c r="H2340" s="619" t="s">
        <v>2208</v>
      </c>
    </row>
    <row r="2341" spans="4:18" ht="24" customHeight="1">
      <c r="F2341" s="579">
        <v>7.0999999999999994E-2</v>
      </c>
      <c r="G2341" s="576" t="s">
        <v>2209</v>
      </c>
      <c r="H2341" s="575" t="s">
        <v>2210</v>
      </c>
      <c r="I2341" s="575">
        <f>Y688</f>
        <v>7204.1303444999994</v>
      </c>
      <c r="J2341" s="578" t="s">
        <v>2211</v>
      </c>
      <c r="K2341" s="575">
        <f>I2341*F2341</f>
        <v>511.49325445949989</v>
      </c>
    </row>
    <row r="2342" spans="4:18" ht="24" customHeight="1">
      <c r="F2342" s="575">
        <v>1</v>
      </c>
      <c r="G2342" s="576" t="s">
        <v>1944</v>
      </c>
      <c r="H2342" s="575" t="s">
        <v>656</v>
      </c>
      <c r="I2342" s="575">
        <f>K2338</f>
        <v>307.23360655737707</v>
      </c>
      <c r="J2342" s="578" t="s">
        <v>1944</v>
      </c>
      <c r="K2342" s="575">
        <f>I2342*F2342</f>
        <v>307.23360655737707</v>
      </c>
    </row>
    <row r="2343" spans="4:18" ht="43.5" customHeight="1">
      <c r="F2343" s="575" t="s">
        <v>115</v>
      </c>
      <c r="H2343" s="575" t="s">
        <v>2212</v>
      </c>
      <c r="K2343" s="619">
        <f>SUM(K2341:K2342)</f>
        <v>818.72686101687691</v>
      </c>
      <c r="N2343" s="576"/>
      <c r="O2343" s="1464" t="s">
        <v>2213</v>
      </c>
      <c r="P2343" s="1465"/>
      <c r="Q2343" s="1465"/>
    </row>
    <row r="2344" spans="4:18" ht="51" customHeight="1">
      <c r="M2344" s="575">
        <v>0.47</v>
      </c>
      <c r="N2344" s="576" t="s">
        <v>429</v>
      </c>
      <c r="O2344" s="575" t="s">
        <v>1938</v>
      </c>
      <c r="P2344" s="575">
        <f>K90</f>
        <v>168</v>
      </c>
      <c r="Q2344" s="578" t="s">
        <v>227</v>
      </c>
      <c r="R2344" s="575">
        <f>P2344*M2344</f>
        <v>78.959999999999994</v>
      </c>
    </row>
    <row r="2346" spans="4:18" ht="36.75" customHeight="1">
      <c r="H2346" s="856" t="s">
        <v>2214</v>
      </c>
      <c r="K2346" s="579"/>
      <c r="M2346" s="575">
        <v>0.24</v>
      </c>
      <c r="N2346" s="576" t="s">
        <v>429</v>
      </c>
      <c r="O2346" s="575" t="s">
        <v>2215</v>
      </c>
      <c r="P2346" s="575">
        <f>AC15</f>
        <v>1250.69</v>
      </c>
      <c r="Q2346" s="578" t="s">
        <v>227</v>
      </c>
      <c r="R2346" s="575">
        <f>P2346*M2346</f>
        <v>300.16559999999998</v>
      </c>
    </row>
    <row r="2347" spans="4:18" ht="41.25" customHeight="1">
      <c r="D2347" s="575">
        <f>24/5</f>
        <v>4.8</v>
      </c>
      <c r="F2347" s="575">
        <v>98.5</v>
      </c>
      <c r="G2347" s="717" t="s">
        <v>203</v>
      </c>
      <c r="H2347" s="857" t="s">
        <v>2216</v>
      </c>
      <c r="I2347" s="858">
        <f>E2313</f>
        <v>5.04</v>
      </c>
      <c r="J2347" s="578" t="s">
        <v>203</v>
      </c>
      <c r="K2347" s="575">
        <f>I2347*F2347</f>
        <v>496.44</v>
      </c>
      <c r="M2347" s="575">
        <v>0.79</v>
      </c>
      <c r="N2347" s="578" t="s">
        <v>174</v>
      </c>
      <c r="O2347" s="692" t="s">
        <v>2217</v>
      </c>
      <c r="P2347" s="575">
        <f>AD559</f>
        <v>1296.1446184387619</v>
      </c>
      <c r="Q2347" s="578" t="s">
        <v>129</v>
      </c>
      <c r="R2347" s="575">
        <f>P2347*M2347</f>
        <v>1023.9542485666219</v>
      </c>
    </row>
    <row r="2348" spans="4:18" ht="24" customHeight="1">
      <c r="F2348" s="575">
        <v>0.3</v>
      </c>
      <c r="G2348" s="576" t="s">
        <v>203</v>
      </c>
      <c r="H2348" s="575" t="s">
        <v>1354</v>
      </c>
      <c r="I2348" s="575">
        <f>C16</f>
        <v>752</v>
      </c>
      <c r="J2348" s="578" t="s">
        <v>227</v>
      </c>
      <c r="K2348" s="575">
        <f>I2348*F2348</f>
        <v>225.6</v>
      </c>
      <c r="M2348" s="575">
        <v>0.24</v>
      </c>
      <c r="N2348" s="576" t="s">
        <v>429</v>
      </c>
      <c r="O2348" s="575" t="s">
        <v>653</v>
      </c>
      <c r="P2348" s="575">
        <f>I140</f>
        <v>1322.8</v>
      </c>
      <c r="Q2348" s="578"/>
      <c r="R2348" s="575">
        <f>P2348*M2348</f>
        <v>317.47199999999998</v>
      </c>
    </row>
    <row r="2349" spans="4:18" ht="24" customHeight="1">
      <c r="F2349" s="575">
        <v>0.3</v>
      </c>
      <c r="G2349" s="575" t="s">
        <v>203</v>
      </c>
      <c r="H2349" s="575" t="s">
        <v>2190</v>
      </c>
      <c r="I2349" s="575">
        <f>C12</f>
        <v>502</v>
      </c>
      <c r="J2349" s="578" t="s">
        <v>227</v>
      </c>
      <c r="K2349" s="575">
        <f>I2349*F2349</f>
        <v>150.6</v>
      </c>
      <c r="N2349" s="576"/>
      <c r="O2349" s="575" t="s">
        <v>236</v>
      </c>
      <c r="Q2349" s="578"/>
      <c r="R2349" s="575" t="s">
        <v>2218</v>
      </c>
    </row>
    <row r="2350" spans="4:18" ht="24" customHeight="1">
      <c r="H2350" s="575" t="s">
        <v>2219</v>
      </c>
      <c r="K2350" s="575">
        <v>0.9</v>
      </c>
      <c r="R2350" s="619">
        <f>SUM(R2344:R2348)</f>
        <v>1720.5518485666219</v>
      </c>
    </row>
    <row r="2351" spans="4:18" ht="24" customHeight="1">
      <c r="H2351" s="619" t="s">
        <v>2220</v>
      </c>
      <c r="K2351" s="619">
        <f>SUM(K2347:K2350)</f>
        <v>873.54</v>
      </c>
      <c r="R2351" s="575" t="s">
        <v>2221</v>
      </c>
    </row>
    <row r="2352" spans="4:18" ht="24" customHeight="1">
      <c r="H2352" s="619" t="s">
        <v>2222</v>
      </c>
      <c r="K2352" s="619">
        <f>K2351/10</f>
        <v>87.353999999999999</v>
      </c>
      <c r="R2352" s="575">
        <v>0</v>
      </c>
    </row>
    <row r="2353" spans="6:18" ht="24" customHeight="1">
      <c r="H2353" s="619" t="s">
        <v>2223</v>
      </c>
      <c r="K2353" s="619">
        <f>K2352/3</f>
        <v>29.117999999999999</v>
      </c>
      <c r="N2353" s="576"/>
      <c r="O2353" s="1464" t="s">
        <v>2224</v>
      </c>
      <c r="P2353" s="1465"/>
      <c r="Q2353" s="1465"/>
    </row>
    <row r="2354" spans="6:18" ht="24" customHeight="1">
      <c r="G2354" s="764" t="s">
        <v>3105</v>
      </c>
      <c r="H2354" s="686" t="s">
        <v>2226</v>
      </c>
      <c r="I2354" s="619">
        <f>I2356-K2352</f>
        <v>664.30621999999994</v>
      </c>
      <c r="K2354" s="619"/>
      <c r="M2354" s="575">
        <v>1</v>
      </c>
      <c r="N2354" s="576" t="s">
        <v>429</v>
      </c>
      <c r="O2354" s="575" t="s">
        <v>656</v>
      </c>
      <c r="P2354" s="575">
        <f>R2365</f>
        <v>307.23360655737707</v>
      </c>
      <c r="Q2354" s="578" t="s">
        <v>227</v>
      </c>
      <c r="R2354" s="575">
        <f>P2354*M2354</f>
        <v>307.23360655737707</v>
      </c>
    </row>
    <row r="2355" spans="6:18" ht="24" customHeight="1">
      <c r="G2355" s="646"/>
      <c r="H2355" s="686"/>
      <c r="I2355" s="619"/>
      <c r="K2355" s="619"/>
      <c r="M2355" s="579">
        <v>7.0999999999999994E-2</v>
      </c>
      <c r="N2355" s="576" t="s">
        <v>429</v>
      </c>
      <c r="O2355" s="575" t="s">
        <v>2215</v>
      </c>
      <c r="P2355" s="575">
        <f>P2346</f>
        <v>1250.69</v>
      </c>
      <c r="Q2355" s="578" t="s">
        <v>227</v>
      </c>
      <c r="R2355" s="575">
        <f>P2355*M2355</f>
        <v>88.798989999999989</v>
      </c>
    </row>
    <row r="2356" spans="6:18" ht="24" customHeight="1">
      <c r="G2356" s="764" t="s">
        <v>1225</v>
      </c>
      <c r="H2356" s="686" t="s">
        <v>2227</v>
      </c>
      <c r="I2356" s="619">
        <f>K770</f>
        <v>751.66021999999998</v>
      </c>
      <c r="K2356" s="619"/>
      <c r="R2356" s="575" t="s">
        <v>2218</v>
      </c>
    </row>
    <row r="2357" spans="6:18" ht="24" customHeight="1">
      <c r="G2357" s="646"/>
      <c r="H2357" s="686"/>
      <c r="I2357" s="619"/>
      <c r="K2357" s="619"/>
      <c r="N2357" s="578"/>
      <c r="Q2357" s="578"/>
      <c r="R2357" s="619">
        <f>SUM(R2354:R2355)</f>
        <v>396.03259655737708</v>
      </c>
    </row>
    <row r="2358" spans="6:18" ht="24" customHeight="1">
      <c r="G2358" s="859" t="s">
        <v>1258</v>
      </c>
      <c r="H2358" s="860" t="s">
        <v>2228</v>
      </c>
      <c r="I2358" s="619">
        <f>I2356*1.2</f>
        <v>901.99226399999998</v>
      </c>
      <c r="K2358" s="619"/>
      <c r="N2358" s="576"/>
      <c r="Q2358" s="578"/>
      <c r="R2358" s="575" t="s">
        <v>2218</v>
      </c>
    </row>
    <row r="2359" spans="6:18" ht="24" customHeight="1">
      <c r="G2359" s="764"/>
      <c r="H2359" s="686"/>
      <c r="K2359" s="619"/>
      <c r="M2359" s="575">
        <v>0.25</v>
      </c>
      <c r="N2359" s="576" t="s">
        <v>164</v>
      </c>
      <c r="O2359" s="575" t="s">
        <v>2229</v>
      </c>
      <c r="P2359" s="575">
        <f>AE10</f>
        <v>718</v>
      </c>
      <c r="Q2359" s="578"/>
      <c r="R2359" s="575">
        <f>P2359*M2359</f>
        <v>179.5</v>
      </c>
    </row>
    <row r="2360" spans="6:18" ht="24" customHeight="1">
      <c r="G2360" s="764" t="s">
        <v>2230</v>
      </c>
      <c r="H2360" s="686" t="s">
        <v>2231</v>
      </c>
      <c r="I2360" s="619">
        <f>I2356*1.1</f>
        <v>826.82624200000009</v>
      </c>
      <c r="K2360" s="619"/>
      <c r="M2360" s="575">
        <v>1</v>
      </c>
      <c r="N2360" s="576" t="s">
        <v>164</v>
      </c>
      <c r="O2360" s="575" t="s">
        <v>2232</v>
      </c>
      <c r="P2360" s="575">
        <f>AE11</f>
        <v>502</v>
      </c>
      <c r="R2360" s="575">
        <f>P2360*M2360</f>
        <v>502</v>
      </c>
    </row>
    <row r="2361" spans="6:18" ht="42" customHeight="1">
      <c r="H2361" s="686"/>
      <c r="K2361" s="619"/>
      <c r="M2361" s="575">
        <v>1</v>
      </c>
      <c r="N2361" s="575" t="s">
        <v>164</v>
      </c>
      <c r="O2361" s="731" t="s">
        <v>2233</v>
      </c>
      <c r="P2361" s="575" t="s">
        <v>166</v>
      </c>
      <c r="R2361" s="575">
        <f>(R2359+R2360)*10%</f>
        <v>68.150000000000006</v>
      </c>
    </row>
    <row r="2362" spans="6:18" ht="24" customHeight="1">
      <c r="R2362" s="575" t="s">
        <v>2218</v>
      </c>
    </row>
    <row r="2363" spans="6:18" ht="24" customHeight="1">
      <c r="H2363" s="619" t="s">
        <v>2234</v>
      </c>
      <c r="R2363" s="619">
        <f>SUM(R2359:R2361)</f>
        <v>749.65</v>
      </c>
    </row>
    <row r="2364" spans="6:18" ht="24" customHeight="1">
      <c r="F2364" s="575">
        <v>11.5</v>
      </c>
      <c r="G2364" s="576" t="s">
        <v>174</v>
      </c>
      <c r="H2364" s="682" t="s">
        <v>3106</v>
      </c>
      <c r="I2364" s="612">
        <v>186</v>
      </c>
      <c r="J2364" s="578" t="s">
        <v>174</v>
      </c>
      <c r="K2364" s="575">
        <f t="shared" ref="K2364:K2369" si="237">F2364*I2364</f>
        <v>2139</v>
      </c>
      <c r="R2364" s="575" t="s">
        <v>2218</v>
      </c>
    </row>
    <row r="2365" spans="6:18" ht="24" customHeight="1">
      <c r="F2365" s="575">
        <v>2</v>
      </c>
      <c r="G2365" s="576" t="s">
        <v>2236</v>
      </c>
      <c r="H2365" s="682" t="s">
        <v>2237</v>
      </c>
      <c r="I2365" s="612">
        <v>192.6</v>
      </c>
      <c r="J2365" s="578" t="s">
        <v>2238</v>
      </c>
      <c r="K2365" s="575">
        <f t="shared" si="237"/>
        <v>385.2</v>
      </c>
      <c r="R2365" s="575">
        <f>R2363/2.44</f>
        <v>307.23360655737707</v>
      </c>
    </row>
    <row r="2366" spans="6:18" ht="24" customHeight="1">
      <c r="F2366" s="575">
        <v>20</v>
      </c>
      <c r="G2366" s="576" t="s">
        <v>2239</v>
      </c>
      <c r="H2366" s="861" t="s">
        <v>2240</v>
      </c>
      <c r="I2366" s="612">
        <v>3.84</v>
      </c>
      <c r="J2366" s="578" t="s">
        <v>2239</v>
      </c>
      <c r="K2366" s="575">
        <f t="shared" si="237"/>
        <v>76.8</v>
      </c>
    </row>
    <row r="2367" spans="6:18" ht="24" customHeight="1">
      <c r="F2367" s="575">
        <v>2.2000000000000002</v>
      </c>
      <c r="G2367" s="576" t="s">
        <v>164</v>
      </c>
      <c r="H2367" s="575" t="s">
        <v>2241</v>
      </c>
      <c r="I2367" s="575">
        <f>AE18</f>
        <v>660</v>
      </c>
      <c r="J2367" s="578" t="s">
        <v>227</v>
      </c>
      <c r="K2367" s="575">
        <f t="shared" si="237"/>
        <v>1452.0000000000002</v>
      </c>
    </row>
    <row r="2368" spans="6:18" ht="24" customHeight="1">
      <c r="F2368" s="575">
        <v>1.1000000000000001</v>
      </c>
      <c r="G2368" s="576" t="s">
        <v>164</v>
      </c>
      <c r="H2368" s="575" t="s">
        <v>2242</v>
      </c>
      <c r="I2368" s="575">
        <f>C16</f>
        <v>752</v>
      </c>
      <c r="J2368" s="578" t="s">
        <v>227</v>
      </c>
      <c r="K2368" s="575">
        <f t="shared" si="237"/>
        <v>827.2</v>
      </c>
    </row>
    <row r="2369" spans="6:18" ht="24" customHeight="1">
      <c r="F2369" s="575">
        <v>3.2</v>
      </c>
      <c r="G2369" s="576" t="s">
        <v>164</v>
      </c>
      <c r="H2369" s="575" t="s">
        <v>2243</v>
      </c>
      <c r="I2369" s="575">
        <f>C12</f>
        <v>502</v>
      </c>
      <c r="J2369" s="578" t="s">
        <v>227</v>
      </c>
      <c r="K2369" s="575">
        <f t="shared" si="237"/>
        <v>1606.4</v>
      </c>
      <c r="O2369" s="580"/>
    </row>
    <row r="2370" spans="6:18" ht="24" customHeight="1">
      <c r="H2370" s="575" t="s">
        <v>2244</v>
      </c>
      <c r="J2370" s="578" t="s">
        <v>129</v>
      </c>
      <c r="K2370" s="575">
        <v>0.5</v>
      </c>
      <c r="N2370" s="576"/>
      <c r="O2370" s="862" t="s">
        <v>2245</v>
      </c>
      <c r="Q2370" s="578"/>
    </row>
    <row r="2371" spans="6:18" ht="24" customHeight="1">
      <c r="K2371" s="622" t="s">
        <v>1586</v>
      </c>
      <c r="M2371" s="575">
        <v>11</v>
      </c>
      <c r="N2371" s="576" t="s">
        <v>174</v>
      </c>
      <c r="O2371" s="686" t="s">
        <v>2246</v>
      </c>
      <c r="P2371" s="608">
        <f>I2364</f>
        <v>186</v>
      </c>
      <c r="Q2371" s="578" t="s">
        <v>174</v>
      </c>
      <c r="R2371" s="575">
        <f>M2371*P2371</f>
        <v>2046</v>
      </c>
    </row>
    <row r="2372" spans="6:18" ht="24" customHeight="1">
      <c r="H2372" s="862" t="s">
        <v>168</v>
      </c>
      <c r="K2372" s="619">
        <f>SUM(K2364:K2371)</f>
        <v>6487.1</v>
      </c>
      <c r="M2372" s="575">
        <v>20</v>
      </c>
      <c r="N2372" s="578" t="s">
        <v>1885</v>
      </c>
      <c r="O2372" s="686" t="s">
        <v>2247</v>
      </c>
      <c r="P2372" s="608">
        <f>I2366</f>
        <v>3.84</v>
      </c>
      <c r="Q2372" s="578" t="s">
        <v>1885</v>
      </c>
      <c r="R2372" s="575">
        <f>M2372*P2372</f>
        <v>76.8</v>
      </c>
    </row>
    <row r="2373" spans="6:18" ht="24" customHeight="1">
      <c r="K2373" s="622" t="s">
        <v>1586</v>
      </c>
      <c r="M2373" s="575">
        <v>2.2000000000000002</v>
      </c>
      <c r="N2373" s="576" t="s">
        <v>164</v>
      </c>
      <c r="O2373" s="575" t="s">
        <v>2241</v>
      </c>
      <c r="P2373" s="575">
        <f>AE18</f>
        <v>660</v>
      </c>
      <c r="Q2373" s="578" t="s">
        <v>227</v>
      </c>
      <c r="R2373" s="575">
        <f>M2373*P2373</f>
        <v>1452.0000000000002</v>
      </c>
    </row>
    <row r="2374" spans="6:18" ht="24" customHeight="1">
      <c r="H2374" s="862" t="s">
        <v>1926</v>
      </c>
      <c r="I2374" s="575" t="s">
        <v>115</v>
      </c>
      <c r="K2374" s="619">
        <f>K2372/10</f>
        <v>648.71</v>
      </c>
      <c r="M2374" s="575">
        <v>1.1000000000000001</v>
      </c>
      <c r="N2374" s="576" t="s">
        <v>164</v>
      </c>
      <c r="O2374" s="575" t="s">
        <v>2242</v>
      </c>
      <c r="P2374" s="575">
        <f>I2368</f>
        <v>752</v>
      </c>
      <c r="Q2374" s="578" t="s">
        <v>227</v>
      </c>
      <c r="R2374" s="575">
        <f>M2374*P2374</f>
        <v>827.2</v>
      </c>
    </row>
    <row r="2375" spans="6:18" ht="24" customHeight="1">
      <c r="K2375" s="622" t="s">
        <v>1586</v>
      </c>
      <c r="M2375" s="575">
        <v>3.2</v>
      </c>
      <c r="N2375" s="576" t="s">
        <v>164</v>
      </c>
      <c r="O2375" s="575" t="s">
        <v>2243</v>
      </c>
      <c r="P2375" s="575">
        <f>I2369</f>
        <v>502</v>
      </c>
      <c r="Q2375" s="578" t="s">
        <v>227</v>
      </c>
      <c r="R2375" s="575">
        <f>M2375*P2375</f>
        <v>1606.4</v>
      </c>
    </row>
    <row r="2376" spans="6:18" ht="24" customHeight="1">
      <c r="N2376" s="576"/>
      <c r="O2376" s="575" t="s">
        <v>2244</v>
      </c>
      <c r="Q2376" s="578" t="s">
        <v>166</v>
      </c>
      <c r="R2376" s="575">
        <v>0.74</v>
      </c>
    </row>
    <row r="2378" spans="6:18" ht="39" customHeight="1">
      <c r="G2378" s="575"/>
      <c r="H2378" s="863" t="s">
        <v>2248</v>
      </c>
      <c r="N2378" s="576"/>
      <c r="Q2378" s="578"/>
      <c r="R2378" s="622" t="s">
        <v>1586</v>
      </c>
    </row>
    <row r="2379" spans="6:18" ht="24" customHeight="1">
      <c r="G2379" s="575"/>
      <c r="N2379" s="576"/>
      <c r="O2379" s="862" t="s">
        <v>168</v>
      </c>
      <c r="Q2379" s="578"/>
      <c r="R2379" s="619">
        <f>SUM(R2371:R2378)</f>
        <v>6009.1399999999994</v>
      </c>
    </row>
    <row r="2380" spans="6:18" ht="24" customHeight="1">
      <c r="F2380" s="575" t="s">
        <v>557</v>
      </c>
      <c r="G2380" s="575"/>
      <c r="H2380" s="575" t="s">
        <v>2249</v>
      </c>
      <c r="N2380" s="576"/>
      <c r="Q2380" s="578"/>
      <c r="R2380" s="622" t="s">
        <v>1586</v>
      </c>
    </row>
    <row r="2381" spans="6:18" ht="24" customHeight="1">
      <c r="G2381" s="575"/>
      <c r="H2381" s="575" t="s">
        <v>2250</v>
      </c>
      <c r="N2381" s="576"/>
      <c r="O2381" s="862" t="s">
        <v>2251</v>
      </c>
      <c r="Q2381" s="578"/>
      <c r="R2381" s="619">
        <f>R2379/10</f>
        <v>600.91399999999999</v>
      </c>
    </row>
    <row r="2382" spans="6:18" ht="24" customHeight="1">
      <c r="G2382" s="575"/>
      <c r="N2382" s="576"/>
      <c r="Q2382" s="578"/>
      <c r="R2382" s="622" t="s">
        <v>1586</v>
      </c>
    </row>
    <row r="2383" spans="6:18" ht="24" customHeight="1">
      <c r="F2383" s="575">
        <v>1.96</v>
      </c>
      <c r="G2383" s="575" t="s">
        <v>429</v>
      </c>
      <c r="H2383" s="575" t="s">
        <v>2252</v>
      </c>
      <c r="I2383" s="575">
        <f>K1713</f>
        <v>4966.1310000000003</v>
      </c>
      <c r="J2383" s="573" t="s">
        <v>126</v>
      </c>
      <c r="K2383" s="587">
        <f t="shared" ref="K2383:K2388" si="238">(F2383*I2383)</f>
        <v>9733.6167600000008</v>
      </c>
    </row>
    <row r="2384" spans="6:18" ht="24" customHeight="1">
      <c r="F2384" s="575">
        <v>2</v>
      </c>
      <c r="G2384" s="575" t="s">
        <v>164</v>
      </c>
      <c r="H2384" s="575" t="s">
        <v>2253</v>
      </c>
      <c r="I2384" s="575">
        <f>C10</f>
        <v>769</v>
      </c>
      <c r="J2384" s="573" t="s">
        <v>209</v>
      </c>
      <c r="K2384" s="587">
        <f t="shared" si="238"/>
        <v>1538</v>
      </c>
    </row>
    <row r="2385" spans="5:18" ht="24" customHeight="1">
      <c r="F2385" s="575">
        <v>2</v>
      </c>
      <c r="G2385" s="575" t="s">
        <v>164</v>
      </c>
      <c r="H2385" s="575" t="s">
        <v>2254</v>
      </c>
      <c r="I2385" s="575">
        <f>C13</f>
        <v>412</v>
      </c>
      <c r="J2385" s="573" t="s">
        <v>209</v>
      </c>
      <c r="K2385" s="587">
        <f t="shared" si="238"/>
        <v>824</v>
      </c>
      <c r="N2385" s="585" t="s">
        <v>122</v>
      </c>
      <c r="Q2385" s="578"/>
    </row>
    <row r="2386" spans="5:18" ht="24" customHeight="1">
      <c r="F2386" s="575">
        <v>0.28000000000000003</v>
      </c>
      <c r="G2386" s="575" t="s">
        <v>174</v>
      </c>
      <c r="H2386" s="575" t="s">
        <v>2255</v>
      </c>
      <c r="I2386" s="575">
        <f>I2354</f>
        <v>664.30621999999994</v>
      </c>
      <c r="J2386" s="573" t="s">
        <v>209</v>
      </c>
      <c r="K2386" s="587">
        <f t="shared" si="238"/>
        <v>186.00574159999999</v>
      </c>
      <c r="N2386" s="576"/>
      <c r="O2386" s="573" t="s">
        <v>2256</v>
      </c>
      <c r="Q2386" s="580"/>
    </row>
    <row r="2387" spans="5:18" ht="24" customHeight="1">
      <c r="F2387" s="575">
        <v>500</v>
      </c>
      <c r="G2387" s="575" t="s">
        <v>164</v>
      </c>
      <c r="H2387" s="864" t="s">
        <v>2257</v>
      </c>
      <c r="I2387" s="575">
        <v>2</v>
      </c>
      <c r="J2387" s="573" t="s">
        <v>209</v>
      </c>
      <c r="K2387" s="587">
        <f t="shared" si="238"/>
        <v>1000</v>
      </c>
      <c r="N2387" s="576"/>
      <c r="O2387" s="573" t="s">
        <v>2258</v>
      </c>
      <c r="Q2387" s="580"/>
    </row>
    <row r="2388" spans="5:18" ht="24" customHeight="1">
      <c r="F2388" s="575">
        <v>8.5</v>
      </c>
      <c r="G2388" s="575" t="s">
        <v>2259</v>
      </c>
      <c r="H2388" s="865" t="s">
        <v>2260</v>
      </c>
      <c r="I2388" s="683">
        <v>43.6</v>
      </c>
      <c r="J2388" s="578" t="s">
        <v>2259</v>
      </c>
      <c r="K2388" s="587">
        <f t="shared" si="238"/>
        <v>370.6</v>
      </c>
      <c r="N2388" s="576"/>
      <c r="O2388" s="573" t="s">
        <v>2261</v>
      </c>
      <c r="Q2388" s="580"/>
    </row>
    <row r="2389" spans="5:18" ht="24" customHeight="1">
      <c r="G2389" s="575"/>
      <c r="H2389" s="575" t="s">
        <v>236</v>
      </c>
      <c r="K2389" s="685">
        <v>1.96</v>
      </c>
      <c r="N2389" s="576"/>
      <c r="O2389" s="573" t="s">
        <v>2262</v>
      </c>
      <c r="Q2389" s="580"/>
    </row>
    <row r="2390" spans="5:18" ht="24" customHeight="1">
      <c r="G2390" s="575"/>
      <c r="I2390" s="575" t="s">
        <v>2263</v>
      </c>
      <c r="K2390" s="587">
        <f>SUM(K2383:K2389)</f>
        <v>13654.1825016</v>
      </c>
      <c r="N2390" s="576"/>
      <c r="O2390" s="582" t="s">
        <v>117</v>
      </c>
      <c r="P2390" s="582" t="s">
        <v>117</v>
      </c>
      <c r="Q2390" s="580"/>
      <c r="R2390" s="587"/>
    </row>
    <row r="2391" spans="5:18" ht="24" customHeight="1">
      <c r="G2391" s="575"/>
      <c r="K2391" s="582" t="s">
        <v>117</v>
      </c>
      <c r="M2391" s="575">
        <v>8</v>
      </c>
      <c r="N2391" s="585" t="s">
        <v>1576</v>
      </c>
      <c r="O2391" s="573" t="s">
        <v>2264</v>
      </c>
      <c r="P2391" s="866">
        <v>4.0999999999999996</v>
      </c>
      <c r="Q2391" s="574" t="s">
        <v>227</v>
      </c>
      <c r="R2391" s="587">
        <f>P2391*M2391</f>
        <v>32.799999999999997</v>
      </c>
    </row>
    <row r="2392" spans="5:18" ht="24" customHeight="1">
      <c r="E2392" s="575">
        <f>23+26.65</f>
        <v>49.65</v>
      </c>
      <c r="G2392" s="575"/>
      <c r="I2392" s="575" t="s">
        <v>2207</v>
      </c>
      <c r="K2392" s="586">
        <f>K2390/39.2</f>
        <v>348.32098218367344</v>
      </c>
      <c r="M2392" s="575">
        <v>8</v>
      </c>
      <c r="N2392" s="585" t="s">
        <v>1576</v>
      </c>
      <c r="O2392" s="573" t="s">
        <v>2265</v>
      </c>
      <c r="P2392" s="866">
        <v>3.69</v>
      </c>
      <c r="Q2392" s="574" t="s">
        <v>227</v>
      </c>
      <c r="R2392" s="587">
        <f>P2392*M2392</f>
        <v>29.52</v>
      </c>
    </row>
    <row r="2393" spans="5:18" ht="24" customHeight="1">
      <c r="E2393" s="575">
        <f>E2392/2</f>
        <v>24.824999999999999</v>
      </c>
      <c r="G2393" s="575"/>
      <c r="K2393" s="582" t="s">
        <v>155</v>
      </c>
      <c r="M2393" s="575">
        <v>8</v>
      </c>
      <c r="N2393" s="585" t="s">
        <v>1576</v>
      </c>
      <c r="O2393" s="573" t="s">
        <v>2266</v>
      </c>
      <c r="P2393" s="866">
        <v>4.0999999999999996</v>
      </c>
      <c r="Q2393" s="574" t="s">
        <v>227</v>
      </c>
      <c r="R2393" s="587">
        <f>P2393*M2393</f>
        <v>32.799999999999997</v>
      </c>
    </row>
    <row r="2394" spans="5:18" ht="24" customHeight="1">
      <c r="G2394" s="575"/>
      <c r="M2394" s="575">
        <v>0.75</v>
      </c>
      <c r="N2394" s="585" t="s">
        <v>148</v>
      </c>
      <c r="O2394" s="573" t="s">
        <v>2267</v>
      </c>
      <c r="P2394" s="615">
        <v>176.4</v>
      </c>
      <c r="Q2394" s="574" t="s">
        <v>227</v>
      </c>
      <c r="R2394" s="587">
        <f t="shared" ref="R2394:R2399" si="239">(M2394*P2394)</f>
        <v>132.30000000000001</v>
      </c>
    </row>
    <row r="2395" spans="5:18" ht="24" customHeight="1">
      <c r="G2395" s="575"/>
      <c r="M2395" s="575">
        <v>2.25</v>
      </c>
      <c r="N2395" s="585" t="s">
        <v>2268</v>
      </c>
      <c r="O2395" s="573" t="s">
        <v>2269</v>
      </c>
      <c r="P2395" s="615">
        <v>140.41</v>
      </c>
      <c r="Q2395" s="574" t="s">
        <v>2268</v>
      </c>
      <c r="R2395" s="587">
        <f t="shared" si="239"/>
        <v>315.92250000000001</v>
      </c>
    </row>
    <row r="2396" spans="5:18" ht="24" customHeight="1">
      <c r="G2396" s="575"/>
      <c r="H2396" s="619" t="s">
        <v>115</v>
      </c>
      <c r="M2396" s="575">
        <v>4.5</v>
      </c>
      <c r="N2396" s="585" t="s">
        <v>2268</v>
      </c>
      <c r="O2396" s="573" t="s">
        <v>2270</v>
      </c>
      <c r="P2396" s="615">
        <v>65</v>
      </c>
      <c r="Q2396" s="574" t="s">
        <v>2268</v>
      </c>
      <c r="R2396" s="587">
        <f t="shared" si="239"/>
        <v>292.5</v>
      </c>
    </row>
    <row r="2397" spans="5:18" ht="34.5" customHeight="1">
      <c r="F2397" s="575">
        <v>1</v>
      </c>
      <c r="G2397" s="575" t="s">
        <v>164</v>
      </c>
      <c r="H2397" s="867" t="s">
        <v>2271</v>
      </c>
      <c r="I2397" s="612">
        <v>446</v>
      </c>
      <c r="J2397" s="573" t="s">
        <v>209</v>
      </c>
      <c r="K2397" s="587">
        <f>(F2397*I2397)</f>
        <v>446</v>
      </c>
      <c r="M2397" s="575">
        <v>6</v>
      </c>
      <c r="N2397" s="585" t="s">
        <v>1576</v>
      </c>
      <c r="O2397" s="573" t="s">
        <v>2272</v>
      </c>
      <c r="P2397" s="615">
        <v>8</v>
      </c>
      <c r="Q2397" s="574" t="s">
        <v>227</v>
      </c>
      <c r="R2397" s="587">
        <f t="shared" si="239"/>
        <v>48</v>
      </c>
    </row>
    <row r="2398" spans="5:18" ht="24" customHeight="1">
      <c r="F2398" s="575">
        <v>0.25</v>
      </c>
      <c r="G2398" s="575" t="s">
        <v>164</v>
      </c>
      <c r="H2398" s="575" t="s">
        <v>2253</v>
      </c>
      <c r="I2398" s="575">
        <f>I2384</f>
        <v>769</v>
      </c>
      <c r="J2398" s="573" t="s">
        <v>209</v>
      </c>
      <c r="K2398" s="587">
        <f>(F2398*I2398)</f>
        <v>192.25</v>
      </c>
      <c r="M2398" s="575">
        <v>6</v>
      </c>
      <c r="N2398" s="585" t="s">
        <v>1576</v>
      </c>
      <c r="O2398" s="573" t="s">
        <v>2273</v>
      </c>
      <c r="P2398" s="615">
        <v>8.61</v>
      </c>
      <c r="Q2398" s="574" t="s">
        <v>227</v>
      </c>
      <c r="R2398" s="587">
        <f t="shared" si="239"/>
        <v>51.66</v>
      </c>
    </row>
    <row r="2399" spans="5:18" ht="24" customHeight="1">
      <c r="F2399" s="575">
        <v>0.28000000000000003</v>
      </c>
      <c r="G2399" s="575" t="s">
        <v>174</v>
      </c>
      <c r="H2399" s="575" t="s">
        <v>2190</v>
      </c>
      <c r="I2399" s="575">
        <f>C12</f>
        <v>502</v>
      </c>
      <c r="J2399" s="573" t="s">
        <v>209</v>
      </c>
      <c r="K2399" s="587">
        <f>(F2399*I2399)</f>
        <v>140.56</v>
      </c>
      <c r="M2399" s="575">
        <v>4</v>
      </c>
      <c r="N2399" s="585" t="s">
        <v>1576</v>
      </c>
      <c r="O2399" s="573" t="s">
        <v>2274</v>
      </c>
      <c r="P2399" s="615">
        <v>8.61</v>
      </c>
      <c r="Q2399" s="574" t="s">
        <v>227</v>
      </c>
      <c r="R2399" s="587">
        <f t="shared" si="239"/>
        <v>34.44</v>
      </c>
    </row>
    <row r="2400" spans="5:18" ht="24" customHeight="1">
      <c r="G2400" s="575"/>
      <c r="H2400" s="864"/>
      <c r="J2400" s="573"/>
      <c r="K2400" s="587"/>
      <c r="M2400" s="575">
        <v>300</v>
      </c>
      <c r="N2400" s="585" t="s">
        <v>2275</v>
      </c>
      <c r="O2400" s="573" t="s">
        <v>2276</v>
      </c>
      <c r="P2400" s="615">
        <v>30</v>
      </c>
      <c r="Q2400" s="574" t="s">
        <v>2277</v>
      </c>
      <c r="R2400" s="587">
        <f>P2400*M2400/100</f>
        <v>90</v>
      </c>
    </row>
    <row r="2401" spans="6:18" ht="24" customHeight="1">
      <c r="G2401" s="575"/>
      <c r="K2401" s="587"/>
      <c r="M2401" s="575">
        <v>300</v>
      </c>
      <c r="N2401" s="585" t="s">
        <v>2275</v>
      </c>
      <c r="O2401" s="573" t="s">
        <v>2278</v>
      </c>
      <c r="P2401" s="615">
        <v>44.99</v>
      </c>
      <c r="Q2401" s="574" t="s">
        <v>2279</v>
      </c>
      <c r="R2401" s="587">
        <f>P2401*M2401/500</f>
        <v>26.994</v>
      </c>
    </row>
    <row r="2402" spans="6:18" ht="24" customHeight="1">
      <c r="G2402" s="575"/>
      <c r="K2402" s="868" t="s">
        <v>1586</v>
      </c>
      <c r="M2402" s="575">
        <v>1.5</v>
      </c>
      <c r="N2402" s="585" t="s">
        <v>148</v>
      </c>
      <c r="O2402" s="573" t="s">
        <v>2280</v>
      </c>
      <c r="P2402" s="615">
        <v>20.95</v>
      </c>
      <c r="Q2402" s="574" t="s">
        <v>148</v>
      </c>
      <c r="R2402" s="587">
        <f>P2402*M2402</f>
        <v>31.424999999999997</v>
      </c>
    </row>
    <row r="2403" spans="6:18" ht="24" customHeight="1">
      <c r="G2403" s="575"/>
      <c r="K2403" s="586">
        <f>SUM(K2397:K2402)</f>
        <v>778.81</v>
      </c>
      <c r="M2403" s="575">
        <v>2.25</v>
      </c>
      <c r="N2403" s="585" t="s">
        <v>2268</v>
      </c>
      <c r="O2403" s="573" t="s">
        <v>2281</v>
      </c>
      <c r="P2403" s="615">
        <v>212.41</v>
      </c>
      <c r="Q2403" s="574" t="s">
        <v>2268</v>
      </c>
      <c r="R2403" s="587">
        <f>(M2403*P2403)</f>
        <v>477.92250000000001</v>
      </c>
    </row>
    <row r="2404" spans="6:18" ht="24" customHeight="1">
      <c r="G2404" s="575"/>
      <c r="K2404" s="868" t="s">
        <v>1586</v>
      </c>
      <c r="M2404" s="575">
        <v>0.75</v>
      </c>
      <c r="N2404" s="585" t="s">
        <v>2268</v>
      </c>
      <c r="O2404" s="573" t="s">
        <v>2282</v>
      </c>
      <c r="P2404" s="615">
        <v>205.21</v>
      </c>
      <c r="Q2404" s="574" t="s">
        <v>2268</v>
      </c>
      <c r="R2404" s="587">
        <f>(M2404*P2404)</f>
        <v>153.9075</v>
      </c>
    </row>
    <row r="2405" spans="6:18" ht="24" customHeight="1">
      <c r="G2405" s="575"/>
      <c r="K2405" s="587"/>
      <c r="M2405" s="575">
        <v>2.25</v>
      </c>
      <c r="N2405" s="585" t="s">
        <v>2268</v>
      </c>
      <c r="O2405" s="573" t="s">
        <v>2283</v>
      </c>
      <c r="P2405" s="615">
        <v>185.21</v>
      </c>
      <c r="Q2405" s="574" t="s">
        <v>2268</v>
      </c>
      <c r="R2405" s="587">
        <f>(M2405*P2405)</f>
        <v>416.72250000000003</v>
      </c>
    </row>
    <row r="2406" spans="6:18" ht="24" customHeight="1">
      <c r="G2406" s="575"/>
      <c r="M2406" s="575">
        <v>500</v>
      </c>
      <c r="N2406" s="585" t="s">
        <v>2275</v>
      </c>
      <c r="O2406" s="573" t="s">
        <v>2284</v>
      </c>
      <c r="P2406" s="615">
        <v>52.25</v>
      </c>
      <c r="Q2406" s="574" t="s">
        <v>148</v>
      </c>
      <c r="R2406" s="587">
        <f>(M2406*P2406)/1000</f>
        <v>26.125</v>
      </c>
    </row>
    <row r="2407" spans="6:18" ht="24" customHeight="1">
      <c r="G2407" s="575"/>
      <c r="H2407" s="619" t="s">
        <v>2285</v>
      </c>
      <c r="M2407" s="575">
        <v>1</v>
      </c>
      <c r="N2407" s="585" t="s">
        <v>1576</v>
      </c>
      <c r="O2407" s="573" t="s">
        <v>2286</v>
      </c>
      <c r="P2407" s="615">
        <v>131.21</v>
      </c>
      <c r="Q2407" s="580" t="s">
        <v>2287</v>
      </c>
      <c r="R2407" s="629">
        <f>P2407/1</f>
        <v>131.21</v>
      </c>
    </row>
    <row r="2408" spans="6:18" ht="24" customHeight="1">
      <c r="F2408" s="575">
        <v>1</v>
      </c>
      <c r="G2408" s="575" t="s">
        <v>164</v>
      </c>
      <c r="H2408" s="682" t="s">
        <v>2288</v>
      </c>
      <c r="I2408" s="575">
        <f>C619</f>
        <v>922</v>
      </c>
      <c r="J2408" s="573" t="s">
        <v>209</v>
      </c>
      <c r="K2408" s="587">
        <f>(F2408*I2408)</f>
        <v>922</v>
      </c>
      <c r="M2408" s="575">
        <v>1</v>
      </c>
      <c r="N2408" s="585" t="s">
        <v>1576</v>
      </c>
      <c r="O2408" s="573" t="s">
        <v>2289</v>
      </c>
      <c r="P2408" s="615">
        <v>12.3</v>
      </c>
      <c r="Q2408" s="580" t="s">
        <v>2287</v>
      </c>
      <c r="R2408" s="629">
        <f>P2408/1</f>
        <v>12.3</v>
      </c>
    </row>
    <row r="2409" spans="6:18" ht="24" customHeight="1">
      <c r="F2409" s="575">
        <v>0.5</v>
      </c>
      <c r="G2409" s="575" t="s">
        <v>164</v>
      </c>
      <c r="H2409" s="575" t="s">
        <v>2290</v>
      </c>
      <c r="I2409" s="575">
        <f>C15</f>
        <v>667</v>
      </c>
      <c r="J2409" s="573" t="s">
        <v>209</v>
      </c>
      <c r="K2409" s="587">
        <f>(F2409*I2409)</f>
        <v>333.5</v>
      </c>
      <c r="M2409" s="575">
        <v>4</v>
      </c>
      <c r="N2409" s="585" t="s">
        <v>1576</v>
      </c>
      <c r="O2409" s="641" t="s">
        <v>2291</v>
      </c>
      <c r="P2409" s="587">
        <f>AE13</f>
        <v>615</v>
      </c>
      <c r="Q2409" s="574" t="s">
        <v>227</v>
      </c>
      <c r="R2409" s="587">
        <f>(M2409*P2409)</f>
        <v>2460</v>
      </c>
    </row>
    <row r="2410" spans="6:18" ht="24" customHeight="1">
      <c r="F2410" s="575">
        <v>0.5</v>
      </c>
      <c r="G2410" s="575" t="s">
        <v>164</v>
      </c>
      <c r="H2410" s="575" t="s">
        <v>2253</v>
      </c>
      <c r="I2410" s="575">
        <f>I2398</f>
        <v>769</v>
      </c>
      <c r="J2410" s="573" t="s">
        <v>209</v>
      </c>
      <c r="K2410" s="587">
        <f>(F2410*I2410)</f>
        <v>384.5</v>
      </c>
      <c r="M2410" s="575">
        <v>2</v>
      </c>
      <c r="N2410" s="585" t="s">
        <v>1576</v>
      </c>
      <c r="O2410" s="641" t="s">
        <v>2292</v>
      </c>
      <c r="P2410" s="587">
        <f>AE14</f>
        <v>595</v>
      </c>
      <c r="Q2410" s="574" t="s">
        <v>227</v>
      </c>
      <c r="R2410" s="587">
        <f>(M2410*P2410)</f>
        <v>1190</v>
      </c>
    </row>
    <row r="2411" spans="6:18" ht="24" customHeight="1">
      <c r="F2411" s="575">
        <v>0.5</v>
      </c>
      <c r="G2411" s="575" t="s">
        <v>174</v>
      </c>
      <c r="H2411" s="575" t="s">
        <v>2190</v>
      </c>
      <c r="I2411" s="575">
        <f>I2399</f>
        <v>502</v>
      </c>
      <c r="J2411" s="573" t="s">
        <v>209</v>
      </c>
      <c r="K2411" s="587">
        <f>(F2411*I2411)</f>
        <v>251</v>
      </c>
      <c r="M2411" s="575">
        <v>2</v>
      </c>
      <c r="N2411" s="585" t="s">
        <v>1576</v>
      </c>
      <c r="O2411" s="641" t="s">
        <v>2293</v>
      </c>
      <c r="P2411" s="587">
        <f>AE12</f>
        <v>412</v>
      </c>
      <c r="Q2411" s="574" t="s">
        <v>227</v>
      </c>
      <c r="R2411" s="587">
        <f>(M2411*P2411)</f>
        <v>824</v>
      </c>
    </row>
    <row r="2412" spans="6:18" ht="24" customHeight="1">
      <c r="G2412" s="575"/>
      <c r="H2412" s="575" t="s">
        <v>2294</v>
      </c>
      <c r="J2412" s="574" t="s">
        <v>2295</v>
      </c>
      <c r="K2412" s="587">
        <v>0.25</v>
      </c>
      <c r="N2412" s="585"/>
      <c r="O2412" s="573" t="s">
        <v>2296</v>
      </c>
      <c r="P2412" s="587"/>
      <c r="Q2412" s="574"/>
      <c r="R2412" s="587">
        <v>20</v>
      </c>
    </row>
    <row r="2413" spans="6:18" ht="24" customHeight="1">
      <c r="G2413" s="575"/>
      <c r="K2413" s="587"/>
      <c r="N2413" s="576"/>
      <c r="P2413" s="587"/>
      <c r="Q2413" s="578"/>
      <c r="R2413" s="622" t="s">
        <v>2297</v>
      </c>
    </row>
    <row r="2414" spans="6:18" ht="24" customHeight="1">
      <c r="G2414" s="575"/>
      <c r="K2414" s="868" t="s">
        <v>1586</v>
      </c>
      <c r="N2414" s="576"/>
      <c r="O2414" s="573" t="s">
        <v>2298</v>
      </c>
      <c r="Q2414" s="578"/>
      <c r="R2414" s="575">
        <f>SUM(R2391:R2413)</f>
        <v>6830.549</v>
      </c>
    </row>
    <row r="2415" spans="6:18" ht="26.25" customHeight="1">
      <c r="G2415" s="575"/>
      <c r="K2415" s="586">
        <f>SUM(K2408:K2414)</f>
        <v>1891.25</v>
      </c>
      <c r="N2415" s="576"/>
      <c r="O2415" s="619"/>
      <c r="P2415" s="619"/>
      <c r="Q2415" s="630"/>
      <c r="R2415" s="582" t="s">
        <v>155</v>
      </c>
    </row>
    <row r="2416" spans="6:18" ht="24" customHeight="1">
      <c r="G2416" s="575"/>
      <c r="K2416" s="868" t="s">
        <v>1586</v>
      </c>
      <c r="N2416" s="576"/>
      <c r="O2416" s="619" t="s">
        <v>169</v>
      </c>
      <c r="P2416" s="619"/>
      <c r="Q2416" s="630"/>
      <c r="R2416" s="584">
        <f>R2414/5.67</f>
        <v>1204.6823633156966</v>
      </c>
    </row>
    <row r="2417" spans="6:18" ht="32.25" customHeight="1">
      <c r="G2417" s="575"/>
      <c r="K2417" s="574"/>
    </row>
    <row r="2418" spans="6:18" ht="24" customHeight="1">
      <c r="G2418" s="575"/>
      <c r="K2418" s="574"/>
    </row>
    <row r="2419" spans="6:18" ht="24" customHeight="1">
      <c r="G2419" s="575"/>
      <c r="K2419" s="574"/>
    </row>
    <row r="2420" spans="6:18" ht="24" customHeight="1">
      <c r="F2420" s="648" t="s">
        <v>1635</v>
      </c>
      <c r="G2420" s="648"/>
      <c r="H2420" s="1466" t="s">
        <v>2299</v>
      </c>
      <c r="I2420" s="1466"/>
      <c r="J2420" s="1466"/>
      <c r="K2420" s="1466"/>
    </row>
    <row r="2421" spans="6:18" ht="24" customHeight="1">
      <c r="F2421" s="648"/>
      <c r="G2421" s="648"/>
      <c r="H2421" s="648"/>
      <c r="I2421" s="648"/>
      <c r="J2421" s="718"/>
      <c r="K2421" s="686"/>
    </row>
    <row r="2422" spans="6:18" ht="24" customHeight="1">
      <c r="F2422" s="629">
        <v>10.5</v>
      </c>
      <c r="G2422" s="821" t="s">
        <v>174</v>
      </c>
      <c r="H2422" s="1467" t="s">
        <v>2300</v>
      </c>
      <c r="I2422" s="592">
        <v>312</v>
      </c>
      <c r="J2422" s="606" t="s">
        <v>174</v>
      </c>
      <c r="K2422" s="629">
        <f>(F2422*I2422)</f>
        <v>3276</v>
      </c>
    </row>
    <row r="2423" spans="6:18" ht="24" customHeight="1">
      <c r="F2423" s="686"/>
      <c r="G2423" s="717"/>
      <c r="H2423" s="1468"/>
      <c r="I2423" s="606" t="s">
        <v>115</v>
      </c>
      <c r="J2423" s="718"/>
      <c r="K2423" s="606" t="s">
        <v>115</v>
      </c>
    </row>
    <row r="2424" spans="6:18" ht="24" customHeight="1">
      <c r="F2424" s="629">
        <v>0.22</v>
      </c>
      <c r="G2424" s="821" t="s">
        <v>126</v>
      </c>
      <c r="H2424" s="606" t="s">
        <v>142</v>
      </c>
      <c r="I2424" s="629">
        <f>K32</f>
        <v>4193.8</v>
      </c>
      <c r="J2424" s="606" t="s">
        <v>126</v>
      </c>
      <c r="K2424" s="629">
        <f>(F2424*I2424)</f>
        <v>922.63600000000008</v>
      </c>
    </row>
    <row r="2425" spans="6:18" ht="24" customHeight="1">
      <c r="F2425" s="629">
        <v>64</v>
      </c>
      <c r="G2425" s="821" t="s">
        <v>148</v>
      </c>
      <c r="H2425" s="606" t="s">
        <v>2301</v>
      </c>
      <c r="I2425" s="629">
        <f>C67</f>
        <v>5800</v>
      </c>
      <c r="J2425" s="606" t="s">
        <v>2302</v>
      </c>
      <c r="K2425" s="629">
        <f>I2425*F2425/1000</f>
        <v>371.2</v>
      </c>
    </row>
    <row r="2426" spans="6:18" ht="24" customHeight="1">
      <c r="F2426" s="629">
        <v>4.5</v>
      </c>
      <c r="G2426" s="821" t="s">
        <v>148</v>
      </c>
      <c r="H2426" s="869" t="s">
        <v>2303</v>
      </c>
      <c r="I2426" s="629">
        <f>C608</f>
        <v>24.5</v>
      </c>
      <c r="J2426" s="606" t="s">
        <v>148</v>
      </c>
      <c r="K2426" s="629">
        <f>F2426*I2426</f>
        <v>110.25</v>
      </c>
    </row>
    <row r="2427" spans="6:18" ht="24" customHeight="1">
      <c r="F2427" s="629">
        <v>5.4</v>
      </c>
      <c r="G2427" s="821" t="s">
        <v>1</v>
      </c>
      <c r="H2427" s="573" t="s">
        <v>2304</v>
      </c>
      <c r="I2427" s="629">
        <f>C11</f>
        <v>718</v>
      </c>
      <c r="J2427" s="606" t="s">
        <v>1</v>
      </c>
      <c r="K2427" s="629">
        <f>(F2427*I2427)</f>
        <v>3877.2000000000003</v>
      </c>
      <c r="M2427" s="648" t="s">
        <v>1635</v>
      </c>
      <c r="N2427" s="648"/>
      <c r="O2427" s="1469" t="s">
        <v>2305</v>
      </c>
      <c r="P2427" s="1469"/>
      <c r="Q2427" s="1469"/>
      <c r="R2427" s="1469"/>
    </row>
    <row r="2428" spans="6:18" ht="24" customHeight="1">
      <c r="F2428" s="629">
        <v>2.16</v>
      </c>
      <c r="G2428" s="821" t="s">
        <v>1</v>
      </c>
      <c r="H2428" s="606" t="s">
        <v>1606</v>
      </c>
      <c r="I2428" s="629">
        <f>C12</f>
        <v>502</v>
      </c>
      <c r="J2428" s="606" t="s">
        <v>1</v>
      </c>
      <c r="K2428" s="629">
        <f>(F2428*I2428)</f>
        <v>1084.3200000000002</v>
      </c>
      <c r="M2428" s="648"/>
      <c r="N2428" s="648"/>
      <c r="O2428" s="648"/>
      <c r="P2428" s="648"/>
      <c r="Q2428" s="718"/>
      <c r="R2428" s="686"/>
    </row>
    <row r="2429" spans="6:18" ht="24" customHeight="1">
      <c r="F2429" s="629">
        <v>6.5</v>
      </c>
      <c r="G2429" s="821" t="s">
        <v>1</v>
      </c>
      <c r="H2429" s="606" t="s">
        <v>1607</v>
      </c>
      <c r="I2429" s="629">
        <f>C13</f>
        <v>412</v>
      </c>
      <c r="J2429" s="606" t="s">
        <v>1</v>
      </c>
      <c r="K2429" s="629">
        <f>(F2429*I2429)</f>
        <v>2678</v>
      </c>
      <c r="M2429" s="629">
        <v>10.5</v>
      </c>
      <c r="N2429" s="821" t="s">
        <v>174</v>
      </c>
      <c r="O2429" s="1470" t="s">
        <v>2306</v>
      </c>
      <c r="P2429" s="593">
        <v>476</v>
      </c>
      <c r="Q2429" s="606" t="s">
        <v>174</v>
      </c>
      <c r="R2429" s="629">
        <f>(M2429*P2429)</f>
        <v>4998</v>
      </c>
    </row>
    <row r="2430" spans="6:18" ht="24" customHeight="1">
      <c r="F2430" s="629"/>
      <c r="G2430" s="821"/>
      <c r="H2430" s="606"/>
      <c r="I2430" s="629"/>
      <c r="J2430" s="606" t="s">
        <v>1</v>
      </c>
      <c r="K2430" s="629">
        <v>0</v>
      </c>
      <c r="M2430" s="686"/>
      <c r="N2430" s="717"/>
      <c r="O2430" s="1471"/>
      <c r="P2430" s="606" t="s">
        <v>115</v>
      </c>
      <c r="Q2430" s="718"/>
      <c r="R2430" s="606" t="s">
        <v>115</v>
      </c>
    </row>
    <row r="2431" spans="6:18" ht="24" customHeight="1">
      <c r="F2431" s="870"/>
      <c r="G2431" s="821"/>
      <c r="H2431" s="686"/>
      <c r="I2431" s="629"/>
      <c r="J2431" s="606"/>
      <c r="K2431" s="629"/>
      <c r="M2431" s="629">
        <v>0.22</v>
      </c>
      <c r="N2431" s="821" t="s">
        <v>126</v>
      </c>
      <c r="O2431" s="606" t="s">
        <v>142</v>
      </c>
      <c r="P2431" s="629">
        <f t="shared" ref="P2431:P2436" si="240">I2424</f>
        <v>4193.8</v>
      </c>
      <c r="Q2431" s="606" t="s">
        <v>126</v>
      </c>
      <c r="R2431" s="629">
        <f>(M2431*P2431)</f>
        <v>922.63600000000008</v>
      </c>
    </row>
    <row r="2432" spans="6:18" ht="24" customHeight="1">
      <c r="F2432" s="629"/>
      <c r="G2432" s="821"/>
      <c r="H2432" s="577" t="s">
        <v>153</v>
      </c>
      <c r="I2432" s="686"/>
      <c r="J2432" s="718"/>
      <c r="K2432" s="871" t="s">
        <v>1586</v>
      </c>
      <c r="M2432" s="629">
        <v>64</v>
      </c>
      <c r="N2432" s="821" t="s">
        <v>148</v>
      </c>
      <c r="O2432" s="606" t="s">
        <v>2301</v>
      </c>
      <c r="P2432" s="629">
        <f t="shared" si="240"/>
        <v>5800</v>
      </c>
      <c r="Q2432" s="606" t="s">
        <v>2302</v>
      </c>
      <c r="R2432" s="629">
        <f>P2432*M2432/1000</f>
        <v>371.2</v>
      </c>
    </row>
    <row r="2433" spans="6:18" ht="24" customHeight="1">
      <c r="F2433" s="629"/>
      <c r="G2433" s="821"/>
      <c r="H2433" s="577"/>
      <c r="I2433" s="686"/>
      <c r="J2433" s="718"/>
      <c r="K2433" s="586">
        <f>SUM(K2422:K2430)</f>
        <v>12319.606</v>
      </c>
      <c r="M2433" s="629">
        <v>4.5</v>
      </c>
      <c r="N2433" s="821" t="s">
        <v>148</v>
      </c>
      <c r="O2433" s="606" t="s">
        <v>2307</v>
      </c>
      <c r="P2433" s="629">
        <f t="shared" si="240"/>
        <v>24.5</v>
      </c>
      <c r="Q2433" s="606" t="s">
        <v>148</v>
      </c>
      <c r="R2433" s="629">
        <f>M2433*P2433</f>
        <v>110.25</v>
      </c>
    </row>
    <row r="2434" spans="6:18" ht="24" customHeight="1">
      <c r="F2434" s="629"/>
      <c r="G2434" s="821"/>
      <c r="H2434" s="577"/>
      <c r="I2434" s="629"/>
      <c r="J2434" s="606"/>
      <c r="K2434" s="872" t="s">
        <v>748</v>
      </c>
      <c r="M2434" s="629">
        <v>5.4</v>
      </c>
      <c r="N2434" s="821" t="s">
        <v>1</v>
      </c>
      <c r="O2434" s="606" t="s">
        <v>2304</v>
      </c>
      <c r="P2434" s="629">
        <f t="shared" si="240"/>
        <v>718</v>
      </c>
      <c r="Q2434" s="606" t="s">
        <v>1</v>
      </c>
      <c r="R2434" s="629">
        <f>(M2434*P2434)</f>
        <v>3877.2000000000003</v>
      </c>
    </row>
    <row r="2435" spans="6:18" ht="24" customHeight="1">
      <c r="F2435" s="606"/>
      <c r="G2435" s="717"/>
      <c r="H2435" s="577" t="s">
        <v>154</v>
      </c>
      <c r="I2435" s="606"/>
      <c r="J2435" s="718"/>
      <c r="K2435" s="584">
        <f>K2433/10</f>
        <v>1231.9605999999999</v>
      </c>
      <c r="M2435" s="629">
        <v>2.16</v>
      </c>
      <c r="N2435" s="821" t="s">
        <v>1</v>
      </c>
      <c r="O2435" s="606" t="s">
        <v>1606</v>
      </c>
      <c r="P2435" s="629">
        <f t="shared" si="240"/>
        <v>502</v>
      </c>
      <c r="Q2435" s="606" t="s">
        <v>1</v>
      </c>
      <c r="R2435" s="629">
        <f>(M2435*P2435)</f>
        <v>1084.3200000000002</v>
      </c>
    </row>
    <row r="2436" spans="6:18" ht="24" customHeight="1">
      <c r="K2436" s="622" t="s">
        <v>1586</v>
      </c>
      <c r="M2436" s="629">
        <v>6.5</v>
      </c>
      <c r="N2436" s="821" t="s">
        <v>1</v>
      </c>
      <c r="O2436" s="606" t="s">
        <v>1607</v>
      </c>
      <c r="P2436" s="629">
        <f t="shared" si="240"/>
        <v>412</v>
      </c>
      <c r="Q2436" s="606" t="s">
        <v>1</v>
      </c>
      <c r="R2436" s="629">
        <f>(M2436*P2436)</f>
        <v>2678</v>
      </c>
    </row>
    <row r="2437" spans="6:18" ht="24" customHeight="1">
      <c r="M2437" s="629"/>
      <c r="N2437" s="821"/>
      <c r="O2437" s="606"/>
      <c r="P2437" s="629"/>
      <c r="Q2437" s="606" t="s">
        <v>1</v>
      </c>
      <c r="R2437" s="629">
        <f>(M2437*P2437)</f>
        <v>0</v>
      </c>
    </row>
    <row r="2438" spans="6:18" ht="24" customHeight="1">
      <c r="M2438" s="870"/>
      <c r="N2438" s="821"/>
      <c r="O2438" s="686"/>
      <c r="P2438" s="629"/>
      <c r="Q2438" s="606"/>
      <c r="R2438" s="629"/>
    </row>
    <row r="2439" spans="6:18" ht="24" customHeight="1">
      <c r="F2439" s="629"/>
      <c r="G2439" s="821"/>
      <c r="H2439" s="577" t="s">
        <v>2308</v>
      </c>
      <c r="I2439" s="629"/>
      <c r="J2439" s="606"/>
      <c r="K2439" s="629"/>
      <c r="M2439" s="629"/>
      <c r="N2439" s="821"/>
      <c r="O2439" s="577" t="s">
        <v>153</v>
      </c>
      <c r="P2439" s="686"/>
      <c r="Q2439" s="718"/>
      <c r="R2439" s="871" t="s">
        <v>1586</v>
      </c>
    </row>
    <row r="2440" spans="6:18" ht="24" customHeight="1">
      <c r="F2440" s="629"/>
      <c r="G2440" s="821"/>
      <c r="H2440" s="686"/>
      <c r="I2440" s="629"/>
      <c r="J2440" s="606"/>
      <c r="K2440" s="686"/>
      <c r="M2440" s="629"/>
      <c r="N2440" s="821"/>
      <c r="O2440" s="577"/>
      <c r="P2440" s="686"/>
      <c r="Q2440" s="718"/>
      <c r="R2440" s="586">
        <f>SUM(R2429:R2437)</f>
        <v>14041.606</v>
      </c>
    </row>
    <row r="2441" spans="6:18" ht="24" customHeight="1">
      <c r="F2441" s="629">
        <v>10</v>
      </c>
      <c r="G2441" s="821" t="s">
        <v>174</v>
      </c>
      <c r="H2441" s="606" t="s">
        <v>2309</v>
      </c>
      <c r="I2441" s="629">
        <f>K1213</f>
        <v>403.57160000000005</v>
      </c>
      <c r="J2441" s="606" t="s">
        <v>174</v>
      </c>
      <c r="K2441" s="629">
        <f>F2441*I2441</f>
        <v>4035.7160000000003</v>
      </c>
      <c r="M2441" s="629"/>
      <c r="N2441" s="821"/>
      <c r="O2441" s="577"/>
      <c r="P2441" s="629"/>
      <c r="Q2441" s="606"/>
      <c r="R2441" s="872" t="s">
        <v>748</v>
      </c>
    </row>
    <row r="2442" spans="6:18" ht="24" customHeight="1">
      <c r="F2442" s="686">
        <v>9.8000000000000007</v>
      </c>
      <c r="G2442" s="821" t="s">
        <v>148</v>
      </c>
      <c r="H2442" s="575" t="s">
        <v>2310</v>
      </c>
      <c r="I2442" s="629">
        <f>C148</f>
        <v>142.4</v>
      </c>
      <c r="J2442" s="606" t="s">
        <v>148</v>
      </c>
      <c r="K2442" s="629">
        <f>F2442*I2442</f>
        <v>1395.5200000000002</v>
      </c>
      <c r="M2442" s="606"/>
      <c r="N2442" s="717"/>
      <c r="O2442" s="577" t="s">
        <v>154</v>
      </c>
      <c r="P2442" s="606"/>
      <c r="Q2442" s="718"/>
      <c r="R2442" s="584">
        <f>R2440/10</f>
        <v>1404.1605999999999</v>
      </c>
    </row>
    <row r="2443" spans="6:18" ht="24" customHeight="1">
      <c r="F2443" s="686">
        <v>1.1000000000000001</v>
      </c>
      <c r="G2443" s="717" t="s">
        <v>1576</v>
      </c>
      <c r="H2443" s="606" t="s">
        <v>144</v>
      </c>
      <c r="I2443" s="686">
        <f>I2410</f>
        <v>769</v>
      </c>
      <c r="J2443" s="718" t="s">
        <v>227</v>
      </c>
      <c r="K2443" s="686">
        <f>F2443*I2443</f>
        <v>845.90000000000009</v>
      </c>
      <c r="N2443" s="576"/>
      <c r="Q2443" s="578"/>
      <c r="R2443" s="622" t="s">
        <v>1586</v>
      </c>
    </row>
    <row r="2444" spans="6:18" ht="24" customHeight="1">
      <c r="F2444" s="686"/>
      <c r="G2444" s="717"/>
      <c r="H2444" s="575" t="s">
        <v>236</v>
      </c>
      <c r="I2444" s="686"/>
      <c r="J2444" s="718"/>
      <c r="K2444" s="686">
        <v>0.2</v>
      </c>
    </row>
    <row r="2445" spans="6:18" ht="24" customHeight="1">
      <c r="F2445" s="686"/>
      <c r="G2445" s="717"/>
      <c r="H2445" s="686"/>
      <c r="I2445" s="686"/>
      <c r="J2445" s="718"/>
      <c r="K2445" s="640" t="s">
        <v>155</v>
      </c>
    </row>
    <row r="2446" spans="6:18" ht="24" customHeight="1">
      <c r="F2446" s="606" t="s">
        <v>115</v>
      </c>
      <c r="G2446" s="717"/>
      <c r="H2446" s="577" t="s">
        <v>153</v>
      </c>
      <c r="I2446" s="686"/>
      <c r="J2446" s="718"/>
      <c r="K2446" s="619">
        <f>SUM(K2441:K2444)</f>
        <v>6277.3360000000002</v>
      </c>
    </row>
    <row r="2447" spans="6:18" ht="24" customHeight="1">
      <c r="F2447" s="686"/>
      <c r="G2447" s="717"/>
      <c r="H2447" s="686"/>
      <c r="I2447" s="686"/>
      <c r="J2447" s="718"/>
      <c r="K2447" s="873" t="s">
        <v>1586</v>
      </c>
    </row>
    <row r="2448" spans="6:18" ht="24" customHeight="1">
      <c r="F2448" s="606" t="s">
        <v>115</v>
      </c>
      <c r="G2448" s="717"/>
      <c r="H2448" s="577" t="s">
        <v>154</v>
      </c>
      <c r="I2448" s="686"/>
      <c r="J2448" s="718"/>
      <c r="K2448" s="584">
        <f>K2446/10</f>
        <v>627.73360000000002</v>
      </c>
    </row>
    <row r="2449" spans="6:11" ht="24" customHeight="1">
      <c r="F2449" s="686"/>
      <c r="G2449" s="717"/>
      <c r="I2449" s="686"/>
      <c r="J2449" s="718"/>
      <c r="K2449" s="622" t="s">
        <v>1586</v>
      </c>
    </row>
    <row r="2450" spans="6:11" ht="24" customHeight="1">
      <c r="F2450" s="686"/>
      <c r="G2450" s="717"/>
      <c r="H2450" s="686"/>
      <c r="I2450" s="686"/>
      <c r="J2450" s="718"/>
      <c r="K2450" s="686"/>
    </row>
    <row r="2451" spans="6:11" ht="24" customHeight="1">
      <c r="F2451" s="686"/>
      <c r="G2451" s="717"/>
      <c r="H2451" s="686"/>
      <c r="I2451" s="686"/>
      <c r="J2451" s="718"/>
      <c r="K2451" s="686"/>
    </row>
    <row r="2452" spans="6:11" ht="24" customHeight="1">
      <c r="F2452" s="686"/>
      <c r="G2452" s="717"/>
      <c r="H2452" s="686"/>
      <c r="I2452" s="686"/>
      <c r="J2452" s="718"/>
      <c r="K2452" s="686"/>
    </row>
    <row r="2453" spans="6:11" ht="24" customHeight="1">
      <c r="F2453" s="686"/>
      <c r="G2453" s="717"/>
      <c r="H2453" s="686"/>
      <c r="I2453" s="686"/>
      <c r="J2453" s="718"/>
      <c r="K2453" s="686"/>
    </row>
    <row r="2454" spans="6:11" ht="24" customHeight="1">
      <c r="F2454" s="686"/>
      <c r="G2454" s="717"/>
      <c r="H2454" s="619" t="s">
        <v>2311</v>
      </c>
      <c r="I2454" s="686"/>
      <c r="J2454" s="718"/>
      <c r="K2454" s="686"/>
    </row>
    <row r="2455" spans="6:11" ht="24" customHeight="1">
      <c r="F2455" s="686"/>
      <c r="G2455" s="717"/>
      <c r="H2455" s="686"/>
      <c r="I2455" s="686"/>
      <c r="J2455" s="718"/>
      <c r="K2455" s="686"/>
    </row>
    <row r="2456" spans="6:11" ht="24" customHeight="1">
      <c r="F2456" s="718" t="s">
        <v>2312</v>
      </c>
      <c r="G2456" s="718"/>
      <c r="H2456" s="718"/>
      <c r="I2456" s="686">
        <v>15.21</v>
      </c>
      <c r="J2456" s="718" t="s">
        <v>1962</v>
      </c>
      <c r="K2456" s="686"/>
    </row>
    <row r="2457" spans="6:11" ht="24" customHeight="1">
      <c r="F2457" s="686" t="s">
        <v>2313</v>
      </c>
      <c r="G2457" s="717"/>
      <c r="H2457" s="686"/>
      <c r="I2457" s="686">
        <v>22.61</v>
      </c>
      <c r="J2457" s="718" t="s">
        <v>1962</v>
      </c>
      <c r="K2457" s="686"/>
    </row>
    <row r="2458" spans="6:11" ht="24" customHeight="1">
      <c r="F2458" s="686" t="s">
        <v>2314</v>
      </c>
      <c r="G2458" s="717"/>
      <c r="H2458" s="686"/>
      <c r="I2458" s="686">
        <v>3.24</v>
      </c>
      <c r="J2458" s="718" t="s">
        <v>1962</v>
      </c>
      <c r="K2458" s="686"/>
    </row>
    <row r="2459" spans="6:11" ht="24" customHeight="1">
      <c r="F2459" s="686" t="s">
        <v>2315</v>
      </c>
      <c r="G2459" s="717"/>
      <c r="H2459" s="686"/>
      <c r="I2459" s="686">
        <v>2.16</v>
      </c>
      <c r="J2459" s="718" t="s">
        <v>1962</v>
      </c>
      <c r="K2459" s="686"/>
    </row>
    <row r="2460" spans="6:11" ht="24" customHeight="1">
      <c r="F2460" s="686"/>
      <c r="G2460" s="717"/>
      <c r="H2460" s="686"/>
      <c r="I2460" s="686"/>
      <c r="J2460" s="718"/>
      <c r="K2460" s="686"/>
    </row>
    <row r="2461" spans="6:11" ht="24" customHeight="1">
      <c r="F2461" s="686"/>
      <c r="G2461" s="717"/>
      <c r="H2461" s="686"/>
      <c r="I2461" s="721" t="s">
        <v>1586</v>
      </c>
      <c r="J2461" s="718"/>
      <c r="K2461" s="686"/>
    </row>
    <row r="2462" spans="6:11" ht="24" customHeight="1">
      <c r="F2462" s="686"/>
      <c r="G2462" s="717"/>
      <c r="H2462" s="686"/>
      <c r="I2462" s="686">
        <f>SUM(I2456:I2460)</f>
        <v>43.22</v>
      </c>
      <c r="J2462" s="718"/>
      <c r="K2462" s="686"/>
    </row>
    <row r="2463" spans="6:11" ht="24" customHeight="1">
      <c r="F2463" s="686"/>
      <c r="G2463" s="717"/>
      <c r="H2463" s="686"/>
      <c r="I2463" s="686" t="s">
        <v>2316</v>
      </c>
      <c r="J2463" s="718"/>
      <c r="K2463" s="686"/>
    </row>
    <row r="2464" spans="6:11" ht="24" customHeight="1">
      <c r="F2464" s="686"/>
      <c r="G2464" s="717"/>
      <c r="H2464" s="686"/>
      <c r="I2464" s="686"/>
      <c r="J2464" s="718"/>
      <c r="K2464" s="686"/>
    </row>
    <row r="2465" spans="6:11" ht="24" customHeight="1">
      <c r="F2465" s="686"/>
      <c r="G2465" s="717"/>
      <c r="H2465" s="686"/>
      <c r="I2465" s="686"/>
      <c r="J2465" s="718"/>
      <c r="K2465" s="686"/>
    </row>
    <row r="2466" spans="6:11" ht="24" customHeight="1">
      <c r="F2466" s="686">
        <v>43.22</v>
      </c>
      <c r="G2466" s="717" t="s">
        <v>148</v>
      </c>
      <c r="H2466" s="854" t="s">
        <v>2317</v>
      </c>
      <c r="I2466" s="686">
        <f>C660</f>
        <v>54.5</v>
      </c>
      <c r="J2466" s="718" t="s">
        <v>148</v>
      </c>
      <c r="K2466" s="686">
        <f>I2466*F2466</f>
        <v>2355.4899999999998</v>
      </c>
    </row>
    <row r="2467" spans="6:11" ht="24" customHeight="1">
      <c r="F2467" s="686">
        <v>0.81</v>
      </c>
      <c r="G2467" s="717" t="s">
        <v>174</v>
      </c>
      <c r="H2467" s="686" t="s">
        <v>2318</v>
      </c>
      <c r="I2467" s="686">
        <f>C199</f>
        <v>295</v>
      </c>
      <c r="J2467" s="718" t="s">
        <v>174</v>
      </c>
      <c r="K2467" s="686">
        <f>I2467*F2467</f>
        <v>238.95000000000002</v>
      </c>
    </row>
    <row r="2468" spans="6:11" ht="24" customHeight="1">
      <c r="F2468" s="686">
        <v>0.81</v>
      </c>
      <c r="G2468" s="717" t="s">
        <v>174</v>
      </c>
      <c r="H2468" s="686" t="s">
        <v>2319</v>
      </c>
      <c r="I2468" s="686">
        <f>D199</f>
        <v>91</v>
      </c>
      <c r="J2468" s="718" t="s">
        <v>174</v>
      </c>
      <c r="K2468" s="686">
        <f>I2468*F2468</f>
        <v>73.710000000000008</v>
      </c>
    </row>
    <row r="2469" spans="6:11" ht="24" customHeight="1">
      <c r="F2469" s="686"/>
      <c r="G2469" s="717"/>
      <c r="H2469" s="686" t="s">
        <v>2320</v>
      </c>
      <c r="I2469" s="874">
        <f>46.61</f>
        <v>46.61</v>
      </c>
      <c r="J2469" s="718" t="s">
        <v>129</v>
      </c>
      <c r="K2469" s="686">
        <f>I2469</f>
        <v>46.61</v>
      </c>
    </row>
    <row r="2470" spans="6:11" ht="24" customHeight="1">
      <c r="F2470" s="686"/>
      <c r="G2470" s="717"/>
      <c r="H2470" s="686"/>
      <c r="I2470" s="686"/>
      <c r="J2470" s="718"/>
      <c r="K2470" s="721" t="s">
        <v>1586</v>
      </c>
    </row>
    <row r="2471" spans="6:11" ht="24" customHeight="1">
      <c r="F2471" s="686"/>
      <c r="G2471" s="717"/>
      <c r="H2471" s="619" t="s">
        <v>2321</v>
      </c>
      <c r="I2471" s="686"/>
      <c r="J2471" s="718"/>
      <c r="K2471" s="619">
        <f>SUM(K2466:K2469)</f>
        <v>2714.7599999999998</v>
      </c>
    </row>
    <row r="2472" spans="6:11" ht="24" customHeight="1">
      <c r="F2472" s="686"/>
      <c r="G2472" s="717"/>
      <c r="H2472" s="686">
        <f>0.6*1.35</f>
        <v>0.81</v>
      </c>
      <c r="I2472" s="686"/>
      <c r="J2472" s="718"/>
      <c r="K2472" s="721" t="s">
        <v>1586</v>
      </c>
    </row>
    <row r="2473" spans="6:11" ht="24" customHeight="1">
      <c r="F2473" s="686"/>
      <c r="G2473" s="717"/>
      <c r="H2473" s="619" t="s">
        <v>2322</v>
      </c>
      <c r="I2473" s="686"/>
      <c r="J2473" s="718"/>
      <c r="K2473" s="619">
        <f>K2471/H2472</f>
        <v>3351.5555555555552</v>
      </c>
    </row>
    <row r="2474" spans="6:11" ht="24" customHeight="1">
      <c r="F2474" s="686"/>
      <c r="G2474" s="717"/>
      <c r="H2474" s="686"/>
      <c r="I2474" s="686"/>
      <c r="J2474" s="718"/>
      <c r="K2474" s="686"/>
    </row>
    <row r="2475" spans="6:11" ht="24" customHeight="1">
      <c r="F2475" s="718" t="s">
        <v>2323</v>
      </c>
      <c r="G2475" s="718"/>
      <c r="H2475" s="718"/>
      <c r="I2475" s="686">
        <v>11.78</v>
      </c>
      <c r="J2475" s="718" t="s">
        <v>1962</v>
      </c>
      <c r="K2475" s="686"/>
    </row>
    <row r="2476" spans="6:11" ht="24" customHeight="1">
      <c r="F2476" s="686" t="s">
        <v>2324</v>
      </c>
      <c r="G2476" s="717"/>
      <c r="H2476" s="686"/>
      <c r="I2476" s="686">
        <v>15.07</v>
      </c>
      <c r="J2476" s="718" t="s">
        <v>1962</v>
      </c>
      <c r="K2476" s="686"/>
    </row>
    <row r="2477" spans="6:11" ht="24" customHeight="1">
      <c r="F2477" s="686" t="s">
        <v>2325</v>
      </c>
      <c r="G2477" s="717"/>
      <c r="H2477" s="686"/>
      <c r="I2477" s="686">
        <v>2.16</v>
      </c>
      <c r="J2477" s="718" t="s">
        <v>1962</v>
      </c>
      <c r="K2477" s="686"/>
    </row>
    <row r="2478" spans="6:11" ht="24" customHeight="1">
      <c r="F2478" s="686" t="s">
        <v>2315</v>
      </c>
      <c r="G2478" s="717"/>
      <c r="H2478" s="686"/>
      <c r="I2478" s="686">
        <v>2.16</v>
      </c>
      <c r="J2478" s="718" t="s">
        <v>1962</v>
      </c>
      <c r="K2478" s="686"/>
    </row>
    <row r="2479" spans="6:11" ht="24" customHeight="1">
      <c r="F2479" s="686" t="s">
        <v>2326</v>
      </c>
      <c r="G2479" s="717"/>
      <c r="H2479" s="686"/>
      <c r="I2479" s="686">
        <f>1.91-0.08</f>
        <v>1.8299999999999998</v>
      </c>
      <c r="J2479" s="718"/>
      <c r="K2479" s="686"/>
    </row>
    <row r="2480" spans="6:11" ht="24" customHeight="1">
      <c r="F2480" s="686"/>
      <c r="G2480" s="717"/>
      <c r="H2480" s="686"/>
      <c r="I2480" s="721" t="s">
        <v>2327</v>
      </c>
      <c r="J2480" s="718"/>
      <c r="K2480" s="686"/>
    </row>
    <row r="2481" spans="6:11" ht="24" customHeight="1">
      <c r="F2481" s="686"/>
      <c r="G2481" s="717"/>
      <c r="H2481" s="686"/>
      <c r="I2481" s="619">
        <f>SUM(I2475:I2479)</f>
        <v>33</v>
      </c>
      <c r="J2481" s="718" t="s">
        <v>1962</v>
      </c>
      <c r="K2481" s="686"/>
    </row>
    <row r="2482" spans="6:11" ht="24" customHeight="1">
      <c r="F2482" s="686"/>
      <c r="G2482" s="717"/>
      <c r="H2482" s="686"/>
      <c r="I2482" s="721" t="s">
        <v>2327</v>
      </c>
      <c r="J2482" s="718"/>
      <c r="K2482" s="686"/>
    </row>
    <row r="2483" spans="6:11" ht="24" customHeight="1">
      <c r="F2483" s="686"/>
      <c r="G2483" s="717"/>
      <c r="H2483" s="686"/>
      <c r="I2483" s="686"/>
      <c r="J2483" s="718"/>
      <c r="K2483" s="686"/>
    </row>
    <row r="2484" spans="6:11" ht="24" customHeight="1">
      <c r="F2484" s="686"/>
      <c r="G2484" s="717"/>
      <c r="H2484" s="686"/>
      <c r="I2484" s="686"/>
      <c r="J2484" s="718"/>
      <c r="K2484" s="686"/>
    </row>
    <row r="2485" spans="6:11" ht="24" customHeight="1">
      <c r="F2485" s="686">
        <f>I2481</f>
        <v>33</v>
      </c>
      <c r="G2485" s="717" t="s">
        <v>148</v>
      </c>
      <c r="H2485" s="686" t="s">
        <v>2317</v>
      </c>
      <c r="I2485" s="686">
        <f>I2466</f>
        <v>54.5</v>
      </c>
      <c r="J2485" s="718" t="s">
        <v>148</v>
      </c>
      <c r="K2485" s="686">
        <f>I2485*F2485</f>
        <v>1798.5</v>
      </c>
    </row>
    <row r="2486" spans="6:11" ht="24" customHeight="1">
      <c r="F2486" s="686">
        <v>0.54</v>
      </c>
      <c r="G2486" s="717" t="s">
        <v>174</v>
      </c>
      <c r="H2486" s="686" t="s">
        <v>2318</v>
      </c>
      <c r="I2486" s="686">
        <f>I2467</f>
        <v>295</v>
      </c>
      <c r="J2486" s="718" t="s">
        <v>174</v>
      </c>
      <c r="K2486" s="686">
        <f>I2486*F2486</f>
        <v>159.30000000000001</v>
      </c>
    </row>
    <row r="2487" spans="6:11" ht="24" customHeight="1">
      <c r="F2487" s="686">
        <v>0.54</v>
      </c>
      <c r="G2487" s="717" t="s">
        <v>174</v>
      </c>
      <c r="H2487" s="686" t="str">
        <f>H2468</f>
        <v>Fly proof  Mesh</v>
      </c>
      <c r="I2487" s="686">
        <f>I2468</f>
        <v>91</v>
      </c>
      <c r="J2487" s="718" t="s">
        <v>174</v>
      </c>
      <c r="K2487" s="686">
        <f>I2487*F2487</f>
        <v>49.14</v>
      </c>
    </row>
    <row r="2488" spans="6:11" ht="24" customHeight="1">
      <c r="F2488" s="686"/>
      <c r="G2488" s="717"/>
      <c r="H2488" s="686" t="s">
        <v>2320</v>
      </c>
      <c r="I2488" s="874">
        <v>53.5</v>
      </c>
      <c r="J2488" s="718" t="s">
        <v>129</v>
      </c>
      <c r="K2488" s="686">
        <v>52.8</v>
      </c>
    </row>
    <row r="2489" spans="6:11" ht="24" customHeight="1">
      <c r="F2489" s="686"/>
      <c r="G2489" s="717"/>
      <c r="H2489" s="686"/>
      <c r="I2489" s="686"/>
      <c r="J2489" s="718"/>
      <c r="K2489" s="721" t="s">
        <v>1586</v>
      </c>
    </row>
    <row r="2490" spans="6:11" ht="24" customHeight="1">
      <c r="F2490" s="686"/>
      <c r="G2490" s="717"/>
      <c r="H2490" s="619" t="s">
        <v>2321</v>
      </c>
      <c r="I2490" s="686"/>
      <c r="J2490" s="718"/>
      <c r="K2490" s="619">
        <f>SUM(K2485:K2488)</f>
        <v>2059.7400000000002</v>
      </c>
    </row>
    <row r="2491" spans="6:11" ht="24" customHeight="1">
      <c r="F2491" s="686"/>
      <c r="G2491" s="717"/>
      <c r="H2491" s="686"/>
      <c r="I2491" s="686"/>
      <c r="J2491" s="718"/>
      <c r="K2491" s="721" t="s">
        <v>1586</v>
      </c>
    </row>
    <row r="2492" spans="6:11" ht="24" customHeight="1">
      <c r="F2492" s="686"/>
      <c r="G2492" s="717"/>
      <c r="H2492" s="686"/>
      <c r="I2492" s="619" t="s">
        <v>2328</v>
      </c>
      <c r="J2492" s="718"/>
      <c r="K2492" s="619">
        <f>K2490/0.54</f>
        <v>3814.3333333333335</v>
      </c>
    </row>
    <row r="2493" spans="6:11" ht="24" customHeight="1">
      <c r="F2493" s="686"/>
      <c r="G2493" s="717"/>
      <c r="H2493" s="686"/>
      <c r="I2493" s="686"/>
      <c r="J2493" s="718"/>
      <c r="K2493" s="686"/>
    </row>
    <row r="2494" spans="6:11" ht="24" customHeight="1">
      <c r="F2494" s="686"/>
      <c r="G2494" s="717"/>
      <c r="H2494" s="686"/>
      <c r="I2494" s="686"/>
      <c r="J2494" s="718"/>
      <c r="K2494" s="686"/>
    </row>
    <row r="2495" spans="6:11" ht="24" customHeight="1">
      <c r="F2495" s="686"/>
      <c r="G2495" s="717"/>
      <c r="H2495" s="619" t="s">
        <v>2329</v>
      </c>
      <c r="I2495" s="686"/>
      <c r="J2495" s="718"/>
      <c r="K2495" s="686"/>
    </row>
    <row r="2496" spans="6:11" ht="24" customHeight="1">
      <c r="F2496" s="686"/>
      <c r="G2496" s="717"/>
      <c r="H2496" s="686"/>
      <c r="I2496" s="686"/>
      <c r="J2496" s="718"/>
      <c r="K2496" s="686"/>
    </row>
    <row r="2497" spans="6:18" ht="24" customHeight="1">
      <c r="F2497" s="718" t="s">
        <v>2330</v>
      </c>
      <c r="G2497" s="718"/>
      <c r="H2497" s="718"/>
      <c r="I2497" s="686">
        <v>9.42</v>
      </c>
      <c r="J2497" s="718" t="s">
        <v>1962</v>
      </c>
      <c r="K2497" s="718"/>
    </row>
    <row r="2498" spans="6:18" ht="24" customHeight="1">
      <c r="F2498" s="686" t="s">
        <v>2331</v>
      </c>
      <c r="G2498" s="717"/>
      <c r="H2498" s="686"/>
      <c r="I2498" s="686">
        <v>9.42</v>
      </c>
      <c r="J2498" s="718" t="s">
        <v>1962</v>
      </c>
      <c r="K2498" s="718"/>
    </row>
    <row r="2499" spans="6:18" ht="24" customHeight="1">
      <c r="F2499" s="686" t="s">
        <v>2332</v>
      </c>
      <c r="G2499" s="717"/>
      <c r="H2499" s="686"/>
      <c r="I2499" s="686">
        <v>1.44</v>
      </c>
      <c r="J2499" s="718" t="s">
        <v>1962</v>
      </c>
      <c r="K2499" s="718"/>
    </row>
    <row r="2500" spans="6:18" ht="24" customHeight="1">
      <c r="F2500" s="686" t="s">
        <v>2315</v>
      </c>
      <c r="G2500" s="717"/>
      <c r="H2500" s="686"/>
      <c r="I2500" s="686">
        <v>2.16</v>
      </c>
      <c r="J2500" s="718" t="s">
        <v>1962</v>
      </c>
      <c r="K2500" s="718"/>
    </row>
    <row r="2501" spans="6:18" ht="24" customHeight="1">
      <c r="F2501" s="686" t="s">
        <v>2326</v>
      </c>
      <c r="G2501" s="717"/>
      <c r="H2501" s="686"/>
      <c r="I2501" s="686">
        <v>1.56</v>
      </c>
      <c r="J2501" s="718"/>
      <c r="K2501" s="718"/>
    </row>
    <row r="2502" spans="6:18" ht="24" customHeight="1">
      <c r="F2502" s="686"/>
      <c r="G2502" s="717"/>
      <c r="H2502" s="686"/>
      <c r="I2502" s="721" t="s">
        <v>2327</v>
      </c>
      <c r="J2502" s="718"/>
      <c r="K2502" s="718"/>
      <c r="M2502" s="686"/>
      <c r="N2502" s="717"/>
      <c r="O2502" s="619" t="s">
        <v>2333</v>
      </c>
      <c r="P2502" s="686"/>
      <c r="Q2502" s="718"/>
      <c r="R2502" s="686"/>
    </row>
    <row r="2503" spans="6:18" ht="24" customHeight="1">
      <c r="F2503" s="686"/>
      <c r="G2503" s="717"/>
      <c r="H2503" s="686"/>
      <c r="I2503" s="686">
        <f>SUM(I2497:I2501)</f>
        <v>24</v>
      </c>
      <c r="J2503" s="718" t="s">
        <v>1962</v>
      </c>
      <c r="K2503" s="718"/>
      <c r="M2503" s="686"/>
      <c r="N2503" s="717"/>
      <c r="O2503" s="686"/>
      <c r="P2503" s="686"/>
      <c r="Q2503" s="718"/>
      <c r="R2503" s="686"/>
    </row>
    <row r="2504" spans="6:18" ht="24" customHeight="1">
      <c r="F2504" s="686"/>
      <c r="G2504" s="717"/>
      <c r="H2504" s="686"/>
      <c r="I2504" s="721" t="s">
        <v>2327</v>
      </c>
      <c r="J2504" s="718"/>
      <c r="K2504" s="686"/>
      <c r="M2504" s="718" t="s">
        <v>2334</v>
      </c>
      <c r="N2504" s="718"/>
      <c r="O2504" s="718"/>
      <c r="P2504" s="720">
        <f>3.77*3.9</f>
        <v>14.702999999999999</v>
      </c>
      <c r="Q2504" s="718" t="s">
        <v>1962</v>
      </c>
      <c r="R2504" s="718"/>
    </row>
    <row r="2505" spans="6:18" ht="24" customHeight="1">
      <c r="F2505" s="686"/>
      <c r="G2505" s="717"/>
      <c r="H2505" s="686"/>
      <c r="I2505" s="686"/>
      <c r="J2505" s="718"/>
      <c r="K2505" s="686"/>
      <c r="M2505" s="686" t="s">
        <v>2335</v>
      </c>
      <c r="N2505" s="717"/>
      <c r="O2505" s="686"/>
      <c r="P2505" s="686">
        <f>12*0.6*3.14</f>
        <v>22.607999999999997</v>
      </c>
      <c r="Q2505" s="718" t="s">
        <v>1962</v>
      </c>
      <c r="R2505" s="718"/>
    </row>
    <row r="2506" spans="6:18" ht="24" customHeight="1">
      <c r="F2506" s="686"/>
      <c r="G2506" s="717"/>
      <c r="H2506" s="686"/>
      <c r="I2506" s="686"/>
      <c r="J2506" s="718"/>
      <c r="K2506" s="686"/>
      <c r="M2506" s="686" t="s">
        <v>2336</v>
      </c>
      <c r="N2506" s="717"/>
      <c r="O2506" s="686"/>
      <c r="P2506" s="686">
        <f>2*1.285*1.2</f>
        <v>3.0839999999999996</v>
      </c>
      <c r="Q2506" s="718" t="s">
        <v>1962</v>
      </c>
      <c r="R2506" s="718"/>
    </row>
    <row r="2507" spans="6:18" ht="24" customHeight="1">
      <c r="F2507" s="686">
        <v>24</v>
      </c>
      <c r="G2507" s="717" t="s">
        <v>148</v>
      </c>
      <c r="H2507" s="686" t="s">
        <v>2317</v>
      </c>
      <c r="I2507" s="686">
        <f>I2485</f>
        <v>54.5</v>
      </c>
      <c r="J2507" s="718" t="s">
        <v>148</v>
      </c>
      <c r="K2507" s="686">
        <f>I2507*F2507</f>
        <v>1308</v>
      </c>
      <c r="M2507" s="686" t="s">
        <v>2315</v>
      </c>
      <c r="N2507" s="717"/>
      <c r="O2507" s="686"/>
      <c r="P2507" s="686">
        <f>3*0.6*1.2</f>
        <v>2.1599999999999997</v>
      </c>
      <c r="Q2507" s="718" t="s">
        <v>1962</v>
      </c>
      <c r="R2507" s="718"/>
    </row>
    <row r="2508" spans="6:18" ht="24" customHeight="1">
      <c r="F2508" s="686">
        <v>0.36</v>
      </c>
      <c r="G2508" s="717" t="s">
        <v>174</v>
      </c>
      <c r="H2508" s="686" t="s">
        <v>2318</v>
      </c>
      <c r="I2508" s="686">
        <f>I2486</f>
        <v>295</v>
      </c>
      <c r="J2508" s="718" t="s">
        <v>174</v>
      </c>
      <c r="K2508" s="686">
        <f>I2508*F2508</f>
        <v>106.2</v>
      </c>
      <c r="M2508" s="686" t="s">
        <v>2326</v>
      </c>
      <c r="N2508" s="717"/>
      <c r="O2508" s="686"/>
      <c r="P2508" s="686">
        <v>0.16</v>
      </c>
      <c r="Q2508" s="718"/>
      <c r="R2508" s="718"/>
    </row>
    <row r="2509" spans="6:18" ht="24" customHeight="1">
      <c r="F2509" s="686">
        <v>0.36</v>
      </c>
      <c r="G2509" s="717" t="s">
        <v>174</v>
      </c>
      <c r="H2509" s="686" t="s">
        <v>2337</v>
      </c>
      <c r="I2509" s="686">
        <f>C198</f>
        <v>31.65</v>
      </c>
      <c r="J2509" s="718" t="s">
        <v>174</v>
      </c>
      <c r="K2509" s="686">
        <f>I2509*F2509</f>
        <v>11.393999999999998</v>
      </c>
      <c r="M2509" s="686"/>
      <c r="N2509" s="717"/>
      <c r="O2509" s="686"/>
      <c r="P2509" s="721" t="s">
        <v>2327</v>
      </c>
      <c r="Q2509" s="718"/>
      <c r="R2509" s="718"/>
    </row>
    <row r="2510" spans="6:18" ht="24" customHeight="1">
      <c r="F2510" s="686"/>
      <c r="G2510" s="717"/>
      <c r="H2510" s="686" t="s">
        <v>2338</v>
      </c>
      <c r="I2510" s="874">
        <v>28.34</v>
      </c>
      <c r="J2510" s="718" t="s">
        <v>129</v>
      </c>
      <c r="K2510" s="686">
        <f>28.14</f>
        <v>28.14</v>
      </c>
      <c r="M2510" s="686"/>
      <c r="N2510" s="717"/>
      <c r="O2510" s="686"/>
      <c r="P2510" s="716">
        <f>SUM(P2504:P2508)</f>
        <v>42.714999999999989</v>
      </c>
      <c r="Q2510" s="718" t="s">
        <v>1962</v>
      </c>
      <c r="R2510" s="718">
        <f>42.55-42.713</f>
        <v>-0.16300000000000381</v>
      </c>
    </row>
    <row r="2511" spans="6:18" ht="24" customHeight="1">
      <c r="F2511" s="686"/>
      <c r="G2511" s="717"/>
      <c r="H2511" s="686"/>
      <c r="I2511" s="686"/>
      <c r="J2511" s="718"/>
      <c r="K2511" s="721" t="s">
        <v>1586</v>
      </c>
      <c r="M2511" s="686"/>
      <c r="N2511" s="717"/>
      <c r="O2511" s="686"/>
      <c r="P2511" s="721" t="s">
        <v>2327</v>
      </c>
      <c r="Q2511" s="718"/>
      <c r="R2511" s="686"/>
    </row>
    <row r="2512" spans="6:18" ht="24" customHeight="1">
      <c r="F2512" s="686"/>
      <c r="G2512" s="717"/>
      <c r="H2512" s="619" t="s">
        <v>2321</v>
      </c>
      <c r="I2512" s="686"/>
      <c r="J2512" s="718"/>
      <c r="K2512" s="619">
        <f>SUM(K2507:K2510)</f>
        <v>1453.7340000000002</v>
      </c>
      <c r="M2512" s="686"/>
      <c r="N2512" s="717"/>
      <c r="O2512" s="686"/>
      <c r="P2512" s="686"/>
      <c r="Q2512" s="718"/>
      <c r="R2512" s="686"/>
    </row>
    <row r="2513" spans="6:18" ht="24" customHeight="1">
      <c r="F2513" s="686"/>
      <c r="G2513" s="717"/>
      <c r="H2513" s="686"/>
      <c r="I2513" s="686"/>
      <c r="J2513" s="718"/>
      <c r="K2513" s="721" t="s">
        <v>1586</v>
      </c>
      <c r="M2513" s="686"/>
      <c r="N2513" s="717"/>
      <c r="O2513" s="686"/>
      <c r="P2513" s="686"/>
      <c r="Q2513" s="718"/>
      <c r="R2513" s="686"/>
    </row>
    <row r="2514" spans="6:18" ht="24" customHeight="1">
      <c r="F2514" s="686"/>
      <c r="G2514" s="717"/>
      <c r="H2514" s="686"/>
      <c r="I2514" s="686"/>
      <c r="J2514" s="718"/>
      <c r="K2514" s="686">
        <f>0.6*0.6</f>
        <v>0.36</v>
      </c>
      <c r="M2514" s="720">
        <f>P2510</f>
        <v>42.714999999999989</v>
      </c>
      <c r="N2514" s="717" t="s">
        <v>148</v>
      </c>
      <c r="O2514" s="686" t="s">
        <v>2317</v>
      </c>
      <c r="P2514" s="686">
        <f>I2507</f>
        <v>54.5</v>
      </c>
      <c r="Q2514" s="718" t="s">
        <v>148</v>
      </c>
      <c r="R2514" s="686">
        <f>P2514*M2514</f>
        <v>2327.9674999999993</v>
      </c>
    </row>
    <row r="2515" spans="6:18" ht="24" customHeight="1">
      <c r="F2515" s="686"/>
      <c r="G2515" s="717"/>
      <c r="H2515" s="619" t="s">
        <v>2339</v>
      </c>
      <c r="I2515" s="686"/>
      <c r="J2515" s="718"/>
      <c r="K2515" s="686">
        <f>K2512/K2514</f>
        <v>4038.1500000000005</v>
      </c>
      <c r="M2515" s="686">
        <v>0.77</v>
      </c>
      <c r="N2515" s="717" t="s">
        <v>174</v>
      </c>
      <c r="O2515" s="686" t="s">
        <v>2318</v>
      </c>
      <c r="P2515" s="686">
        <f>I2508</f>
        <v>295</v>
      </c>
      <c r="Q2515" s="718" t="s">
        <v>174</v>
      </c>
      <c r="R2515" s="686">
        <f>P2515*M2515</f>
        <v>227.15</v>
      </c>
    </row>
    <row r="2516" spans="6:18" ht="24" customHeight="1">
      <c r="F2516" s="686"/>
      <c r="G2516" s="717"/>
      <c r="H2516" s="686"/>
      <c r="I2516" s="686"/>
      <c r="J2516" s="718"/>
      <c r="K2516" s="686"/>
      <c r="M2516" s="686">
        <v>0.77</v>
      </c>
      <c r="N2516" s="717" t="s">
        <v>174</v>
      </c>
      <c r="O2516" s="686" t="s">
        <v>2337</v>
      </c>
      <c r="P2516" s="686">
        <f>I2509</f>
        <v>31.65</v>
      </c>
      <c r="Q2516" s="718" t="s">
        <v>174</v>
      </c>
      <c r="R2516" s="686">
        <f>P2516*M2516</f>
        <v>24.3705</v>
      </c>
    </row>
    <row r="2517" spans="6:18" ht="24" customHeight="1">
      <c r="F2517" s="619" t="s">
        <v>2340</v>
      </c>
      <c r="G2517" s="646"/>
      <c r="H2517" s="686"/>
      <c r="I2517" s="686"/>
      <c r="J2517" s="718"/>
      <c r="K2517" s="686"/>
      <c r="M2517" s="686"/>
      <c r="N2517" s="717"/>
      <c r="O2517" s="686" t="s">
        <v>2338</v>
      </c>
      <c r="P2517" s="686">
        <f>I2510</f>
        <v>28.34</v>
      </c>
      <c r="Q2517" s="718" t="s">
        <v>129</v>
      </c>
      <c r="R2517" s="686">
        <f>28.34+0.11</f>
        <v>28.45</v>
      </c>
    </row>
    <row r="2518" spans="6:18" ht="24" customHeight="1">
      <c r="F2518" s="686"/>
      <c r="G2518" s="717"/>
      <c r="H2518" s="686"/>
      <c r="I2518" s="686"/>
      <c r="J2518" s="718"/>
      <c r="K2518" s="686"/>
      <c r="M2518" s="686"/>
      <c r="N2518" s="717"/>
      <c r="O2518" s="686"/>
      <c r="P2518" s="686"/>
      <c r="Q2518" s="718"/>
      <c r="R2518" s="721" t="s">
        <v>1586</v>
      </c>
    </row>
    <row r="2519" spans="6:18" ht="24" customHeight="1">
      <c r="F2519" s="686" t="s">
        <v>2341</v>
      </c>
      <c r="G2519" s="717"/>
      <c r="H2519" s="686"/>
      <c r="I2519" s="686">
        <v>3.93</v>
      </c>
      <c r="J2519" s="718" t="s">
        <v>148</v>
      </c>
      <c r="K2519" s="686"/>
      <c r="M2519" s="686"/>
      <c r="N2519" s="717"/>
      <c r="O2519" s="619" t="s">
        <v>2321</v>
      </c>
      <c r="P2519" s="686"/>
      <c r="Q2519" s="718"/>
      <c r="R2519" s="619">
        <f>SUM(R2514:R2517)</f>
        <v>2607.9379999999992</v>
      </c>
    </row>
    <row r="2520" spans="6:18" ht="24" customHeight="1">
      <c r="F2520" s="686" t="s">
        <v>2342</v>
      </c>
      <c r="G2520" s="717"/>
      <c r="H2520" s="686"/>
      <c r="I2520" s="686">
        <v>3.14</v>
      </c>
      <c r="J2520" s="718" t="s">
        <v>148</v>
      </c>
      <c r="K2520" s="686"/>
      <c r="M2520" s="686"/>
      <c r="N2520" s="717"/>
      <c r="O2520" s="686"/>
      <c r="P2520" s="686"/>
      <c r="Q2520" s="718"/>
      <c r="R2520" s="721" t="s">
        <v>1586</v>
      </c>
    </row>
    <row r="2521" spans="6:18" ht="24" customHeight="1">
      <c r="F2521" s="686" t="s">
        <v>2343</v>
      </c>
      <c r="G2521" s="717"/>
      <c r="H2521" s="686"/>
      <c r="I2521" s="686">
        <v>1.18</v>
      </c>
      <c r="J2521" s="718" t="s">
        <v>148</v>
      </c>
      <c r="K2521" s="686"/>
      <c r="M2521" s="686"/>
      <c r="N2521" s="717"/>
      <c r="O2521" s="764" t="s">
        <v>2328</v>
      </c>
      <c r="P2521" s="686"/>
      <c r="Q2521" s="718"/>
      <c r="R2521" s="619">
        <f>R2519/M2515</f>
        <v>3386.9324675324665</v>
      </c>
    </row>
    <row r="2522" spans="6:18" ht="24" customHeight="1">
      <c r="F2522" s="686"/>
      <c r="G2522" s="717"/>
      <c r="H2522" s="686"/>
      <c r="I2522" s="686"/>
      <c r="J2522" s="718"/>
      <c r="K2522" s="686"/>
      <c r="N2522" s="575">
        <f>1.285*0.6</f>
        <v>0.77099999999999991</v>
      </c>
    </row>
    <row r="2523" spans="6:18" ht="24" customHeight="1">
      <c r="F2523" s="686"/>
      <c r="G2523" s="717"/>
      <c r="H2523" s="686"/>
      <c r="I2523" s="686"/>
      <c r="J2523" s="718"/>
      <c r="K2523" s="686"/>
    </row>
    <row r="2524" spans="6:18" ht="24" customHeight="1">
      <c r="F2524" s="686"/>
      <c r="G2524" s="717"/>
      <c r="H2524" s="619" t="s">
        <v>2339</v>
      </c>
      <c r="I2524" s="686"/>
      <c r="J2524" s="718"/>
      <c r="K2524" s="686"/>
    </row>
    <row r="2525" spans="6:18" ht="24" customHeight="1">
      <c r="F2525" s="686"/>
      <c r="G2525" s="717"/>
      <c r="H2525" s="686"/>
      <c r="I2525" s="686"/>
      <c r="J2525" s="718"/>
      <c r="K2525" s="686"/>
    </row>
    <row r="2526" spans="6:18" ht="24" customHeight="1">
      <c r="F2526" s="686"/>
      <c r="G2526" s="717"/>
      <c r="H2526" s="686"/>
      <c r="I2526" s="686"/>
      <c r="J2526" s="718"/>
      <c r="K2526" s="686"/>
    </row>
    <row r="2527" spans="6:18" ht="24" customHeight="1">
      <c r="F2527" s="686" t="s">
        <v>2344</v>
      </c>
      <c r="G2527" s="717"/>
      <c r="H2527" s="686"/>
      <c r="I2527" s="686">
        <v>24.34</v>
      </c>
      <c r="J2527" s="718" t="s">
        <v>148</v>
      </c>
      <c r="K2527" s="686"/>
    </row>
    <row r="2528" spans="6:18" ht="24" customHeight="1">
      <c r="F2528" s="686" t="s">
        <v>2345</v>
      </c>
      <c r="G2528" s="717"/>
      <c r="H2528" s="686"/>
      <c r="I2528" s="686">
        <v>11.78</v>
      </c>
      <c r="J2528" s="718" t="s">
        <v>148</v>
      </c>
      <c r="K2528" s="686"/>
    </row>
    <row r="2529" spans="6:12" ht="24" customHeight="1">
      <c r="F2529" s="686" t="s">
        <v>2346</v>
      </c>
      <c r="G2529" s="717"/>
      <c r="H2529" s="686"/>
      <c r="I2529" s="686">
        <v>59.35</v>
      </c>
      <c r="J2529" s="718" t="s">
        <v>148</v>
      </c>
      <c r="K2529" s="686"/>
    </row>
    <row r="2530" spans="6:12" ht="24" customHeight="1">
      <c r="F2530" s="686" t="s">
        <v>2347</v>
      </c>
      <c r="G2530" s="717"/>
      <c r="H2530" s="686"/>
      <c r="I2530" s="686">
        <v>5.04</v>
      </c>
      <c r="J2530" s="718" t="s">
        <v>148</v>
      </c>
      <c r="K2530" s="686"/>
    </row>
    <row r="2531" spans="6:12" ht="24" customHeight="1">
      <c r="F2531" s="686" t="s">
        <v>2348</v>
      </c>
      <c r="G2531" s="717"/>
      <c r="H2531" s="686"/>
      <c r="I2531" s="686">
        <v>4.8</v>
      </c>
      <c r="J2531" s="718" t="s">
        <v>148</v>
      </c>
      <c r="K2531" s="686"/>
    </row>
    <row r="2532" spans="6:12" ht="24" customHeight="1">
      <c r="F2532" s="686" t="s">
        <v>2349</v>
      </c>
      <c r="G2532" s="717"/>
      <c r="H2532" s="686"/>
      <c r="I2532" s="686">
        <v>2.69</v>
      </c>
      <c r="J2532" s="718"/>
      <c r="K2532" s="686"/>
    </row>
    <row r="2533" spans="6:12" ht="24" customHeight="1">
      <c r="F2533" s="686"/>
      <c r="G2533" s="717"/>
      <c r="H2533" s="686"/>
      <c r="I2533" s="721" t="s">
        <v>2327</v>
      </c>
      <c r="J2533" s="718"/>
      <c r="K2533" s="686"/>
    </row>
    <row r="2534" spans="6:12" ht="24" customHeight="1">
      <c r="F2534" s="686"/>
      <c r="G2534" s="717"/>
      <c r="H2534" s="686"/>
      <c r="I2534" s="619">
        <f>SUM(I2527:I2532)</f>
        <v>108</v>
      </c>
      <c r="J2534" s="718" t="s">
        <v>148</v>
      </c>
      <c r="K2534" s="686"/>
    </row>
    <row r="2535" spans="6:12" ht="24" customHeight="1">
      <c r="F2535" s="686"/>
      <c r="G2535" s="717"/>
      <c r="H2535" s="686"/>
      <c r="I2535" s="721" t="s">
        <v>2327</v>
      </c>
      <c r="J2535" s="718"/>
      <c r="K2535" s="686"/>
    </row>
    <row r="2536" spans="6:12" ht="24" customHeight="1">
      <c r="F2536" s="686"/>
      <c r="G2536" s="717"/>
      <c r="H2536" s="686"/>
      <c r="I2536" s="686"/>
      <c r="J2536" s="718"/>
      <c r="K2536" s="686"/>
      <c r="L2536" s="575" t="s">
        <v>2350</v>
      </c>
    </row>
    <row r="2537" spans="6:12" ht="24" customHeight="1">
      <c r="F2537" s="686">
        <v>108</v>
      </c>
      <c r="G2537" s="717" t="s">
        <v>148</v>
      </c>
      <c r="H2537" s="686" t="s">
        <v>2351</v>
      </c>
      <c r="I2537" s="686">
        <f>I2466</f>
        <v>54.5</v>
      </c>
      <c r="J2537" s="718" t="s">
        <v>148</v>
      </c>
      <c r="K2537" s="686">
        <f>F2537*I2537</f>
        <v>5886</v>
      </c>
    </row>
    <row r="2538" spans="6:12" ht="24" customHeight="1">
      <c r="F2538" s="686">
        <v>2.1</v>
      </c>
      <c r="G2538" s="717" t="s">
        <v>174</v>
      </c>
      <c r="H2538" s="686" t="s">
        <v>2318</v>
      </c>
      <c r="I2538" s="686">
        <f>I2467</f>
        <v>295</v>
      </c>
      <c r="J2538" s="718" t="s">
        <v>174</v>
      </c>
      <c r="K2538" s="686">
        <f>F2538*I2538</f>
        <v>619.5</v>
      </c>
      <c r="L2538" s="579">
        <v>42.713000000000001</v>
      </c>
    </row>
    <row r="2539" spans="6:12" ht="24" customHeight="1">
      <c r="F2539" s="686">
        <v>2.1</v>
      </c>
      <c r="G2539" s="717" t="s">
        <v>174</v>
      </c>
      <c r="H2539" s="686" t="s">
        <v>2352</v>
      </c>
      <c r="I2539" s="686">
        <f>I2468</f>
        <v>91</v>
      </c>
      <c r="J2539" s="718" t="s">
        <v>174</v>
      </c>
      <c r="K2539" s="686">
        <f>F2539*I2539</f>
        <v>191.1</v>
      </c>
      <c r="L2539" s="575">
        <v>0.77</v>
      </c>
    </row>
    <row r="2540" spans="6:12" ht="24" customHeight="1">
      <c r="F2540" s="686"/>
      <c r="G2540" s="717"/>
      <c r="H2540" s="686" t="s">
        <v>2353</v>
      </c>
      <c r="I2540" s="686">
        <v>267.10000000000002</v>
      </c>
      <c r="J2540" s="718" t="s">
        <v>129</v>
      </c>
      <c r="K2540" s="686">
        <f>I2540</f>
        <v>267.10000000000002</v>
      </c>
      <c r="L2540" s="575">
        <v>0.77</v>
      </c>
    </row>
    <row r="2541" spans="6:12" ht="24" customHeight="1">
      <c r="F2541" s="686"/>
      <c r="G2541" s="717"/>
      <c r="H2541" s="686"/>
      <c r="I2541" s="686"/>
      <c r="J2541" s="718"/>
      <c r="K2541" s="721" t="s">
        <v>1586</v>
      </c>
    </row>
    <row r="2542" spans="6:12" ht="24" customHeight="1">
      <c r="F2542" s="686"/>
      <c r="G2542" s="717"/>
      <c r="H2542" s="686"/>
      <c r="I2542" s="686"/>
      <c r="J2542" s="718"/>
      <c r="K2542" s="686">
        <f>SUM(K2537:K2540)</f>
        <v>6963.7000000000007</v>
      </c>
    </row>
    <row r="2543" spans="6:12" ht="24" customHeight="1">
      <c r="F2543" s="686"/>
      <c r="G2543" s="717"/>
      <c r="H2543" s="686" t="s">
        <v>2354</v>
      </c>
      <c r="I2543" s="686">
        <v>500</v>
      </c>
      <c r="J2543" s="718" t="s">
        <v>129</v>
      </c>
      <c r="K2543" s="686">
        <f>I2543</f>
        <v>500</v>
      </c>
    </row>
    <row r="2544" spans="6:12" ht="24" customHeight="1">
      <c r="F2544" s="686"/>
      <c r="G2544" s="717"/>
      <c r="H2544" s="686"/>
      <c r="I2544" s="686"/>
      <c r="J2544" s="718"/>
      <c r="K2544" s="721" t="s">
        <v>1586</v>
      </c>
    </row>
    <row r="2545" spans="6:11" ht="24" customHeight="1">
      <c r="F2545" s="686"/>
      <c r="G2545" s="717"/>
      <c r="H2545" s="619" t="s">
        <v>2355</v>
      </c>
      <c r="I2545" s="686"/>
      <c r="J2545" s="718"/>
      <c r="K2545" s="619">
        <f>SUM(K2542:K2543)</f>
        <v>7463.7000000000007</v>
      </c>
    </row>
    <row r="2546" spans="6:11" ht="24" customHeight="1">
      <c r="F2546" s="686"/>
      <c r="G2546" s="717"/>
      <c r="H2546" s="686"/>
      <c r="I2546" s="686"/>
      <c r="J2546" s="718"/>
      <c r="K2546" s="721" t="s">
        <v>1586</v>
      </c>
    </row>
    <row r="2547" spans="6:11" ht="24" customHeight="1">
      <c r="F2547" s="686"/>
      <c r="G2547" s="717"/>
      <c r="H2547" s="686"/>
      <c r="I2547" s="686"/>
      <c r="J2547" s="718"/>
      <c r="K2547" s="686"/>
    </row>
    <row r="2548" spans="6:11" ht="24" customHeight="1">
      <c r="F2548" s="686"/>
      <c r="G2548" s="717"/>
      <c r="H2548" s="686"/>
      <c r="I2548" s="686"/>
      <c r="J2548" s="718"/>
      <c r="K2548" s="686">
        <f>8054-K2545</f>
        <v>590.29999999999927</v>
      </c>
    </row>
    <row r="2549" spans="6:11" ht="24" customHeight="1">
      <c r="F2549" s="686"/>
      <c r="G2549" s="717"/>
      <c r="H2549" s="686"/>
      <c r="I2549" s="686"/>
      <c r="J2549" s="718"/>
      <c r="K2549" s="686"/>
    </row>
    <row r="2550" spans="6:11" ht="24" customHeight="1">
      <c r="F2550" s="686"/>
      <c r="G2550" s="717"/>
      <c r="H2550" s="619" t="s">
        <v>2356</v>
      </c>
      <c r="I2550" s="686"/>
      <c r="J2550" s="718"/>
      <c r="K2550" s="686"/>
    </row>
    <row r="2551" spans="6:11" ht="24" customHeight="1">
      <c r="F2551" s="686"/>
      <c r="G2551" s="717"/>
      <c r="H2551" s="686"/>
      <c r="I2551" s="686"/>
      <c r="J2551" s="718"/>
      <c r="K2551" s="686"/>
    </row>
    <row r="2552" spans="6:11" ht="24" customHeight="1">
      <c r="F2552" s="619" t="s">
        <v>2340</v>
      </c>
      <c r="G2552" s="646"/>
      <c r="H2552" s="686"/>
      <c r="I2552" s="686"/>
      <c r="J2552" s="718"/>
      <c r="K2552" s="686"/>
    </row>
    <row r="2553" spans="6:11" ht="24" customHeight="1">
      <c r="F2553" s="686"/>
      <c r="G2553" s="717"/>
      <c r="H2553" s="686"/>
      <c r="I2553" s="686"/>
      <c r="J2553" s="718"/>
      <c r="K2553" s="686"/>
    </row>
    <row r="2554" spans="6:11" ht="24" customHeight="1">
      <c r="F2554" s="686" t="s">
        <v>2357</v>
      </c>
      <c r="G2554" s="717"/>
      <c r="H2554" s="686"/>
      <c r="I2554" s="720">
        <v>2.944</v>
      </c>
      <c r="J2554" s="718" t="s">
        <v>148</v>
      </c>
      <c r="K2554" s="686"/>
    </row>
    <row r="2555" spans="6:11" ht="24" customHeight="1">
      <c r="F2555" s="686" t="s">
        <v>2358</v>
      </c>
      <c r="G2555" s="717"/>
      <c r="H2555" s="686"/>
      <c r="I2555" s="720">
        <v>2.355</v>
      </c>
      <c r="J2555" s="718" t="s">
        <v>148</v>
      </c>
      <c r="K2555" s="686"/>
    </row>
    <row r="2556" spans="6:11" ht="24" customHeight="1">
      <c r="F2556" s="686" t="s">
        <v>2359</v>
      </c>
      <c r="G2556" s="717"/>
      <c r="H2556" s="686"/>
      <c r="I2556" s="720">
        <v>0.88300000000000001</v>
      </c>
      <c r="J2556" s="718" t="s">
        <v>148</v>
      </c>
      <c r="K2556" s="686"/>
    </row>
    <row r="2557" spans="6:11" ht="24" customHeight="1">
      <c r="F2557" s="686"/>
      <c r="G2557" s="717"/>
      <c r="H2557" s="686"/>
      <c r="I2557" s="686"/>
      <c r="J2557" s="718"/>
      <c r="K2557" s="686"/>
    </row>
    <row r="2558" spans="6:11" ht="24" customHeight="1">
      <c r="F2558" s="686"/>
      <c r="G2558" s="717"/>
      <c r="H2558" s="686"/>
      <c r="I2558" s="686"/>
      <c r="J2558" s="718"/>
      <c r="K2558" s="686"/>
    </row>
    <row r="2559" spans="6:11" ht="24" customHeight="1">
      <c r="F2559" s="686"/>
      <c r="G2559" s="717"/>
      <c r="H2559" s="619" t="s">
        <v>2356</v>
      </c>
      <c r="I2559" s="686"/>
      <c r="J2559" s="718"/>
      <c r="K2559" s="686"/>
    </row>
    <row r="2560" spans="6:11" ht="24" customHeight="1">
      <c r="F2560" s="686"/>
      <c r="G2560" s="717"/>
      <c r="H2560" s="686"/>
      <c r="I2560" s="686"/>
      <c r="J2560" s="718"/>
      <c r="K2560" s="686"/>
    </row>
    <row r="2561" spans="6:18" ht="24" customHeight="1">
      <c r="F2561" s="686"/>
      <c r="G2561" s="717"/>
      <c r="H2561" s="686"/>
      <c r="I2561" s="686"/>
      <c r="J2561" s="718"/>
      <c r="K2561" s="686"/>
      <c r="M2561" s="686"/>
      <c r="N2561" s="875">
        <v>24.1</v>
      </c>
      <c r="O2561" s="619" t="s">
        <v>2333</v>
      </c>
      <c r="P2561" s="686"/>
      <c r="Q2561" s="718"/>
      <c r="R2561" s="686"/>
    </row>
    <row r="2562" spans="6:18" ht="24" customHeight="1">
      <c r="F2562" s="686" t="s">
        <v>2360</v>
      </c>
      <c r="G2562" s="717"/>
      <c r="H2562" s="686"/>
      <c r="I2562" s="686">
        <v>16.38</v>
      </c>
      <c r="J2562" s="718" t="s">
        <v>148</v>
      </c>
      <c r="K2562" s="686"/>
      <c r="M2562" s="686"/>
      <c r="N2562" s="876" t="s">
        <v>155</v>
      </c>
      <c r="O2562" s="877"/>
      <c r="P2562" s="686"/>
      <c r="Q2562" s="718"/>
      <c r="R2562" s="686"/>
    </row>
    <row r="2563" spans="6:18" ht="24" customHeight="1">
      <c r="F2563" s="686" t="s">
        <v>2361</v>
      </c>
      <c r="G2563" s="717"/>
      <c r="H2563" s="686"/>
      <c r="I2563" s="686">
        <v>8.7799999999999994</v>
      </c>
      <c r="J2563" s="718" t="s">
        <v>148</v>
      </c>
      <c r="K2563" s="686"/>
      <c r="M2563" s="718" t="s">
        <v>2362</v>
      </c>
      <c r="N2563" s="718"/>
      <c r="O2563" s="718"/>
      <c r="P2563" s="686">
        <v>14.8</v>
      </c>
      <c r="Q2563" s="718" t="s">
        <v>1962</v>
      </c>
      <c r="R2563" s="686"/>
    </row>
    <row r="2564" spans="6:18" ht="24" customHeight="1">
      <c r="F2564" s="686" t="s">
        <v>2363</v>
      </c>
      <c r="G2564" s="717"/>
      <c r="H2564" s="686"/>
      <c r="I2564" s="686">
        <v>37.67</v>
      </c>
      <c r="J2564" s="718" t="s">
        <v>148</v>
      </c>
      <c r="K2564" s="686"/>
      <c r="M2564" s="686" t="s">
        <v>2313</v>
      </c>
      <c r="N2564" s="717"/>
      <c r="O2564" s="686"/>
      <c r="P2564" s="686">
        <v>22.61</v>
      </c>
      <c r="Q2564" s="718" t="s">
        <v>1962</v>
      </c>
      <c r="R2564" s="686"/>
    </row>
    <row r="2565" spans="6:18" ht="24" customHeight="1">
      <c r="F2565" s="686" t="s">
        <v>2364</v>
      </c>
      <c r="G2565" s="717"/>
      <c r="H2565" s="686"/>
      <c r="I2565" s="686">
        <v>3.24</v>
      </c>
      <c r="J2565" s="718" t="s">
        <v>148</v>
      </c>
      <c r="K2565" s="686"/>
      <c r="M2565" s="686" t="s">
        <v>2314</v>
      </c>
      <c r="N2565" s="717"/>
      <c r="O2565" s="686"/>
      <c r="P2565" s="686">
        <v>3.24</v>
      </c>
      <c r="Q2565" s="718" t="s">
        <v>1962</v>
      </c>
      <c r="R2565" s="686"/>
    </row>
    <row r="2566" spans="6:18" ht="24" customHeight="1">
      <c r="F2566" s="686" t="s">
        <v>2365</v>
      </c>
      <c r="G2566" s="717"/>
      <c r="H2566" s="686"/>
      <c r="I2566" s="686">
        <v>3.6</v>
      </c>
      <c r="J2566" s="718" t="s">
        <v>148</v>
      </c>
      <c r="K2566" s="686"/>
      <c r="M2566" s="686" t="s">
        <v>2315</v>
      </c>
      <c r="N2566" s="717"/>
      <c r="O2566" s="686"/>
      <c r="P2566" s="686">
        <v>2.16</v>
      </c>
      <c r="Q2566" s="718" t="s">
        <v>1962</v>
      </c>
      <c r="R2566" s="686"/>
    </row>
    <row r="2567" spans="6:18" ht="24" customHeight="1">
      <c r="F2567" s="686" t="s">
        <v>2349</v>
      </c>
      <c r="G2567" s="717"/>
      <c r="H2567" s="686"/>
      <c r="I2567" s="686">
        <v>2.88</v>
      </c>
      <c r="J2567" s="718"/>
      <c r="K2567" s="686"/>
      <c r="M2567" s="686"/>
      <c r="N2567" s="717"/>
      <c r="O2567" s="686"/>
      <c r="P2567" s="686"/>
      <c r="Q2567" s="718"/>
      <c r="R2567" s="686"/>
    </row>
    <row r="2568" spans="6:18" ht="24" customHeight="1">
      <c r="F2568" s="686"/>
      <c r="G2568" s="717"/>
      <c r="H2568" s="686"/>
      <c r="I2568" s="721" t="s">
        <v>2327</v>
      </c>
      <c r="J2568" s="718"/>
      <c r="K2568" s="686"/>
      <c r="M2568" s="686"/>
      <c r="N2568" s="717"/>
      <c r="O2568" s="686"/>
      <c r="P2568" s="721" t="s">
        <v>1586</v>
      </c>
      <c r="Q2568" s="718"/>
      <c r="R2568" s="686"/>
    </row>
    <row r="2569" spans="6:18" ht="24" customHeight="1">
      <c r="F2569" s="686"/>
      <c r="G2569" s="717"/>
      <c r="H2569" s="686"/>
      <c r="I2569" s="619">
        <f>SUM(I2562:I2567)</f>
        <v>72.549999999999983</v>
      </c>
      <c r="J2569" s="718" t="s">
        <v>148</v>
      </c>
      <c r="K2569" s="686"/>
      <c r="M2569" s="686"/>
      <c r="N2569" s="717"/>
      <c r="O2569" s="686"/>
      <c r="P2569" s="686">
        <f>SUM(P2563:P2567)</f>
        <v>42.81</v>
      </c>
      <c r="Q2569" s="718"/>
      <c r="R2569" s="686"/>
    </row>
    <row r="2570" spans="6:18" ht="24" customHeight="1">
      <c r="F2570" s="686"/>
      <c r="G2570" s="717"/>
      <c r="H2570" s="686"/>
      <c r="I2570" s="721" t="s">
        <v>2327</v>
      </c>
      <c r="J2570" s="718"/>
      <c r="K2570" s="686"/>
      <c r="M2570" s="686"/>
      <c r="N2570" s="717"/>
      <c r="O2570" s="686"/>
      <c r="P2570" s="686" t="s">
        <v>2316</v>
      </c>
      <c r="Q2570" s="718"/>
      <c r="R2570" s="686"/>
    </row>
    <row r="2571" spans="6:18" ht="24" customHeight="1">
      <c r="F2571" s="686"/>
      <c r="G2571" s="717"/>
      <c r="H2571" s="686"/>
      <c r="I2571" s="686"/>
      <c r="J2571" s="718"/>
      <c r="K2571" s="686"/>
      <c r="M2571" s="686"/>
      <c r="N2571" s="717"/>
      <c r="O2571" s="686"/>
      <c r="P2571" s="686"/>
      <c r="Q2571" s="718"/>
      <c r="R2571" s="686"/>
    </row>
    <row r="2572" spans="6:18" ht="24" customHeight="1">
      <c r="F2572" s="686">
        <v>72.55</v>
      </c>
      <c r="G2572" s="717" t="s">
        <v>148</v>
      </c>
      <c r="H2572" s="686" t="s">
        <v>2351</v>
      </c>
      <c r="I2572" s="686">
        <f>I2537</f>
        <v>54.5</v>
      </c>
      <c r="J2572" s="718" t="s">
        <v>148</v>
      </c>
      <c r="K2572" s="686">
        <f>F2572*I2572</f>
        <v>3953.9749999999999</v>
      </c>
      <c r="M2572" s="686"/>
      <c r="N2572" s="717"/>
      <c r="O2572" s="686"/>
      <c r="P2572" s="686"/>
      <c r="Q2572" s="718"/>
      <c r="R2572" s="686"/>
    </row>
    <row r="2573" spans="6:18" ht="24" customHeight="1">
      <c r="F2573" s="686">
        <v>1.01</v>
      </c>
      <c r="G2573" s="717" t="s">
        <v>174</v>
      </c>
      <c r="H2573" s="686" t="s">
        <v>2318</v>
      </c>
      <c r="I2573" s="686">
        <f>I2538</f>
        <v>295</v>
      </c>
      <c r="J2573" s="718" t="s">
        <v>174</v>
      </c>
      <c r="K2573" s="878">
        <f>F2573*I2573</f>
        <v>297.95</v>
      </c>
      <c r="M2573" s="686">
        <v>42.81</v>
      </c>
      <c r="N2573" s="717" t="s">
        <v>148</v>
      </c>
      <c r="O2573" s="575" t="s">
        <v>2366</v>
      </c>
      <c r="P2573" s="686">
        <f>I2572</f>
        <v>54.5</v>
      </c>
      <c r="Q2573" s="718" t="s">
        <v>148</v>
      </c>
      <c r="R2573" s="686">
        <f>P2573*M2573</f>
        <v>2333.145</v>
      </c>
    </row>
    <row r="2574" spans="6:18" ht="24" customHeight="1">
      <c r="F2574" s="686">
        <v>1.01</v>
      </c>
      <c r="G2574" s="717" t="s">
        <v>174</v>
      </c>
      <c r="H2574" s="686" t="str">
        <f>H2539</f>
        <v>Fly proof mesh</v>
      </c>
      <c r="I2574" s="686">
        <f>I2539</f>
        <v>91</v>
      </c>
      <c r="J2574" s="718" t="s">
        <v>174</v>
      </c>
      <c r="K2574" s="686">
        <f>F2574*I2574</f>
        <v>91.91</v>
      </c>
      <c r="M2574" s="686">
        <v>0.77</v>
      </c>
      <c r="N2574" s="717" t="s">
        <v>174</v>
      </c>
      <c r="O2574" s="686" t="s">
        <v>2367</v>
      </c>
      <c r="P2574" s="686">
        <f>I2573</f>
        <v>295</v>
      </c>
      <c r="Q2574" s="718" t="s">
        <v>174</v>
      </c>
      <c r="R2574" s="686">
        <f>P2574*M2574</f>
        <v>227.15</v>
      </c>
    </row>
    <row r="2575" spans="6:18" ht="24" customHeight="1">
      <c r="F2575" s="686"/>
      <c r="G2575" s="717"/>
      <c r="H2575" s="686" t="s">
        <v>2353</v>
      </c>
      <c r="I2575" s="686">
        <v>266.49</v>
      </c>
      <c r="J2575" s="718" t="s">
        <v>129</v>
      </c>
      <c r="K2575" s="686">
        <f>I2575</f>
        <v>266.49</v>
      </c>
      <c r="M2575" s="686">
        <v>0.77</v>
      </c>
      <c r="N2575" s="717" t="s">
        <v>174</v>
      </c>
      <c r="O2575" s="763" t="s">
        <v>2368</v>
      </c>
      <c r="P2575" s="686">
        <f>I2574</f>
        <v>91</v>
      </c>
      <c r="Q2575" s="718" t="s">
        <v>174</v>
      </c>
      <c r="R2575" s="686">
        <f>P2575*M2575</f>
        <v>70.070000000000007</v>
      </c>
    </row>
    <row r="2576" spans="6:18" ht="24" customHeight="1">
      <c r="F2576" s="686"/>
      <c r="G2576" s="717"/>
      <c r="H2576" s="686"/>
      <c r="I2576" s="686"/>
      <c r="J2576" s="718"/>
      <c r="K2576" s="721" t="s">
        <v>1586</v>
      </c>
      <c r="M2576" s="686"/>
      <c r="N2576" s="717"/>
      <c r="O2576" s="686" t="s">
        <v>2320</v>
      </c>
      <c r="P2576" s="686">
        <f>46.62+0.48</f>
        <v>47.099999999999994</v>
      </c>
      <c r="Q2576" s="718" t="s">
        <v>129</v>
      </c>
      <c r="R2576" s="686">
        <f>P2576</f>
        <v>47.099999999999994</v>
      </c>
    </row>
    <row r="2577" spans="6:24" ht="24" customHeight="1">
      <c r="F2577" s="686"/>
      <c r="G2577" s="717"/>
      <c r="H2577" s="686"/>
      <c r="I2577" s="686"/>
      <c r="J2577" s="718"/>
      <c r="K2577" s="686">
        <f>SUM(K2572:K2575)</f>
        <v>4610.3249999999998</v>
      </c>
      <c r="M2577" s="686"/>
      <c r="N2577" s="717"/>
      <c r="O2577" s="686"/>
      <c r="P2577" s="686"/>
      <c r="Q2577" s="718"/>
      <c r="R2577" s="721" t="s">
        <v>1586</v>
      </c>
    </row>
    <row r="2578" spans="6:24" ht="24" customHeight="1">
      <c r="F2578" s="686"/>
      <c r="G2578" s="717"/>
      <c r="H2578" s="686" t="s">
        <v>2354</v>
      </c>
      <c r="I2578" s="686">
        <v>255</v>
      </c>
      <c r="J2578" s="718" t="s">
        <v>129</v>
      </c>
      <c r="K2578" s="575">
        <v>255</v>
      </c>
      <c r="M2578" s="686"/>
      <c r="N2578" s="717"/>
      <c r="O2578" s="619" t="s">
        <v>2321</v>
      </c>
      <c r="P2578" s="686"/>
      <c r="Q2578" s="718"/>
      <c r="R2578" s="619">
        <f>SUM(R2573:R2576)</f>
        <v>2677.4650000000001</v>
      </c>
    </row>
    <row r="2579" spans="6:24" ht="24" customHeight="1">
      <c r="F2579" s="686"/>
      <c r="G2579" s="717"/>
      <c r="H2579" s="686"/>
      <c r="I2579" s="686"/>
      <c r="J2579" s="718"/>
      <c r="K2579" s="721" t="s">
        <v>1586</v>
      </c>
      <c r="M2579" s="686"/>
      <c r="N2579" s="717"/>
      <c r="O2579" s="686"/>
      <c r="P2579" s="686"/>
      <c r="Q2579" s="718"/>
      <c r="R2579" s="721" t="s">
        <v>1586</v>
      </c>
    </row>
    <row r="2580" spans="6:24" ht="24" customHeight="1">
      <c r="F2580" s="686"/>
      <c r="G2580" s="717"/>
      <c r="H2580" s="619" t="s">
        <v>2355</v>
      </c>
      <c r="I2580" s="686"/>
      <c r="J2580" s="718"/>
      <c r="K2580" s="619">
        <f>SUM(K2577:K2578)</f>
        <v>4865.3249999999998</v>
      </c>
      <c r="N2580" s="576"/>
      <c r="O2580" s="575">
        <f>1.285*0.6</f>
        <v>0.77099999999999991</v>
      </c>
      <c r="Q2580" s="578"/>
      <c r="R2580" s="575">
        <f>R2578/O2580</f>
        <v>3472.717250324255</v>
      </c>
    </row>
    <row r="2581" spans="6:24" ht="24" customHeight="1">
      <c r="F2581" s="686"/>
      <c r="G2581" s="717"/>
      <c r="H2581" s="686"/>
      <c r="I2581" s="686"/>
      <c r="J2581" s="718"/>
      <c r="K2581" s="721" t="s">
        <v>1586</v>
      </c>
      <c r="M2581" s="686">
        <f>I2574</f>
        <v>91</v>
      </c>
      <c r="O2581" s="578">
        <f>M2581*L2540</f>
        <v>70.070000000000007</v>
      </c>
    </row>
    <row r="2582" spans="6:24" ht="24" customHeight="1">
      <c r="F2582" s="686"/>
      <c r="G2582" s="717"/>
      <c r="H2582" s="686"/>
      <c r="I2582" s="686"/>
      <c r="J2582" s="718"/>
      <c r="K2582" s="686"/>
      <c r="M2582" s="686"/>
      <c r="O2582" s="578">
        <v>0.8</v>
      </c>
    </row>
    <row r="2583" spans="6:24" ht="24" customHeight="1">
      <c r="F2583" s="686"/>
      <c r="G2583" s="717"/>
      <c r="H2583" s="686"/>
      <c r="I2583" s="686"/>
      <c r="J2583" s="718"/>
      <c r="K2583" s="686">
        <f>5261-K2580</f>
        <v>395.67500000000018</v>
      </c>
      <c r="O2583" s="578">
        <f>SUM(O2579:O2582)</f>
        <v>71.641000000000005</v>
      </c>
    </row>
    <row r="2584" spans="6:24" ht="24" customHeight="1">
      <c r="F2584" s="686"/>
      <c r="G2584" s="717"/>
      <c r="H2584" s="686"/>
      <c r="I2584" s="686"/>
      <c r="J2584" s="718"/>
      <c r="K2584" s="686"/>
      <c r="O2584" s="578">
        <f>O2583/0.77</f>
        <v>93.040259740259742</v>
      </c>
    </row>
    <row r="2585" spans="6:24" ht="24" customHeight="1">
      <c r="F2585" s="686"/>
      <c r="G2585" s="717"/>
      <c r="H2585" s="619" t="s">
        <v>2356</v>
      </c>
      <c r="I2585" s="686"/>
      <c r="J2585" s="718"/>
      <c r="K2585" s="686"/>
    </row>
    <row r="2586" spans="6:24" ht="24" customHeight="1">
      <c r="F2586" s="686"/>
      <c r="G2586" s="717"/>
      <c r="H2586" s="686"/>
      <c r="I2586" s="686"/>
      <c r="J2586" s="718"/>
      <c r="K2586" s="686"/>
    </row>
    <row r="2587" spans="6:24" ht="24" customHeight="1">
      <c r="F2587" s="619" t="s">
        <v>2340</v>
      </c>
      <c r="G2587" s="646"/>
      <c r="H2587" s="686"/>
      <c r="I2587" s="686"/>
      <c r="J2587" s="718"/>
      <c r="K2587" s="686"/>
      <c r="S2587" s="720"/>
      <c r="T2587" s="717"/>
      <c r="U2587" s="575" t="s">
        <v>2369</v>
      </c>
      <c r="V2587" s="686"/>
      <c r="W2587" s="718"/>
      <c r="X2587" s="686"/>
    </row>
    <row r="2588" spans="6:24" ht="24" customHeight="1">
      <c r="F2588" s="686"/>
      <c r="G2588" s="717"/>
      <c r="H2588" s="686"/>
      <c r="I2588" s="686"/>
      <c r="J2588" s="718"/>
      <c r="K2588" s="686"/>
      <c r="S2588" s="720"/>
      <c r="T2588" s="717"/>
      <c r="U2588" s="686"/>
      <c r="V2588" s="686"/>
      <c r="W2588" s="718"/>
      <c r="X2588" s="686"/>
    </row>
    <row r="2589" spans="6:24" ht="24" customHeight="1">
      <c r="F2589" s="686" t="s">
        <v>2357</v>
      </c>
      <c r="G2589" s="717"/>
      <c r="H2589" s="686"/>
      <c r="I2589" s="720">
        <v>2.944</v>
      </c>
      <c r="J2589" s="718" t="s">
        <v>148</v>
      </c>
      <c r="K2589" s="686"/>
      <c r="S2589" s="720" t="s">
        <v>2370</v>
      </c>
      <c r="T2589" s="717"/>
      <c r="U2589" s="686"/>
      <c r="V2589" s="879">
        <f>2*0.85*2.025</f>
        <v>3.4424999999999999</v>
      </c>
      <c r="W2589" s="718"/>
      <c r="X2589" s="686"/>
    </row>
    <row r="2590" spans="6:24" ht="24" customHeight="1">
      <c r="F2590" s="686" t="s">
        <v>2358</v>
      </c>
      <c r="G2590" s="717"/>
      <c r="H2590" s="686"/>
      <c r="I2590" s="720">
        <v>2.355</v>
      </c>
      <c r="J2590" s="718" t="s">
        <v>148</v>
      </c>
      <c r="K2590" s="686"/>
      <c r="S2590" s="720" t="s">
        <v>2371</v>
      </c>
      <c r="T2590" s="717"/>
      <c r="U2590" s="686"/>
      <c r="V2590" s="879">
        <v>2.2800000000000001E-2</v>
      </c>
      <c r="W2590" s="718"/>
      <c r="X2590" s="686"/>
    </row>
    <row r="2591" spans="6:24" ht="24" customHeight="1">
      <c r="F2591" s="686" t="s">
        <v>2359</v>
      </c>
      <c r="G2591" s="717"/>
      <c r="H2591" s="686"/>
      <c r="I2591" s="720">
        <v>0.88300000000000001</v>
      </c>
      <c r="J2591" s="718" t="s">
        <v>148</v>
      </c>
      <c r="K2591" s="686"/>
      <c r="S2591" s="720" t="s">
        <v>2372</v>
      </c>
      <c r="T2591" s="717"/>
      <c r="U2591" s="686"/>
      <c r="V2591" s="716">
        <f>2*3*0.85*0.15*0.0375</f>
        <v>2.8687499999999994E-2</v>
      </c>
      <c r="W2591" s="718"/>
      <c r="X2591" s="686"/>
    </row>
    <row r="2592" spans="6:24" ht="24" customHeight="1">
      <c r="F2592" s="686"/>
      <c r="G2592" s="717"/>
      <c r="H2592" s="686"/>
      <c r="I2592" s="686"/>
      <c r="J2592" s="718"/>
      <c r="K2592" s="686"/>
      <c r="S2592" s="720"/>
      <c r="T2592" s="717" t="s">
        <v>2373</v>
      </c>
      <c r="U2592" s="686"/>
      <c r="V2592" s="716">
        <f>2*3*0.85*0.075*0.0375</f>
        <v>1.4343749999999997E-2</v>
      </c>
      <c r="W2592" s="718"/>
      <c r="X2592" s="686"/>
    </row>
    <row r="2593" spans="6:33" ht="24" customHeight="1">
      <c r="F2593" s="686"/>
      <c r="G2593" s="717"/>
      <c r="H2593" s="686"/>
      <c r="I2593" s="686"/>
      <c r="J2593" s="718"/>
      <c r="K2593" s="686"/>
      <c r="S2593" s="720"/>
      <c r="T2593" s="717"/>
      <c r="U2593" s="686"/>
      <c r="V2593" s="880">
        <f>SUM(V2591:V2592)</f>
        <v>4.3031249999999993E-2</v>
      </c>
      <c r="W2593" s="718"/>
      <c r="X2593" s="686"/>
    </row>
    <row r="2594" spans="6:33" ht="24" customHeight="1">
      <c r="F2594" s="686"/>
      <c r="G2594" s="717"/>
      <c r="H2594" s="619" t="s">
        <v>2356</v>
      </c>
      <c r="I2594" s="686"/>
      <c r="J2594" s="718"/>
      <c r="K2594" s="686"/>
      <c r="S2594" s="720"/>
      <c r="T2594" s="717"/>
      <c r="U2594" s="686"/>
      <c r="V2594" s="686"/>
      <c r="W2594" s="718"/>
      <c r="X2594" s="686"/>
    </row>
    <row r="2595" spans="6:33" ht="24" customHeight="1">
      <c r="F2595" s="686"/>
      <c r="G2595" s="717"/>
      <c r="H2595" s="686"/>
      <c r="I2595" s="686"/>
      <c r="J2595" s="718"/>
      <c r="K2595" s="686"/>
      <c r="S2595" s="720"/>
      <c r="T2595" s="717"/>
      <c r="U2595" s="686"/>
      <c r="V2595" s="686"/>
      <c r="W2595" s="718"/>
      <c r="X2595" s="686"/>
    </row>
    <row r="2596" spans="6:33" ht="24" customHeight="1">
      <c r="F2596" s="686"/>
      <c r="G2596" s="717"/>
      <c r="H2596" s="686"/>
      <c r="I2596" s="686"/>
      <c r="J2596" s="718"/>
      <c r="K2596" s="686"/>
      <c r="S2596" s="720" t="s">
        <v>2374</v>
      </c>
      <c r="T2596" s="717"/>
      <c r="U2596" s="686"/>
      <c r="V2596" s="716">
        <f>2*4*0.725*0.3*0.01875</f>
        <v>3.2625000000000001E-2</v>
      </c>
      <c r="W2596" s="718"/>
      <c r="X2596" s="686"/>
    </row>
    <row r="2597" spans="6:33" ht="24" customHeight="1">
      <c r="F2597" s="686" t="s">
        <v>2360</v>
      </c>
      <c r="G2597" s="717"/>
      <c r="H2597" s="686"/>
      <c r="I2597" s="686">
        <v>16.38</v>
      </c>
      <c r="J2597" s="718" t="s">
        <v>148</v>
      </c>
      <c r="K2597" s="686"/>
      <c r="S2597" s="720" t="s">
        <v>2375</v>
      </c>
      <c r="T2597" s="717"/>
      <c r="U2597" s="686"/>
      <c r="V2597" s="716">
        <f>2*0.725*0.3*0.01875</f>
        <v>8.1562500000000003E-3</v>
      </c>
      <c r="W2597" s="718"/>
      <c r="X2597" s="686"/>
    </row>
    <row r="2598" spans="6:33" ht="24" customHeight="1">
      <c r="F2598" s="686" t="s">
        <v>2361</v>
      </c>
      <c r="G2598" s="717"/>
      <c r="H2598" s="686"/>
      <c r="I2598" s="686">
        <v>8.7799999999999994</v>
      </c>
      <c r="J2598" s="718" t="s">
        <v>148</v>
      </c>
      <c r="K2598" s="686"/>
      <c r="S2598" s="720"/>
      <c r="T2598" s="717"/>
      <c r="U2598" s="686"/>
      <c r="V2598" s="880">
        <f>SUM(V2596:V2597)</f>
        <v>4.0781250000000005E-2</v>
      </c>
      <c r="W2598" s="718"/>
      <c r="X2598" s="686"/>
    </row>
    <row r="2599" spans="6:33" ht="24" customHeight="1">
      <c r="F2599" s="686" t="s">
        <v>2363</v>
      </c>
      <c r="G2599" s="717"/>
      <c r="H2599" s="686"/>
      <c r="I2599" s="686">
        <v>37.67</v>
      </c>
      <c r="J2599" s="718" t="s">
        <v>148</v>
      </c>
      <c r="K2599" s="686"/>
      <c r="S2599" s="720"/>
      <c r="T2599" s="717"/>
      <c r="U2599" s="619" t="s">
        <v>2376</v>
      </c>
      <c r="V2599" s="686"/>
      <c r="W2599" s="718"/>
      <c r="X2599" s="686"/>
      <c r="Y2599" s="674">
        <v>2.3099999999999999E-2</v>
      </c>
      <c r="Z2599" s="575">
        <f>Y2599*V2601</f>
        <v>2577.96</v>
      </c>
    </row>
    <row r="2600" spans="6:33" ht="24" customHeight="1">
      <c r="F2600" s="686" t="s">
        <v>2364</v>
      </c>
      <c r="G2600" s="717"/>
      <c r="H2600" s="686"/>
      <c r="I2600" s="686">
        <v>3.24</v>
      </c>
      <c r="J2600" s="718" t="s">
        <v>148</v>
      </c>
      <c r="K2600" s="686"/>
      <c r="S2600" s="720"/>
      <c r="T2600" s="717"/>
      <c r="U2600" s="686"/>
      <c r="V2600" s="686"/>
      <c r="W2600" s="718"/>
      <c r="X2600" s="686"/>
      <c r="Y2600" s="674">
        <v>4.48E-2</v>
      </c>
      <c r="Z2600" s="575">
        <f>Y2600*V2602</f>
        <v>4453.12</v>
      </c>
    </row>
    <row r="2601" spans="6:33" ht="40.5" customHeight="1">
      <c r="F2601" s="686" t="s">
        <v>2365</v>
      </c>
      <c r="G2601" s="717"/>
      <c r="H2601" s="686"/>
      <c r="I2601" s="686">
        <v>3.6</v>
      </c>
      <c r="J2601" s="718" t="s">
        <v>148</v>
      </c>
      <c r="K2601" s="686"/>
      <c r="S2601" s="716">
        <f>V2590</f>
        <v>2.2800000000000001E-2</v>
      </c>
      <c r="T2601" s="717" t="s">
        <v>126</v>
      </c>
      <c r="U2601" s="686" t="s">
        <v>2377</v>
      </c>
      <c r="V2601" s="686">
        <f>I2633</f>
        <v>111600</v>
      </c>
      <c r="W2601" s="718" t="s">
        <v>126</v>
      </c>
      <c r="X2601" s="686">
        <f>S2601*V2601</f>
        <v>2544.48</v>
      </c>
      <c r="Y2601" s="674">
        <v>2.2690000000000001</v>
      </c>
      <c r="Z2601" s="575">
        <f>Y2601*336</f>
        <v>762.38400000000001</v>
      </c>
      <c r="AB2601" s="686"/>
      <c r="AC2601" s="717"/>
      <c r="AD2601" s="1459" t="s">
        <v>2378</v>
      </c>
      <c r="AE2601" s="1459"/>
      <c r="AF2601" s="1459"/>
      <c r="AG2601" s="1459"/>
    </row>
    <row r="2602" spans="6:33" ht="24" customHeight="1">
      <c r="F2602" s="686" t="s">
        <v>2349</v>
      </c>
      <c r="G2602" s="717"/>
      <c r="H2602" s="686"/>
      <c r="I2602" s="686">
        <v>2.88</v>
      </c>
      <c r="J2602" s="718"/>
      <c r="K2602" s="686"/>
      <c r="S2602" s="716">
        <f>V2593</f>
        <v>4.3031249999999993E-2</v>
      </c>
      <c r="T2602" s="717" t="s">
        <v>126</v>
      </c>
      <c r="U2602" s="686" t="s">
        <v>1572</v>
      </c>
      <c r="V2602" s="686">
        <f t="shared" ref="V2602:V2610" si="241">I2634</f>
        <v>99400</v>
      </c>
      <c r="W2602" s="718" t="s">
        <v>126</v>
      </c>
      <c r="X2602" s="686">
        <f t="shared" ref="X2602:X2612" si="242">S2602*V2602</f>
        <v>4277.3062499999996</v>
      </c>
      <c r="Y2602" s="674">
        <v>3.4849999999999999</v>
      </c>
      <c r="Z2602" s="575">
        <f>Y2602*V2604</f>
        <v>4025.1749999999997</v>
      </c>
      <c r="AB2602" s="686"/>
      <c r="AC2602" s="717"/>
      <c r="AD2602" s="686"/>
      <c r="AE2602" s="686"/>
      <c r="AF2602" s="718"/>
      <c r="AG2602" s="686"/>
    </row>
    <row r="2603" spans="6:33" ht="24" customHeight="1">
      <c r="F2603" s="686"/>
      <c r="G2603" s="717"/>
      <c r="H2603" s="686"/>
      <c r="I2603" s="721" t="s">
        <v>2327</v>
      </c>
      <c r="J2603" s="718"/>
      <c r="K2603" s="686"/>
      <c r="S2603" s="716">
        <f>V2598</f>
        <v>4.0781250000000005E-2</v>
      </c>
      <c r="T2603" s="717" t="s">
        <v>126</v>
      </c>
      <c r="U2603" s="686" t="s">
        <v>1573</v>
      </c>
      <c r="V2603" s="686">
        <f t="shared" si="241"/>
        <v>107000</v>
      </c>
      <c r="W2603" s="718" t="s">
        <v>126</v>
      </c>
      <c r="X2603" s="686">
        <f t="shared" si="242"/>
        <v>4363.5937500000009</v>
      </c>
      <c r="Y2603" s="674">
        <v>2</v>
      </c>
      <c r="Z2603" s="575">
        <f>Y2603*V2605</f>
        <v>900</v>
      </c>
      <c r="AB2603" s="686" t="s">
        <v>2379</v>
      </c>
      <c r="AC2603" s="717"/>
      <c r="AD2603" s="686"/>
      <c r="AE2603" s="879">
        <f>2*0.95*2.025</f>
        <v>3.8474999999999997</v>
      </c>
      <c r="AF2603" s="718"/>
      <c r="AG2603" s="686"/>
    </row>
    <row r="2604" spans="6:33" ht="24" customHeight="1">
      <c r="F2604" s="686"/>
      <c r="G2604" s="717"/>
      <c r="H2604" s="686"/>
      <c r="I2604" s="619">
        <f>SUM(I2597:I2602)</f>
        <v>72.549999999999983</v>
      </c>
      <c r="J2604" s="718" t="s">
        <v>148</v>
      </c>
      <c r="K2604" s="686"/>
      <c r="S2604" s="716">
        <f>V2589</f>
        <v>3.4424999999999999</v>
      </c>
      <c r="T2604" s="717" t="s">
        <v>140</v>
      </c>
      <c r="U2604" s="686" t="s">
        <v>1574</v>
      </c>
      <c r="V2604" s="686">
        <f t="shared" si="241"/>
        <v>1155</v>
      </c>
      <c r="W2604" s="718" t="s">
        <v>140</v>
      </c>
      <c r="X2604" s="686">
        <f t="shared" si="242"/>
        <v>3976.0875000000001</v>
      </c>
      <c r="Y2604" s="674">
        <v>6</v>
      </c>
      <c r="Z2604" s="575">
        <f>Y2604*V2606</f>
        <v>474</v>
      </c>
      <c r="AB2604" s="686" t="s">
        <v>2371</v>
      </c>
      <c r="AC2604" s="717"/>
      <c r="AD2604" s="686"/>
      <c r="AE2604" s="879">
        <v>2.2800000000000001E-2</v>
      </c>
      <c r="AF2604" s="718"/>
      <c r="AG2604" s="686"/>
    </row>
    <row r="2605" spans="6:33" ht="24" customHeight="1">
      <c r="F2605" s="686"/>
      <c r="G2605" s="717"/>
      <c r="H2605" s="686"/>
      <c r="I2605" s="721" t="s">
        <v>2327</v>
      </c>
      <c r="J2605" s="718"/>
      <c r="K2605" s="686"/>
      <c r="S2605" s="720">
        <v>2</v>
      </c>
      <c r="T2605" s="717" t="s">
        <v>1576</v>
      </c>
      <c r="U2605" s="686" t="s">
        <v>1577</v>
      </c>
      <c r="V2605" s="686">
        <f t="shared" si="241"/>
        <v>450</v>
      </c>
      <c r="W2605" s="718" t="s">
        <v>227</v>
      </c>
      <c r="X2605" s="686">
        <f t="shared" si="242"/>
        <v>900</v>
      </c>
      <c r="Y2605" s="674">
        <v>4</v>
      </c>
      <c r="Z2605" s="575">
        <f>Y2605*V2607</f>
        <v>520</v>
      </c>
      <c r="AB2605" s="686" t="s">
        <v>2380</v>
      </c>
      <c r="AC2605" s="717"/>
      <c r="AD2605" s="686"/>
      <c r="AE2605" s="716">
        <f>2*3*0.95*0.15*0.0375</f>
        <v>3.2062499999999994E-2</v>
      </c>
      <c r="AF2605" s="718"/>
      <c r="AG2605" s="686"/>
    </row>
    <row r="2606" spans="6:33" ht="24" customHeight="1">
      <c r="F2606" s="686"/>
      <c r="G2606" s="717"/>
      <c r="H2606" s="686"/>
      <c r="I2606" s="686"/>
      <c r="J2606" s="718"/>
      <c r="K2606" s="686"/>
      <c r="S2606" s="720">
        <v>6</v>
      </c>
      <c r="T2606" s="717" t="s">
        <v>1576</v>
      </c>
      <c r="U2606" s="686" t="s">
        <v>1578</v>
      </c>
      <c r="V2606" s="686">
        <f t="shared" si="241"/>
        <v>79</v>
      </c>
      <c r="W2606" s="718" t="s">
        <v>227</v>
      </c>
      <c r="X2606" s="686">
        <f t="shared" si="242"/>
        <v>474</v>
      </c>
      <c r="Y2606" s="674">
        <v>1</v>
      </c>
      <c r="Z2606" s="575">
        <f>Y2606*X2608</f>
        <v>985</v>
      </c>
      <c r="AB2606" s="686"/>
      <c r="AC2606" s="717" t="s">
        <v>2381</v>
      </c>
      <c r="AD2606" s="686"/>
      <c r="AE2606" s="716">
        <f>2*3*0.95*0.075*0.0375</f>
        <v>1.6031249999999997E-2</v>
      </c>
      <c r="AF2606" s="718"/>
      <c r="AG2606" s="686"/>
    </row>
    <row r="2607" spans="6:33" ht="24" customHeight="1">
      <c r="F2607" s="686">
        <v>73</v>
      </c>
      <c r="G2607" s="717" t="s">
        <v>148</v>
      </c>
      <c r="H2607" s="686" t="s">
        <v>2351</v>
      </c>
      <c r="I2607" s="686">
        <f>I2572</f>
        <v>54.5</v>
      </c>
      <c r="J2607" s="718" t="s">
        <v>148</v>
      </c>
      <c r="K2607" s="686">
        <f>F2607*I2607</f>
        <v>3978.5</v>
      </c>
      <c r="S2607" s="720">
        <v>4</v>
      </c>
      <c r="T2607" s="717" t="s">
        <v>1576</v>
      </c>
      <c r="U2607" s="686" t="s">
        <v>1579</v>
      </c>
      <c r="V2607" s="686">
        <f t="shared" si="241"/>
        <v>130</v>
      </c>
      <c r="W2607" s="718" t="s">
        <v>227</v>
      </c>
      <c r="X2607" s="686">
        <f t="shared" si="242"/>
        <v>520</v>
      </c>
      <c r="Y2607" s="674">
        <v>2</v>
      </c>
      <c r="Z2607" s="575">
        <f>Y2607*V2609</f>
        <v>15</v>
      </c>
      <c r="AB2607" s="686"/>
      <c r="AC2607" s="717"/>
      <c r="AD2607" s="686"/>
      <c r="AE2607" s="880">
        <f>SUM(AE2605:AE2606)</f>
        <v>4.8093749999999991E-2</v>
      </c>
      <c r="AF2607" s="718"/>
      <c r="AG2607" s="686"/>
    </row>
    <row r="2608" spans="6:33" ht="24" customHeight="1">
      <c r="F2608" s="686">
        <v>1.01</v>
      </c>
      <c r="G2608" s="717" t="s">
        <v>174</v>
      </c>
      <c r="H2608" s="686" t="s">
        <v>2318</v>
      </c>
      <c r="I2608" s="686">
        <f>I2573</f>
        <v>295</v>
      </c>
      <c r="J2608" s="718" t="s">
        <v>174</v>
      </c>
      <c r="K2608" s="878">
        <f>F2608*I2608</f>
        <v>297.95</v>
      </c>
      <c r="S2608" s="720">
        <v>1</v>
      </c>
      <c r="T2608" s="717" t="s">
        <v>1576</v>
      </c>
      <c r="U2608" s="686" t="s">
        <v>1581</v>
      </c>
      <c r="V2608" s="686">
        <f t="shared" si="241"/>
        <v>985</v>
      </c>
      <c r="W2608" s="718" t="s">
        <v>227</v>
      </c>
      <c r="X2608" s="686">
        <f t="shared" si="242"/>
        <v>985</v>
      </c>
      <c r="Y2608" s="674">
        <v>2</v>
      </c>
      <c r="Z2608" s="575">
        <f>Y2608*V2610</f>
        <v>87.6</v>
      </c>
      <c r="AB2608" s="686"/>
      <c r="AC2608" s="717"/>
      <c r="AD2608" s="686"/>
      <c r="AE2608" s="686"/>
      <c r="AF2608" s="718"/>
      <c r="AG2608" s="686"/>
    </row>
    <row r="2609" spans="6:33" ht="24" customHeight="1">
      <c r="F2609" s="686">
        <v>1.01</v>
      </c>
      <c r="G2609" s="717" t="s">
        <v>174</v>
      </c>
      <c r="H2609" s="686" t="s">
        <v>2382</v>
      </c>
      <c r="I2609" s="686">
        <f>C198</f>
        <v>31.65</v>
      </c>
      <c r="J2609" s="718" t="s">
        <v>174</v>
      </c>
      <c r="K2609" s="686">
        <f>F2609*I2609</f>
        <v>31.9665</v>
      </c>
      <c r="S2609" s="720">
        <v>2</v>
      </c>
      <c r="T2609" s="717" t="s">
        <v>1576</v>
      </c>
      <c r="U2609" s="686" t="s">
        <v>628</v>
      </c>
      <c r="V2609" s="686">
        <v>7.5</v>
      </c>
      <c r="W2609" s="718" t="s">
        <v>227</v>
      </c>
      <c r="X2609" s="686">
        <f t="shared" si="242"/>
        <v>15</v>
      </c>
      <c r="Y2609" s="674"/>
      <c r="Z2609" s="575">
        <v>20</v>
      </c>
      <c r="AB2609" s="686"/>
      <c r="AC2609" s="717"/>
      <c r="AD2609" s="686"/>
      <c r="AE2609" s="686"/>
      <c r="AF2609" s="718"/>
      <c r="AG2609" s="686"/>
    </row>
    <row r="2610" spans="6:33" ht="24" customHeight="1">
      <c r="F2610" s="686"/>
      <c r="G2610" s="717"/>
      <c r="H2610" s="686" t="s">
        <v>2353</v>
      </c>
      <c r="I2610" s="874">
        <v>266.81</v>
      </c>
      <c r="J2610" s="718" t="s">
        <v>129</v>
      </c>
      <c r="K2610" s="686">
        <f>I2610</f>
        <v>266.81</v>
      </c>
      <c r="S2610" s="720">
        <v>2</v>
      </c>
      <c r="T2610" s="717" t="s">
        <v>1576</v>
      </c>
      <c r="U2610" s="686" t="s">
        <v>630</v>
      </c>
      <c r="V2610" s="686">
        <f t="shared" si="241"/>
        <v>43.8</v>
      </c>
      <c r="W2610" s="718" t="s">
        <v>227</v>
      </c>
      <c r="X2610" s="686">
        <f t="shared" si="242"/>
        <v>87.6</v>
      </c>
      <c r="Z2610" s="575">
        <f>SUM(Z2599:Z2609)</f>
        <v>14820.239</v>
      </c>
      <c r="AB2610" s="686" t="s">
        <v>2383</v>
      </c>
      <c r="AC2610" s="717"/>
      <c r="AD2610" s="686"/>
      <c r="AE2610" s="716">
        <f>2*4*0.825*0.3*0.01875</f>
        <v>3.7124999999999991E-2</v>
      </c>
      <c r="AF2610" s="718"/>
      <c r="AG2610" s="686"/>
    </row>
    <row r="2611" spans="6:33" ht="24" customHeight="1">
      <c r="F2611" s="686"/>
      <c r="G2611" s="717"/>
      <c r="H2611" s="686"/>
      <c r="I2611" s="686"/>
      <c r="J2611" s="718"/>
      <c r="K2611" s="721" t="s">
        <v>1586</v>
      </c>
      <c r="S2611" s="720"/>
      <c r="T2611" s="717"/>
      <c r="U2611" s="686"/>
      <c r="V2611" s="686"/>
      <c r="W2611" s="718"/>
      <c r="X2611" s="686"/>
      <c r="Z2611" s="575">
        <f>Z2610/3.485</f>
        <v>4252.5793400286948</v>
      </c>
      <c r="AB2611" s="686" t="s">
        <v>2384</v>
      </c>
      <c r="AC2611" s="717"/>
      <c r="AD2611" s="686"/>
      <c r="AE2611" s="716">
        <f>2*0.825*0.3*0.01875</f>
        <v>9.2812499999999978E-3</v>
      </c>
      <c r="AF2611" s="718"/>
      <c r="AG2611" s="686"/>
    </row>
    <row r="2612" spans="6:33" ht="24" customHeight="1">
      <c r="F2612" s="686"/>
      <c r="G2612" s="717"/>
      <c r="H2612" s="686"/>
      <c r="I2612" s="686"/>
      <c r="J2612" s="718"/>
      <c r="K2612" s="686">
        <f>SUM(K2607:K2610)</f>
        <v>4575.2265000000007</v>
      </c>
      <c r="S2612" s="720">
        <v>10</v>
      </c>
      <c r="T2612" s="717"/>
      <c r="U2612" s="686" t="s">
        <v>1508</v>
      </c>
      <c r="V2612" s="686">
        <f>I2643</f>
        <v>2.37</v>
      </c>
      <c r="W2612" s="718"/>
      <c r="X2612" s="686">
        <f t="shared" si="242"/>
        <v>23.700000000000003</v>
      </c>
      <c r="AB2612" s="686"/>
      <c r="AC2612" s="717"/>
      <c r="AD2612" s="686"/>
      <c r="AE2612" s="880">
        <f>SUM(AE2610:AE2611)</f>
        <v>4.6406249999999989E-2</v>
      </c>
      <c r="AF2612" s="718"/>
      <c r="AG2612" s="686"/>
    </row>
    <row r="2613" spans="6:33" ht="24" customHeight="1">
      <c r="F2613" s="686"/>
      <c r="G2613" s="717"/>
      <c r="H2613" s="686" t="s">
        <v>2354</v>
      </c>
      <c r="I2613" s="874">
        <v>255</v>
      </c>
      <c r="J2613" s="718" t="s">
        <v>129</v>
      </c>
      <c r="K2613" s="686">
        <v>255</v>
      </c>
      <c r="S2613" s="720"/>
      <c r="T2613" s="646"/>
      <c r="U2613" s="619" t="s">
        <v>154</v>
      </c>
      <c r="V2613" s="686"/>
      <c r="W2613" s="718"/>
      <c r="X2613" s="619">
        <f>SUM(X2601:X2612)</f>
        <v>18166.767499999998</v>
      </c>
      <c r="AB2613" s="686"/>
      <c r="AC2613" s="717"/>
      <c r="AD2613" s="619" t="s">
        <v>2376</v>
      </c>
      <c r="AE2613" s="686"/>
      <c r="AF2613" s="718"/>
      <c r="AG2613" s="686"/>
    </row>
    <row r="2614" spans="6:33" ht="24" customHeight="1">
      <c r="F2614" s="686"/>
      <c r="G2614" s="717"/>
      <c r="H2614" s="686"/>
      <c r="I2614" s="686"/>
      <c r="J2614" s="718"/>
      <c r="K2614" s="721" t="s">
        <v>1586</v>
      </c>
      <c r="S2614" s="720"/>
      <c r="T2614" s="646"/>
      <c r="U2614" s="619"/>
      <c r="V2614" s="686"/>
      <c r="W2614" s="718"/>
      <c r="X2614" s="721" t="s">
        <v>1586</v>
      </c>
      <c r="AB2614" s="686"/>
      <c r="AC2614" s="717"/>
      <c r="AD2614" s="686"/>
      <c r="AE2614" s="686"/>
      <c r="AF2614" s="718"/>
      <c r="AG2614" s="686"/>
    </row>
    <row r="2615" spans="6:33" ht="24" customHeight="1">
      <c r="F2615" s="686"/>
      <c r="G2615" s="717"/>
      <c r="H2615" s="619" t="s">
        <v>2355</v>
      </c>
      <c r="I2615" s="686"/>
      <c r="J2615" s="718"/>
      <c r="K2615" s="619">
        <f>SUM(K2612:K2613)</f>
        <v>4830.2265000000007</v>
      </c>
      <c r="M2615" s="575">
        <f>5227-K2615</f>
        <v>396.77349999999933</v>
      </c>
      <c r="S2615" s="720"/>
      <c r="T2615" s="646"/>
      <c r="U2615" s="619" t="s">
        <v>2385</v>
      </c>
      <c r="V2615" s="686"/>
      <c r="W2615" s="718"/>
      <c r="X2615" s="619">
        <f>X2613/3.4425</f>
        <v>5277.2018881626718</v>
      </c>
      <c r="AB2615" s="716">
        <f>AE2604</f>
        <v>2.2800000000000001E-2</v>
      </c>
      <c r="AC2615" s="717" t="s">
        <v>126</v>
      </c>
      <c r="AD2615" s="686" t="s">
        <v>2377</v>
      </c>
      <c r="AE2615" s="686">
        <f>V2601</f>
        <v>111600</v>
      </c>
      <c r="AF2615" s="718" t="s">
        <v>126</v>
      </c>
      <c r="AG2615" s="686">
        <f>AB2615*AE2615</f>
        <v>2544.48</v>
      </c>
    </row>
    <row r="2616" spans="6:33" ht="24" customHeight="1">
      <c r="F2616" s="686"/>
      <c r="G2616" s="717"/>
      <c r="H2616" s="686"/>
      <c r="I2616" s="686"/>
      <c r="J2616" s="718"/>
      <c r="K2616" s="721" t="s">
        <v>1586</v>
      </c>
      <c r="AB2616" s="716">
        <f>AE2607</f>
        <v>4.8093749999999991E-2</v>
      </c>
      <c r="AC2616" s="717" t="s">
        <v>126</v>
      </c>
      <c r="AD2616" s="686" t="s">
        <v>1572</v>
      </c>
      <c r="AE2616" s="686">
        <f t="shared" ref="AE2616:AE2624" si="243">V2602</f>
        <v>99400</v>
      </c>
      <c r="AF2616" s="718" t="s">
        <v>126</v>
      </c>
      <c r="AG2616" s="686">
        <f t="shared" ref="AG2616:AG2624" si="244">AB2616*AE2616</f>
        <v>4780.5187499999993</v>
      </c>
    </row>
    <row r="2617" spans="6:33" ht="24" customHeight="1">
      <c r="F2617" s="686"/>
      <c r="G2617" s="717"/>
      <c r="H2617" s="686"/>
      <c r="I2617" s="686"/>
      <c r="J2617" s="718"/>
      <c r="K2617" s="686"/>
      <c r="AB2617" s="719">
        <f>AE2612</f>
        <v>4.6406249999999989E-2</v>
      </c>
      <c r="AC2617" s="717" t="s">
        <v>126</v>
      </c>
      <c r="AD2617" s="686" t="s">
        <v>1573</v>
      </c>
      <c r="AE2617" s="686">
        <f t="shared" si="243"/>
        <v>107000</v>
      </c>
      <c r="AF2617" s="718" t="s">
        <v>126</v>
      </c>
      <c r="AG2617" s="686">
        <f t="shared" si="244"/>
        <v>4965.4687499999991</v>
      </c>
    </row>
    <row r="2618" spans="6:33" ht="24" customHeight="1">
      <c r="F2618" s="686"/>
      <c r="G2618" s="717"/>
      <c r="H2618" s="686"/>
      <c r="I2618" s="686"/>
      <c r="J2618" s="718"/>
      <c r="K2618" s="686"/>
      <c r="AB2618" s="716">
        <f>AE2603</f>
        <v>3.8474999999999997</v>
      </c>
      <c r="AC2618" s="717" t="s">
        <v>140</v>
      </c>
      <c r="AD2618" s="686" t="s">
        <v>1574</v>
      </c>
      <c r="AE2618" s="686">
        <f t="shared" si="243"/>
        <v>1155</v>
      </c>
      <c r="AF2618" s="718" t="s">
        <v>140</v>
      </c>
      <c r="AG2618" s="686">
        <f t="shared" si="244"/>
        <v>4443.8624999999993</v>
      </c>
    </row>
    <row r="2619" spans="6:33" ht="24" customHeight="1">
      <c r="F2619" s="686"/>
      <c r="G2619" s="717"/>
      <c r="H2619" s="619" t="s">
        <v>2386</v>
      </c>
      <c r="I2619" s="619"/>
      <c r="J2619" s="718"/>
      <c r="K2619" s="686"/>
      <c r="AB2619" s="686">
        <v>2</v>
      </c>
      <c r="AC2619" s="717" t="s">
        <v>1576</v>
      </c>
      <c r="AD2619" s="686" t="s">
        <v>1577</v>
      </c>
      <c r="AE2619" s="686">
        <f t="shared" si="243"/>
        <v>450</v>
      </c>
      <c r="AF2619" s="718" t="s">
        <v>227</v>
      </c>
      <c r="AG2619" s="686">
        <f t="shared" si="244"/>
        <v>900</v>
      </c>
    </row>
    <row r="2620" spans="6:33" ht="24" customHeight="1">
      <c r="F2620" s="686"/>
      <c r="G2620" s="717"/>
      <c r="H2620" s="686"/>
      <c r="I2620" s="686"/>
      <c r="J2620" s="718"/>
      <c r="K2620" s="686"/>
      <c r="AB2620" s="686">
        <v>6</v>
      </c>
      <c r="AC2620" s="717" t="s">
        <v>1576</v>
      </c>
      <c r="AD2620" s="686" t="s">
        <v>1578</v>
      </c>
      <c r="AE2620" s="686">
        <f t="shared" si="243"/>
        <v>79</v>
      </c>
      <c r="AF2620" s="718" t="s">
        <v>227</v>
      </c>
      <c r="AG2620" s="686">
        <f t="shared" si="244"/>
        <v>474</v>
      </c>
    </row>
    <row r="2621" spans="6:33" ht="24" customHeight="1">
      <c r="F2621" s="686" t="s">
        <v>2387</v>
      </c>
      <c r="G2621" s="717"/>
      <c r="H2621" s="686"/>
      <c r="I2621" s="686"/>
      <c r="J2621" s="718"/>
      <c r="K2621" s="686"/>
      <c r="AB2621" s="686">
        <v>4</v>
      </c>
      <c r="AC2621" s="717" t="s">
        <v>1576</v>
      </c>
      <c r="AD2621" s="686" t="s">
        <v>1579</v>
      </c>
      <c r="AE2621" s="686">
        <f t="shared" si="243"/>
        <v>130</v>
      </c>
      <c r="AF2621" s="718" t="s">
        <v>227</v>
      </c>
      <c r="AG2621" s="686">
        <f t="shared" si="244"/>
        <v>520</v>
      </c>
    </row>
    <row r="2622" spans="6:33" ht="24" customHeight="1">
      <c r="F2622" s="686" t="s">
        <v>2371</v>
      </c>
      <c r="G2622" s="717"/>
      <c r="H2622" s="686"/>
      <c r="I2622" s="879">
        <v>2.2800000000000001E-2</v>
      </c>
      <c r="J2622" s="718"/>
      <c r="K2622" s="686"/>
      <c r="AB2622" s="686">
        <v>1</v>
      </c>
      <c r="AC2622" s="717" t="s">
        <v>1576</v>
      </c>
      <c r="AD2622" s="686" t="s">
        <v>1581</v>
      </c>
      <c r="AE2622" s="686">
        <f t="shared" si="243"/>
        <v>985</v>
      </c>
      <c r="AF2622" s="718" t="s">
        <v>227</v>
      </c>
      <c r="AG2622" s="686">
        <f t="shared" si="244"/>
        <v>985</v>
      </c>
    </row>
    <row r="2623" spans="6:33" ht="24" customHeight="1">
      <c r="F2623" s="686" t="s">
        <v>2388</v>
      </c>
      <c r="G2623" s="717"/>
      <c r="H2623" s="686"/>
      <c r="I2623" s="716">
        <v>2.3599999999999999E-2</v>
      </c>
      <c r="J2623" s="718"/>
      <c r="K2623" s="686"/>
      <c r="AB2623" s="686">
        <v>2</v>
      </c>
      <c r="AC2623" s="717" t="s">
        <v>1576</v>
      </c>
      <c r="AD2623" s="686" t="s">
        <v>628</v>
      </c>
      <c r="AE2623" s="686">
        <f t="shared" si="243"/>
        <v>7.5</v>
      </c>
      <c r="AF2623" s="718" t="s">
        <v>227</v>
      </c>
      <c r="AG2623" s="686">
        <f t="shared" si="244"/>
        <v>15</v>
      </c>
    </row>
    <row r="2624" spans="6:33" ht="24" customHeight="1">
      <c r="F2624" s="686"/>
      <c r="G2624" s="717" t="s">
        <v>2389</v>
      </c>
      <c r="H2624" s="686"/>
      <c r="I2624" s="716">
        <v>1.18E-2</v>
      </c>
      <c r="J2624" s="718"/>
      <c r="K2624" s="686"/>
      <c r="AB2624" s="686">
        <v>2</v>
      </c>
      <c r="AC2624" s="717" t="s">
        <v>1576</v>
      </c>
      <c r="AD2624" s="686" t="s">
        <v>630</v>
      </c>
      <c r="AE2624" s="686">
        <f t="shared" si="243"/>
        <v>43.8</v>
      </c>
      <c r="AF2624" s="718" t="s">
        <v>227</v>
      </c>
      <c r="AG2624" s="686">
        <f t="shared" si="244"/>
        <v>87.6</v>
      </c>
    </row>
    <row r="2625" spans="6:33" ht="24" customHeight="1">
      <c r="F2625" s="686"/>
      <c r="G2625" s="717"/>
      <c r="H2625" s="686"/>
      <c r="I2625" s="880">
        <f>SUM(I2623:I2624)</f>
        <v>3.5400000000000001E-2</v>
      </c>
      <c r="J2625" s="718"/>
      <c r="K2625" s="686"/>
      <c r="AB2625" s="686"/>
      <c r="AC2625" s="717"/>
      <c r="AD2625" s="686"/>
      <c r="AE2625" s="686"/>
      <c r="AF2625" s="718"/>
      <c r="AG2625" s="686"/>
    </row>
    <row r="2626" spans="6:33" ht="24" customHeight="1">
      <c r="F2626" s="686"/>
      <c r="G2626" s="717"/>
      <c r="H2626" s="686"/>
      <c r="I2626" s="686"/>
      <c r="J2626" s="718"/>
      <c r="K2626" s="686"/>
      <c r="M2626" s="686"/>
      <c r="N2626" s="717"/>
      <c r="O2626" s="619" t="s">
        <v>2390</v>
      </c>
      <c r="P2626" s="686"/>
      <c r="Q2626" s="718"/>
      <c r="R2626" s="686"/>
      <c r="AB2626" s="686"/>
      <c r="AC2626" s="717"/>
      <c r="AD2626" s="686"/>
      <c r="AE2626" s="686"/>
      <c r="AF2626" s="718"/>
      <c r="AG2626" s="721">
        <v>10.54</v>
      </c>
    </row>
    <row r="2627" spans="6:33" ht="24" customHeight="1">
      <c r="F2627" s="686"/>
      <c r="G2627" s="717"/>
      <c r="H2627" s="686"/>
      <c r="I2627" s="686"/>
      <c r="J2627" s="718"/>
      <c r="K2627" s="686"/>
      <c r="M2627" s="686"/>
      <c r="N2627" s="717"/>
      <c r="O2627" s="686"/>
      <c r="P2627" s="686"/>
      <c r="Q2627" s="718"/>
      <c r="R2627" s="686"/>
      <c r="AB2627" s="686"/>
      <c r="AC2627" s="646"/>
      <c r="AD2627" s="619" t="s">
        <v>154</v>
      </c>
      <c r="AE2627" s="686"/>
      <c r="AF2627" s="718"/>
      <c r="AG2627" s="619">
        <f>SUM(AG2615:AG2626)</f>
        <v>19726.469999999998</v>
      </c>
    </row>
    <row r="2628" spans="6:33" ht="24" customHeight="1">
      <c r="F2628" s="686" t="s">
        <v>2391</v>
      </c>
      <c r="G2628" s="717"/>
      <c r="H2628" s="686"/>
      <c r="I2628" s="716">
        <v>2.5899999999999999E-2</v>
      </c>
      <c r="J2628" s="718"/>
      <c r="K2628" s="686"/>
      <c r="M2628" s="686" t="s">
        <v>2392</v>
      </c>
      <c r="N2628" s="717"/>
      <c r="O2628" s="686"/>
      <c r="P2628" s="686"/>
      <c r="Q2628" s="718"/>
      <c r="R2628" s="686"/>
      <c r="AB2628" s="686"/>
      <c r="AC2628" s="646"/>
      <c r="AD2628" s="619"/>
      <c r="AE2628" s="686"/>
      <c r="AF2628" s="718"/>
      <c r="AG2628" s="721" t="s">
        <v>1586</v>
      </c>
    </row>
    <row r="2629" spans="6:33" ht="24" customHeight="1">
      <c r="F2629" s="686" t="s">
        <v>2393</v>
      </c>
      <c r="G2629" s="717"/>
      <c r="H2629" s="686"/>
      <c r="I2629" s="716">
        <f>2*0.575*0.3*0.01875</f>
        <v>6.4687499999999997E-3</v>
      </c>
      <c r="J2629" s="718"/>
      <c r="K2629" s="686">
        <f>3643035-3769622.98</f>
        <v>-126587.97999999998</v>
      </c>
      <c r="M2629" s="686" t="s">
        <v>2371</v>
      </c>
      <c r="N2629" s="717"/>
      <c r="O2629" s="686"/>
      <c r="P2629" s="879">
        <v>2.2800000000000001E-2</v>
      </c>
      <c r="Q2629" s="718"/>
      <c r="R2629" s="686"/>
      <c r="AB2629" s="686"/>
      <c r="AC2629" s="646"/>
      <c r="AD2629" s="619" t="s">
        <v>2394</v>
      </c>
      <c r="AE2629" s="686"/>
      <c r="AF2629" s="718"/>
      <c r="AG2629" s="619">
        <f>AG2627/3.8475</f>
        <v>5127.0877192982443</v>
      </c>
    </row>
    <row r="2630" spans="6:33" ht="24" customHeight="1">
      <c r="F2630" s="686"/>
      <c r="G2630" s="717"/>
      <c r="H2630" s="686"/>
      <c r="I2630" s="880">
        <f>SUM(I2628:I2629)</f>
        <v>3.2368750000000002E-2</v>
      </c>
      <c r="J2630" s="718"/>
      <c r="K2630" s="686"/>
      <c r="M2630" s="686" t="s">
        <v>2395</v>
      </c>
      <c r="N2630" s="717"/>
      <c r="O2630" s="686"/>
      <c r="P2630" s="716">
        <v>1.8599999999999998E-2</v>
      </c>
      <c r="Q2630" s="718"/>
      <c r="R2630" s="686"/>
    </row>
    <row r="2631" spans="6:33" ht="24" customHeight="1">
      <c r="F2631" s="686"/>
      <c r="G2631" s="717"/>
      <c r="H2631" s="619" t="s">
        <v>2376</v>
      </c>
      <c r="I2631" s="686"/>
      <c r="J2631" s="718"/>
      <c r="K2631" s="686"/>
      <c r="M2631" s="686"/>
      <c r="N2631" s="717" t="s">
        <v>2396</v>
      </c>
      <c r="O2631" s="686"/>
      <c r="P2631" s="716">
        <v>9.2999999999999992E-3</v>
      </c>
      <c r="Q2631" s="718"/>
      <c r="R2631" s="686"/>
    </row>
    <row r="2632" spans="6:33" ht="24" customHeight="1">
      <c r="F2632" s="686"/>
      <c r="G2632" s="717"/>
      <c r="H2632" s="686"/>
      <c r="I2632" s="686"/>
      <c r="J2632" s="718"/>
      <c r="K2632" s="686"/>
      <c r="M2632" s="686"/>
      <c r="N2632" s="717"/>
      <c r="O2632" s="686"/>
      <c r="P2632" s="880">
        <f>SUM(P2630:P2631)</f>
        <v>2.7899999999999998E-2</v>
      </c>
      <c r="Q2632" s="718"/>
      <c r="R2632" s="686"/>
    </row>
    <row r="2633" spans="6:33" ht="24" customHeight="1">
      <c r="F2633" s="716">
        <v>2.2800000000000001E-2</v>
      </c>
      <c r="G2633" s="717" t="s">
        <v>126</v>
      </c>
      <c r="H2633" s="686" t="s">
        <v>1571</v>
      </c>
      <c r="I2633" s="686">
        <f>AC26</f>
        <v>111600</v>
      </c>
      <c r="J2633" s="718" t="s">
        <v>126</v>
      </c>
      <c r="K2633" s="686">
        <f>F2633*I2633</f>
        <v>2544.48</v>
      </c>
      <c r="M2633" s="686"/>
      <c r="N2633" s="717"/>
      <c r="O2633" s="686"/>
      <c r="P2633" s="686"/>
      <c r="Q2633" s="718"/>
      <c r="R2633" s="686"/>
    </row>
    <row r="2634" spans="6:33" ht="24" customHeight="1">
      <c r="F2634" s="716">
        <v>3.5400000000000001E-2</v>
      </c>
      <c r="G2634" s="717" t="s">
        <v>126</v>
      </c>
      <c r="H2634" s="686" t="s">
        <v>1572</v>
      </c>
      <c r="I2634" s="686">
        <f>AC27</f>
        <v>99400</v>
      </c>
      <c r="J2634" s="718" t="s">
        <v>126</v>
      </c>
      <c r="K2634" s="686">
        <f t="shared" ref="K2634:K2643" si="245">F2634*I2634</f>
        <v>3518.76</v>
      </c>
      <c r="M2634" s="686"/>
      <c r="N2634" s="717"/>
      <c r="O2634" s="686"/>
      <c r="P2634" s="686"/>
      <c r="Q2634" s="718"/>
      <c r="R2634" s="686"/>
    </row>
    <row r="2635" spans="6:33" ht="24" customHeight="1">
      <c r="F2635" s="719">
        <v>3.2300000000000002E-2</v>
      </c>
      <c r="G2635" s="717" t="s">
        <v>126</v>
      </c>
      <c r="H2635" s="575" t="s">
        <v>2397</v>
      </c>
      <c r="I2635" s="618">
        <v>107000</v>
      </c>
      <c r="J2635" s="718" t="s">
        <v>126</v>
      </c>
      <c r="K2635" s="686">
        <f t="shared" si="245"/>
        <v>3456.1000000000004</v>
      </c>
      <c r="M2635" s="686" t="s">
        <v>2398</v>
      </c>
      <c r="N2635" s="717"/>
      <c r="O2635" s="686"/>
      <c r="P2635" s="716">
        <v>1.9E-2</v>
      </c>
      <c r="Q2635" s="718"/>
      <c r="R2635" s="686"/>
      <c r="AB2635" s="720"/>
      <c r="AC2635" s="717"/>
      <c r="AD2635" s="619" t="s">
        <v>2369</v>
      </c>
      <c r="AE2635" s="686"/>
      <c r="AF2635" s="718"/>
      <c r="AG2635" s="686"/>
    </row>
    <row r="2636" spans="6:33" ht="24" customHeight="1">
      <c r="F2636" s="720">
        <v>2.835</v>
      </c>
      <c r="G2636" s="717" t="s">
        <v>140</v>
      </c>
      <c r="H2636" s="686" t="s">
        <v>1574</v>
      </c>
      <c r="I2636" s="686">
        <f>AE30</f>
        <v>1155</v>
      </c>
      <c r="J2636" s="718" t="s">
        <v>140</v>
      </c>
      <c r="K2636" s="686">
        <f t="shared" si="245"/>
        <v>3274.4250000000002</v>
      </c>
      <c r="M2636" s="686" t="s">
        <v>2399</v>
      </c>
      <c r="N2636" s="717"/>
      <c r="O2636" s="686"/>
      <c r="P2636" s="716">
        <v>4.7999999999999996E-3</v>
      </c>
      <c r="Q2636" s="718"/>
      <c r="R2636" s="686"/>
      <c r="AB2636" s="720"/>
      <c r="AC2636" s="717"/>
      <c r="AD2636" s="619" t="s">
        <v>2400</v>
      </c>
      <c r="AE2636" s="686"/>
      <c r="AF2636" s="718"/>
      <c r="AG2636" s="686"/>
    </row>
    <row r="2637" spans="6:33" ht="24" customHeight="1">
      <c r="F2637" s="686">
        <v>2</v>
      </c>
      <c r="G2637" s="717" t="s">
        <v>1576</v>
      </c>
      <c r="H2637" s="575" t="s">
        <v>2401</v>
      </c>
      <c r="I2637" s="881">
        <v>450</v>
      </c>
      <c r="J2637" s="718" t="s">
        <v>227</v>
      </c>
      <c r="K2637" s="686">
        <f t="shared" si="245"/>
        <v>900</v>
      </c>
      <c r="M2637" s="686"/>
      <c r="N2637" s="717"/>
      <c r="O2637" s="686"/>
      <c r="P2637" s="880">
        <f>SUM(P2635:P2636)</f>
        <v>2.3799999999999998E-2</v>
      </c>
      <c r="Q2637" s="718"/>
      <c r="R2637" s="686"/>
      <c r="AB2637" s="720" t="s">
        <v>2370</v>
      </c>
      <c r="AC2637" s="717"/>
      <c r="AD2637" s="686"/>
      <c r="AE2637" s="879">
        <f>2*0.85*2.025</f>
        <v>3.4424999999999999</v>
      </c>
      <c r="AF2637" s="718"/>
      <c r="AG2637" s="686"/>
    </row>
    <row r="2638" spans="6:33" ht="24" customHeight="1">
      <c r="F2638" s="686">
        <v>6</v>
      </c>
      <c r="G2638" s="717" t="s">
        <v>1576</v>
      </c>
      <c r="H2638" s="575" t="s">
        <v>2402</v>
      </c>
      <c r="I2638" s="881">
        <v>79</v>
      </c>
      <c r="J2638" s="718" t="s">
        <v>227</v>
      </c>
      <c r="K2638" s="686">
        <f t="shared" si="245"/>
        <v>474</v>
      </c>
      <c r="M2638" s="686"/>
      <c r="N2638" s="717"/>
      <c r="O2638" s="619" t="s">
        <v>2376</v>
      </c>
      <c r="P2638" s="686"/>
      <c r="Q2638" s="718"/>
      <c r="R2638" s="686"/>
      <c r="AB2638" s="720" t="s">
        <v>2371</v>
      </c>
      <c r="AC2638" s="717"/>
      <c r="AD2638" s="686"/>
      <c r="AE2638" s="879">
        <v>2.2800000000000001E-2</v>
      </c>
      <c r="AF2638" s="718"/>
      <c r="AG2638" s="686"/>
    </row>
    <row r="2639" spans="6:33" ht="24" customHeight="1">
      <c r="F2639" s="686">
        <v>4</v>
      </c>
      <c r="G2639" s="717" t="s">
        <v>1576</v>
      </c>
      <c r="H2639" s="575" t="s">
        <v>2403</v>
      </c>
      <c r="I2639" s="881">
        <v>130</v>
      </c>
      <c r="J2639" s="718" t="s">
        <v>227</v>
      </c>
      <c r="K2639" s="686">
        <f t="shared" si="245"/>
        <v>520</v>
      </c>
      <c r="M2639" s="686"/>
      <c r="N2639" s="717"/>
      <c r="O2639" s="686"/>
      <c r="P2639" s="686"/>
      <c r="Q2639" s="718"/>
      <c r="R2639" s="686"/>
      <c r="AB2639" s="720" t="s">
        <v>2372</v>
      </c>
      <c r="AC2639" s="717"/>
      <c r="AD2639" s="686"/>
      <c r="AE2639" s="716">
        <f>2*3*0.85*0.15*0.0375</f>
        <v>2.8687499999999994E-2</v>
      </c>
      <c r="AF2639" s="718"/>
      <c r="AG2639" s="686"/>
    </row>
    <row r="2640" spans="6:33" ht="24" customHeight="1">
      <c r="F2640" s="686">
        <v>1</v>
      </c>
      <c r="G2640" s="717" t="s">
        <v>1576</v>
      </c>
      <c r="H2640" s="575" t="s">
        <v>2404</v>
      </c>
      <c r="I2640" s="881">
        <v>985</v>
      </c>
      <c r="J2640" s="718" t="s">
        <v>227</v>
      </c>
      <c r="K2640" s="686">
        <f t="shared" si="245"/>
        <v>985</v>
      </c>
      <c r="M2640" s="716">
        <f>P2629</f>
        <v>2.2800000000000001E-2</v>
      </c>
      <c r="N2640" s="717" t="s">
        <v>126</v>
      </c>
      <c r="O2640" s="686" t="s">
        <v>2377</v>
      </c>
      <c r="P2640" s="686">
        <f>I2633</f>
        <v>111600</v>
      </c>
      <c r="Q2640" s="718" t="s">
        <v>126</v>
      </c>
      <c r="R2640" s="686">
        <f>M2640*P2640</f>
        <v>2544.48</v>
      </c>
      <c r="AB2640" s="720"/>
      <c r="AC2640" s="717" t="s">
        <v>2373</v>
      </c>
      <c r="AD2640" s="686"/>
      <c r="AE2640" s="716">
        <f>2*3*0.85*0.075*0.0375</f>
        <v>1.4343749999999997E-2</v>
      </c>
      <c r="AF2640" s="718"/>
      <c r="AG2640" s="686"/>
    </row>
    <row r="2641" spans="6:34" ht="24" customHeight="1">
      <c r="F2641" s="686">
        <v>2</v>
      </c>
      <c r="G2641" s="717" t="s">
        <v>1576</v>
      </c>
      <c r="H2641" s="575" t="s">
        <v>3107</v>
      </c>
      <c r="I2641" s="618">
        <v>22.7</v>
      </c>
      <c r="J2641" s="718" t="s">
        <v>227</v>
      </c>
      <c r="K2641" s="686">
        <f t="shared" si="245"/>
        <v>45.4</v>
      </c>
      <c r="M2641" s="716">
        <f>P2632</f>
        <v>2.7899999999999998E-2</v>
      </c>
      <c r="N2641" s="717" t="s">
        <v>126</v>
      </c>
      <c r="O2641" s="686" t="s">
        <v>1572</v>
      </c>
      <c r="P2641" s="686">
        <f t="shared" ref="P2641:P2649" si="246">I2634</f>
        <v>99400</v>
      </c>
      <c r="Q2641" s="718" t="s">
        <v>126</v>
      </c>
      <c r="R2641" s="686">
        <f t="shared" ref="R2641:R2649" si="247">M2641*P2641</f>
        <v>2773.2599999999998</v>
      </c>
      <c r="AA2641" s="720"/>
      <c r="AB2641" s="720"/>
      <c r="AC2641" s="717"/>
      <c r="AD2641" s="686"/>
      <c r="AE2641" s="880">
        <f>SUM(AE2639:AE2640)</f>
        <v>4.3031249999999993E-2</v>
      </c>
      <c r="AF2641" s="718"/>
      <c r="AG2641" s="686"/>
    </row>
    <row r="2642" spans="6:34" ht="24" customHeight="1">
      <c r="F2642" s="686">
        <v>2</v>
      </c>
      <c r="G2642" s="717" t="s">
        <v>1576</v>
      </c>
      <c r="H2642" s="686" t="s">
        <v>630</v>
      </c>
      <c r="I2642" s="686">
        <f>I2823</f>
        <v>43.8</v>
      </c>
      <c r="J2642" s="718" t="s">
        <v>227</v>
      </c>
      <c r="K2642" s="686">
        <f t="shared" si="245"/>
        <v>87.6</v>
      </c>
      <c r="M2642" s="719">
        <f>P2637</f>
        <v>2.3799999999999998E-2</v>
      </c>
      <c r="N2642" s="717" t="s">
        <v>126</v>
      </c>
      <c r="O2642" s="575" t="s">
        <v>2406</v>
      </c>
      <c r="P2642" s="686">
        <f t="shared" si="246"/>
        <v>107000</v>
      </c>
      <c r="Q2642" s="718" t="s">
        <v>126</v>
      </c>
      <c r="R2642" s="686">
        <f t="shared" si="247"/>
        <v>2546.6</v>
      </c>
      <c r="AA2642" s="720"/>
      <c r="AB2642" s="720"/>
      <c r="AC2642" s="717"/>
      <c r="AD2642" s="686"/>
      <c r="AE2642" s="686"/>
      <c r="AF2642" s="718"/>
      <c r="AG2642" s="686"/>
    </row>
    <row r="2643" spans="6:34" ht="24" customHeight="1">
      <c r="F2643" s="686">
        <v>118</v>
      </c>
      <c r="G2643" s="717"/>
      <c r="H2643" s="686" t="s">
        <v>1508</v>
      </c>
      <c r="I2643" s="618">
        <f>P2831</f>
        <v>2.37</v>
      </c>
      <c r="J2643" s="718"/>
      <c r="K2643" s="686">
        <f t="shared" si="245"/>
        <v>279.66000000000003</v>
      </c>
      <c r="M2643" s="720">
        <v>2.23</v>
      </c>
      <c r="N2643" s="717" t="s">
        <v>140</v>
      </c>
      <c r="O2643" s="686" t="s">
        <v>1574</v>
      </c>
      <c r="P2643" s="686">
        <f t="shared" si="246"/>
        <v>1155</v>
      </c>
      <c r="Q2643" s="718" t="s">
        <v>140</v>
      </c>
      <c r="R2643" s="686">
        <f t="shared" si="247"/>
        <v>2575.65</v>
      </c>
      <c r="AA2643" s="720"/>
      <c r="AB2643" s="720"/>
      <c r="AC2643" s="717"/>
      <c r="AD2643" s="686"/>
      <c r="AE2643" s="686"/>
      <c r="AF2643" s="718"/>
      <c r="AG2643" s="686"/>
    </row>
    <row r="2644" spans="6:34" ht="24" customHeight="1">
      <c r="F2644" s="686"/>
      <c r="G2644" s="717"/>
      <c r="H2644" s="686"/>
      <c r="I2644" s="686"/>
      <c r="J2644" s="718"/>
      <c r="K2644" s="721"/>
      <c r="M2644" s="686">
        <v>2</v>
      </c>
      <c r="N2644" s="717" t="s">
        <v>1576</v>
      </c>
      <c r="O2644" s="619" t="s">
        <v>2401</v>
      </c>
      <c r="P2644" s="686">
        <f t="shared" si="246"/>
        <v>450</v>
      </c>
      <c r="Q2644" s="718" t="s">
        <v>227</v>
      </c>
      <c r="R2644" s="686">
        <f t="shared" si="247"/>
        <v>900</v>
      </c>
      <c r="AA2644" s="720"/>
      <c r="AB2644" s="720" t="s">
        <v>2374</v>
      </c>
      <c r="AC2644" s="717"/>
      <c r="AD2644" s="686"/>
      <c r="AE2644" s="716">
        <f>2*4*0.725*0.3*0.01875</f>
        <v>3.2625000000000001E-2</v>
      </c>
      <c r="AF2644" s="718"/>
      <c r="AG2644" s="686"/>
    </row>
    <row r="2645" spans="6:34" ht="24" customHeight="1">
      <c r="F2645" s="686"/>
      <c r="G2645" s="646"/>
      <c r="H2645" s="619" t="s">
        <v>154</v>
      </c>
      <c r="I2645" s="686"/>
      <c r="J2645" s="718"/>
      <c r="K2645" s="619">
        <f>SUM(K2633:K2644)</f>
        <v>16085.424999999999</v>
      </c>
      <c r="L2645" s="882"/>
      <c r="M2645" s="686">
        <v>6</v>
      </c>
      <c r="N2645" s="717" t="s">
        <v>1576</v>
      </c>
      <c r="O2645" s="619" t="s">
        <v>2402</v>
      </c>
      <c r="P2645" s="686">
        <f t="shared" si="246"/>
        <v>79</v>
      </c>
      <c r="Q2645" s="718" t="s">
        <v>227</v>
      </c>
      <c r="R2645" s="686">
        <f t="shared" si="247"/>
        <v>474</v>
      </c>
      <c r="AA2645" s="720"/>
      <c r="AB2645" s="720" t="s">
        <v>2375</v>
      </c>
      <c r="AC2645" s="717"/>
      <c r="AD2645" s="686"/>
      <c r="AE2645" s="716">
        <f>2*0.725*0.3*0.01875</f>
        <v>8.1562500000000003E-3</v>
      </c>
      <c r="AF2645" s="718"/>
      <c r="AG2645" s="686"/>
    </row>
    <row r="2646" spans="6:34" ht="24" customHeight="1">
      <c r="F2646" s="686"/>
      <c r="G2646" s="646"/>
      <c r="H2646" s="619"/>
      <c r="I2646" s="686"/>
      <c r="J2646" s="718"/>
      <c r="K2646" s="721" t="s">
        <v>1586</v>
      </c>
      <c r="M2646" s="686">
        <v>4</v>
      </c>
      <c r="N2646" s="717" t="s">
        <v>1576</v>
      </c>
      <c r="O2646" s="619" t="s">
        <v>2403</v>
      </c>
      <c r="P2646" s="686">
        <f t="shared" si="246"/>
        <v>130</v>
      </c>
      <c r="Q2646" s="718" t="s">
        <v>227</v>
      </c>
      <c r="R2646" s="686">
        <f t="shared" si="247"/>
        <v>520</v>
      </c>
      <c r="AA2646" s="720"/>
      <c r="AB2646" s="720"/>
      <c r="AC2646" s="717"/>
      <c r="AD2646" s="686"/>
      <c r="AE2646" s="880">
        <f>SUM(AE2644:AE2645)</f>
        <v>4.0781250000000005E-2</v>
      </c>
      <c r="AF2646" s="718"/>
      <c r="AG2646" s="686"/>
    </row>
    <row r="2647" spans="6:34" ht="24" customHeight="1">
      <c r="F2647" s="686"/>
      <c r="G2647" s="646"/>
      <c r="H2647" s="619" t="s">
        <v>1589</v>
      </c>
      <c r="I2647" s="686"/>
      <c r="J2647" s="718"/>
      <c r="K2647" s="619">
        <f>K2645/2.835</f>
        <v>5673.8712522045853</v>
      </c>
      <c r="M2647" s="686">
        <v>1</v>
      </c>
      <c r="N2647" s="717" t="s">
        <v>1576</v>
      </c>
      <c r="O2647" s="619" t="s">
        <v>2404</v>
      </c>
      <c r="P2647" s="686">
        <f t="shared" si="246"/>
        <v>985</v>
      </c>
      <c r="Q2647" s="718" t="s">
        <v>227</v>
      </c>
      <c r="R2647" s="686">
        <f t="shared" si="247"/>
        <v>985</v>
      </c>
      <c r="AA2647" s="720"/>
      <c r="AB2647" s="720"/>
      <c r="AC2647" s="717"/>
      <c r="AD2647" s="619" t="s">
        <v>2376</v>
      </c>
      <c r="AE2647" s="686"/>
      <c r="AF2647" s="718"/>
      <c r="AG2647" s="686"/>
      <c r="AH2647" s="674"/>
    </row>
    <row r="2648" spans="6:34" ht="24" customHeight="1">
      <c r="F2648" s="686"/>
      <c r="G2648" s="646"/>
      <c r="K2648" s="622" t="s">
        <v>1586</v>
      </c>
      <c r="M2648" s="686">
        <v>2</v>
      </c>
      <c r="N2648" s="717" t="s">
        <v>1576</v>
      </c>
      <c r="O2648" s="575" t="s">
        <v>628</v>
      </c>
      <c r="P2648" s="686">
        <f>C288</f>
        <v>7.3</v>
      </c>
      <c r="Q2648" s="718" t="s">
        <v>227</v>
      </c>
      <c r="R2648" s="686">
        <f t="shared" si="247"/>
        <v>14.6</v>
      </c>
      <c r="AA2648" s="720"/>
      <c r="AB2648" s="720"/>
      <c r="AC2648" s="717"/>
      <c r="AD2648" s="686"/>
      <c r="AE2648" s="686"/>
      <c r="AF2648" s="718"/>
      <c r="AG2648" s="686"/>
      <c r="AH2648" s="674"/>
    </row>
    <row r="2649" spans="6:34" ht="24" customHeight="1">
      <c r="F2649" s="883" t="s">
        <v>2407</v>
      </c>
      <c r="G2649" s="884"/>
      <c r="H2649" s="601" t="s">
        <v>1575</v>
      </c>
      <c r="I2649" s="885"/>
      <c r="J2649" s="886"/>
      <c r="K2649" s="885"/>
      <c r="M2649" s="686">
        <v>2</v>
      </c>
      <c r="N2649" s="717" t="s">
        <v>1576</v>
      </c>
      <c r="O2649" s="686" t="s">
        <v>630</v>
      </c>
      <c r="P2649" s="686">
        <f t="shared" si="246"/>
        <v>43.8</v>
      </c>
      <c r="Q2649" s="718" t="s">
        <v>227</v>
      </c>
      <c r="R2649" s="686">
        <f t="shared" si="247"/>
        <v>87.6</v>
      </c>
      <c r="AA2649" s="720"/>
      <c r="AB2649" s="716">
        <f>AE2638</f>
        <v>2.2800000000000001E-2</v>
      </c>
      <c r="AC2649" s="717" t="s">
        <v>126</v>
      </c>
      <c r="AD2649" s="686" t="s">
        <v>2377</v>
      </c>
      <c r="AE2649" s="686">
        <f>V2601</f>
        <v>111600</v>
      </c>
      <c r="AF2649" s="718" t="s">
        <v>126</v>
      </c>
      <c r="AG2649" s="686">
        <f>AB2649*AE2649</f>
        <v>2544.48</v>
      </c>
      <c r="AH2649" s="674"/>
    </row>
    <row r="2650" spans="6:34" ht="24" customHeight="1">
      <c r="F2650" s="885"/>
      <c r="G2650" s="884"/>
      <c r="H2650" s="887" t="s">
        <v>117</v>
      </c>
      <c r="I2650" s="887" t="s">
        <v>117</v>
      </c>
      <c r="J2650" s="601" t="s">
        <v>117</v>
      </c>
      <c r="K2650" s="885"/>
      <c r="M2650" s="686"/>
      <c r="N2650" s="717"/>
      <c r="O2650" s="686"/>
      <c r="P2650" s="686"/>
      <c r="Q2650" s="718"/>
      <c r="R2650" s="686">
        <v>21</v>
      </c>
      <c r="AA2650" s="720"/>
      <c r="AB2650" s="716">
        <f>AE2641</f>
        <v>4.3031249999999993E-2</v>
      </c>
      <c r="AC2650" s="717" t="s">
        <v>126</v>
      </c>
      <c r="AD2650" s="686" t="s">
        <v>1572</v>
      </c>
      <c r="AE2650" s="686">
        <f t="shared" ref="AE2650:AE2660" si="248">V2602</f>
        <v>99400</v>
      </c>
      <c r="AF2650" s="718" t="s">
        <v>126</v>
      </c>
      <c r="AG2650" s="686">
        <f t="shared" ref="AG2650:AG2660" si="249">AB2650*AE2650</f>
        <v>4277.3062499999996</v>
      </c>
      <c r="AH2650" s="674"/>
    </row>
    <row r="2651" spans="6:34" ht="37.5" customHeight="1">
      <c r="F2651" s="885"/>
      <c r="G2651" s="884"/>
      <c r="H2651" s="885"/>
      <c r="I2651" s="885"/>
      <c r="J2651" s="886"/>
      <c r="K2651" s="885"/>
      <c r="M2651" s="686"/>
      <c r="N2651" s="717"/>
      <c r="O2651" s="686"/>
      <c r="P2651" s="686"/>
      <c r="Q2651" s="718"/>
      <c r="R2651" s="721" t="s">
        <v>1586</v>
      </c>
      <c r="AA2651" s="720"/>
      <c r="AB2651" s="716">
        <f>AE2646</f>
        <v>4.0781250000000005E-2</v>
      </c>
      <c r="AC2651" s="717" t="s">
        <v>126</v>
      </c>
      <c r="AD2651" s="731" t="s">
        <v>2406</v>
      </c>
      <c r="AE2651" s="686">
        <f t="shared" si="248"/>
        <v>107000</v>
      </c>
      <c r="AF2651" s="718" t="s">
        <v>126</v>
      </c>
      <c r="AG2651" s="686">
        <f t="shared" si="249"/>
        <v>4363.5937500000009</v>
      </c>
      <c r="AH2651" s="674"/>
    </row>
    <row r="2652" spans="6:34" ht="34.5" customHeight="1">
      <c r="F2652" s="885"/>
      <c r="G2652" s="884"/>
      <c r="H2652" s="601" t="s">
        <v>1580</v>
      </c>
      <c r="I2652" s="885"/>
      <c r="J2652" s="886"/>
      <c r="K2652" s="885"/>
      <c r="M2652" s="686"/>
      <c r="N2652" s="646"/>
      <c r="O2652" s="619" t="s">
        <v>154</v>
      </c>
      <c r="P2652" s="686"/>
      <c r="Q2652" s="718"/>
      <c r="R2652" s="619">
        <f>SUM(R2640:R2650)</f>
        <v>13442.19</v>
      </c>
      <c r="AA2652" s="720"/>
      <c r="AB2652" s="716">
        <f>AE2637</f>
        <v>3.4424999999999999</v>
      </c>
      <c r="AC2652" s="717" t="s">
        <v>140</v>
      </c>
      <c r="AD2652" s="888" t="s">
        <v>1574</v>
      </c>
      <c r="AE2652" s="686">
        <f t="shared" si="248"/>
        <v>1155</v>
      </c>
      <c r="AF2652" s="718" t="s">
        <v>140</v>
      </c>
      <c r="AG2652" s="686">
        <f t="shared" si="249"/>
        <v>3976.0875000000001</v>
      </c>
      <c r="AH2652" s="674"/>
    </row>
    <row r="2653" spans="6:34" ht="24" customHeight="1">
      <c r="F2653" s="885"/>
      <c r="G2653" s="884"/>
      <c r="H2653" s="601"/>
      <c r="I2653" s="885"/>
      <c r="J2653" s="886"/>
      <c r="K2653" s="885"/>
      <c r="M2653" s="686"/>
      <c r="N2653" s="646"/>
      <c r="O2653" s="619"/>
      <c r="P2653" s="686"/>
      <c r="Q2653" s="718"/>
      <c r="R2653" s="721" t="s">
        <v>1586</v>
      </c>
      <c r="AA2653" s="720"/>
      <c r="AB2653" s="720">
        <v>2</v>
      </c>
      <c r="AC2653" s="717" t="s">
        <v>1576</v>
      </c>
      <c r="AD2653" s="575" t="s">
        <v>2401</v>
      </c>
      <c r="AE2653" s="889">
        <v>450</v>
      </c>
      <c r="AF2653" s="718" t="s">
        <v>227</v>
      </c>
      <c r="AG2653" s="686">
        <f t="shared" si="249"/>
        <v>900</v>
      </c>
      <c r="AH2653" s="674"/>
    </row>
    <row r="2654" spans="6:34" ht="24" customHeight="1">
      <c r="F2654" s="885"/>
      <c r="G2654" s="884"/>
      <c r="H2654" s="601" t="s">
        <v>1582</v>
      </c>
      <c r="I2654" s="885"/>
      <c r="J2654" s="886"/>
      <c r="K2654" s="885"/>
      <c r="M2654" s="686"/>
      <c r="N2654" s="646"/>
      <c r="O2654" s="619" t="s">
        <v>2408</v>
      </c>
      <c r="P2654" s="686"/>
      <c r="Q2654" s="718"/>
      <c r="R2654" s="619">
        <f>R2652/M2643</f>
        <v>6027.8878923766815</v>
      </c>
      <c r="AA2654" s="720"/>
      <c r="AB2654" s="720">
        <v>6</v>
      </c>
      <c r="AC2654" s="717" t="s">
        <v>1576</v>
      </c>
      <c r="AD2654" s="575" t="s">
        <v>2402</v>
      </c>
      <c r="AE2654" s="889">
        <v>79</v>
      </c>
      <c r="AF2654" s="718" t="s">
        <v>227</v>
      </c>
      <c r="AG2654" s="686">
        <f t="shared" si="249"/>
        <v>474</v>
      </c>
      <c r="AH2654" s="674"/>
    </row>
    <row r="2655" spans="6:34" ht="24" customHeight="1">
      <c r="F2655" s="885"/>
      <c r="G2655" s="884"/>
      <c r="H2655" s="601" t="s">
        <v>1583</v>
      </c>
      <c r="I2655" s="885"/>
      <c r="J2655" s="886"/>
      <c r="K2655" s="885"/>
      <c r="M2655" s="686"/>
      <c r="N2655" s="646"/>
      <c r="Q2655" s="578"/>
      <c r="R2655" s="622" t="s">
        <v>1586</v>
      </c>
      <c r="AA2655" s="716"/>
      <c r="AB2655" s="720">
        <v>4</v>
      </c>
      <c r="AC2655" s="717" t="s">
        <v>1576</v>
      </c>
      <c r="AD2655" s="575" t="s">
        <v>2403</v>
      </c>
      <c r="AE2655" s="889">
        <v>130</v>
      </c>
      <c r="AF2655" s="718" t="s">
        <v>227</v>
      </c>
      <c r="AG2655" s="686">
        <f t="shared" si="249"/>
        <v>520</v>
      </c>
      <c r="AH2655" s="674"/>
    </row>
    <row r="2656" spans="6:34" ht="24" customHeight="1">
      <c r="F2656" s="885"/>
      <c r="G2656" s="884"/>
      <c r="H2656" s="601" t="s">
        <v>1584</v>
      </c>
      <c r="I2656" s="885"/>
      <c r="J2656" s="886"/>
      <c r="K2656" s="885"/>
      <c r="M2656" s="575" t="s">
        <v>2407</v>
      </c>
      <c r="O2656" s="575" t="s">
        <v>1575</v>
      </c>
      <c r="AA2656" s="716"/>
      <c r="AB2656" s="720">
        <v>1</v>
      </c>
      <c r="AC2656" s="717" t="s">
        <v>1576</v>
      </c>
      <c r="AD2656" s="575" t="s">
        <v>2404</v>
      </c>
      <c r="AE2656" s="889">
        <v>985</v>
      </c>
      <c r="AF2656" s="718" t="s">
        <v>227</v>
      </c>
      <c r="AG2656" s="686">
        <f t="shared" si="249"/>
        <v>985</v>
      </c>
      <c r="AH2656" s="674"/>
    </row>
    <row r="2657" spans="6:34" ht="24" customHeight="1">
      <c r="F2657" s="885"/>
      <c r="G2657" s="884"/>
      <c r="H2657" s="601" t="s">
        <v>1585</v>
      </c>
      <c r="I2657" s="885"/>
      <c r="J2657" s="886"/>
      <c r="K2657" s="885"/>
      <c r="O2657" s="575" t="s">
        <v>117</v>
      </c>
      <c r="P2657" s="575" t="s">
        <v>117</v>
      </c>
      <c r="Q2657" s="575" t="s">
        <v>117</v>
      </c>
      <c r="AA2657" s="716"/>
      <c r="AB2657" s="720">
        <v>2</v>
      </c>
      <c r="AC2657" s="717" t="s">
        <v>1576</v>
      </c>
      <c r="AD2657" s="575" t="s">
        <v>2405</v>
      </c>
      <c r="AE2657" s="618">
        <v>24.6</v>
      </c>
      <c r="AF2657" s="718" t="s">
        <v>227</v>
      </c>
      <c r="AG2657" s="686">
        <f t="shared" si="249"/>
        <v>49.2</v>
      </c>
      <c r="AH2657" s="674"/>
    </row>
    <row r="2658" spans="6:34" ht="24" customHeight="1">
      <c r="F2658" s="885"/>
      <c r="G2658" s="884"/>
      <c r="H2658" s="601" t="s">
        <v>2409</v>
      </c>
      <c r="I2658" s="885"/>
      <c r="J2658" s="601" t="s">
        <v>115</v>
      </c>
      <c r="K2658" s="890">
        <v>3.7699999999999997E-2</v>
      </c>
      <c r="AA2658" s="716"/>
      <c r="AB2658" s="720">
        <v>2</v>
      </c>
      <c r="AC2658" s="717" t="s">
        <v>1576</v>
      </c>
      <c r="AD2658" s="686" t="s">
        <v>630</v>
      </c>
      <c r="AE2658" s="686">
        <f t="shared" si="248"/>
        <v>43.8</v>
      </c>
      <c r="AF2658" s="718" t="s">
        <v>227</v>
      </c>
      <c r="AG2658" s="686">
        <f t="shared" si="249"/>
        <v>87.6</v>
      </c>
    </row>
    <row r="2659" spans="6:34" ht="24" customHeight="1">
      <c r="F2659" s="885"/>
      <c r="G2659" s="884"/>
      <c r="H2659" s="601" t="s">
        <v>2410</v>
      </c>
      <c r="I2659" s="885"/>
      <c r="J2659" s="891" t="s">
        <v>115</v>
      </c>
      <c r="K2659" s="891" t="s">
        <v>115</v>
      </c>
      <c r="O2659" s="575" t="s">
        <v>1580</v>
      </c>
      <c r="AA2659" s="720"/>
      <c r="AB2659" s="720"/>
      <c r="AC2659" s="717"/>
      <c r="AD2659" s="686"/>
      <c r="AE2659" s="686">
        <f t="shared" si="248"/>
        <v>0</v>
      </c>
      <c r="AF2659" s="718"/>
      <c r="AG2659" s="686">
        <f t="shared" si="249"/>
        <v>0</v>
      </c>
    </row>
    <row r="2660" spans="6:34" ht="24" customHeight="1">
      <c r="F2660" s="885"/>
      <c r="G2660" s="884"/>
      <c r="H2660" s="601" t="s">
        <v>1590</v>
      </c>
      <c r="I2660" s="885"/>
      <c r="J2660" s="886"/>
      <c r="K2660" s="891" t="s">
        <v>115</v>
      </c>
      <c r="AA2660" s="720"/>
      <c r="AB2660" s="720">
        <v>118</v>
      </c>
      <c r="AC2660" s="717"/>
      <c r="AD2660" s="686" t="s">
        <v>1508</v>
      </c>
      <c r="AE2660" s="686">
        <f t="shared" si="248"/>
        <v>2.37</v>
      </c>
      <c r="AF2660" s="718"/>
      <c r="AG2660" s="686">
        <f t="shared" si="249"/>
        <v>279.66000000000003</v>
      </c>
    </row>
    <row r="2661" spans="6:34" ht="24" customHeight="1">
      <c r="F2661" s="885"/>
      <c r="G2661" s="884"/>
      <c r="H2661" s="885"/>
      <c r="I2661" s="885"/>
      <c r="J2661" s="886"/>
      <c r="K2661" s="885"/>
      <c r="O2661" s="575" t="s">
        <v>1582</v>
      </c>
      <c r="AA2661" s="720"/>
      <c r="AB2661" s="720"/>
      <c r="AC2661" s="646"/>
      <c r="AD2661" s="619" t="s">
        <v>154</v>
      </c>
      <c r="AE2661" s="686"/>
      <c r="AF2661" s="718"/>
      <c r="AG2661" s="619">
        <f>SUM(AG2649:AG2660)</f>
        <v>18456.927499999998</v>
      </c>
    </row>
    <row r="2662" spans="6:34" ht="24" customHeight="1">
      <c r="F2662" s="892">
        <v>1.18E-2</v>
      </c>
      <c r="G2662" s="893" t="s">
        <v>126</v>
      </c>
      <c r="H2662" s="601" t="s">
        <v>621</v>
      </c>
      <c r="I2662" s="894">
        <f>AC26</f>
        <v>111600</v>
      </c>
      <c r="J2662" s="601" t="s">
        <v>126</v>
      </c>
      <c r="K2662" s="894">
        <f t="shared" ref="K2662:K2671" si="250">(F2662*I2662)</f>
        <v>1316.8799999999999</v>
      </c>
      <c r="O2662" s="575" t="s">
        <v>1583</v>
      </c>
      <c r="AA2662" s="720"/>
      <c r="AB2662" s="720"/>
      <c r="AC2662" s="646"/>
      <c r="AD2662" s="619"/>
      <c r="AE2662" s="686"/>
      <c r="AF2662" s="718"/>
      <c r="AG2662" s="721" t="s">
        <v>1586</v>
      </c>
    </row>
    <row r="2663" spans="6:34" ht="24" customHeight="1">
      <c r="F2663" s="892">
        <v>3.7699999999999997E-2</v>
      </c>
      <c r="G2663" s="893" t="s">
        <v>126</v>
      </c>
      <c r="H2663" s="601" t="s">
        <v>622</v>
      </c>
      <c r="I2663" s="894">
        <f>AC27</f>
        <v>99400</v>
      </c>
      <c r="J2663" s="601" t="s">
        <v>126</v>
      </c>
      <c r="K2663" s="894">
        <f t="shared" si="250"/>
        <v>3747.3799999999997</v>
      </c>
      <c r="O2663" s="575" t="s">
        <v>1584</v>
      </c>
      <c r="AA2663" s="720"/>
      <c r="AB2663" s="720"/>
      <c r="AC2663" s="646"/>
      <c r="AD2663" s="619" t="s">
        <v>2385</v>
      </c>
      <c r="AE2663" s="686"/>
      <c r="AF2663" s="718"/>
      <c r="AG2663" s="619">
        <f>AG2661/3.4425</f>
        <v>5361.4894698620183</v>
      </c>
    </row>
    <row r="2664" spans="6:34" ht="24" customHeight="1">
      <c r="F2664" s="892">
        <v>1.8550000000000001E-2</v>
      </c>
      <c r="G2664" s="893" t="s">
        <v>126</v>
      </c>
      <c r="H2664" s="601" t="s">
        <v>1591</v>
      </c>
      <c r="I2664" s="894">
        <f>AE33</f>
        <v>10275</v>
      </c>
      <c r="J2664" s="601" t="s">
        <v>126</v>
      </c>
      <c r="K2664" s="894">
        <f t="shared" si="250"/>
        <v>190.60124999999999</v>
      </c>
      <c r="O2664" s="575" t="s">
        <v>1585</v>
      </c>
      <c r="AA2664" s="720"/>
      <c r="AB2664" s="717"/>
      <c r="AC2664" s="686"/>
      <c r="AD2664" s="686"/>
      <c r="AE2664" s="718"/>
      <c r="AF2664" s="686"/>
    </row>
    <row r="2665" spans="6:34" ht="24" customHeight="1">
      <c r="F2665" s="892">
        <v>1.36</v>
      </c>
      <c r="G2665" s="893" t="s">
        <v>140</v>
      </c>
      <c r="H2665" s="601" t="s">
        <v>1592</v>
      </c>
      <c r="I2665" s="895">
        <v>269.10000000000002</v>
      </c>
      <c r="J2665" s="601" t="s">
        <v>140</v>
      </c>
      <c r="K2665" s="894">
        <f t="shared" si="250"/>
        <v>365.97600000000006</v>
      </c>
      <c r="O2665" s="575" t="s">
        <v>2409</v>
      </c>
      <c r="Q2665" s="575" t="s">
        <v>115</v>
      </c>
      <c r="R2665" s="575">
        <v>0.04</v>
      </c>
      <c r="AA2665" s="720"/>
      <c r="AB2665" s="717"/>
      <c r="AC2665" s="686"/>
      <c r="AD2665" s="686"/>
      <c r="AE2665" s="718"/>
      <c r="AF2665" s="686"/>
    </row>
    <row r="2666" spans="6:34" ht="24" customHeight="1">
      <c r="F2666" s="892">
        <v>2.0499999999999998</v>
      </c>
      <c r="G2666" s="893" t="s">
        <v>140</v>
      </c>
      <c r="H2666" s="601" t="s">
        <v>1593</v>
      </c>
      <c r="I2666" s="894">
        <f>D30</f>
        <v>963</v>
      </c>
      <c r="J2666" s="601" t="s">
        <v>140</v>
      </c>
      <c r="K2666" s="894">
        <f t="shared" si="250"/>
        <v>1974.1499999999999</v>
      </c>
      <c r="O2666" s="575" t="s">
        <v>2410</v>
      </c>
      <c r="Q2666" s="575" t="s">
        <v>115</v>
      </c>
      <c r="R2666" s="575" t="s">
        <v>115</v>
      </c>
      <c r="AA2666" s="720"/>
      <c r="AB2666" s="717"/>
      <c r="AC2666" s="686"/>
      <c r="AD2666" s="686"/>
      <c r="AE2666" s="718"/>
      <c r="AF2666" s="686"/>
    </row>
    <row r="2667" spans="6:34" ht="24" customHeight="1">
      <c r="F2667" s="894">
        <v>2</v>
      </c>
      <c r="G2667" s="893" t="s">
        <v>209</v>
      </c>
      <c r="H2667" s="601" t="s">
        <v>2411</v>
      </c>
      <c r="I2667" s="894">
        <f>E285</f>
        <v>50.3</v>
      </c>
      <c r="J2667" s="601" t="s">
        <v>209</v>
      </c>
      <c r="K2667" s="894">
        <f t="shared" si="250"/>
        <v>100.6</v>
      </c>
      <c r="O2667" s="575" t="s">
        <v>1590</v>
      </c>
      <c r="R2667" s="575" t="s">
        <v>115</v>
      </c>
      <c r="AA2667" s="720"/>
      <c r="AB2667" s="646"/>
      <c r="AC2667" s="619"/>
      <c r="AD2667" s="686"/>
      <c r="AE2667" s="718"/>
      <c r="AF2667" s="619"/>
    </row>
    <row r="2668" spans="6:34" ht="24" customHeight="1">
      <c r="F2668" s="894">
        <v>6</v>
      </c>
      <c r="G2668" s="893" t="s">
        <v>209</v>
      </c>
      <c r="H2668" s="601" t="s">
        <v>1551</v>
      </c>
      <c r="I2668" s="894">
        <f>C282</f>
        <v>43.6</v>
      </c>
      <c r="J2668" s="601" t="s">
        <v>209</v>
      </c>
      <c r="K2668" s="894">
        <f t="shared" si="250"/>
        <v>261.60000000000002</v>
      </c>
      <c r="AA2668" s="720"/>
      <c r="AB2668" s="646"/>
      <c r="AC2668" s="619"/>
      <c r="AD2668" s="686"/>
      <c r="AE2668" s="718"/>
      <c r="AF2668" s="721"/>
    </row>
    <row r="2669" spans="6:34" ht="24" customHeight="1">
      <c r="F2669" s="894">
        <v>2</v>
      </c>
      <c r="G2669" s="893" t="s">
        <v>209</v>
      </c>
      <c r="H2669" s="896" t="s">
        <v>2412</v>
      </c>
      <c r="I2669" s="894">
        <f>I1134</f>
        <v>53.8</v>
      </c>
      <c r="J2669" s="601" t="s">
        <v>209</v>
      </c>
      <c r="K2669" s="894">
        <f t="shared" si="250"/>
        <v>107.6</v>
      </c>
      <c r="M2669" s="575">
        <v>0.01</v>
      </c>
      <c r="N2669" s="575" t="s">
        <v>126</v>
      </c>
      <c r="O2669" s="575" t="s">
        <v>621</v>
      </c>
      <c r="P2669" s="575">
        <f>I2662</f>
        <v>111600</v>
      </c>
      <c r="Q2669" s="575" t="s">
        <v>126</v>
      </c>
      <c r="R2669" s="575">
        <v>764.29</v>
      </c>
      <c r="AA2669" s="720"/>
      <c r="AB2669" s="646"/>
      <c r="AC2669" s="619"/>
      <c r="AD2669" s="686"/>
      <c r="AE2669" s="718"/>
      <c r="AF2669" s="619"/>
    </row>
    <row r="2670" spans="6:34" ht="24" customHeight="1">
      <c r="F2670" s="894">
        <v>1</v>
      </c>
      <c r="G2670" s="893" t="s">
        <v>209</v>
      </c>
      <c r="H2670" s="601" t="s">
        <v>2413</v>
      </c>
      <c r="I2670" s="895">
        <f>I1135</f>
        <v>63.2</v>
      </c>
      <c r="J2670" s="601" t="s">
        <v>209</v>
      </c>
      <c r="K2670" s="894">
        <f t="shared" si="250"/>
        <v>63.2</v>
      </c>
      <c r="M2670" s="575">
        <v>0.04</v>
      </c>
      <c r="N2670" s="575" t="s">
        <v>126</v>
      </c>
      <c r="O2670" s="575" t="s">
        <v>622</v>
      </c>
      <c r="P2670" s="575">
        <f>I2663</f>
        <v>99400</v>
      </c>
      <c r="Q2670" s="575" t="s">
        <v>126</v>
      </c>
      <c r="R2670" s="575">
        <v>2172.65</v>
      </c>
      <c r="AA2670" s="579"/>
    </row>
    <row r="2671" spans="6:34" ht="24" customHeight="1">
      <c r="F2671" s="894">
        <v>2.52</v>
      </c>
      <c r="G2671" s="893" t="s">
        <v>140</v>
      </c>
      <c r="H2671" s="601" t="s">
        <v>1597</v>
      </c>
      <c r="I2671" s="894">
        <f>K1167</f>
        <v>157.19</v>
      </c>
      <c r="J2671" s="601" t="s">
        <v>140</v>
      </c>
      <c r="K2671" s="894">
        <f t="shared" si="250"/>
        <v>396.11880000000002</v>
      </c>
      <c r="M2671" s="575">
        <v>0.02</v>
      </c>
      <c r="N2671" s="575" t="s">
        <v>126</v>
      </c>
      <c r="O2671" s="575" t="s">
        <v>1591</v>
      </c>
      <c r="P2671" s="575">
        <f>I2664</f>
        <v>10275</v>
      </c>
      <c r="Q2671" s="575" t="s">
        <v>126</v>
      </c>
      <c r="R2671" s="575">
        <v>56.02</v>
      </c>
    </row>
    <row r="2672" spans="6:34" ht="24" customHeight="1">
      <c r="F2672" s="885"/>
      <c r="G2672" s="884"/>
      <c r="H2672" s="601" t="s">
        <v>1598</v>
      </c>
      <c r="I2672" s="897" t="s">
        <v>129</v>
      </c>
      <c r="J2672" s="886"/>
      <c r="K2672" s="894">
        <v>2.13</v>
      </c>
      <c r="M2672" s="575">
        <v>1.36</v>
      </c>
      <c r="N2672" s="575" t="s">
        <v>140</v>
      </c>
      <c r="O2672" s="575" t="s">
        <v>1592</v>
      </c>
      <c r="P2672" s="898">
        <v>385.89</v>
      </c>
      <c r="Q2672" s="575" t="s">
        <v>140</v>
      </c>
      <c r="R2672" s="575">
        <v>524.80999999999995</v>
      </c>
    </row>
    <row r="2673" spans="6:18" ht="24" customHeight="1">
      <c r="F2673" s="885"/>
      <c r="G2673" s="884"/>
      <c r="H2673" s="899"/>
      <c r="I2673" s="899"/>
      <c r="J2673" s="900"/>
      <c r="K2673" s="901" t="s">
        <v>117</v>
      </c>
      <c r="M2673" s="575">
        <v>2.0499999999999998</v>
      </c>
      <c r="N2673" s="575" t="s">
        <v>140</v>
      </c>
      <c r="O2673" s="575" t="s">
        <v>1593</v>
      </c>
      <c r="P2673" s="575">
        <f t="shared" ref="P2673:P2678" si="251">I2666</f>
        <v>963</v>
      </c>
      <c r="Q2673" s="575" t="s">
        <v>140</v>
      </c>
      <c r="R2673" s="575">
        <v>586.29999999999995</v>
      </c>
    </row>
    <row r="2674" spans="6:18" ht="24" customHeight="1">
      <c r="F2674" s="885"/>
      <c r="G2674" s="884"/>
      <c r="H2674" s="902" t="s">
        <v>1599</v>
      </c>
      <c r="I2674" s="899"/>
      <c r="J2674" s="900"/>
      <c r="K2674" s="903">
        <f>SUM(K2662:K2672)</f>
        <v>8526.2360499999977</v>
      </c>
      <c r="M2674" s="575">
        <v>2</v>
      </c>
      <c r="N2674" s="575" t="s">
        <v>209</v>
      </c>
      <c r="O2674" s="575" t="s">
        <v>2411</v>
      </c>
      <c r="P2674" s="575">
        <f t="shared" si="251"/>
        <v>50.3</v>
      </c>
      <c r="Q2674" s="575" t="s">
        <v>209</v>
      </c>
      <c r="R2674" s="575">
        <v>50</v>
      </c>
    </row>
    <row r="2675" spans="6:18" ht="24" customHeight="1">
      <c r="F2675" s="885"/>
      <c r="G2675" s="893" t="s">
        <v>115</v>
      </c>
      <c r="H2675" s="899"/>
      <c r="I2675" s="899"/>
      <c r="J2675" s="900"/>
      <c r="K2675" s="901" t="s">
        <v>117</v>
      </c>
      <c r="M2675" s="575">
        <v>6</v>
      </c>
      <c r="N2675" s="575" t="s">
        <v>209</v>
      </c>
      <c r="O2675" s="575" t="s">
        <v>1551</v>
      </c>
      <c r="P2675" s="575">
        <f t="shared" si="251"/>
        <v>43.6</v>
      </c>
      <c r="Q2675" s="575" t="s">
        <v>209</v>
      </c>
      <c r="R2675" s="575">
        <v>150</v>
      </c>
    </row>
    <row r="2676" spans="6:18" ht="24" customHeight="1">
      <c r="F2676" s="885"/>
      <c r="G2676" s="884"/>
      <c r="H2676" s="902" t="s">
        <v>154</v>
      </c>
      <c r="I2676" s="899"/>
      <c r="J2676" s="900"/>
      <c r="K2676" s="903">
        <f>K2674/2.52</f>
        <v>3383.4270039682528</v>
      </c>
      <c r="M2676" s="575">
        <v>2</v>
      </c>
      <c r="N2676" s="575" t="s">
        <v>209</v>
      </c>
      <c r="O2676" s="575" t="s">
        <v>2414</v>
      </c>
      <c r="P2676" s="575">
        <f t="shared" si="251"/>
        <v>53.8</v>
      </c>
      <c r="Q2676" s="575" t="s">
        <v>209</v>
      </c>
      <c r="R2676" s="575">
        <v>70</v>
      </c>
    </row>
    <row r="2677" spans="6:18" ht="24" customHeight="1">
      <c r="F2677" s="885"/>
      <c r="G2677" s="884"/>
      <c r="H2677" s="899"/>
      <c r="I2677" s="899"/>
      <c r="J2677" s="900"/>
      <c r="K2677" s="901" t="s">
        <v>155</v>
      </c>
      <c r="M2677" s="575">
        <v>1</v>
      </c>
      <c r="N2677" s="575" t="s">
        <v>209</v>
      </c>
      <c r="O2677" s="575" t="s">
        <v>2413</v>
      </c>
      <c r="P2677" s="575">
        <f t="shared" si="251"/>
        <v>63.2</v>
      </c>
      <c r="Q2677" s="575" t="s">
        <v>209</v>
      </c>
      <c r="R2677" s="575">
        <v>60</v>
      </c>
    </row>
    <row r="2678" spans="6:18" ht="24" customHeight="1">
      <c r="F2678" s="885"/>
      <c r="G2678" s="884"/>
      <c r="H2678" s="899"/>
      <c r="I2678" s="899"/>
      <c r="J2678" s="900"/>
      <c r="K2678" s="899"/>
      <c r="M2678" s="575">
        <v>2.52</v>
      </c>
      <c r="N2678" s="575" t="s">
        <v>140</v>
      </c>
      <c r="O2678" s="575" t="s">
        <v>1597</v>
      </c>
      <c r="P2678" s="575">
        <f t="shared" si="251"/>
        <v>157.19</v>
      </c>
      <c r="Q2678" s="575" t="s">
        <v>140</v>
      </c>
      <c r="R2678" s="575">
        <v>124.71</v>
      </c>
    </row>
    <row r="2679" spans="6:18" ht="24" customHeight="1">
      <c r="F2679" s="882" t="s">
        <v>2415</v>
      </c>
      <c r="G2679" s="882"/>
      <c r="H2679" s="882"/>
      <c r="I2679" s="882"/>
      <c r="J2679" s="882"/>
      <c r="K2679" s="882"/>
      <c r="O2679" s="575" t="s">
        <v>1598</v>
      </c>
      <c r="P2679" s="575" t="s">
        <v>129</v>
      </c>
      <c r="R2679" s="575">
        <v>0.28000000000000003</v>
      </c>
    </row>
    <row r="2680" spans="6:18" ht="24" customHeight="1">
      <c r="F2680" s="904">
        <v>4</v>
      </c>
      <c r="G2680" s="576" t="s">
        <v>1492</v>
      </c>
      <c r="H2680" s="575" t="s">
        <v>2416</v>
      </c>
      <c r="I2680" s="686">
        <f>C394</f>
        <v>151.4</v>
      </c>
      <c r="J2680" s="578" t="s">
        <v>2417</v>
      </c>
      <c r="K2680" s="904">
        <f>I2680*F2680</f>
        <v>605.6</v>
      </c>
      <c r="R2680" s="575" t="s">
        <v>117</v>
      </c>
    </row>
    <row r="2681" spans="6:18" ht="24" customHeight="1">
      <c r="F2681" s="904">
        <v>2.52</v>
      </c>
      <c r="G2681" s="576" t="s">
        <v>2417</v>
      </c>
      <c r="H2681" s="575" t="s">
        <v>2418</v>
      </c>
      <c r="I2681" s="575">
        <f>C34/1000</f>
        <v>41.2</v>
      </c>
      <c r="J2681" s="578" t="s">
        <v>148</v>
      </c>
      <c r="K2681" s="904">
        <f t="shared" ref="K2681:K2687" si="252">I2681*F2681</f>
        <v>103.82400000000001</v>
      </c>
      <c r="O2681" s="575" t="s">
        <v>1599</v>
      </c>
      <c r="R2681" s="575">
        <v>4559.0600000000004</v>
      </c>
    </row>
    <row r="2682" spans="6:18" ht="24" customHeight="1">
      <c r="F2682" s="904">
        <v>1.1299999999999999</v>
      </c>
      <c r="G2682" s="576" t="s">
        <v>2417</v>
      </c>
      <c r="H2682" s="575" t="s">
        <v>2419</v>
      </c>
      <c r="I2682" s="575">
        <f>I2681</f>
        <v>41.2</v>
      </c>
      <c r="J2682" s="578" t="s">
        <v>148</v>
      </c>
      <c r="K2682" s="904">
        <f t="shared" si="252"/>
        <v>46.555999999999997</v>
      </c>
      <c r="N2682" s="575" t="s">
        <v>115</v>
      </c>
      <c r="R2682" s="575" t="s">
        <v>117</v>
      </c>
    </row>
    <row r="2683" spans="6:18" ht="24" customHeight="1">
      <c r="F2683" s="904">
        <v>0.35</v>
      </c>
      <c r="G2683" s="576" t="s">
        <v>148</v>
      </c>
      <c r="H2683" s="575" t="s">
        <v>2420</v>
      </c>
      <c r="I2683" s="575">
        <f>I2682</f>
        <v>41.2</v>
      </c>
      <c r="J2683" s="578" t="s">
        <v>148</v>
      </c>
      <c r="K2683" s="904">
        <f t="shared" si="252"/>
        <v>14.42</v>
      </c>
      <c r="O2683" s="575" t="s">
        <v>154</v>
      </c>
      <c r="R2683" s="575">
        <v>1809.15</v>
      </c>
    </row>
    <row r="2684" spans="6:18" ht="24" customHeight="1">
      <c r="F2684" s="904">
        <v>4</v>
      </c>
      <c r="G2684" s="576" t="s">
        <v>148</v>
      </c>
      <c r="H2684" s="575" t="s">
        <v>2421</v>
      </c>
      <c r="I2684" s="575">
        <f>C37</f>
        <v>41.6</v>
      </c>
      <c r="J2684" s="578" t="s">
        <v>148</v>
      </c>
      <c r="K2684" s="904">
        <f t="shared" si="252"/>
        <v>166.4</v>
      </c>
      <c r="R2684" s="575" t="s">
        <v>155</v>
      </c>
    </row>
    <row r="2685" spans="6:18" ht="24" customHeight="1">
      <c r="F2685" s="904">
        <v>6</v>
      </c>
      <c r="G2685" s="576" t="s">
        <v>1492</v>
      </c>
      <c r="H2685" s="575" t="s">
        <v>2422</v>
      </c>
      <c r="I2685" s="575">
        <v>1</v>
      </c>
      <c r="J2685" s="578" t="s">
        <v>227</v>
      </c>
      <c r="K2685" s="904">
        <f t="shared" si="252"/>
        <v>6</v>
      </c>
    </row>
    <row r="2686" spans="6:18" ht="24" customHeight="1">
      <c r="F2686" s="904">
        <v>0.5</v>
      </c>
      <c r="G2686" s="576" t="s">
        <v>1492</v>
      </c>
      <c r="H2686" s="575" t="s">
        <v>2190</v>
      </c>
      <c r="I2686" s="575">
        <f>C12</f>
        <v>502</v>
      </c>
      <c r="J2686" s="578" t="s">
        <v>227</v>
      </c>
      <c r="K2686" s="904">
        <f t="shared" si="252"/>
        <v>251</v>
      </c>
    </row>
    <row r="2687" spans="6:18" ht="24" customHeight="1">
      <c r="F2687" s="904">
        <v>0.5</v>
      </c>
      <c r="G2687" s="576" t="s">
        <v>1492</v>
      </c>
      <c r="H2687" s="575" t="s">
        <v>2254</v>
      </c>
      <c r="I2687" s="575">
        <f>C13</f>
        <v>412</v>
      </c>
      <c r="J2687" s="578" t="s">
        <v>227</v>
      </c>
      <c r="K2687" s="904">
        <f t="shared" si="252"/>
        <v>206</v>
      </c>
    </row>
    <row r="2688" spans="6:18" ht="24" customHeight="1">
      <c r="G2688" s="576" t="s">
        <v>129</v>
      </c>
      <c r="H2688" s="575" t="s">
        <v>2423</v>
      </c>
      <c r="I2688" s="661" t="s">
        <v>129</v>
      </c>
      <c r="K2688" s="575">
        <v>21.69</v>
      </c>
      <c r="L2688" s="575">
        <f>24*176</f>
        <v>4224</v>
      </c>
    </row>
    <row r="2689" spans="6:12" ht="24" customHeight="1">
      <c r="G2689" s="575"/>
      <c r="H2689" s="905" t="s">
        <v>2424</v>
      </c>
      <c r="K2689" s="906">
        <f>SUM(K2680:K2688)</f>
        <v>1421.49</v>
      </c>
    </row>
    <row r="2690" spans="6:12" ht="24" customHeight="1">
      <c r="G2690" s="575"/>
      <c r="H2690" s="905" t="s">
        <v>2321</v>
      </c>
      <c r="K2690" s="906">
        <f>K2689/2</f>
        <v>710.745</v>
      </c>
    </row>
    <row r="2691" spans="6:12" ht="24" customHeight="1">
      <c r="G2691" s="575"/>
      <c r="L2691" s="575">
        <f>K2725+K2716</f>
        <v>152.08600000000001</v>
      </c>
    </row>
    <row r="2692" spans="6:12" ht="24" customHeight="1">
      <c r="H2692" s="575" t="s">
        <v>2425</v>
      </c>
    </row>
    <row r="2694" spans="6:12" ht="24" customHeight="1">
      <c r="F2694" s="907"/>
      <c r="G2694" s="908"/>
      <c r="H2694" s="909" t="s">
        <v>2426</v>
      </c>
      <c r="I2694" s="907"/>
      <c r="J2694" s="910"/>
      <c r="K2694" s="907"/>
    </row>
    <row r="2695" spans="6:12" ht="24" customHeight="1">
      <c r="F2695" s="907"/>
      <c r="G2695" s="908"/>
      <c r="H2695" s="907" t="s">
        <v>2427</v>
      </c>
      <c r="I2695" s="907"/>
      <c r="J2695" s="910"/>
      <c r="K2695" s="907"/>
    </row>
    <row r="2696" spans="6:12" ht="24" customHeight="1">
      <c r="F2696" s="907">
        <v>41.6</v>
      </c>
      <c r="G2696" s="908" t="s">
        <v>148</v>
      </c>
      <c r="H2696" s="907" t="s">
        <v>2428</v>
      </c>
      <c r="I2696" s="907">
        <f>I2681</f>
        <v>41.2</v>
      </c>
      <c r="J2696" s="910" t="s">
        <v>148</v>
      </c>
      <c r="K2696" s="907">
        <f>F2696*I2696</f>
        <v>1713.92</v>
      </c>
    </row>
    <row r="2697" spans="6:12" ht="24" customHeight="1">
      <c r="F2697" s="907">
        <v>0.5</v>
      </c>
      <c r="G2697" s="908" t="s">
        <v>164</v>
      </c>
      <c r="H2697" s="907" t="s">
        <v>2429</v>
      </c>
      <c r="I2697" s="907">
        <f>AE21</f>
        <v>591</v>
      </c>
      <c r="J2697" s="910" t="s">
        <v>227</v>
      </c>
      <c r="K2697" s="907">
        <f>F2697*I2697</f>
        <v>295.5</v>
      </c>
    </row>
    <row r="2698" spans="6:12" ht="24" customHeight="1">
      <c r="F2698" s="907">
        <v>1</v>
      </c>
      <c r="G2698" s="908" t="s">
        <v>233</v>
      </c>
      <c r="H2698" s="907" t="s">
        <v>2430</v>
      </c>
      <c r="I2698" s="907">
        <f>C10</f>
        <v>769</v>
      </c>
      <c r="J2698" s="910" t="s">
        <v>227</v>
      </c>
      <c r="K2698" s="907">
        <f>F2698*I2698</f>
        <v>769</v>
      </c>
    </row>
    <row r="2699" spans="6:12" ht="24" customHeight="1">
      <c r="F2699" s="907">
        <v>1</v>
      </c>
      <c r="G2699" s="908" t="s">
        <v>233</v>
      </c>
      <c r="H2699" s="907" t="s">
        <v>1607</v>
      </c>
      <c r="I2699" s="907">
        <f>C13</f>
        <v>412</v>
      </c>
      <c r="J2699" s="910" t="s">
        <v>227</v>
      </c>
      <c r="K2699" s="907">
        <f>F2699*I2699</f>
        <v>412</v>
      </c>
    </row>
    <row r="2700" spans="6:12" ht="24" customHeight="1">
      <c r="F2700" s="907"/>
      <c r="G2700" s="908" t="s">
        <v>129</v>
      </c>
      <c r="H2700" s="907" t="s">
        <v>2431</v>
      </c>
      <c r="I2700" s="907"/>
      <c r="J2700" s="910" t="s">
        <v>129</v>
      </c>
      <c r="K2700" s="907">
        <v>27.7</v>
      </c>
    </row>
    <row r="2701" spans="6:12" ht="24" customHeight="1">
      <c r="F2701" s="907"/>
      <c r="G2701" s="908"/>
      <c r="H2701" s="911" t="s">
        <v>2432</v>
      </c>
      <c r="I2701" s="907"/>
      <c r="J2701" s="911" t="s">
        <v>2433</v>
      </c>
      <c r="K2701" s="907">
        <f>SUM(K2696:K2700)</f>
        <v>3218.12</v>
      </c>
    </row>
    <row r="2702" spans="6:12" ht="24" customHeight="1">
      <c r="F2702" s="907"/>
      <c r="G2702" s="908"/>
      <c r="H2702" s="911" t="s">
        <v>2434</v>
      </c>
      <c r="I2702" s="907"/>
      <c r="J2702" s="911" t="s">
        <v>2433</v>
      </c>
      <c r="K2702" s="907">
        <f>K2701/16</f>
        <v>201.13249999999999</v>
      </c>
    </row>
    <row r="2703" spans="6:12" ht="24" customHeight="1">
      <c r="F2703" s="907"/>
      <c r="G2703" s="908"/>
      <c r="H2703" s="912" t="s">
        <v>2435</v>
      </c>
      <c r="I2703" s="913"/>
      <c r="J2703" s="912" t="s">
        <v>2433</v>
      </c>
      <c r="K2703" s="913">
        <f>K2702/0.95</f>
        <v>211.71842105263158</v>
      </c>
    </row>
    <row r="2704" spans="6:12" ht="24" customHeight="1">
      <c r="F2704" s="907"/>
      <c r="G2704" s="908"/>
      <c r="H2704" s="907"/>
      <c r="I2704" s="907"/>
      <c r="J2704" s="910"/>
      <c r="K2704" s="907"/>
    </row>
    <row r="2705" spans="6:11" ht="24" customHeight="1">
      <c r="F2705" s="907"/>
      <c r="G2705" s="908"/>
      <c r="H2705" s="907"/>
      <c r="I2705" s="907"/>
      <c r="J2705" s="910"/>
      <c r="K2705" s="907"/>
    </row>
    <row r="2706" spans="6:11" ht="24" customHeight="1">
      <c r="F2706" s="761" t="s">
        <v>1796</v>
      </c>
      <c r="G2706" s="914" t="s">
        <v>122</v>
      </c>
      <c r="H2706" s="760" t="s">
        <v>1797</v>
      </c>
      <c r="I2706" s="907"/>
      <c r="J2706" s="910"/>
      <c r="K2706" s="907"/>
    </row>
    <row r="2707" spans="6:11" ht="50.25" customHeight="1">
      <c r="F2707" s="907"/>
      <c r="G2707" s="908"/>
      <c r="H2707" s="760" t="s">
        <v>1798</v>
      </c>
      <c r="I2707" s="907"/>
      <c r="J2707" s="910"/>
      <c r="K2707" s="907"/>
    </row>
    <row r="2708" spans="6:11" ht="24" customHeight="1">
      <c r="F2708" s="907"/>
      <c r="G2708" s="908"/>
      <c r="H2708" s="760" t="s">
        <v>1799</v>
      </c>
      <c r="I2708" s="907"/>
      <c r="J2708" s="910"/>
      <c r="K2708" s="907"/>
    </row>
    <row r="2709" spans="6:11" ht="24" customHeight="1">
      <c r="F2709" s="907"/>
      <c r="G2709" s="908"/>
      <c r="H2709" s="760" t="s">
        <v>1800</v>
      </c>
      <c r="I2709" s="907"/>
      <c r="J2709" s="910"/>
      <c r="K2709" s="907"/>
    </row>
    <row r="2710" spans="6:11" ht="24" customHeight="1">
      <c r="F2710" s="907"/>
      <c r="G2710" s="908"/>
      <c r="H2710" s="915" t="s">
        <v>117</v>
      </c>
      <c r="I2710" s="907"/>
      <c r="J2710" s="910"/>
      <c r="K2710" s="907"/>
    </row>
    <row r="2711" spans="6:11" ht="24" customHeight="1">
      <c r="F2711" s="758">
        <v>1.8</v>
      </c>
      <c r="G2711" s="914" t="s">
        <v>148</v>
      </c>
      <c r="H2711" s="916" t="s">
        <v>2436</v>
      </c>
      <c r="I2711" s="758">
        <f>C609</f>
        <v>22.2</v>
      </c>
      <c r="J2711" s="761" t="s">
        <v>148</v>
      </c>
      <c r="K2711" s="758">
        <f>(F2711*I2711)</f>
        <v>39.96</v>
      </c>
    </row>
    <row r="2712" spans="6:11" ht="24" customHeight="1">
      <c r="F2712" s="758">
        <v>0.25</v>
      </c>
      <c r="G2712" s="914" t="s">
        <v>209</v>
      </c>
      <c r="H2712" s="760" t="s">
        <v>1802</v>
      </c>
      <c r="I2712" s="758">
        <f>C14</f>
        <v>615</v>
      </c>
      <c r="J2712" s="761" t="s">
        <v>209</v>
      </c>
      <c r="K2712" s="758">
        <f>(F2712*I2712)</f>
        <v>153.75</v>
      </c>
    </row>
    <row r="2713" spans="6:11" ht="24" customHeight="1">
      <c r="F2713" s="758">
        <v>0.25</v>
      </c>
      <c r="G2713" s="914" t="s">
        <v>209</v>
      </c>
      <c r="H2713" s="760" t="s">
        <v>1628</v>
      </c>
      <c r="I2713" s="758">
        <f>C12</f>
        <v>502</v>
      </c>
      <c r="J2713" s="761" t="s">
        <v>209</v>
      </c>
      <c r="K2713" s="758">
        <f>(F2713*I2713)</f>
        <v>125.5</v>
      </c>
    </row>
    <row r="2714" spans="6:11" ht="24" customHeight="1">
      <c r="F2714" s="758">
        <v>0.4</v>
      </c>
      <c r="G2714" s="914" t="s">
        <v>209</v>
      </c>
      <c r="H2714" s="760" t="s">
        <v>147</v>
      </c>
      <c r="I2714" s="758">
        <f>C13</f>
        <v>412</v>
      </c>
      <c r="J2714" s="761" t="s">
        <v>209</v>
      </c>
      <c r="K2714" s="758">
        <f>(F2714*I2714)</f>
        <v>164.8</v>
      </c>
    </row>
    <row r="2715" spans="6:11" ht="24" customHeight="1">
      <c r="F2715" s="907"/>
      <c r="G2715" s="914"/>
      <c r="H2715" s="760"/>
      <c r="I2715" s="760" t="s">
        <v>115</v>
      </c>
      <c r="J2715" s="761"/>
      <c r="K2715" s="758">
        <f>SUM(K2711:K2714)</f>
        <v>484.01000000000005</v>
      </c>
    </row>
    <row r="2716" spans="6:11" ht="24" customHeight="1">
      <c r="F2716" s="907"/>
      <c r="G2716" s="908"/>
      <c r="H2716" s="913"/>
      <c r="I2716" s="913"/>
      <c r="J2716" s="917"/>
      <c r="K2716" s="918">
        <f>K2715/10</f>
        <v>48.401000000000003</v>
      </c>
    </row>
    <row r="2717" spans="6:11" ht="24" customHeight="1">
      <c r="F2717" s="758">
        <v>3</v>
      </c>
      <c r="G2717" s="914" t="s">
        <v>148</v>
      </c>
      <c r="H2717" s="760" t="s">
        <v>1801</v>
      </c>
      <c r="I2717" s="919">
        <f>C271</f>
        <v>48.95</v>
      </c>
      <c r="J2717" s="761" t="s">
        <v>148</v>
      </c>
      <c r="K2717" s="919">
        <f>(F2717*I2717)</f>
        <v>146.85000000000002</v>
      </c>
    </row>
    <row r="2718" spans="6:11" ht="24" customHeight="1">
      <c r="F2718" s="758">
        <v>0.5</v>
      </c>
      <c r="G2718" s="914" t="s">
        <v>209</v>
      </c>
      <c r="H2718" s="760" t="s">
        <v>1802</v>
      </c>
      <c r="I2718" s="919">
        <f>C14</f>
        <v>615</v>
      </c>
      <c r="J2718" s="761" t="s">
        <v>209</v>
      </c>
      <c r="K2718" s="919">
        <f>(F2718*I2718)</f>
        <v>307.5</v>
      </c>
    </row>
    <row r="2719" spans="6:11" ht="24" customHeight="1">
      <c r="F2719" s="758">
        <v>0.5</v>
      </c>
      <c r="G2719" s="914" t="s">
        <v>209</v>
      </c>
      <c r="H2719" s="760" t="s">
        <v>1628</v>
      </c>
      <c r="I2719" s="919">
        <f>I2713</f>
        <v>502</v>
      </c>
      <c r="J2719" s="761" t="s">
        <v>209</v>
      </c>
      <c r="K2719" s="919">
        <f>(F2719*I2719)</f>
        <v>251</v>
      </c>
    </row>
    <row r="2720" spans="6:11" ht="24" customHeight="1">
      <c r="F2720" s="758">
        <v>0.8</v>
      </c>
      <c r="G2720" s="914" t="s">
        <v>209</v>
      </c>
      <c r="H2720" s="760" t="s">
        <v>147</v>
      </c>
      <c r="I2720" s="919">
        <f>I2714</f>
        <v>412</v>
      </c>
      <c r="J2720" s="761" t="s">
        <v>209</v>
      </c>
      <c r="K2720" s="919">
        <f>(F2720*I2720)</f>
        <v>329.6</v>
      </c>
    </row>
    <row r="2721" spans="6:12" ht="24" customHeight="1">
      <c r="F2721" s="907"/>
      <c r="G2721" s="914" t="s">
        <v>129</v>
      </c>
      <c r="H2721" s="760" t="s">
        <v>769</v>
      </c>
      <c r="I2721" s="760" t="s">
        <v>115</v>
      </c>
      <c r="J2721" s="761" t="s">
        <v>129</v>
      </c>
      <c r="K2721" s="758">
        <v>1.9</v>
      </c>
    </row>
    <row r="2722" spans="6:12" ht="24" customHeight="1">
      <c r="F2722" s="907"/>
      <c r="G2722" s="908"/>
      <c r="H2722" s="913"/>
      <c r="I2722" s="913"/>
      <c r="J2722" s="917"/>
      <c r="K2722" s="920" t="s">
        <v>117</v>
      </c>
    </row>
    <row r="2723" spans="6:12" ht="24" customHeight="1">
      <c r="F2723" s="907"/>
      <c r="G2723" s="908"/>
      <c r="H2723" s="921" t="s">
        <v>153</v>
      </c>
      <c r="I2723" s="913"/>
      <c r="J2723" s="917"/>
      <c r="K2723" s="922">
        <f>SUM(K2717:K2721)</f>
        <v>1036.8500000000001</v>
      </c>
    </row>
    <row r="2724" spans="6:12" ht="24" customHeight="1">
      <c r="F2724" s="907"/>
      <c r="G2724" s="908"/>
      <c r="H2724" s="913"/>
      <c r="I2724" s="913"/>
      <c r="J2724" s="917"/>
      <c r="K2724" s="920" t="s">
        <v>117</v>
      </c>
    </row>
    <row r="2725" spans="6:12" ht="24" customHeight="1">
      <c r="F2725" s="907"/>
      <c r="G2725" s="908"/>
      <c r="H2725" s="921" t="s">
        <v>154</v>
      </c>
      <c r="I2725" s="913"/>
      <c r="J2725" s="917"/>
      <c r="K2725" s="922">
        <f>(K2723/10)</f>
        <v>103.68500000000002</v>
      </c>
    </row>
    <row r="2726" spans="6:12" ht="24" customHeight="1">
      <c r="F2726" s="907"/>
      <c r="G2726" s="907"/>
      <c r="H2726" s="907"/>
      <c r="I2726" s="907"/>
      <c r="J2726" s="907"/>
      <c r="K2726" s="907"/>
    </row>
    <row r="2727" spans="6:12" ht="24" customHeight="1">
      <c r="F2727" s="923"/>
      <c r="G2727" s="914" t="s">
        <v>122</v>
      </c>
      <c r="H2727" s="760" t="s">
        <v>807</v>
      </c>
      <c r="I2727" s="907"/>
      <c r="J2727" s="910"/>
      <c r="K2727" s="907"/>
    </row>
    <row r="2728" spans="6:12" ht="24" customHeight="1">
      <c r="F2728" s="907"/>
      <c r="G2728" s="908"/>
      <c r="H2728" s="760" t="s">
        <v>1975</v>
      </c>
      <c r="I2728" s="907"/>
      <c r="J2728" s="910"/>
      <c r="K2728" s="907"/>
    </row>
    <row r="2729" spans="6:12" ht="24" customHeight="1">
      <c r="F2729" s="907"/>
      <c r="G2729" s="908"/>
      <c r="H2729" s="760" t="s">
        <v>2437</v>
      </c>
      <c r="I2729" s="907"/>
      <c r="J2729" s="910"/>
      <c r="K2729" s="907"/>
    </row>
    <row r="2730" spans="6:12" ht="24" customHeight="1">
      <c r="F2730" s="907"/>
      <c r="G2730" s="908"/>
      <c r="H2730" s="915" t="s">
        <v>117</v>
      </c>
      <c r="I2730" s="907"/>
      <c r="J2730" s="910"/>
      <c r="K2730" s="907"/>
    </row>
    <row r="2731" spans="6:12" ht="24" customHeight="1">
      <c r="F2731" s="907"/>
      <c r="G2731" s="914" t="s">
        <v>1976</v>
      </c>
      <c r="H2731" s="760" t="s">
        <v>873</v>
      </c>
      <c r="I2731" s="907"/>
      <c r="J2731" s="910"/>
      <c r="K2731" s="760" t="s">
        <v>1977</v>
      </c>
    </row>
    <row r="2732" spans="6:12" ht="24" customHeight="1">
      <c r="F2732" s="907"/>
      <c r="G2732" s="908"/>
      <c r="H2732" s="915" t="s">
        <v>117</v>
      </c>
      <c r="I2732" s="907"/>
      <c r="J2732" s="910"/>
      <c r="K2732" s="915" t="s">
        <v>155</v>
      </c>
    </row>
    <row r="2733" spans="6:12" ht="24" customHeight="1">
      <c r="F2733" s="758">
        <v>30</v>
      </c>
      <c r="G2733" s="914" t="s">
        <v>203</v>
      </c>
      <c r="H2733" s="760" t="s">
        <v>879</v>
      </c>
      <c r="I2733" s="758">
        <v>9.1199999999999992</v>
      </c>
      <c r="J2733" s="761" t="s">
        <v>203</v>
      </c>
      <c r="K2733" s="758">
        <f>(F2733*I2733)</f>
        <v>273.59999999999997</v>
      </c>
    </row>
    <row r="2734" spans="6:12" ht="24" customHeight="1">
      <c r="F2734" s="760" t="s">
        <v>115</v>
      </c>
      <c r="G2734" s="908"/>
      <c r="H2734" s="760" t="s">
        <v>882</v>
      </c>
      <c r="I2734" s="760" t="s">
        <v>115</v>
      </c>
      <c r="J2734" s="910"/>
      <c r="K2734" s="760" t="s">
        <v>115</v>
      </c>
    </row>
    <row r="2735" spans="6:12" ht="24" customHeight="1">
      <c r="F2735" s="758">
        <v>8</v>
      </c>
      <c r="G2735" s="914" t="s">
        <v>209</v>
      </c>
      <c r="H2735" s="760" t="s">
        <v>823</v>
      </c>
      <c r="I2735" s="758">
        <f>I1806</f>
        <v>7.1</v>
      </c>
      <c r="J2735" s="761" t="s">
        <v>209</v>
      </c>
      <c r="K2735" s="758">
        <f t="shared" ref="K2735:K2740" si="253">(F2735*I2735)</f>
        <v>56.8</v>
      </c>
    </row>
    <row r="2736" spans="6:12" ht="24" customHeight="1">
      <c r="F2736" s="758">
        <v>8</v>
      </c>
      <c r="G2736" s="914" t="s">
        <v>209</v>
      </c>
      <c r="H2736" s="760" t="s">
        <v>826</v>
      </c>
      <c r="I2736" s="758">
        <f>I1807</f>
        <v>10</v>
      </c>
      <c r="J2736" s="761" t="s">
        <v>209</v>
      </c>
      <c r="K2736" s="758">
        <f t="shared" si="253"/>
        <v>80</v>
      </c>
      <c r="L2736" s="770"/>
    </row>
    <row r="2737" spans="6:12" ht="24" customHeight="1">
      <c r="F2737" s="758">
        <v>3</v>
      </c>
      <c r="G2737" s="914" t="s">
        <v>209</v>
      </c>
      <c r="H2737" s="760" t="s">
        <v>887</v>
      </c>
      <c r="I2737" s="758">
        <f>C41</f>
        <v>569</v>
      </c>
      <c r="J2737" s="761" t="s">
        <v>209</v>
      </c>
      <c r="K2737" s="758">
        <f t="shared" si="253"/>
        <v>1707</v>
      </c>
      <c r="L2737" s="772"/>
    </row>
    <row r="2738" spans="6:12" ht="24" customHeight="1">
      <c r="F2738" s="758">
        <v>1</v>
      </c>
      <c r="G2738" s="914" t="s">
        <v>209</v>
      </c>
      <c r="H2738" s="760" t="s">
        <v>1978</v>
      </c>
      <c r="I2738" s="758">
        <f>C10</f>
        <v>769</v>
      </c>
      <c r="J2738" s="761" t="s">
        <v>209</v>
      </c>
      <c r="K2738" s="758">
        <f t="shared" si="253"/>
        <v>769</v>
      </c>
      <c r="L2738" s="772"/>
    </row>
    <row r="2739" spans="6:12" ht="24" customHeight="1">
      <c r="F2739" s="758">
        <v>2</v>
      </c>
      <c r="G2739" s="914" t="s">
        <v>209</v>
      </c>
      <c r="H2739" s="760" t="s">
        <v>146</v>
      </c>
      <c r="I2739" s="758">
        <f>C12</f>
        <v>502</v>
      </c>
      <c r="J2739" s="761" t="s">
        <v>209</v>
      </c>
      <c r="K2739" s="758">
        <f t="shared" si="253"/>
        <v>1004</v>
      </c>
      <c r="L2739" s="772"/>
    </row>
    <row r="2740" spans="6:12" ht="20.25" customHeight="1">
      <c r="F2740" s="758">
        <v>1</v>
      </c>
      <c r="G2740" s="914" t="s">
        <v>209</v>
      </c>
      <c r="H2740" s="760" t="s">
        <v>147</v>
      </c>
      <c r="I2740" s="758">
        <f>C13</f>
        <v>412</v>
      </c>
      <c r="J2740" s="761" t="s">
        <v>209</v>
      </c>
      <c r="K2740" s="758">
        <f t="shared" si="253"/>
        <v>412</v>
      </c>
      <c r="L2740" s="772"/>
    </row>
    <row r="2741" spans="6:12" ht="36.75" customHeight="1">
      <c r="F2741" s="907"/>
      <c r="G2741" s="914" t="s">
        <v>129</v>
      </c>
      <c r="H2741" s="924" t="s">
        <v>2438</v>
      </c>
      <c r="I2741" s="758" t="s">
        <v>2295</v>
      </c>
      <c r="J2741" s="761" t="s">
        <v>129</v>
      </c>
      <c r="K2741" s="758">
        <v>64.849999999999994</v>
      </c>
      <c r="L2741" s="772"/>
    </row>
    <row r="2742" spans="6:12" ht="24" customHeight="1">
      <c r="F2742" s="907"/>
      <c r="G2742" s="908"/>
      <c r="H2742" s="760"/>
      <c r="I2742" s="758"/>
      <c r="J2742" s="910"/>
      <c r="K2742" s="919"/>
      <c r="L2742" s="772"/>
    </row>
    <row r="2743" spans="6:12" ht="24" customHeight="1">
      <c r="F2743" s="907"/>
      <c r="G2743" s="907"/>
      <c r="H2743" s="907"/>
      <c r="I2743" s="907"/>
      <c r="J2743" s="907"/>
      <c r="K2743" s="907"/>
      <c r="L2743" s="772"/>
    </row>
    <row r="2744" spans="6:12" ht="24" customHeight="1">
      <c r="F2744" s="907"/>
      <c r="G2744" s="908"/>
      <c r="H2744" s="907"/>
      <c r="I2744" s="907"/>
      <c r="J2744" s="910"/>
      <c r="K2744" s="915" t="s">
        <v>117</v>
      </c>
      <c r="L2744" s="772"/>
    </row>
    <row r="2745" spans="6:12" ht="24" customHeight="1">
      <c r="F2745" s="907"/>
      <c r="G2745" s="908"/>
      <c r="H2745" s="921" t="s">
        <v>893</v>
      </c>
      <c r="I2745" s="913"/>
      <c r="J2745" s="917"/>
      <c r="K2745" s="922">
        <f>SUM(K2733:K2744)</f>
        <v>4367.25</v>
      </c>
      <c r="L2745" s="781"/>
    </row>
    <row r="2746" spans="6:12" ht="24" customHeight="1">
      <c r="F2746" s="907"/>
      <c r="G2746" s="908"/>
      <c r="H2746" s="913"/>
      <c r="I2746" s="913"/>
      <c r="J2746" s="917"/>
      <c r="K2746" s="920" t="s">
        <v>117</v>
      </c>
    </row>
    <row r="2747" spans="6:12" ht="24" customHeight="1">
      <c r="F2747" s="907"/>
      <c r="G2747" s="908"/>
      <c r="H2747" s="921" t="s">
        <v>216</v>
      </c>
      <c r="I2747" s="913"/>
      <c r="J2747" s="917"/>
      <c r="K2747" s="922">
        <f>(K2745/30)</f>
        <v>145.57499999999999</v>
      </c>
    </row>
    <row r="2748" spans="6:12" ht="24" customHeight="1">
      <c r="F2748" s="907"/>
      <c r="G2748" s="907"/>
      <c r="H2748" s="907"/>
      <c r="I2748" s="907"/>
      <c r="J2748" s="907"/>
      <c r="K2748" s="907"/>
    </row>
    <row r="2749" spans="6:12" ht="24" customHeight="1">
      <c r="F2749" s="907"/>
      <c r="G2749" s="907"/>
      <c r="H2749" s="907"/>
      <c r="I2749" s="907"/>
      <c r="J2749" s="907"/>
      <c r="K2749" s="907"/>
    </row>
    <row r="2750" spans="6:12" ht="24" customHeight="1">
      <c r="F2750" s="925">
        <v>52</v>
      </c>
      <c r="G2750" s="914" t="s">
        <v>122</v>
      </c>
      <c r="H2750" s="760" t="s">
        <v>1984</v>
      </c>
      <c r="I2750" s="907"/>
      <c r="J2750" s="910"/>
      <c r="K2750" s="907"/>
    </row>
    <row r="2751" spans="6:12" ht="24" customHeight="1">
      <c r="F2751" s="907"/>
      <c r="G2751" s="908"/>
      <c r="H2751" s="760" t="s">
        <v>1985</v>
      </c>
      <c r="I2751" s="907"/>
      <c r="J2751" s="910"/>
      <c r="K2751" s="907"/>
    </row>
    <row r="2752" spans="6:12" ht="24" customHeight="1">
      <c r="F2752" s="907"/>
      <c r="G2752" s="908"/>
      <c r="H2752" s="760" t="s">
        <v>1987</v>
      </c>
      <c r="I2752" s="907"/>
      <c r="J2752" s="910"/>
      <c r="K2752" s="907"/>
    </row>
    <row r="2753" spans="5:24" ht="24" customHeight="1">
      <c r="F2753" s="907"/>
      <c r="G2753" s="908"/>
      <c r="H2753" s="760" t="s">
        <v>1989</v>
      </c>
      <c r="I2753" s="907"/>
      <c r="J2753" s="910"/>
      <c r="K2753" s="907"/>
    </row>
    <row r="2754" spans="5:24" ht="24" customHeight="1">
      <c r="F2754" s="907"/>
      <c r="G2754" s="908"/>
      <c r="H2754" s="760" t="s">
        <v>1990</v>
      </c>
      <c r="I2754" s="907"/>
      <c r="J2754" s="910"/>
      <c r="K2754" s="907"/>
    </row>
    <row r="2755" spans="5:24" ht="24" customHeight="1">
      <c r="E2755" s="575">
        <f>6*0.3</f>
        <v>1.7999999999999998</v>
      </c>
      <c r="F2755" s="907"/>
      <c r="G2755" s="908"/>
      <c r="H2755" s="760" t="s">
        <v>2439</v>
      </c>
      <c r="I2755" s="907"/>
      <c r="J2755" s="910"/>
      <c r="K2755" s="907"/>
    </row>
    <row r="2756" spans="5:24" ht="24" customHeight="1">
      <c r="E2756" s="575">
        <f>3.5+E2755</f>
        <v>5.3</v>
      </c>
      <c r="F2756" s="907"/>
      <c r="G2756" s="908"/>
      <c r="H2756" s="760" t="s">
        <v>1992</v>
      </c>
      <c r="I2756" s="907"/>
      <c r="J2756" s="910"/>
      <c r="K2756" s="907"/>
      <c r="L2756" s="575">
        <f>K2790</f>
        <v>179.5</v>
      </c>
    </row>
    <row r="2757" spans="5:24" ht="24" customHeight="1">
      <c r="E2757" s="575">
        <f>3.14*0.3*0.3</f>
        <v>0.28259999999999996</v>
      </c>
      <c r="F2757" s="907"/>
      <c r="G2757" s="908"/>
      <c r="H2757" s="760" t="s">
        <v>1993</v>
      </c>
      <c r="I2757" s="907"/>
      <c r="J2757" s="910"/>
      <c r="K2757" s="907"/>
      <c r="L2757" s="575">
        <f>K2791</f>
        <v>1757</v>
      </c>
    </row>
    <row r="2758" spans="5:24" ht="24" customHeight="1">
      <c r="F2758" s="907"/>
      <c r="G2758" s="908"/>
      <c r="H2758" s="915" t="s">
        <v>155</v>
      </c>
      <c r="I2758" s="915" t="s">
        <v>155</v>
      </c>
      <c r="J2758" s="910"/>
      <c r="K2758" s="907"/>
    </row>
    <row r="2759" spans="5:24" ht="24" customHeight="1">
      <c r="E2759" s="575">
        <f>E2757/4</f>
        <v>7.0649999999999991E-2</v>
      </c>
      <c r="F2759" s="907"/>
      <c r="G2759" s="914" t="s">
        <v>122</v>
      </c>
      <c r="H2759" s="760" t="s">
        <v>1994</v>
      </c>
      <c r="I2759" s="907"/>
      <c r="J2759" s="910"/>
      <c r="K2759" s="907"/>
      <c r="L2759" s="575">
        <f>SUM(L2756:L2757)</f>
        <v>1936.5</v>
      </c>
    </row>
    <row r="2760" spans="5:24" ht="24" customHeight="1">
      <c r="E2760" s="674">
        <f>E2759*E2756</f>
        <v>0.37444499999999992</v>
      </c>
      <c r="F2760" s="907"/>
      <c r="G2760" s="908"/>
      <c r="H2760" s="760" t="s">
        <v>1995</v>
      </c>
      <c r="I2760" s="907"/>
      <c r="J2760" s="910"/>
      <c r="K2760" s="907"/>
    </row>
    <row r="2761" spans="5:24" ht="24" customHeight="1">
      <c r="F2761" s="907"/>
      <c r="G2761" s="914" t="s">
        <v>1258</v>
      </c>
      <c r="H2761" s="760" t="s">
        <v>1996</v>
      </c>
      <c r="I2761" s="907"/>
      <c r="J2761" s="910"/>
      <c r="K2761" s="907"/>
    </row>
    <row r="2762" spans="5:24" ht="24" customHeight="1">
      <c r="F2762" s="907"/>
      <c r="G2762" s="908"/>
      <c r="H2762" s="915" t="s">
        <v>117</v>
      </c>
      <c r="I2762" s="907"/>
      <c r="J2762" s="910"/>
      <c r="K2762" s="907"/>
    </row>
    <row r="2763" spans="5:24" ht="24" customHeight="1">
      <c r="F2763" s="758">
        <v>1</v>
      </c>
      <c r="G2763" s="914" t="s">
        <v>231</v>
      </c>
      <c r="H2763" s="760" t="s">
        <v>1997</v>
      </c>
      <c r="I2763" s="758">
        <f>I1870</f>
        <v>26</v>
      </c>
      <c r="J2763" s="761" t="s">
        <v>231</v>
      </c>
      <c r="K2763" s="758">
        <f>(F2763*I2763)</f>
        <v>26</v>
      </c>
    </row>
    <row r="2764" spans="5:24" ht="24" customHeight="1">
      <c r="F2764" s="758">
        <v>1</v>
      </c>
      <c r="G2764" s="914" t="s">
        <v>129</v>
      </c>
      <c r="H2764" s="760" t="s">
        <v>1998</v>
      </c>
      <c r="I2764" s="758">
        <f>I2763*0.7</f>
        <v>18.2</v>
      </c>
      <c r="J2764" s="761" t="s">
        <v>129</v>
      </c>
      <c r="K2764" s="758">
        <f>(F2764*I2764)</f>
        <v>18.2</v>
      </c>
    </row>
    <row r="2765" spans="5:24" ht="24" customHeight="1">
      <c r="F2765" s="758">
        <v>1</v>
      </c>
      <c r="G2765" s="914" t="s">
        <v>231</v>
      </c>
      <c r="H2765" s="760" t="s">
        <v>1999</v>
      </c>
      <c r="I2765" s="758">
        <f>K2747</f>
        <v>145.57499999999999</v>
      </c>
      <c r="J2765" s="761" t="s">
        <v>231</v>
      </c>
      <c r="K2765" s="758">
        <f>(F2765*I2765)</f>
        <v>145.57499999999999</v>
      </c>
    </row>
    <row r="2766" spans="5:24" ht="24" customHeight="1">
      <c r="F2766" s="907"/>
      <c r="G2766" s="908"/>
      <c r="H2766" s="907"/>
      <c r="I2766" s="760" t="s">
        <v>115</v>
      </c>
      <c r="J2766" s="910"/>
      <c r="K2766" s="915"/>
    </row>
    <row r="2767" spans="5:24" ht="24" customHeight="1">
      <c r="F2767" s="907"/>
      <c r="G2767" s="908"/>
      <c r="H2767" s="921" t="s">
        <v>2000</v>
      </c>
      <c r="I2767" s="913"/>
      <c r="J2767" s="917"/>
      <c r="K2767" s="922">
        <f>SUM(K2763:K2765)</f>
        <v>189.77499999999998</v>
      </c>
      <c r="S2767" s="926"/>
      <c r="T2767" s="908"/>
      <c r="U2767" s="907"/>
      <c r="V2767" s="907"/>
      <c r="W2767" s="910"/>
      <c r="X2767" s="907"/>
    </row>
    <row r="2768" spans="5:24" ht="24" customHeight="1">
      <c r="F2768" s="907"/>
      <c r="G2768" s="908"/>
      <c r="H2768" s="760" t="s">
        <v>115</v>
      </c>
      <c r="I2768" s="760" t="s">
        <v>115</v>
      </c>
      <c r="J2768" s="910"/>
      <c r="K2768" s="915" t="s">
        <v>155</v>
      </c>
      <c r="S2768" s="927" t="s">
        <v>1465</v>
      </c>
      <c r="T2768" s="914" t="s">
        <v>122</v>
      </c>
      <c r="U2768" s="760" t="s">
        <v>2440</v>
      </c>
      <c r="V2768" s="907"/>
      <c r="W2768" s="910"/>
      <c r="X2768" s="907"/>
    </row>
    <row r="2769" spans="6:29" ht="24" customHeight="1">
      <c r="F2769" s="907"/>
      <c r="G2769" s="907"/>
      <c r="H2769" s="907"/>
      <c r="I2769" s="907"/>
      <c r="J2769" s="907"/>
      <c r="K2769" s="907"/>
      <c r="S2769" s="926"/>
      <c r="T2769" s="908"/>
      <c r="U2769" s="760" t="s">
        <v>1467</v>
      </c>
      <c r="V2769" s="907"/>
      <c r="W2769" s="910"/>
      <c r="X2769" s="907"/>
    </row>
    <row r="2770" spans="6:29" ht="24" customHeight="1">
      <c r="F2770" s="928"/>
      <c r="G2770" s="929"/>
      <c r="H2770" s="929"/>
      <c r="I2770" s="929"/>
      <c r="J2770" s="929"/>
      <c r="K2770" s="929"/>
      <c r="S2770" s="926"/>
      <c r="T2770" s="908"/>
      <c r="U2770" s="760" t="s">
        <v>1468</v>
      </c>
      <c r="V2770" s="907"/>
      <c r="W2770" s="910"/>
      <c r="X2770" s="907"/>
    </row>
    <row r="2771" spans="6:29" ht="24" customHeight="1">
      <c r="F2771" s="930"/>
      <c r="G2771" s="931" t="s">
        <v>2441</v>
      </c>
      <c r="H2771" s="932"/>
      <c r="I2771" s="932"/>
      <c r="J2771" s="933"/>
      <c r="K2771" s="932"/>
      <c r="S2771" s="926"/>
      <c r="T2771" s="908"/>
      <c r="U2771" s="915" t="s">
        <v>117</v>
      </c>
      <c r="V2771" s="907"/>
      <c r="W2771" s="910"/>
      <c r="X2771" s="907"/>
    </row>
    <row r="2772" spans="6:29" ht="24" customHeight="1">
      <c r="F2772" s="934"/>
      <c r="G2772" s="935"/>
      <c r="H2772" s="932"/>
      <c r="I2772" s="932"/>
      <c r="J2772" s="933"/>
      <c r="K2772" s="932"/>
      <c r="S2772" s="926"/>
      <c r="T2772" s="908"/>
      <c r="U2772" s="760" t="s">
        <v>2442</v>
      </c>
      <c r="V2772" s="907"/>
      <c r="W2772" s="910"/>
      <c r="X2772" s="907"/>
    </row>
    <row r="2773" spans="6:29" ht="24" customHeight="1">
      <c r="F2773" s="934">
        <v>5</v>
      </c>
      <c r="G2773" s="935" t="s">
        <v>2443</v>
      </c>
      <c r="H2773" s="936" t="s">
        <v>2444</v>
      </c>
      <c r="I2773" s="937">
        <v>160</v>
      </c>
      <c r="J2773" s="933" t="s">
        <v>2445</v>
      </c>
      <c r="K2773" s="932">
        <f>I2773*F2773</f>
        <v>800</v>
      </c>
      <c r="S2773" s="926"/>
      <c r="T2773" s="908"/>
      <c r="U2773" s="760" t="s">
        <v>2446</v>
      </c>
      <c r="V2773" s="907"/>
      <c r="W2773" s="910"/>
      <c r="X2773" s="907"/>
    </row>
    <row r="2774" spans="6:29" ht="24" customHeight="1">
      <c r="F2774" s="934">
        <v>1</v>
      </c>
      <c r="G2774" s="935" t="s">
        <v>164</v>
      </c>
      <c r="H2774" s="932" t="s">
        <v>2447</v>
      </c>
      <c r="I2774" s="932">
        <v>75</v>
      </c>
      <c r="J2774" s="933" t="s">
        <v>227</v>
      </c>
      <c r="K2774" s="932">
        <f>I2774*F2774</f>
        <v>75</v>
      </c>
      <c r="S2774" s="926"/>
      <c r="T2774" s="908"/>
      <c r="U2774" s="907"/>
      <c r="V2774" s="907"/>
      <c r="W2774" s="761" t="s">
        <v>117</v>
      </c>
      <c r="X2774" s="907"/>
    </row>
    <row r="2775" spans="6:29" ht="24" customHeight="1">
      <c r="F2775" s="934">
        <v>2.5</v>
      </c>
      <c r="G2775" s="935" t="s">
        <v>164</v>
      </c>
      <c r="H2775" s="932" t="s">
        <v>2448</v>
      </c>
      <c r="I2775" s="932">
        <f>C14</f>
        <v>615</v>
      </c>
      <c r="J2775" s="933" t="s">
        <v>164</v>
      </c>
      <c r="K2775" s="932">
        <f>I2775*F2775</f>
        <v>1537.5</v>
      </c>
      <c r="S2775" s="926"/>
      <c r="T2775" s="908"/>
      <c r="U2775" s="760" t="s">
        <v>2449</v>
      </c>
      <c r="V2775" s="907"/>
      <c r="W2775" s="910"/>
      <c r="X2775" s="907"/>
    </row>
    <row r="2776" spans="6:29" ht="24" customHeight="1">
      <c r="F2776" s="934"/>
      <c r="G2776" s="935"/>
      <c r="H2776" s="932" t="s">
        <v>236</v>
      </c>
      <c r="I2776" s="938" t="s">
        <v>129</v>
      </c>
      <c r="J2776" s="933"/>
      <c r="K2776" s="932">
        <v>0.25</v>
      </c>
      <c r="S2776" s="926"/>
      <c r="T2776" s="908"/>
      <c r="U2776" s="760" t="s">
        <v>2450</v>
      </c>
      <c r="V2776" s="907"/>
      <c r="W2776" s="910"/>
      <c r="X2776" s="939">
        <v>2.7099999999999999E-2</v>
      </c>
    </row>
    <row r="2777" spans="6:29" ht="24" customHeight="1">
      <c r="F2777" s="934"/>
      <c r="G2777" s="935"/>
      <c r="H2777" s="932"/>
      <c r="I2777" s="932"/>
      <c r="J2777" s="933"/>
      <c r="K2777" s="940" t="s">
        <v>155</v>
      </c>
      <c r="S2777" s="926"/>
      <c r="T2777" s="908"/>
      <c r="U2777" s="907"/>
      <c r="V2777" s="907"/>
      <c r="W2777" s="761" t="s">
        <v>115</v>
      </c>
      <c r="X2777" s="915" t="s">
        <v>117</v>
      </c>
      <c r="Y2777" s="941">
        <f>SUM(X2778:X2779)</f>
        <v>1.6420000000000001E-2</v>
      </c>
    </row>
    <row r="2778" spans="6:29" ht="24" customHeight="1">
      <c r="F2778" s="934"/>
      <c r="G2778" s="935"/>
      <c r="H2778" s="932"/>
      <c r="I2778" s="932" t="s">
        <v>2451</v>
      </c>
      <c r="J2778" s="933" t="s">
        <v>155</v>
      </c>
      <c r="K2778" s="942">
        <f>SUM(K2773:K2777)</f>
        <v>2412.75</v>
      </c>
      <c r="L2778" s="941">
        <f>K2811+K2810</f>
        <v>1.6420000000000001E-2</v>
      </c>
      <c r="S2778" s="926"/>
      <c r="T2778" s="908"/>
      <c r="U2778" s="760" t="s">
        <v>2452</v>
      </c>
      <c r="V2778" s="907"/>
      <c r="W2778" s="943" t="s">
        <v>115</v>
      </c>
      <c r="X2778" s="939">
        <v>1.2840000000000001E-2</v>
      </c>
    </row>
    <row r="2779" spans="6:29" ht="24" customHeight="1">
      <c r="F2779" s="944"/>
      <c r="G2779" s="945"/>
      <c r="H2779" s="946"/>
      <c r="I2779" s="946"/>
      <c r="J2779" s="947"/>
      <c r="K2779" s="948" t="s">
        <v>155</v>
      </c>
      <c r="S2779" s="926"/>
      <c r="T2779" s="908"/>
      <c r="U2779" s="760" t="s">
        <v>2453</v>
      </c>
      <c r="V2779" s="907"/>
      <c r="W2779" s="761" t="s">
        <v>115</v>
      </c>
      <c r="X2779" s="939">
        <v>3.5799999999999998E-3</v>
      </c>
    </row>
    <row r="2780" spans="6:29" ht="24" customHeight="1">
      <c r="F2780" s="907"/>
      <c r="G2780" s="908"/>
      <c r="H2780" s="907"/>
      <c r="I2780" s="907"/>
      <c r="J2780" s="910"/>
      <c r="K2780" s="907"/>
      <c r="S2780" s="926"/>
      <c r="T2780" s="908"/>
      <c r="U2780" s="907"/>
      <c r="V2780" s="907"/>
      <c r="W2780" s="910"/>
      <c r="X2780" s="915" t="s">
        <v>117</v>
      </c>
    </row>
    <row r="2781" spans="6:29" ht="24" customHeight="1">
      <c r="F2781" s="907" t="s">
        <v>2454</v>
      </c>
      <c r="G2781" s="908"/>
      <c r="H2781" s="907"/>
      <c r="I2781" s="907"/>
      <c r="J2781" s="910"/>
      <c r="K2781" s="907"/>
      <c r="S2781" s="949">
        <f>F2813</f>
        <v>1.898E-2</v>
      </c>
      <c r="T2781" s="914" t="s">
        <v>126</v>
      </c>
      <c r="U2781" s="760" t="s">
        <v>2455</v>
      </c>
      <c r="V2781" s="758">
        <f>C86</f>
        <v>34300</v>
      </c>
      <c r="W2781" s="761" t="s">
        <v>126</v>
      </c>
      <c r="X2781" s="758">
        <f>(S2781*V2781)</f>
        <v>651.01400000000001</v>
      </c>
    </row>
    <row r="2782" spans="6:29" ht="24" customHeight="1">
      <c r="F2782" s="907"/>
      <c r="G2782" s="908"/>
      <c r="H2782" s="907"/>
      <c r="I2782" s="907"/>
      <c r="J2782" s="910"/>
      <c r="K2782" s="907"/>
      <c r="S2782" s="949">
        <f t="shared" ref="S2782:S2792" si="254">F2814</f>
        <v>2.7099999999999999E-2</v>
      </c>
      <c r="T2782" s="914" t="s">
        <v>126</v>
      </c>
      <c r="U2782" s="760" t="s">
        <v>2455</v>
      </c>
      <c r="V2782" s="758">
        <f>V2781</f>
        <v>34300</v>
      </c>
      <c r="W2782" s="761" t="s">
        <v>126</v>
      </c>
      <c r="X2782" s="758">
        <f t="shared" ref="X2782:X2792" si="255">(S2782*V2782)</f>
        <v>929.53</v>
      </c>
    </row>
    <row r="2783" spans="6:29" ht="24" customHeight="1">
      <c r="F2783" s="907" t="s">
        <v>2456</v>
      </c>
      <c r="G2783" s="908"/>
      <c r="H2783" s="907"/>
      <c r="I2783" s="907"/>
      <c r="J2783" s="910"/>
      <c r="K2783" s="907"/>
      <c r="S2783" s="949">
        <f t="shared" si="254"/>
        <v>1.6420000000000001E-2</v>
      </c>
      <c r="T2783" s="914" t="s">
        <v>126</v>
      </c>
      <c r="U2783" s="760" t="s">
        <v>2457</v>
      </c>
      <c r="V2783" s="758">
        <f>C87</f>
        <v>39400</v>
      </c>
      <c r="W2783" s="761" t="s">
        <v>126</v>
      </c>
      <c r="X2783" s="758">
        <f t="shared" si="255"/>
        <v>646.94799999999998</v>
      </c>
      <c r="AC2783" s="619" t="s">
        <v>2458</v>
      </c>
    </row>
    <row r="2784" spans="6:29" ht="24" customHeight="1">
      <c r="F2784" s="907"/>
      <c r="G2784" s="908"/>
      <c r="H2784" s="907"/>
      <c r="I2784" s="907"/>
      <c r="J2784" s="910"/>
      <c r="K2784" s="907"/>
      <c r="S2784" s="949"/>
      <c r="T2784" s="908"/>
      <c r="U2784" s="760"/>
      <c r="V2784" s="758">
        <f>V958</f>
        <v>0</v>
      </c>
      <c r="W2784" s="910"/>
      <c r="X2784" s="758">
        <f t="shared" si="255"/>
        <v>0</v>
      </c>
      <c r="AC2784" s="619" t="s">
        <v>2459</v>
      </c>
    </row>
    <row r="2785" spans="6:33" ht="24" customHeight="1">
      <c r="F2785" s="907"/>
      <c r="G2785" s="950">
        <v>0.745</v>
      </c>
      <c r="H2785" s="907" t="s">
        <v>429</v>
      </c>
      <c r="I2785" s="907"/>
      <c r="J2785" s="910"/>
      <c r="K2785" s="907"/>
      <c r="S2785" s="949">
        <f t="shared" si="254"/>
        <v>1.8225</v>
      </c>
      <c r="T2785" s="914" t="s">
        <v>140</v>
      </c>
      <c r="U2785" s="760" t="s">
        <v>1480</v>
      </c>
      <c r="V2785" s="758">
        <f>I2817</f>
        <v>1155</v>
      </c>
      <c r="W2785" s="761" t="s">
        <v>140</v>
      </c>
      <c r="X2785" s="758">
        <f t="shared" si="255"/>
        <v>2104.9875000000002</v>
      </c>
    </row>
    <row r="2786" spans="6:33" ht="24" customHeight="1">
      <c r="F2786" s="907"/>
      <c r="G2786" s="908"/>
      <c r="H2786" s="907"/>
      <c r="I2786" s="907"/>
      <c r="J2786" s="910"/>
      <c r="K2786" s="907"/>
      <c r="S2786" s="949">
        <f t="shared" si="254"/>
        <v>2</v>
      </c>
      <c r="T2786" s="914" t="s">
        <v>1</v>
      </c>
      <c r="U2786" s="760" t="s">
        <v>1481</v>
      </c>
      <c r="V2786" s="758">
        <f t="shared" ref="V2786:V2791" si="256">I2818</f>
        <v>120</v>
      </c>
      <c r="W2786" s="761" t="s">
        <v>209</v>
      </c>
      <c r="X2786" s="758">
        <f t="shared" si="255"/>
        <v>240</v>
      </c>
      <c r="AB2786" s="951">
        <v>2.6159999999999999E-2</v>
      </c>
      <c r="AC2786" s="646" t="s">
        <v>126</v>
      </c>
      <c r="AD2786" s="619" t="s">
        <v>1571</v>
      </c>
      <c r="AE2786" s="619">
        <f>I2813</f>
        <v>111600</v>
      </c>
      <c r="AF2786" s="630" t="s">
        <v>126</v>
      </c>
      <c r="AG2786" s="619">
        <f>AE2786*AB2786</f>
        <v>2919.4560000000001</v>
      </c>
    </row>
    <row r="2787" spans="6:33" ht="24" customHeight="1">
      <c r="F2787" s="913" t="s">
        <v>2460</v>
      </c>
      <c r="G2787" s="908"/>
      <c r="H2787" s="907"/>
      <c r="I2787" s="907"/>
      <c r="J2787" s="910"/>
      <c r="K2787" s="907"/>
      <c r="S2787" s="949">
        <f t="shared" si="254"/>
        <v>3</v>
      </c>
      <c r="T2787" s="914" t="s">
        <v>209</v>
      </c>
      <c r="U2787" s="760" t="s">
        <v>1482</v>
      </c>
      <c r="V2787" s="758">
        <f t="shared" si="256"/>
        <v>110.17</v>
      </c>
      <c r="W2787" s="761" t="s">
        <v>209</v>
      </c>
      <c r="X2787" s="758">
        <f t="shared" si="255"/>
        <v>330.51</v>
      </c>
      <c r="AB2787" s="951">
        <v>4.7809999999999998E-2</v>
      </c>
      <c r="AC2787" s="646" t="s">
        <v>126</v>
      </c>
      <c r="AD2787" s="619" t="s">
        <v>1572</v>
      </c>
      <c r="AE2787" s="619">
        <f>I2814</f>
        <v>99400</v>
      </c>
      <c r="AF2787" s="630" t="s">
        <v>126</v>
      </c>
      <c r="AG2787" s="619">
        <f t="shared" ref="AG2787:AG2796" si="257">AE2787*AB2787</f>
        <v>4752.3139999999994</v>
      </c>
    </row>
    <row r="2788" spans="6:33" ht="24" customHeight="1">
      <c r="F2788" s="907"/>
      <c r="G2788" s="908"/>
      <c r="H2788" s="907"/>
      <c r="I2788" s="907"/>
      <c r="J2788" s="910"/>
      <c r="K2788" s="907"/>
      <c r="S2788" s="949">
        <f t="shared" si="254"/>
        <v>2</v>
      </c>
      <c r="T2788" s="914" t="s">
        <v>209</v>
      </c>
      <c r="U2788" s="760" t="s">
        <v>1484</v>
      </c>
      <c r="V2788" s="758">
        <f t="shared" si="256"/>
        <v>160</v>
      </c>
      <c r="W2788" s="761" t="s">
        <v>209</v>
      </c>
      <c r="X2788" s="758">
        <f t="shared" si="255"/>
        <v>320</v>
      </c>
      <c r="AB2788" s="952">
        <v>4.5879999999999997E-2</v>
      </c>
      <c r="AC2788" s="646" t="s">
        <v>126</v>
      </c>
      <c r="AD2788" s="619" t="s">
        <v>2461</v>
      </c>
      <c r="AE2788" s="619">
        <v>116700</v>
      </c>
      <c r="AF2788" s="630" t="s">
        <v>126</v>
      </c>
      <c r="AG2788" s="619">
        <f t="shared" si="257"/>
        <v>5354.1959999999999</v>
      </c>
    </row>
    <row r="2789" spans="6:33" ht="24" customHeight="1">
      <c r="F2789" s="926">
        <v>0.37</v>
      </c>
      <c r="G2789" s="908" t="s">
        <v>429</v>
      </c>
      <c r="H2789" s="907" t="s">
        <v>2462</v>
      </c>
      <c r="I2789" s="907">
        <f>I2992</f>
        <v>7344.0209999999988</v>
      </c>
      <c r="J2789" s="911" t="s">
        <v>429</v>
      </c>
      <c r="K2789" s="907">
        <f>F2789*I2789</f>
        <v>2717.2877699999995</v>
      </c>
      <c r="S2789" s="949">
        <f t="shared" si="254"/>
        <v>1</v>
      </c>
      <c r="T2789" s="914" t="s">
        <v>209</v>
      </c>
      <c r="U2789" s="760" t="s">
        <v>1486</v>
      </c>
      <c r="V2789" s="758">
        <f t="shared" si="256"/>
        <v>550</v>
      </c>
      <c r="W2789" s="761" t="s">
        <v>209</v>
      </c>
      <c r="X2789" s="758">
        <f t="shared" si="255"/>
        <v>550</v>
      </c>
      <c r="AB2789" s="952">
        <v>3.95</v>
      </c>
      <c r="AC2789" s="646" t="s">
        <v>140</v>
      </c>
      <c r="AD2789" s="619" t="s">
        <v>1574</v>
      </c>
      <c r="AE2789" s="619">
        <f>I2817</f>
        <v>1155</v>
      </c>
      <c r="AF2789" s="630" t="s">
        <v>140</v>
      </c>
      <c r="AG2789" s="619">
        <f t="shared" si="257"/>
        <v>4562.25</v>
      </c>
    </row>
    <row r="2790" spans="6:33" ht="24" customHeight="1">
      <c r="F2790" s="907">
        <v>0.25</v>
      </c>
      <c r="G2790" s="908" t="s">
        <v>164</v>
      </c>
      <c r="H2790" s="907" t="s">
        <v>1131</v>
      </c>
      <c r="I2790" s="907">
        <f>C11</f>
        <v>718</v>
      </c>
      <c r="J2790" s="911" t="s">
        <v>227</v>
      </c>
      <c r="K2790" s="907">
        <f>F2790*I2790</f>
        <v>179.5</v>
      </c>
      <c r="S2790" s="949">
        <f t="shared" si="254"/>
        <v>1</v>
      </c>
      <c r="T2790" s="914" t="s">
        <v>209</v>
      </c>
      <c r="U2790" s="760" t="s">
        <v>1488</v>
      </c>
      <c r="V2790" s="758">
        <f t="shared" si="256"/>
        <v>7.3</v>
      </c>
      <c r="W2790" s="761" t="s">
        <v>209</v>
      </c>
      <c r="X2790" s="758">
        <f t="shared" si="255"/>
        <v>7.3</v>
      </c>
      <c r="AB2790" s="619">
        <v>2</v>
      </c>
      <c r="AC2790" s="646" t="s">
        <v>1576</v>
      </c>
      <c r="AD2790" s="619" t="s">
        <v>1577</v>
      </c>
      <c r="AE2790" s="619">
        <f t="shared" ref="AE2790:AE2795" si="258">I2818</f>
        <v>120</v>
      </c>
      <c r="AF2790" s="630" t="s">
        <v>227</v>
      </c>
      <c r="AG2790" s="619">
        <f t="shared" si="257"/>
        <v>240</v>
      </c>
    </row>
    <row r="2791" spans="6:33" ht="24" customHeight="1">
      <c r="F2791" s="907">
        <v>3.5</v>
      </c>
      <c r="G2791" s="908" t="s">
        <v>240</v>
      </c>
      <c r="H2791" s="907" t="s">
        <v>1606</v>
      </c>
      <c r="I2791" s="907">
        <f>C12</f>
        <v>502</v>
      </c>
      <c r="J2791" s="911" t="s">
        <v>227</v>
      </c>
      <c r="K2791" s="907">
        <f>F2791*I2791</f>
        <v>1757</v>
      </c>
      <c r="S2791" s="949">
        <f t="shared" si="254"/>
        <v>1</v>
      </c>
      <c r="T2791" s="914" t="s">
        <v>209</v>
      </c>
      <c r="U2791" s="760" t="s">
        <v>630</v>
      </c>
      <c r="V2791" s="758">
        <f t="shared" si="256"/>
        <v>43.8</v>
      </c>
      <c r="W2791" s="761" t="s">
        <v>209</v>
      </c>
      <c r="X2791" s="758">
        <f t="shared" si="255"/>
        <v>43.8</v>
      </c>
      <c r="AB2791" s="619">
        <v>6</v>
      </c>
      <c r="AC2791" s="646" t="s">
        <v>1576</v>
      </c>
      <c r="AD2791" s="619" t="s">
        <v>1578</v>
      </c>
      <c r="AE2791" s="619">
        <f t="shared" si="258"/>
        <v>110.17</v>
      </c>
      <c r="AF2791" s="630" t="s">
        <v>227</v>
      </c>
      <c r="AG2791" s="619">
        <f t="shared" si="257"/>
        <v>661.02</v>
      </c>
    </row>
    <row r="2792" spans="6:33" ht="24" customHeight="1">
      <c r="F2792" s="907">
        <v>12</v>
      </c>
      <c r="G2792" s="908" t="s">
        <v>654</v>
      </c>
      <c r="H2792" s="907" t="s">
        <v>2463</v>
      </c>
      <c r="I2792" s="907"/>
      <c r="J2792" s="911" t="s">
        <v>654</v>
      </c>
      <c r="K2792" s="907">
        <f>I2792*F2792</f>
        <v>0</v>
      </c>
      <c r="S2792" s="926">
        <f t="shared" si="254"/>
        <v>64</v>
      </c>
      <c r="T2792" s="908"/>
      <c r="U2792" s="907" t="s">
        <v>2464</v>
      </c>
      <c r="V2792" s="907">
        <f>P2831</f>
        <v>2.37</v>
      </c>
      <c r="W2792" s="910"/>
      <c r="X2792" s="758">
        <f t="shared" si="255"/>
        <v>151.68</v>
      </c>
      <c r="AB2792" s="619">
        <v>4</v>
      </c>
      <c r="AC2792" s="646" t="s">
        <v>1576</v>
      </c>
      <c r="AD2792" s="619" t="s">
        <v>1579</v>
      </c>
      <c r="AE2792" s="619">
        <f t="shared" si="258"/>
        <v>160</v>
      </c>
      <c r="AF2792" s="630" t="s">
        <v>227</v>
      </c>
      <c r="AG2792" s="619">
        <f t="shared" si="257"/>
        <v>640</v>
      </c>
    </row>
    <row r="2793" spans="6:33" ht="24" customHeight="1">
      <c r="F2793" s="907"/>
      <c r="G2793" s="907" t="s">
        <v>2465</v>
      </c>
      <c r="H2793" s="907" t="s">
        <v>2466</v>
      </c>
      <c r="I2793" s="907"/>
      <c r="J2793" s="911" t="s">
        <v>2295</v>
      </c>
      <c r="K2793" s="907">
        <f>L2759*10%</f>
        <v>193.65</v>
      </c>
      <c r="S2793" s="926"/>
      <c r="T2793" s="908"/>
      <c r="U2793" s="760" t="s">
        <v>2467</v>
      </c>
      <c r="V2793" s="907"/>
      <c r="W2793" s="910"/>
      <c r="X2793" s="758">
        <f>SUM(X2781:X2792)</f>
        <v>5975.7695000000003</v>
      </c>
      <c r="AB2793" s="619">
        <v>1</v>
      </c>
      <c r="AC2793" s="646" t="s">
        <v>1576</v>
      </c>
      <c r="AD2793" s="619" t="s">
        <v>1581</v>
      </c>
      <c r="AE2793" s="619">
        <f t="shared" si="258"/>
        <v>550</v>
      </c>
      <c r="AF2793" s="630" t="s">
        <v>227</v>
      </c>
      <c r="AG2793" s="619">
        <f t="shared" si="257"/>
        <v>550</v>
      </c>
    </row>
    <row r="2794" spans="6:33" ht="24" customHeight="1">
      <c r="F2794" s="907"/>
      <c r="G2794" s="908"/>
      <c r="H2794" s="907"/>
      <c r="I2794" s="907"/>
      <c r="J2794" s="910"/>
      <c r="K2794" s="907" t="s">
        <v>2468</v>
      </c>
      <c r="S2794" s="926"/>
      <c r="T2794" s="908"/>
      <c r="U2794" s="907"/>
      <c r="V2794" s="907"/>
      <c r="W2794" s="910"/>
      <c r="X2794" s="915" t="s">
        <v>117</v>
      </c>
      <c r="AB2794" s="619">
        <v>2</v>
      </c>
      <c r="AC2794" s="646" t="s">
        <v>1576</v>
      </c>
      <c r="AD2794" s="619" t="s">
        <v>628</v>
      </c>
      <c r="AE2794" s="619">
        <f t="shared" si="258"/>
        <v>7.3</v>
      </c>
      <c r="AF2794" s="630" t="s">
        <v>227</v>
      </c>
      <c r="AG2794" s="619">
        <f t="shared" si="257"/>
        <v>14.6</v>
      </c>
    </row>
    <row r="2795" spans="6:33" ht="24" customHeight="1">
      <c r="F2795" s="907"/>
      <c r="G2795" s="908"/>
      <c r="H2795" s="907"/>
      <c r="I2795" s="907"/>
      <c r="J2795" s="910"/>
      <c r="K2795" s="907"/>
      <c r="S2795" s="926"/>
      <c r="T2795" s="908"/>
      <c r="U2795" s="760" t="s">
        <v>154</v>
      </c>
      <c r="V2795" s="907"/>
      <c r="W2795" s="910"/>
      <c r="X2795" s="758">
        <f>X2793/1.8225</f>
        <v>3278.8858710562417</v>
      </c>
      <c r="AB2795" s="619">
        <v>2</v>
      </c>
      <c r="AC2795" s="646" t="s">
        <v>1576</v>
      </c>
      <c r="AD2795" s="619" t="s">
        <v>630</v>
      </c>
      <c r="AE2795" s="619">
        <f t="shared" si="258"/>
        <v>43.8</v>
      </c>
      <c r="AF2795" s="630" t="s">
        <v>227</v>
      </c>
      <c r="AG2795" s="619">
        <f t="shared" si="257"/>
        <v>87.6</v>
      </c>
    </row>
    <row r="2796" spans="6:33" ht="24" customHeight="1">
      <c r="F2796" s="907"/>
      <c r="G2796" s="908"/>
      <c r="H2796" s="907"/>
      <c r="I2796" s="907" t="s">
        <v>2469</v>
      </c>
      <c r="J2796" s="910"/>
      <c r="K2796" s="907">
        <f>SUM(K2789:K2793)</f>
        <v>4847.4377699999986</v>
      </c>
      <c r="S2796" s="926"/>
      <c r="T2796" s="908"/>
      <c r="U2796" s="907"/>
      <c r="V2796" s="907"/>
      <c r="W2796" s="910"/>
      <c r="X2796" s="907"/>
      <c r="AB2796" s="619">
        <v>10</v>
      </c>
      <c r="AC2796" s="646"/>
      <c r="AD2796" s="619" t="s">
        <v>1509</v>
      </c>
      <c r="AE2796" s="619">
        <f>V2792</f>
        <v>2.37</v>
      </c>
      <c r="AF2796" s="630"/>
      <c r="AG2796" s="619">
        <f t="shared" si="257"/>
        <v>23.700000000000003</v>
      </c>
    </row>
    <row r="2797" spans="6:33" ht="24" customHeight="1">
      <c r="F2797" s="907"/>
      <c r="G2797" s="908"/>
      <c r="H2797" s="907"/>
      <c r="I2797" s="907"/>
      <c r="J2797" s="910"/>
      <c r="K2797" s="907"/>
      <c r="AB2797" s="619"/>
      <c r="AC2797" s="646"/>
      <c r="AD2797" s="619" t="s">
        <v>154</v>
      </c>
      <c r="AE2797" s="619"/>
      <c r="AF2797" s="630"/>
      <c r="AG2797" s="619">
        <f>SUM(AG2786:AG2796)</f>
        <v>19805.135999999999</v>
      </c>
    </row>
    <row r="2798" spans="6:33" ht="24" customHeight="1">
      <c r="F2798" s="907"/>
      <c r="G2798" s="908"/>
      <c r="H2798" s="907"/>
      <c r="I2798" s="907" t="s">
        <v>2470</v>
      </c>
      <c r="J2798" s="910"/>
      <c r="K2798" s="907">
        <f>K2796/3.5</f>
        <v>1384.9822199999996</v>
      </c>
      <c r="AB2798" s="619"/>
      <c r="AC2798" s="646"/>
      <c r="AD2798" s="619"/>
      <c r="AE2798" s="619"/>
      <c r="AF2798" s="630"/>
      <c r="AG2798" s="953" t="s">
        <v>1586</v>
      </c>
    </row>
    <row r="2799" spans="6:33" ht="24" customHeight="1">
      <c r="F2799" s="907"/>
      <c r="G2799" s="908"/>
      <c r="H2799" s="907"/>
      <c r="I2799" s="907"/>
      <c r="J2799" s="910"/>
      <c r="K2799" s="907"/>
      <c r="AB2799" s="619"/>
      <c r="AC2799" s="646"/>
      <c r="AD2799" s="619" t="s">
        <v>154</v>
      </c>
      <c r="AE2799" s="619"/>
      <c r="AF2799" s="630"/>
      <c r="AG2799" s="619">
        <f>AG2797/AB2789</f>
        <v>5013.958481012658</v>
      </c>
    </row>
    <row r="2800" spans="6:33" ht="54.75" customHeight="1">
      <c r="F2800" s="761" t="s">
        <v>1465</v>
      </c>
      <c r="G2800" s="914" t="s">
        <v>122</v>
      </c>
      <c r="H2800" s="760" t="s">
        <v>1472</v>
      </c>
      <c r="I2800" s="907"/>
      <c r="J2800" s="910"/>
      <c r="K2800" s="907"/>
      <c r="AB2800" s="619"/>
      <c r="AC2800" s="646"/>
      <c r="AD2800" s="619"/>
      <c r="AE2800" s="619"/>
      <c r="AF2800" s="630"/>
      <c r="AG2800" s="953" t="s">
        <v>1586</v>
      </c>
    </row>
    <row r="2801" spans="6:18" ht="24" customHeight="1">
      <c r="F2801" s="907"/>
      <c r="G2801" s="908"/>
      <c r="H2801" s="760" t="s">
        <v>1467</v>
      </c>
      <c r="I2801" s="907"/>
      <c r="J2801" s="910"/>
      <c r="K2801" s="907"/>
    </row>
    <row r="2802" spans="6:18" ht="24" customHeight="1">
      <c r="F2802" s="907"/>
      <c r="G2802" s="908"/>
      <c r="H2802" s="760" t="s">
        <v>1468</v>
      </c>
      <c r="I2802" s="913" t="s">
        <v>2471</v>
      </c>
      <c r="J2802" s="910"/>
      <c r="K2802" s="907"/>
    </row>
    <row r="2803" spans="6:18" ht="24" customHeight="1">
      <c r="F2803" s="907"/>
      <c r="G2803" s="908"/>
      <c r="H2803" s="915" t="s">
        <v>117</v>
      </c>
      <c r="I2803" s="907"/>
      <c r="J2803" s="910"/>
      <c r="K2803" s="907"/>
    </row>
    <row r="2804" spans="6:18" ht="24" customHeight="1">
      <c r="F2804" s="907"/>
      <c r="G2804" s="908"/>
      <c r="H2804" s="760" t="s">
        <v>2442</v>
      </c>
      <c r="I2804" s="907"/>
      <c r="J2804" s="910"/>
      <c r="K2804" s="907"/>
    </row>
    <row r="2805" spans="6:18" ht="24" customHeight="1">
      <c r="F2805" s="907"/>
      <c r="G2805" s="908"/>
      <c r="H2805" s="760" t="s">
        <v>2446</v>
      </c>
      <c r="I2805" s="907"/>
      <c r="J2805" s="910"/>
      <c r="K2805" s="907"/>
    </row>
    <row r="2806" spans="6:18" ht="24" customHeight="1">
      <c r="F2806" s="907"/>
      <c r="G2806" s="908"/>
      <c r="H2806" s="907"/>
      <c r="I2806" s="907"/>
      <c r="J2806" s="761" t="s">
        <v>117</v>
      </c>
      <c r="K2806" s="907"/>
    </row>
    <row r="2807" spans="6:18" ht="24" customHeight="1">
      <c r="F2807" s="907"/>
      <c r="G2807" s="908"/>
      <c r="H2807" s="760" t="s">
        <v>2449</v>
      </c>
      <c r="I2807" s="907"/>
      <c r="J2807" s="910"/>
      <c r="K2807" s="907"/>
      <c r="M2807" s="761" t="s">
        <v>1465</v>
      </c>
      <c r="N2807" s="914" t="s">
        <v>122</v>
      </c>
      <c r="O2807" s="760" t="s">
        <v>1472</v>
      </c>
      <c r="P2807" s="907"/>
      <c r="Q2807" s="910"/>
      <c r="R2807" s="907"/>
    </row>
    <row r="2808" spans="6:18" ht="24" customHeight="1">
      <c r="F2808" s="907"/>
      <c r="G2808" s="908"/>
      <c r="H2808" s="760" t="s">
        <v>2450</v>
      </c>
      <c r="I2808" s="907"/>
      <c r="J2808" s="910"/>
      <c r="K2808" s="939">
        <v>2.7099999999999999E-2</v>
      </c>
      <c r="M2808" s="907"/>
      <c r="N2808" s="908"/>
      <c r="O2808" s="760" t="s">
        <v>1467</v>
      </c>
      <c r="P2808" s="907"/>
      <c r="Q2808" s="910"/>
      <c r="R2808" s="907"/>
    </row>
    <row r="2809" spans="6:18" ht="24" customHeight="1">
      <c r="F2809" s="907"/>
      <c r="G2809" s="908"/>
      <c r="H2809" s="907"/>
      <c r="I2809" s="907"/>
      <c r="J2809" s="761" t="s">
        <v>115</v>
      </c>
      <c r="K2809" s="915" t="s">
        <v>117</v>
      </c>
      <c r="M2809" s="907"/>
      <c r="N2809" s="908"/>
      <c r="O2809" s="760" t="s">
        <v>2472</v>
      </c>
      <c r="P2809" s="913" t="s">
        <v>2473</v>
      </c>
      <c r="Q2809" s="910"/>
      <c r="R2809" s="907"/>
    </row>
    <row r="2810" spans="6:18" ht="24" customHeight="1">
      <c r="F2810" s="907"/>
      <c r="G2810" s="908"/>
      <c r="H2810" s="760" t="s">
        <v>2452</v>
      </c>
      <c r="I2810" s="907"/>
      <c r="J2810" s="943" t="s">
        <v>115</v>
      </c>
      <c r="K2810" s="939">
        <v>1.2840000000000001E-2</v>
      </c>
      <c r="M2810" s="907"/>
      <c r="N2810" s="908"/>
      <c r="O2810" s="915" t="s">
        <v>117</v>
      </c>
      <c r="P2810" s="907"/>
      <c r="Q2810" s="910"/>
      <c r="R2810" s="907"/>
    </row>
    <row r="2811" spans="6:18" ht="24" customHeight="1">
      <c r="F2811" s="907"/>
      <c r="G2811" s="908"/>
      <c r="H2811" s="760" t="s">
        <v>2474</v>
      </c>
      <c r="I2811" s="907"/>
      <c r="J2811" s="761" t="s">
        <v>115</v>
      </c>
      <c r="K2811" s="939">
        <v>3.5799999999999998E-3</v>
      </c>
      <c r="M2811" s="907"/>
      <c r="N2811" s="908"/>
      <c r="O2811" s="760" t="s">
        <v>2475</v>
      </c>
      <c r="P2811" s="907"/>
      <c r="Q2811" s="910"/>
      <c r="R2811" s="907"/>
    </row>
    <row r="2812" spans="6:18" ht="24" customHeight="1">
      <c r="F2812" s="954"/>
      <c r="G2812" s="908"/>
      <c r="H2812" s="907"/>
      <c r="I2812" s="907"/>
      <c r="J2812" s="910"/>
      <c r="K2812" s="915" t="s">
        <v>117</v>
      </c>
      <c r="M2812" s="907"/>
      <c r="N2812" s="908"/>
      <c r="O2812" s="760" t="s">
        <v>2446</v>
      </c>
      <c r="P2812" s="907"/>
      <c r="Q2812" s="910"/>
      <c r="R2812" s="907"/>
    </row>
    <row r="2813" spans="6:18" ht="24" customHeight="1">
      <c r="F2813" s="939">
        <v>1.898E-2</v>
      </c>
      <c r="G2813" s="914" t="s">
        <v>126</v>
      </c>
      <c r="H2813" s="760" t="s">
        <v>1483</v>
      </c>
      <c r="I2813" s="758">
        <f>AC26</f>
        <v>111600</v>
      </c>
      <c r="J2813" s="761" t="s">
        <v>126</v>
      </c>
      <c r="K2813" s="758">
        <f>(F2813*I2813)</f>
        <v>2118.1680000000001</v>
      </c>
      <c r="M2813" s="907"/>
      <c r="N2813" s="908"/>
      <c r="O2813" s="907"/>
      <c r="P2813" s="907"/>
      <c r="Q2813" s="761" t="s">
        <v>117</v>
      </c>
      <c r="R2813" s="907"/>
    </row>
    <row r="2814" spans="6:18" ht="24" customHeight="1">
      <c r="F2814" s="939">
        <f>K2808</f>
        <v>2.7099999999999999E-2</v>
      </c>
      <c r="G2814" s="914" t="s">
        <v>126</v>
      </c>
      <c r="H2814" s="760" t="s">
        <v>1485</v>
      </c>
      <c r="I2814" s="758">
        <f>AC27</f>
        <v>99400</v>
      </c>
      <c r="J2814" s="761" t="s">
        <v>126</v>
      </c>
      <c r="K2814" s="758">
        <f t="shared" ref="K2814:K2824" si="259">(F2814*I2814)</f>
        <v>2693.74</v>
      </c>
      <c r="M2814" s="907"/>
      <c r="N2814" s="908"/>
      <c r="O2814" s="760" t="s">
        <v>2476</v>
      </c>
      <c r="P2814" s="907"/>
      <c r="Q2814" s="910"/>
      <c r="R2814" s="907"/>
    </row>
    <row r="2815" spans="6:18" ht="24" customHeight="1">
      <c r="F2815" s="939">
        <f>L2778</f>
        <v>1.6420000000000001E-2</v>
      </c>
      <c r="G2815" s="914" t="s">
        <v>126</v>
      </c>
      <c r="H2815" s="760" t="s">
        <v>1487</v>
      </c>
      <c r="I2815" s="758">
        <f>AC28</f>
        <v>95000</v>
      </c>
      <c r="J2815" s="761" t="s">
        <v>126</v>
      </c>
      <c r="K2815" s="758">
        <f t="shared" si="259"/>
        <v>1559.9</v>
      </c>
      <c r="M2815" s="907"/>
      <c r="N2815" s="908"/>
      <c r="O2815" s="760" t="s">
        <v>2477</v>
      </c>
      <c r="P2815" s="907"/>
      <c r="Q2815" s="910"/>
      <c r="R2815" s="939">
        <v>2.784E-2</v>
      </c>
    </row>
    <row r="2816" spans="6:18" ht="24" customHeight="1">
      <c r="F2816" s="955"/>
      <c r="G2816" s="908"/>
      <c r="H2816" s="760" t="s">
        <v>1560</v>
      </c>
      <c r="I2816" s="758"/>
      <c r="J2816" s="910"/>
      <c r="K2816" s="758"/>
      <c r="M2816" s="907"/>
      <c r="N2816" s="908"/>
      <c r="O2816" s="907"/>
      <c r="P2816" s="907"/>
      <c r="Q2816" s="761" t="s">
        <v>115</v>
      </c>
      <c r="R2816" s="915" t="s">
        <v>117</v>
      </c>
    </row>
    <row r="2817" spans="6:18" ht="24" customHeight="1">
      <c r="F2817" s="955">
        <v>1.8225</v>
      </c>
      <c r="G2817" s="914" t="s">
        <v>140</v>
      </c>
      <c r="H2817" s="760" t="s">
        <v>1480</v>
      </c>
      <c r="I2817" s="758">
        <f>I954</f>
        <v>1155</v>
      </c>
      <c r="J2817" s="761" t="s">
        <v>140</v>
      </c>
      <c r="K2817" s="758">
        <f t="shared" si="259"/>
        <v>2104.9875000000002</v>
      </c>
      <c r="M2817" s="907"/>
      <c r="N2817" s="908"/>
      <c r="O2817" s="760" t="s">
        <v>2478</v>
      </c>
      <c r="P2817" s="907"/>
      <c r="Q2817" s="943" t="s">
        <v>115</v>
      </c>
      <c r="R2817" s="939">
        <v>2.5499999999999998E-2</v>
      </c>
    </row>
    <row r="2818" spans="6:18" ht="24" customHeight="1">
      <c r="F2818" s="758">
        <v>2</v>
      </c>
      <c r="G2818" s="914" t="s">
        <v>1</v>
      </c>
      <c r="H2818" s="760" t="s">
        <v>2479</v>
      </c>
      <c r="I2818" s="758">
        <v>120</v>
      </c>
      <c r="J2818" s="761" t="s">
        <v>209</v>
      </c>
      <c r="K2818" s="758">
        <f t="shared" si="259"/>
        <v>240</v>
      </c>
      <c r="M2818" s="907"/>
      <c r="N2818" s="908"/>
      <c r="O2818" s="760"/>
      <c r="P2818" s="907"/>
      <c r="Q2818" s="761" t="s">
        <v>115</v>
      </c>
      <c r="R2818" s="939"/>
    </row>
    <row r="2819" spans="6:18" ht="24" customHeight="1">
      <c r="F2819" s="758">
        <v>3</v>
      </c>
      <c r="G2819" s="914" t="s">
        <v>209</v>
      </c>
      <c r="H2819" s="760" t="s">
        <v>2480</v>
      </c>
      <c r="I2819" s="758">
        <v>110.17</v>
      </c>
      <c r="J2819" s="761" t="s">
        <v>209</v>
      </c>
      <c r="K2819" s="758">
        <f t="shared" si="259"/>
        <v>330.51</v>
      </c>
      <c r="M2819" s="907"/>
      <c r="N2819" s="908"/>
      <c r="O2819" s="907"/>
      <c r="P2819" s="907"/>
      <c r="Q2819" s="910"/>
      <c r="R2819" s="915" t="s">
        <v>117</v>
      </c>
    </row>
    <row r="2820" spans="6:18" ht="24" customHeight="1">
      <c r="F2820" s="758">
        <v>2</v>
      </c>
      <c r="G2820" s="914" t="s">
        <v>209</v>
      </c>
      <c r="H2820" s="760" t="s">
        <v>2481</v>
      </c>
      <c r="I2820" s="758">
        <v>160</v>
      </c>
      <c r="J2820" s="761" t="s">
        <v>209</v>
      </c>
      <c r="K2820" s="758">
        <f t="shared" si="259"/>
        <v>320</v>
      </c>
      <c r="M2820" s="939">
        <v>1.898E-2</v>
      </c>
      <c r="N2820" s="914" t="s">
        <v>126</v>
      </c>
      <c r="O2820" s="760" t="s">
        <v>1483</v>
      </c>
      <c r="P2820" s="758">
        <f>I2813</f>
        <v>111600</v>
      </c>
      <c r="Q2820" s="761" t="s">
        <v>126</v>
      </c>
      <c r="R2820" s="758">
        <f>(M2820*P2820)</f>
        <v>2118.1680000000001</v>
      </c>
    </row>
    <row r="2821" spans="6:18" ht="24" customHeight="1">
      <c r="F2821" s="758">
        <v>1</v>
      </c>
      <c r="G2821" s="914" t="s">
        <v>209</v>
      </c>
      <c r="H2821" s="760" t="s">
        <v>2482</v>
      </c>
      <c r="I2821" s="758">
        <v>550</v>
      </c>
      <c r="J2821" s="761" t="s">
        <v>209</v>
      </c>
      <c r="K2821" s="758">
        <f t="shared" si="259"/>
        <v>550</v>
      </c>
      <c r="M2821" s="939">
        <f>R2815</f>
        <v>2.784E-2</v>
      </c>
      <c r="N2821" s="914" t="s">
        <v>126</v>
      </c>
      <c r="O2821" s="760" t="s">
        <v>1485</v>
      </c>
      <c r="P2821" s="758">
        <f t="shared" ref="P2821:P2830" si="260">I2814</f>
        <v>99400</v>
      </c>
      <c r="Q2821" s="761" t="s">
        <v>126</v>
      </c>
      <c r="R2821" s="758">
        <f t="shared" ref="R2821:R2830" si="261">(M2821*P2821)</f>
        <v>2767.2959999999998</v>
      </c>
    </row>
    <row r="2822" spans="6:18" ht="24" customHeight="1">
      <c r="F2822" s="758">
        <v>1</v>
      </c>
      <c r="G2822" s="914" t="s">
        <v>209</v>
      </c>
      <c r="H2822" s="760" t="s">
        <v>1488</v>
      </c>
      <c r="I2822" s="758">
        <f>C288</f>
        <v>7.3</v>
      </c>
      <c r="J2822" s="761" t="s">
        <v>209</v>
      </c>
      <c r="K2822" s="758">
        <f t="shared" si="259"/>
        <v>7.3</v>
      </c>
      <c r="M2822" s="939">
        <f>R2817</f>
        <v>2.5499999999999998E-2</v>
      </c>
      <c r="N2822" s="914" t="s">
        <v>126</v>
      </c>
      <c r="O2822" s="760" t="s">
        <v>1487</v>
      </c>
      <c r="P2822" s="758">
        <f t="shared" si="260"/>
        <v>95000</v>
      </c>
      <c r="Q2822" s="761" t="s">
        <v>126</v>
      </c>
      <c r="R2822" s="758">
        <f t="shared" si="261"/>
        <v>2422.5</v>
      </c>
    </row>
    <row r="2823" spans="6:18" ht="24" customHeight="1">
      <c r="F2823" s="758">
        <v>1</v>
      </c>
      <c r="G2823" s="914" t="s">
        <v>209</v>
      </c>
      <c r="H2823" s="760" t="s">
        <v>630</v>
      </c>
      <c r="I2823" s="956">
        <f>I2841</f>
        <v>43.8</v>
      </c>
      <c r="J2823" s="761" t="s">
        <v>209</v>
      </c>
      <c r="K2823" s="758">
        <f t="shared" si="259"/>
        <v>43.8</v>
      </c>
      <c r="M2823" s="955"/>
      <c r="N2823" s="908"/>
      <c r="O2823" s="760" t="s">
        <v>2483</v>
      </c>
      <c r="P2823" s="758"/>
      <c r="Q2823" s="910"/>
      <c r="R2823" s="758"/>
    </row>
    <row r="2824" spans="6:18" ht="24" customHeight="1">
      <c r="F2824" s="907">
        <v>64</v>
      </c>
      <c r="G2824" s="908"/>
      <c r="H2824" s="907" t="s">
        <v>2484</v>
      </c>
      <c r="I2824" s="957">
        <f>P1121</f>
        <v>2.37</v>
      </c>
      <c r="J2824" s="910"/>
      <c r="K2824" s="758">
        <f t="shared" si="259"/>
        <v>151.68</v>
      </c>
      <c r="M2824" s="955">
        <v>2.2275</v>
      </c>
      <c r="N2824" s="914" t="s">
        <v>140</v>
      </c>
      <c r="O2824" s="760" t="s">
        <v>1480</v>
      </c>
      <c r="P2824" s="758">
        <f t="shared" si="260"/>
        <v>1155</v>
      </c>
      <c r="Q2824" s="761" t="s">
        <v>140</v>
      </c>
      <c r="R2824" s="758">
        <f t="shared" si="261"/>
        <v>2572.7624999999998</v>
      </c>
    </row>
    <row r="2825" spans="6:18" ht="24" customHeight="1">
      <c r="F2825" s="907"/>
      <c r="G2825" s="908"/>
      <c r="H2825" s="760" t="s">
        <v>2467</v>
      </c>
      <c r="I2825" s="907"/>
      <c r="J2825" s="910"/>
      <c r="K2825" s="758">
        <f>SUM(K2813:K2824)</f>
        <v>10120.085499999999</v>
      </c>
      <c r="M2825" s="758">
        <v>1</v>
      </c>
      <c r="N2825" s="914" t="s">
        <v>1</v>
      </c>
      <c r="O2825" s="760" t="s">
        <v>1481</v>
      </c>
      <c r="P2825" s="758">
        <f t="shared" si="260"/>
        <v>120</v>
      </c>
      <c r="Q2825" s="761" t="s">
        <v>209</v>
      </c>
      <c r="R2825" s="758">
        <f t="shared" si="261"/>
        <v>120</v>
      </c>
    </row>
    <row r="2826" spans="6:18" ht="24" customHeight="1">
      <c r="F2826" s="907"/>
      <c r="G2826" s="908"/>
      <c r="H2826" s="907"/>
      <c r="I2826" s="907"/>
      <c r="J2826" s="910"/>
      <c r="K2826" s="915" t="s">
        <v>117</v>
      </c>
      <c r="M2826" s="758">
        <v>3</v>
      </c>
      <c r="N2826" s="914" t="s">
        <v>209</v>
      </c>
      <c r="O2826" s="760" t="s">
        <v>1482</v>
      </c>
      <c r="P2826" s="758">
        <f t="shared" si="260"/>
        <v>110.17</v>
      </c>
      <c r="Q2826" s="761" t="s">
        <v>209</v>
      </c>
      <c r="R2826" s="758">
        <f t="shared" si="261"/>
        <v>330.51</v>
      </c>
    </row>
    <row r="2827" spans="6:18" ht="24" customHeight="1">
      <c r="F2827" s="907"/>
      <c r="G2827" s="908"/>
      <c r="H2827" s="760" t="s">
        <v>154</v>
      </c>
      <c r="I2827" s="907"/>
      <c r="J2827" s="910"/>
      <c r="K2827" s="922">
        <f>K2825/F2817</f>
        <v>5552.8589849108366</v>
      </c>
      <c r="M2827" s="758">
        <v>2</v>
      </c>
      <c r="N2827" s="914" t="s">
        <v>209</v>
      </c>
      <c r="O2827" s="760" t="s">
        <v>1484</v>
      </c>
      <c r="P2827" s="758">
        <f t="shared" si="260"/>
        <v>160</v>
      </c>
      <c r="Q2827" s="761" t="s">
        <v>209</v>
      </c>
      <c r="R2827" s="758">
        <f t="shared" si="261"/>
        <v>320</v>
      </c>
    </row>
    <row r="2828" spans="6:18" ht="24" customHeight="1">
      <c r="F2828" s="907"/>
      <c r="G2828" s="908"/>
      <c r="H2828" s="907"/>
      <c r="I2828" s="907"/>
      <c r="J2828" s="910"/>
      <c r="K2828" s="907"/>
      <c r="M2828" s="758">
        <v>1</v>
      </c>
      <c r="N2828" s="914" t="s">
        <v>209</v>
      </c>
      <c r="O2828" s="760" t="s">
        <v>1486</v>
      </c>
      <c r="P2828" s="758">
        <f t="shared" si="260"/>
        <v>550</v>
      </c>
      <c r="Q2828" s="761" t="s">
        <v>209</v>
      </c>
      <c r="R2828" s="758">
        <f t="shared" si="261"/>
        <v>550</v>
      </c>
    </row>
    <row r="2829" spans="6:18" ht="24" customHeight="1">
      <c r="F2829" s="761" t="s">
        <v>1465</v>
      </c>
      <c r="G2829" s="914" t="s">
        <v>122</v>
      </c>
      <c r="H2829" s="760" t="s">
        <v>2485</v>
      </c>
      <c r="I2829" s="907"/>
      <c r="J2829" s="910"/>
      <c r="K2829" s="907"/>
      <c r="M2829" s="758">
        <v>1</v>
      </c>
      <c r="N2829" s="914" t="s">
        <v>209</v>
      </c>
      <c r="O2829" s="760" t="s">
        <v>1488</v>
      </c>
      <c r="P2829" s="758">
        <f t="shared" si="260"/>
        <v>7.3</v>
      </c>
      <c r="Q2829" s="761" t="s">
        <v>209</v>
      </c>
      <c r="R2829" s="758">
        <f t="shared" si="261"/>
        <v>7.3</v>
      </c>
    </row>
    <row r="2830" spans="6:18" ht="24" customHeight="1">
      <c r="F2830" s="907"/>
      <c r="G2830" s="908"/>
      <c r="H2830" s="760" t="s">
        <v>1467</v>
      </c>
      <c r="I2830" s="907"/>
      <c r="J2830" s="910"/>
      <c r="K2830" s="907"/>
      <c r="M2830" s="758">
        <v>1</v>
      </c>
      <c r="N2830" s="914" t="s">
        <v>209</v>
      </c>
      <c r="O2830" s="760" t="s">
        <v>630</v>
      </c>
      <c r="P2830" s="758">
        <f t="shared" si="260"/>
        <v>43.8</v>
      </c>
      <c r="Q2830" s="761" t="s">
        <v>209</v>
      </c>
      <c r="R2830" s="758">
        <f t="shared" si="261"/>
        <v>43.8</v>
      </c>
    </row>
    <row r="2831" spans="6:18" ht="24" customHeight="1">
      <c r="F2831" s="907"/>
      <c r="G2831" s="908"/>
      <c r="H2831" s="760" t="s">
        <v>1468</v>
      </c>
      <c r="I2831" s="907"/>
      <c r="J2831" s="910">
        <f>1.1*2.025</f>
        <v>2.2275</v>
      </c>
      <c r="K2831" s="907"/>
      <c r="M2831" s="907">
        <v>58</v>
      </c>
      <c r="N2831" s="914" t="s">
        <v>209</v>
      </c>
      <c r="O2831" s="907" t="s">
        <v>1509</v>
      </c>
      <c r="P2831" s="907">
        <f>P1121</f>
        <v>2.37</v>
      </c>
      <c r="Q2831" s="910" t="s">
        <v>209</v>
      </c>
      <c r="R2831" s="758">
        <f>(M2831*P2831)</f>
        <v>137.46</v>
      </c>
    </row>
    <row r="2832" spans="6:18" ht="24" customHeight="1">
      <c r="F2832" s="907"/>
      <c r="G2832" s="908"/>
      <c r="H2832" s="915" t="s">
        <v>117</v>
      </c>
      <c r="I2832" s="907"/>
      <c r="J2832" s="910"/>
      <c r="K2832" s="907"/>
      <c r="M2832" s="907"/>
      <c r="N2832" s="908"/>
      <c r="O2832" s="760" t="s">
        <v>2486</v>
      </c>
      <c r="P2832" s="907"/>
      <c r="Q2832" s="910"/>
      <c r="R2832" s="758">
        <f>SUM(R2820:R2831)</f>
        <v>11389.796499999999</v>
      </c>
    </row>
    <row r="2833" spans="6:18" ht="28.5" customHeight="1">
      <c r="F2833" s="907"/>
      <c r="G2833" s="908"/>
      <c r="H2833" s="760" t="s">
        <v>1470</v>
      </c>
      <c r="I2833" s="907"/>
      <c r="J2833" s="910"/>
      <c r="K2833" s="907"/>
      <c r="M2833" s="907"/>
      <c r="N2833" s="908"/>
      <c r="O2833" s="907"/>
      <c r="P2833" s="907"/>
      <c r="Q2833" s="910"/>
      <c r="R2833" s="915" t="s">
        <v>117</v>
      </c>
    </row>
    <row r="2834" spans="6:18" ht="39" customHeight="1">
      <c r="F2834" s="926">
        <v>1.823</v>
      </c>
      <c r="G2834" s="914" t="s">
        <v>140</v>
      </c>
      <c r="H2834" s="924" t="s">
        <v>2487</v>
      </c>
      <c r="I2834" s="958">
        <v>2370</v>
      </c>
      <c r="J2834" s="761" t="s">
        <v>140</v>
      </c>
      <c r="K2834" s="907">
        <f>F2835*I2834</f>
        <v>4320.51</v>
      </c>
      <c r="M2834" s="907"/>
      <c r="N2834" s="908"/>
      <c r="O2834" s="760" t="s">
        <v>154</v>
      </c>
      <c r="P2834" s="907"/>
      <c r="Q2834" s="910"/>
      <c r="R2834" s="758">
        <f>R2832/M2824</f>
        <v>5113.2644219977547</v>
      </c>
    </row>
    <row r="2835" spans="6:18" ht="24" customHeight="1">
      <c r="F2835" s="949">
        <v>1.823</v>
      </c>
      <c r="G2835" s="914" t="s">
        <v>140</v>
      </c>
      <c r="H2835" s="916" t="s">
        <v>2488</v>
      </c>
      <c r="I2835" s="959">
        <v>161</v>
      </c>
      <c r="J2835" s="761" t="s">
        <v>140</v>
      </c>
      <c r="K2835" s="758">
        <f t="shared" ref="K2835:K2841" si="262">(F2835*I2835)</f>
        <v>293.50299999999999</v>
      </c>
    </row>
    <row r="2836" spans="6:18" ht="24" customHeight="1">
      <c r="F2836" s="758">
        <v>2</v>
      </c>
      <c r="G2836" s="914" t="s">
        <v>1</v>
      </c>
      <c r="H2836" s="760" t="s">
        <v>1481</v>
      </c>
      <c r="I2836" s="758">
        <f t="shared" ref="I2836:I2841" si="263">I990</f>
        <v>50.9</v>
      </c>
      <c r="J2836" s="761" t="s">
        <v>209</v>
      </c>
      <c r="K2836" s="758">
        <f t="shared" si="262"/>
        <v>101.8</v>
      </c>
    </row>
    <row r="2837" spans="6:18" ht="24" customHeight="1">
      <c r="F2837" s="758">
        <v>3</v>
      </c>
      <c r="G2837" s="914" t="s">
        <v>209</v>
      </c>
      <c r="H2837" s="760" t="s">
        <v>1482</v>
      </c>
      <c r="I2837" s="758">
        <f t="shared" si="263"/>
        <v>79.099999999999994</v>
      </c>
      <c r="J2837" s="761" t="s">
        <v>209</v>
      </c>
      <c r="K2837" s="758">
        <f t="shared" si="262"/>
        <v>237.29999999999998</v>
      </c>
    </row>
    <row r="2838" spans="6:18" ht="24" customHeight="1">
      <c r="F2838" s="758">
        <v>2</v>
      </c>
      <c r="G2838" s="914" t="s">
        <v>209</v>
      </c>
      <c r="H2838" s="760" t="s">
        <v>1484</v>
      </c>
      <c r="I2838" s="758">
        <f t="shared" si="263"/>
        <v>57.2</v>
      </c>
      <c r="J2838" s="761" t="s">
        <v>209</v>
      </c>
      <c r="K2838" s="758">
        <f t="shared" si="262"/>
        <v>114.4</v>
      </c>
    </row>
    <row r="2839" spans="6:18" ht="24" customHeight="1">
      <c r="F2839" s="758">
        <v>1</v>
      </c>
      <c r="G2839" s="914" t="s">
        <v>209</v>
      </c>
      <c r="H2839" s="760" t="s">
        <v>1486</v>
      </c>
      <c r="I2839" s="758">
        <f t="shared" si="263"/>
        <v>159.69999999999999</v>
      </c>
      <c r="J2839" s="761" t="s">
        <v>209</v>
      </c>
      <c r="K2839" s="758">
        <f t="shared" si="262"/>
        <v>159.69999999999999</v>
      </c>
    </row>
    <row r="2840" spans="6:18" ht="24" customHeight="1">
      <c r="F2840" s="758">
        <v>1</v>
      </c>
      <c r="G2840" s="914" t="s">
        <v>209</v>
      </c>
      <c r="H2840" s="760" t="s">
        <v>1488</v>
      </c>
      <c r="I2840" s="758">
        <f t="shared" si="263"/>
        <v>7.3</v>
      </c>
      <c r="J2840" s="761" t="s">
        <v>209</v>
      </c>
      <c r="K2840" s="758">
        <f t="shared" si="262"/>
        <v>7.3</v>
      </c>
      <c r="M2840" s="761" t="s">
        <v>1465</v>
      </c>
      <c r="N2840" s="914" t="s">
        <v>122</v>
      </c>
      <c r="O2840" s="760" t="s">
        <v>1472</v>
      </c>
      <c r="P2840" s="907"/>
      <c r="Q2840" s="910"/>
      <c r="R2840" s="907"/>
    </row>
    <row r="2841" spans="6:18" ht="24" customHeight="1">
      <c r="F2841" s="758">
        <v>1</v>
      </c>
      <c r="G2841" s="914" t="s">
        <v>209</v>
      </c>
      <c r="H2841" s="760" t="s">
        <v>630</v>
      </c>
      <c r="I2841" s="758">
        <f t="shared" si="263"/>
        <v>43.8</v>
      </c>
      <c r="J2841" s="761" t="s">
        <v>209</v>
      </c>
      <c r="K2841" s="758">
        <f t="shared" si="262"/>
        <v>43.8</v>
      </c>
      <c r="M2841" s="907"/>
      <c r="N2841" s="908"/>
      <c r="O2841" s="760" t="s">
        <v>1467</v>
      </c>
      <c r="P2841" s="913" t="s">
        <v>2489</v>
      </c>
      <c r="Q2841" s="910"/>
      <c r="R2841" s="907"/>
    </row>
    <row r="2842" spans="6:18" ht="24" customHeight="1">
      <c r="F2842" s="907"/>
      <c r="G2842" s="908"/>
      <c r="H2842" s="907"/>
      <c r="I2842" s="907"/>
      <c r="J2842" s="910"/>
      <c r="K2842" s="919">
        <v>0.85</v>
      </c>
      <c r="M2842" s="907"/>
      <c r="N2842" s="908"/>
      <c r="O2842" s="760" t="s">
        <v>2472</v>
      </c>
      <c r="P2842" s="913" t="s">
        <v>2490</v>
      </c>
      <c r="Q2842" s="910"/>
      <c r="R2842" s="907"/>
    </row>
    <row r="2843" spans="6:18" ht="24" customHeight="1">
      <c r="F2843" s="907"/>
      <c r="G2843" s="908"/>
      <c r="H2843" s="760" t="s">
        <v>2491</v>
      </c>
      <c r="I2843" s="907"/>
      <c r="J2843" s="910"/>
      <c r="K2843" s="758">
        <f>SUM(K2834:K2842)</f>
        <v>5279.1630000000005</v>
      </c>
      <c r="M2843" s="907"/>
      <c r="N2843" s="908"/>
      <c r="O2843" s="915" t="s">
        <v>117</v>
      </c>
      <c r="Q2843" s="910"/>
      <c r="R2843" s="907"/>
    </row>
    <row r="2844" spans="6:18" ht="24" customHeight="1">
      <c r="F2844" s="907"/>
      <c r="G2844" s="908"/>
      <c r="H2844" s="907"/>
      <c r="I2844" s="907"/>
      <c r="J2844" s="910"/>
      <c r="K2844" s="915" t="s">
        <v>117</v>
      </c>
      <c r="M2844" s="907"/>
      <c r="N2844" s="908"/>
      <c r="O2844" s="760" t="s">
        <v>2492</v>
      </c>
      <c r="P2844" s="907"/>
      <c r="Q2844" s="910"/>
      <c r="R2844" s="907"/>
    </row>
    <row r="2845" spans="6:18" ht="24" customHeight="1">
      <c r="F2845" s="907"/>
      <c r="G2845" s="908"/>
      <c r="H2845" s="760" t="s">
        <v>154</v>
      </c>
      <c r="I2845" s="907"/>
      <c r="J2845" s="910"/>
      <c r="K2845" s="758">
        <f>K2843/F2835</f>
        <v>2895.8656061437196</v>
      </c>
      <c r="M2845" s="907"/>
      <c r="N2845" s="908"/>
      <c r="O2845" s="760" t="s">
        <v>2493</v>
      </c>
      <c r="P2845" s="907"/>
      <c r="Q2845" s="910"/>
      <c r="R2845" s="907"/>
    </row>
    <row r="2846" spans="6:18" ht="24" customHeight="1">
      <c r="F2846" s="760" t="s">
        <v>115</v>
      </c>
      <c r="G2846" s="908"/>
      <c r="H2846" s="907"/>
      <c r="I2846" s="907"/>
      <c r="J2846" s="910"/>
      <c r="K2846" s="907"/>
      <c r="M2846" s="907"/>
      <c r="N2846" s="908"/>
      <c r="O2846" s="907"/>
      <c r="P2846" s="907"/>
      <c r="Q2846" s="761" t="s">
        <v>117</v>
      </c>
      <c r="R2846" s="907"/>
    </row>
    <row r="2847" spans="6:18" ht="24" customHeight="1">
      <c r="F2847" s="907"/>
      <c r="G2847" s="908"/>
      <c r="H2847" s="907"/>
      <c r="I2847" s="907"/>
      <c r="J2847" s="910"/>
      <c r="K2847" s="907"/>
      <c r="M2847" s="907"/>
      <c r="N2847" s="908"/>
      <c r="O2847" s="760" t="s">
        <v>2494</v>
      </c>
      <c r="P2847" s="907"/>
      <c r="Q2847" s="910"/>
      <c r="R2847" s="907"/>
    </row>
    <row r="2848" spans="6:18" ht="24" customHeight="1">
      <c r="F2848" s="923" t="s">
        <v>2407</v>
      </c>
      <c r="G2848" s="908"/>
      <c r="H2848" s="760" t="s">
        <v>2495</v>
      </c>
      <c r="I2848" s="907"/>
      <c r="J2848" s="960"/>
      <c r="K2848" s="907"/>
      <c r="M2848" s="907"/>
      <c r="N2848" s="908"/>
      <c r="O2848" s="760" t="s">
        <v>2496</v>
      </c>
      <c r="P2848" s="907"/>
      <c r="Q2848" s="910"/>
      <c r="R2848" s="939">
        <v>2.8910000000000002E-2</v>
      </c>
    </row>
    <row r="2849" spans="6:18" ht="24" customHeight="1">
      <c r="F2849" s="907"/>
      <c r="G2849" s="908"/>
      <c r="H2849" s="915" t="s">
        <v>117</v>
      </c>
      <c r="I2849" s="915" t="s">
        <v>117</v>
      </c>
      <c r="J2849" s="760" t="s">
        <v>117</v>
      </c>
      <c r="K2849" s="907"/>
      <c r="M2849" s="907"/>
      <c r="N2849" s="908"/>
      <c r="O2849" s="907"/>
      <c r="P2849" s="907"/>
      <c r="Q2849" s="761" t="s">
        <v>115</v>
      </c>
      <c r="R2849" s="915" t="s">
        <v>117</v>
      </c>
    </row>
    <row r="2850" spans="6:18" ht="24" customHeight="1">
      <c r="F2850" s="907"/>
      <c r="G2850" s="908"/>
      <c r="H2850" s="907"/>
      <c r="I2850" s="907"/>
      <c r="J2850" s="960"/>
      <c r="K2850" s="907"/>
      <c r="M2850" s="907"/>
      <c r="N2850" s="908"/>
      <c r="O2850" s="760" t="s">
        <v>2497</v>
      </c>
      <c r="P2850" s="907"/>
      <c r="Q2850" s="943" t="s">
        <v>115</v>
      </c>
      <c r="R2850" s="939"/>
    </row>
    <row r="2851" spans="6:18" ht="24" customHeight="1">
      <c r="F2851" s="907"/>
      <c r="G2851" s="908"/>
      <c r="H2851" s="760" t="s">
        <v>1580</v>
      </c>
      <c r="I2851" s="907"/>
      <c r="J2851" s="960"/>
      <c r="K2851" s="907"/>
      <c r="M2851" s="907"/>
      <c r="N2851" s="908"/>
      <c r="O2851" s="760" t="s">
        <v>2498</v>
      </c>
      <c r="P2851" s="907"/>
      <c r="Q2851" s="761" t="s">
        <v>115</v>
      </c>
      <c r="R2851" s="939">
        <v>1.7999999999999999E-2</v>
      </c>
    </row>
    <row r="2852" spans="6:18" ht="24" customHeight="1">
      <c r="F2852" s="907"/>
      <c r="G2852" s="908"/>
      <c r="H2852" s="760"/>
      <c r="I2852" s="907"/>
      <c r="J2852" s="960"/>
      <c r="K2852" s="907"/>
      <c r="M2852" s="907"/>
      <c r="N2852" s="908"/>
      <c r="O2852" s="907"/>
      <c r="P2852" s="907"/>
      <c r="Q2852" s="910"/>
      <c r="R2852" s="915" t="s">
        <v>117</v>
      </c>
    </row>
    <row r="2853" spans="6:18" ht="24" customHeight="1">
      <c r="F2853" s="907"/>
      <c r="G2853" s="908"/>
      <c r="H2853" s="961" t="s">
        <v>1582</v>
      </c>
      <c r="I2853" s="907"/>
      <c r="J2853" s="960"/>
      <c r="K2853" s="962"/>
      <c r="M2853" s="939">
        <v>1.9220000000000001E-2</v>
      </c>
      <c r="N2853" s="914" t="s">
        <v>126</v>
      </c>
      <c r="O2853" s="760" t="s">
        <v>1483</v>
      </c>
      <c r="P2853" s="758">
        <f>P2820</f>
        <v>111600</v>
      </c>
      <c r="Q2853" s="761" t="s">
        <v>126</v>
      </c>
      <c r="R2853" s="758">
        <f>(M2853*P2853)</f>
        <v>2144.9520000000002</v>
      </c>
    </row>
    <row r="2854" spans="6:18" ht="24" customHeight="1">
      <c r="F2854" s="907"/>
      <c r="G2854" s="908"/>
      <c r="H2854" s="760" t="s">
        <v>1583</v>
      </c>
      <c r="I2854" s="963">
        <f>0.0118+0.00675</f>
        <v>1.8550000000000001E-2</v>
      </c>
      <c r="J2854" s="960"/>
      <c r="K2854" s="907"/>
      <c r="M2854" s="939">
        <f>R2848</f>
        <v>2.8910000000000002E-2</v>
      </c>
      <c r="N2854" s="914" t="s">
        <v>126</v>
      </c>
      <c r="O2854" s="760" t="s">
        <v>1485</v>
      </c>
      <c r="P2854" s="758">
        <f t="shared" ref="P2854:P2863" si="264">P2821</f>
        <v>99400</v>
      </c>
      <c r="Q2854" s="761" t="s">
        <v>126</v>
      </c>
      <c r="R2854" s="758">
        <f>(M2854*P2854)</f>
        <v>2873.654</v>
      </c>
    </row>
    <row r="2855" spans="6:18" ht="24" customHeight="1">
      <c r="F2855" s="907"/>
      <c r="G2855" s="908"/>
      <c r="H2855" s="760" t="s">
        <v>1584</v>
      </c>
      <c r="I2855" s="907"/>
      <c r="J2855" s="960"/>
      <c r="K2855" s="907"/>
      <c r="M2855" s="939">
        <f>R2851</f>
        <v>1.7999999999999999E-2</v>
      </c>
      <c r="N2855" s="914" t="s">
        <v>126</v>
      </c>
      <c r="O2855" s="760" t="s">
        <v>1487</v>
      </c>
      <c r="P2855" s="758">
        <f t="shared" si="264"/>
        <v>95000</v>
      </c>
      <c r="Q2855" s="761" t="s">
        <v>126</v>
      </c>
      <c r="R2855" s="758">
        <f>(M2855*P2855)</f>
        <v>1709.9999999999998</v>
      </c>
    </row>
    <row r="2856" spans="6:18" ht="24" customHeight="1">
      <c r="F2856" s="907"/>
      <c r="G2856" s="908"/>
      <c r="H2856" s="760" t="s">
        <v>1585</v>
      </c>
      <c r="I2856" s="907"/>
      <c r="J2856" s="960"/>
      <c r="K2856" s="907"/>
      <c r="M2856" s="955"/>
      <c r="N2856" s="908"/>
      <c r="O2856" s="760" t="s">
        <v>2483</v>
      </c>
      <c r="P2856" s="758"/>
      <c r="Q2856" s="910"/>
      <c r="R2856" s="758"/>
    </row>
    <row r="2857" spans="6:18" ht="24" customHeight="1">
      <c r="F2857" s="907"/>
      <c r="G2857" s="908"/>
      <c r="H2857" s="760" t="s">
        <v>2409</v>
      </c>
      <c r="I2857" s="907"/>
      <c r="J2857" s="760" t="s">
        <v>115</v>
      </c>
      <c r="K2857" s="939">
        <v>3.7699999999999997E-2</v>
      </c>
      <c r="M2857" s="955">
        <v>2.2549999999999999</v>
      </c>
      <c r="N2857" s="914" t="s">
        <v>140</v>
      </c>
      <c r="O2857" s="760" t="s">
        <v>1480</v>
      </c>
      <c r="P2857" s="758">
        <f t="shared" si="264"/>
        <v>1155</v>
      </c>
      <c r="Q2857" s="761" t="s">
        <v>140</v>
      </c>
      <c r="R2857" s="758">
        <f t="shared" ref="R2857:R2863" si="265">(M2857*P2857)</f>
        <v>2604.5250000000001</v>
      </c>
    </row>
    <row r="2858" spans="6:18" ht="24" customHeight="1">
      <c r="F2858" s="907"/>
      <c r="G2858" s="908"/>
      <c r="H2858" s="760" t="s">
        <v>2499</v>
      </c>
      <c r="I2858" s="907"/>
      <c r="J2858" s="961" t="s">
        <v>115</v>
      </c>
      <c r="K2858" s="961" t="s">
        <v>115</v>
      </c>
      <c r="M2858" s="758">
        <v>1</v>
      </c>
      <c r="N2858" s="914" t="s">
        <v>1</v>
      </c>
      <c r="O2858" s="760" t="s">
        <v>1481</v>
      </c>
      <c r="P2858" s="758">
        <f t="shared" si="264"/>
        <v>120</v>
      </c>
      <c r="Q2858" s="761" t="s">
        <v>209</v>
      </c>
      <c r="R2858" s="758">
        <f t="shared" si="265"/>
        <v>120</v>
      </c>
    </row>
    <row r="2859" spans="6:18" ht="67.5" customHeight="1">
      <c r="F2859" s="907"/>
      <c r="G2859" s="908"/>
      <c r="H2859" s="760" t="s">
        <v>1590</v>
      </c>
      <c r="I2859" s="907"/>
      <c r="J2859" s="960"/>
      <c r="K2859" s="961" t="s">
        <v>115</v>
      </c>
      <c r="M2859" s="758">
        <v>3</v>
      </c>
      <c r="N2859" s="914" t="s">
        <v>209</v>
      </c>
      <c r="O2859" s="760" t="s">
        <v>1482</v>
      </c>
      <c r="P2859" s="758">
        <f t="shared" si="264"/>
        <v>110.17</v>
      </c>
      <c r="Q2859" s="761" t="s">
        <v>209</v>
      </c>
      <c r="R2859" s="758">
        <f t="shared" si="265"/>
        <v>330.51</v>
      </c>
    </row>
    <row r="2860" spans="6:18" ht="24" customHeight="1">
      <c r="F2860" s="907"/>
      <c r="G2860" s="908"/>
      <c r="H2860" s="760"/>
      <c r="I2860" s="907"/>
      <c r="J2860" s="960"/>
      <c r="K2860" s="961"/>
      <c r="M2860" s="758">
        <v>2</v>
      </c>
      <c r="N2860" s="914" t="s">
        <v>209</v>
      </c>
      <c r="O2860" s="760" t="s">
        <v>1484</v>
      </c>
      <c r="P2860" s="758">
        <f t="shared" si="264"/>
        <v>160</v>
      </c>
      <c r="Q2860" s="761" t="s">
        <v>209</v>
      </c>
      <c r="R2860" s="758">
        <f t="shared" si="265"/>
        <v>320</v>
      </c>
    </row>
    <row r="2861" spans="6:18" ht="24" customHeight="1">
      <c r="F2861" s="907"/>
      <c r="G2861" s="908"/>
      <c r="H2861" s="760"/>
      <c r="I2861" s="907"/>
      <c r="J2861" s="960"/>
      <c r="K2861" s="961"/>
      <c r="M2861" s="758">
        <v>1</v>
      </c>
      <c r="N2861" s="914" t="s">
        <v>209</v>
      </c>
      <c r="O2861" s="760" t="s">
        <v>1486</v>
      </c>
      <c r="P2861" s="758">
        <f t="shared" si="264"/>
        <v>550</v>
      </c>
      <c r="Q2861" s="761" t="s">
        <v>209</v>
      </c>
      <c r="R2861" s="758">
        <f t="shared" si="265"/>
        <v>550</v>
      </c>
    </row>
    <row r="2862" spans="6:18" ht="24" customHeight="1">
      <c r="F2862" s="907"/>
      <c r="G2862" s="908"/>
      <c r="H2862" s="907"/>
      <c r="I2862" s="907"/>
      <c r="J2862" s="960"/>
      <c r="K2862" s="907"/>
      <c r="M2862" s="758">
        <v>1</v>
      </c>
      <c r="N2862" s="914" t="s">
        <v>209</v>
      </c>
      <c r="O2862" s="760" t="s">
        <v>1488</v>
      </c>
      <c r="P2862" s="758">
        <f t="shared" si="264"/>
        <v>7.3</v>
      </c>
      <c r="Q2862" s="761" t="s">
        <v>209</v>
      </c>
      <c r="R2862" s="758">
        <f t="shared" si="265"/>
        <v>7.3</v>
      </c>
    </row>
    <row r="2863" spans="6:18" ht="24" customHeight="1">
      <c r="F2863" s="964">
        <v>1.18E-2</v>
      </c>
      <c r="G2863" s="914" t="s">
        <v>126</v>
      </c>
      <c r="H2863" s="760" t="s">
        <v>621</v>
      </c>
      <c r="I2863" s="758">
        <f>I2813</f>
        <v>111600</v>
      </c>
      <c r="J2863" s="760" t="s">
        <v>126</v>
      </c>
      <c r="K2863" s="758">
        <f t="shared" ref="K2863:K2872" si="266">(F2863*I2863)</f>
        <v>1316.8799999999999</v>
      </c>
      <c r="M2863" s="758">
        <v>1</v>
      </c>
      <c r="N2863" s="914" t="s">
        <v>209</v>
      </c>
      <c r="O2863" s="760" t="s">
        <v>630</v>
      </c>
      <c r="P2863" s="758">
        <f t="shared" si="264"/>
        <v>43.8</v>
      </c>
      <c r="Q2863" s="761" t="s">
        <v>209</v>
      </c>
      <c r="R2863" s="758">
        <f t="shared" si="265"/>
        <v>43.8</v>
      </c>
    </row>
    <row r="2864" spans="6:18" ht="24" customHeight="1">
      <c r="F2864" s="939">
        <v>6.7499999999999999E-3</v>
      </c>
      <c r="G2864" s="914" t="s">
        <v>126</v>
      </c>
      <c r="H2864" s="760" t="s">
        <v>622</v>
      </c>
      <c r="I2864" s="758">
        <f>I2814</f>
        <v>99400</v>
      </c>
      <c r="J2864" s="760" t="s">
        <v>126</v>
      </c>
      <c r="K2864" s="758">
        <f t="shared" si="266"/>
        <v>670.95</v>
      </c>
      <c r="M2864" s="907">
        <v>58</v>
      </c>
      <c r="N2864" s="914" t="s">
        <v>209</v>
      </c>
      <c r="O2864" s="907" t="s">
        <v>1509</v>
      </c>
      <c r="P2864" s="907">
        <f>P2831</f>
        <v>2.37</v>
      </c>
      <c r="Q2864" s="910" t="s">
        <v>209</v>
      </c>
      <c r="R2864" s="758">
        <f>(M2864*P2864)</f>
        <v>137.46</v>
      </c>
    </row>
    <row r="2865" spans="6:18" ht="24" customHeight="1">
      <c r="F2865" s="939">
        <v>1.8550000000000001E-2</v>
      </c>
      <c r="G2865" s="914" t="s">
        <v>126</v>
      </c>
      <c r="H2865" s="760" t="s">
        <v>1591</v>
      </c>
      <c r="I2865" s="758">
        <f>C30</f>
        <v>10275</v>
      </c>
      <c r="J2865" s="760" t="s">
        <v>126</v>
      </c>
      <c r="K2865" s="758">
        <f t="shared" si="266"/>
        <v>190.60124999999999</v>
      </c>
      <c r="M2865" s="907"/>
      <c r="N2865" s="908"/>
      <c r="O2865" s="760" t="s">
        <v>2500</v>
      </c>
      <c r="P2865" s="907"/>
      <c r="Q2865" s="910"/>
      <c r="R2865" s="758">
        <f>SUM(R2853:R2864)+21.502</f>
        <v>10863.702999999998</v>
      </c>
    </row>
    <row r="2866" spans="6:18" ht="24" customHeight="1">
      <c r="F2866" s="939">
        <v>2.0499999999999998</v>
      </c>
      <c r="G2866" s="914" t="s">
        <v>140</v>
      </c>
      <c r="H2866" s="760" t="s">
        <v>2501</v>
      </c>
      <c r="I2866" s="758">
        <v>840</v>
      </c>
      <c r="J2866" s="760" t="s">
        <v>140</v>
      </c>
      <c r="K2866" s="758">
        <f t="shared" si="266"/>
        <v>1721.9999999999998</v>
      </c>
      <c r="M2866" s="907"/>
      <c r="N2866" s="908"/>
      <c r="O2866" s="907"/>
      <c r="P2866" s="907"/>
      <c r="Q2866" s="910"/>
      <c r="R2866" s="915" t="s">
        <v>117</v>
      </c>
    </row>
    <row r="2867" spans="6:18" ht="36" customHeight="1">
      <c r="F2867" s="939">
        <v>2.0499999999999998</v>
      </c>
      <c r="G2867" s="914" t="s">
        <v>140</v>
      </c>
      <c r="H2867" s="965" t="s">
        <v>2502</v>
      </c>
      <c r="I2867" s="959">
        <v>248</v>
      </c>
      <c r="J2867" s="760" t="s">
        <v>140</v>
      </c>
      <c r="K2867" s="758">
        <f t="shared" si="266"/>
        <v>508.4</v>
      </c>
      <c r="M2867" s="907"/>
      <c r="N2867" s="908"/>
      <c r="O2867" s="760" t="s">
        <v>154</v>
      </c>
      <c r="P2867" s="907"/>
      <c r="Q2867" s="910"/>
      <c r="R2867" s="758">
        <f>R2865/M2857</f>
        <v>4817.6066518847001</v>
      </c>
    </row>
    <row r="2868" spans="6:18" ht="24" customHeight="1">
      <c r="F2868" s="758">
        <v>2</v>
      </c>
      <c r="G2868" s="914" t="s">
        <v>209</v>
      </c>
      <c r="H2868" s="760" t="s">
        <v>2411</v>
      </c>
      <c r="I2868" s="758">
        <f>E285</f>
        <v>50.3</v>
      </c>
      <c r="J2868" s="760" t="s">
        <v>209</v>
      </c>
      <c r="K2868" s="758">
        <f t="shared" si="266"/>
        <v>100.6</v>
      </c>
    </row>
    <row r="2869" spans="6:18" ht="24" customHeight="1">
      <c r="F2869" s="758">
        <v>8</v>
      </c>
      <c r="G2869" s="914" t="s">
        <v>209</v>
      </c>
      <c r="H2869" s="760" t="s">
        <v>1551</v>
      </c>
      <c r="I2869" s="758">
        <f>C282</f>
        <v>43.6</v>
      </c>
      <c r="J2869" s="760" t="s">
        <v>209</v>
      </c>
      <c r="K2869" s="758">
        <f t="shared" si="266"/>
        <v>348.8</v>
      </c>
    </row>
    <row r="2870" spans="6:18" ht="24" customHeight="1">
      <c r="F2870" s="758">
        <v>2</v>
      </c>
      <c r="G2870" s="914" t="s">
        <v>209</v>
      </c>
      <c r="H2870" s="760" t="s">
        <v>2414</v>
      </c>
      <c r="I2870" s="758">
        <f>I1134</f>
        <v>53.8</v>
      </c>
      <c r="J2870" s="760" t="s">
        <v>209</v>
      </c>
      <c r="K2870" s="758">
        <f t="shared" si="266"/>
        <v>107.6</v>
      </c>
    </row>
    <row r="2871" spans="6:18" ht="24" customHeight="1">
      <c r="F2871" s="758">
        <v>1</v>
      </c>
      <c r="G2871" s="914" t="s">
        <v>209</v>
      </c>
      <c r="H2871" s="760" t="s">
        <v>2503</v>
      </c>
      <c r="I2871" s="966">
        <f>I1135</f>
        <v>63.2</v>
      </c>
      <c r="J2871" s="760" t="s">
        <v>209</v>
      </c>
      <c r="K2871" s="758">
        <f t="shared" si="266"/>
        <v>63.2</v>
      </c>
    </row>
    <row r="2872" spans="6:18" ht="24" customHeight="1">
      <c r="F2872" s="949">
        <v>0.94499999999999995</v>
      </c>
      <c r="G2872" s="914" t="s">
        <v>140</v>
      </c>
      <c r="H2872" s="760" t="s">
        <v>1597</v>
      </c>
      <c r="I2872" s="758">
        <f>K1167</f>
        <v>157.19</v>
      </c>
      <c r="J2872" s="760" t="s">
        <v>140</v>
      </c>
      <c r="K2872" s="758">
        <f t="shared" si="266"/>
        <v>148.54454999999999</v>
      </c>
    </row>
    <row r="2873" spans="6:18" ht="24" customHeight="1">
      <c r="F2873" s="907"/>
      <c r="G2873" s="908"/>
      <c r="H2873" s="760" t="s">
        <v>1598</v>
      </c>
      <c r="I2873" s="761" t="s">
        <v>129</v>
      </c>
      <c r="J2873" s="960"/>
      <c r="K2873" s="758">
        <v>0.6</v>
      </c>
    </row>
    <row r="2874" spans="6:18" ht="24" customHeight="1">
      <c r="F2874" s="907"/>
      <c r="G2874" s="908"/>
      <c r="H2874" s="913"/>
      <c r="I2874" s="913"/>
      <c r="J2874" s="967"/>
      <c r="K2874" s="920" t="s">
        <v>117</v>
      </c>
    </row>
    <row r="2875" spans="6:18" ht="24" customHeight="1">
      <c r="F2875" s="907"/>
      <c r="G2875" s="908"/>
      <c r="H2875" s="968" t="s">
        <v>1599</v>
      </c>
      <c r="I2875" s="913"/>
      <c r="J2875" s="967"/>
      <c r="K2875" s="922">
        <f>SUM(K2863:K2873)</f>
        <v>5178.1758</v>
      </c>
    </row>
    <row r="2876" spans="6:18" ht="24" customHeight="1">
      <c r="F2876" s="907"/>
      <c r="G2876" s="914" t="s">
        <v>115</v>
      </c>
      <c r="H2876" s="913"/>
      <c r="I2876" s="913"/>
      <c r="J2876" s="967"/>
      <c r="K2876" s="920" t="s">
        <v>117</v>
      </c>
    </row>
    <row r="2877" spans="6:18" ht="24" customHeight="1">
      <c r="F2877" s="907"/>
      <c r="G2877" s="908"/>
      <c r="H2877" s="968" t="s">
        <v>154</v>
      </c>
      <c r="I2877" s="913"/>
      <c r="J2877" s="967"/>
      <c r="K2877" s="922">
        <f>K2875/2.52</f>
        <v>2054.8316666666665</v>
      </c>
    </row>
    <row r="2878" spans="6:18" ht="24" customHeight="1">
      <c r="F2878" s="907"/>
      <c r="G2878" s="908"/>
      <c r="H2878" s="913"/>
      <c r="I2878" s="913"/>
      <c r="J2878" s="967"/>
      <c r="K2878" s="920" t="s">
        <v>155</v>
      </c>
    </row>
    <row r="2879" spans="6:18" ht="24" customHeight="1">
      <c r="F2879" s="907"/>
      <c r="G2879" s="908"/>
      <c r="H2879" s="907"/>
      <c r="I2879" s="907"/>
      <c r="J2879" s="910"/>
      <c r="K2879" s="907"/>
    </row>
    <row r="2880" spans="6:18" ht="24" customHeight="1">
      <c r="F2880" s="907"/>
      <c r="G2880" s="908"/>
      <c r="H2880" s="907" t="s">
        <v>2504</v>
      </c>
      <c r="I2880" s="907"/>
      <c r="J2880" s="910"/>
      <c r="K2880" s="907"/>
    </row>
    <row r="2881" spans="6:11" ht="24" customHeight="1">
      <c r="F2881" s="907"/>
      <c r="G2881" s="908"/>
      <c r="H2881" s="907" t="s">
        <v>2505</v>
      </c>
      <c r="I2881" s="907"/>
      <c r="J2881" s="910"/>
      <c r="K2881" s="907"/>
    </row>
    <row r="2882" spans="6:11" ht="24" customHeight="1">
      <c r="F2882" s="907"/>
      <c r="G2882" s="908"/>
      <c r="H2882" s="907"/>
      <c r="I2882" s="907"/>
      <c r="J2882" s="910"/>
      <c r="K2882" s="907"/>
    </row>
    <row r="2883" spans="6:11" ht="24" customHeight="1">
      <c r="F2883" s="907">
        <v>2</v>
      </c>
      <c r="G2883" s="908" t="s">
        <v>231</v>
      </c>
      <c r="H2883" s="907" t="s">
        <v>2506</v>
      </c>
      <c r="I2883" s="969">
        <v>64</v>
      </c>
      <c r="J2883" s="910" t="s">
        <v>231</v>
      </c>
      <c r="K2883" s="907">
        <f>F2883*I2883</f>
        <v>128</v>
      </c>
    </row>
    <row r="2884" spans="6:11" ht="24" customHeight="1">
      <c r="F2884" s="907">
        <v>1</v>
      </c>
      <c r="G2884" s="908" t="s">
        <v>233</v>
      </c>
      <c r="H2884" s="907" t="s">
        <v>2507</v>
      </c>
      <c r="I2884" s="969">
        <f>C625</f>
        <v>33</v>
      </c>
      <c r="J2884" s="910" t="s">
        <v>227</v>
      </c>
      <c r="K2884" s="907">
        <f>F2884*I2884</f>
        <v>33</v>
      </c>
    </row>
    <row r="2885" spans="6:11" ht="24" customHeight="1">
      <c r="F2885" s="907"/>
      <c r="G2885" s="908"/>
      <c r="H2885" s="907" t="s">
        <v>2508</v>
      </c>
      <c r="I2885" s="907"/>
      <c r="J2885" s="910" t="s">
        <v>129</v>
      </c>
      <c r="K2885" s="907">
        <v>1.4</v>
      </c>
    </row>
    <row r="2886" spans="6:11" ht="24" customHeight="1">
      <c r="F2886" s="907"/>
      <c r="G2886" s="908"/>
      <c r="H2886" s="911" t="s">
        <v>2509</v>
      </c>
      <c r="I2886" s="907"/>
      <c r="J2886" s="910"/>
      <c r="K2886" s="907">
        <f>SUM(K2883:K2885)</f>
        <v>162.4</v>
      </c>
    </row>
    <row r="2887" spans="6:11" ht="24" customHeight="1">
      <c r="F2887" s="907"/>
      <c r="G2887" s="908"/>
      <c r="H2887" s="907"/>
      <c r="I2887" s="907"/>
      <c r="J2887" s="910"/>
      <c r="K2887" s="907"/>
    </row>
    <row r="2888" spans="6:11" ht="24" customHeight="1">
      <c r="F2888" s="907"/>
      <c r="G2888" s="908"/>
      <c r="H2888" s="912" t="s">
        <v>2510</v>
      </c>
      <c r="I2888" s="913"/>
      <c r="J2888" s="917"/>
      <c r="K2888" s="913">
        <f>K2886/2</f>
        <v>81.2</v>
      </c>
    </row>
    <row r="2889" spans="6:11" ht="24" customHeight="1">
      <c r="F2889" s="907"/>
      <c r="G2889" s="908"/>
      <c r="H2889" s="907"/>
      <c r="I2889" s="907"/>
      <c r="J2889" s="910"/>
      <c r="K2889" s="907"/>
    </row>
    <row r="2890" spans="6:11" ht="24" customHeight="1">
      <c r="F2890" s="907"/>
      <c r="G2890" s="908"/>
      <c r="H2890" s="907"/>
      <c r="I2890" s="907"/>
      <c r="J2890" s="910"/>
      <c r="K2890" s="907"/>
    </row>
    <row r="2891" spans="6:11" ht="24" customHeight="1">
      <c r="F2891" s="907"/>
      <c r="G2891" s="908"/>
      <c r="H2891" s="907"/>
      <c r="I2891" s="907"/>
      <c r="J2891" s="910"/>
      <c r="K2891" s="907"/>
    </row>
    <row r="2892" spans="6:11" ht="24" customHeight="1">
      <c r="F2892" s="907"/>
      <c r="G2892" s="908"/>
      <c r="H2892" s="907"/>
      <c r="I2892" s="907"/>
      <c r="J2892" s="910"/>
      <c r="K2892" s="907"/>
    </row>
    <row r="2893" spans="6:11" ht="24" customHeight="1">
      <c r="F2893" s="907"/>
      <c r="G2893" s="908"/>
      <c r="H2893" s="970" t="s">
        <v>2511</v>
      </c>
      <c r="I2893" s="907"/>
      <c r="J2893" s="910"/>
      <c r="K2893" s="907"/>
    </row>
    <row r="2894" spans="6:11" ht="24" customHeight="1">
      <c r="F2894" s="761"/>
      <c r="G2894" s="914" t="s">
        <v>122</v>
      </c>
      <c r="H2894" s="760" t="s">
        <v>881</v>
      </c>
      <c r="I2894" s="907"/>
      <c r="J2894" s="910"/>
      <c r="K2894" s="907"/>
    </row>
    <row r="2895" spans="6:11" ht="24" customHeight="1">
      <c r="F2895" s="907"/>
      <c r="G2895" s="908"/>
      <c r="H2895" s="760" t="s">
        <v>666</v>
      </c>
      <c r="I2895" s="907"/>
      <c r="J2895" s="910"/>
      <c r="K2895" s="907"/>
    </row>
    <row r="2896" spans="6:11" ht="24" customHeight="1">
      <c r="F2896" s="907"/>
      <c r="G2896" s="908"/>
      <c r="H2896" s="915" t="s">
        <v>117</v>
      </c>
      <c r="I2896" s="907"/>
      <c r="J2896" s="910"/>
      <c r="K2896" s="907"/>
    </row>
    <row r="2897" spans="6:11" ht="24" customHeight="1">
      <c r="F2897" s="758">
        <v>9</v>
      </c>
      <c r="G2897" s="914" t="s">
        <v>126</v>
      </c>
      <c r="H2897" s="760" t="s">
        <v>886</v>
      </c>
      <c r="I2897" s="758">
        <f t="shared" ref="I2897:I2902" si="267">I503</f>
        <v>973.3599999999999</v>
      </c>
      <c r="J2897" s="761" t="s">
        <v>126</v>
      </c>
      <c r="K2897" s="758">
        <f t="shared" ref="K2897:K2902" si="268">(F2897*I2897)</f>
        <v>8760.24</v>
      </c>
    </row>
    <row r="2898" spans="6:11" ht="24" customHeight="1">
      <c r="F2898" s="949">
        <v>3.2309999999999999</v>
      </c>
      <c r="G2898" s="914" t="s">
        <v>124</v>
      </c>
      <c r="H2898" s="760" t="s">
        <v>125</v>
      </c>
      <c r="I2898" s="758">
        <f t="shared" si="267"/>
        <v>5800</v>
      </c>
      <c r="J2898" s="761" t="s">
        <v>124</v>
      </c>
      <c r="K2898" s="758">
        <f t="shared" si="268"/>
        <v>18739.8</v>
      </c>
    </row>
    <row r="2899" spans="6:11" ht="24" customHeight="1">
      <c r="F2899" s="758">
        <v>4.5</v>
      </c>
      <c r="G2899" s="914" t="s">
        <v>126</v>
      </c>
      <c r="H2899" s="760" t="s">
        <v>127</v>
      </c>
      <c r="I2899" s="758">
        <f t="shared" si="267"/>
        <v>1322.8</v>
      </c>
      <c r="J2899" s="761" t="s">
        <v>126</v>
      </c>
      <c r="K2899" s="758">
        <f t="shared" si="268"/>
        <v>5952.5999999999995</v>
      </c>
    </row>
    <row r="2900" spans="6:11" ht="24" customHeight="1">
      <c r="F2900" s="758">
        <v>3.5</v>
      </c>
      <c r="G2900" s="914" t="s">
        <v>209</v>
      </c>
      <c r="H2900" s="760" t="s">
        <v>145</v>
      </c>
      <c r="I2900" s="758">
        <f t="shared" si="267"/>
        <v>718</v>
      </c>
      <c r="J2900" s="761" t="s">
        <v>209</v>
      </c>
      <c r="K2900" s="758">
        <f t="shared" si="268"/>
        <v>2513</v>
      </c>
    </row>
    <row r="2901" spans="6:11" ht="24" customHeight="1">
      <c r="F2901" s="758">
        <v>21.2</v>
      </c>
      <c r="G2901" s="914" t="s">
        <v>209</v>
      </c>
      <c r="H2901" s="760" t="s">
        <v>146</v>
      </c>
      <c r="I2901" s="758">
        <f t="shared" si="267"/>
        <v>502</v>
      </c>
      <c r="J2901" s="761" t="s">
        <v>209</v>
      </c>
      <c r="K2901" s="758">
        <f t="shared" si="268"/>
        <v>10642.4</v>
      </c>
    </row>
    <row r="2902" spans="6:11" ht="24" customHeight="1">
      <c r="F2902" s="758">
        <v>35.299999999999997</v>
      </c>
      <c r="G2902" s="914" t="s">
        <v>209</v>
      </c>
      <c r="H2902" s="760" t="s">
        <v>147</v>
      </c>
      <c r="I2902" s="758">
        <f t="shared" si="267"/>
        <v>412</v>
      </c>
      <c r="J2902" s="761" t="s">
        <v>209</v>
      </c>
      <c r="K2902" s="758">
        <f t="shared" si="268"/>
        <v>14543.599999999999</v>
      </c>
    </row>
    <row r="2903" spans="6:11" ht="24" customHeight="1">
      <c r="F2903" s="907"/>
      <c r="G2903" s="914" t="s">
        <v>129</v>
      </c>
      <c r="H2903" s="760" t="s">
        <v>130</v>
      </c>
      <c r="I2903" s="760" t="s">
        <v>115</v>
      </c>
      <c r="J2903" s="761" t="s">
        <v>129</v>
      </c>
      <c r="K2903" s="758">
        <v>0</v>
      </c>
    </row>
    <row r="2904" spans="6:11" ht="24" customHeight="1">
      <c r="F2904" s="907"/>
      <c r="G2904" s="908"/>
      <c r="H2904" s="907"/>
      <c r="I2904" s="907"/>
      <c r="J2904" s="910"/>
      <c r="K2904" s="915" t="s">
        <v>117</v>
      </c>
    </row>
    <row r="2905" spans="6:11" ht="24" customHeight="1">
      <c r="F2905" s="907"/>
      <c r="G2905" s="908"/>
      <c r="H2905" s="760" t="s">
        <v>681</v>
      </c>
      <c r="I2905" s="907"/>
      <c r="J2905" s="910"/>
      <c r="K2905" s="758">
        <f>SUM(K2897:K2903)</f>
        <v>61151.64</v>
      </c>
    </row>
    <row r="2906" spans="6:11" ht="24" customHeight="1">
      <c r="F2906" s="907"/>
      <c r="G2906" s="908"/>
      <c r="H2906" s="907"/>
      <c r="I2906" s="907"/>
      <c r="J2906" s="910"/>
      <c r="K2906" s="915" t="s">
        <v>117</v>
      </c>
    </row>
    <row r="2907" spans="6:11" ht="24" customHeight="1">
      <c r="F2907" s="907"/>
      <c r="G2907" s="908"/>
      <c r="H2907" s="760" t="s">
        <v>383</v>
      </c>
      <c r="I2907" s="907"/>
      <c r="J2907" s="910"/>
      <c r="K2907" s="758">
        <f>(K2905/10)</f>
        <v>6115.1639999999998</v>
      </c>
    </row>
    <row r="2908" spans="6:11" ht="24" customHeight="1">
      <c r="F2908" s="907"/>
      <c r="G2908" s="908"/>
      <c r="H2908" s="907"/>
      <c r="I2908" s="907"/>
      <c r="J2908" s="910"/>
      <c r="K2908" s="907"/>
    </row>
    <row r="2909" spans="6:11" ht="24" customHeight="1">
      <c r="F2909" s="758">
        <v>1</v>
      </c>
      <c r="G2909" s="914" t="s">
        <v>126</v>
      </c>
      <c r="H2909" s="760" t="s">
        <v>689</v>
      </c>
      <c r="I2909" s="907"/>
      <c r="J2909" s="910"/>
      <c r="K2909" s="758"/>
    </row>
    <row r="2910" spans="6:11" ht="24" customHeight="1">
      <c r="F2910" s="907"/>
      <c r="G2910" s="908"/>
      <c r="H2910" s="907"/>
      <c r="I2910" s="907"/>
      <c r="J2910" s="910"/>
      <c r="K2910" s="915" t="s">
        <v>117</v>
      </c>
    </row>
    <row r="2911" spans="6:11" ht="24" customHeight="1">
      <c r="F2911" s="907"/>
      <c r="G2911" s="908"/>
      <c r="H2911" s="760" t="s">
        <v>2512</v>
      </c>
      <c r="I2911" s="907"/>
      <c r="J2911" s="910"/>
      <c r="K2911" s="758">
        <f>SUM(K2907:K2909)</f>
        <v>6115.1639999999998</v>
      </c>
    </row>
    <row r="2912" spans="6:11" ht="24" customHeight="1">
      <c r="F2912" s="907"/>
      <c r="G2912" s="908"/>
      <c r="H2912" s="907"/>
      <c r="I2912" s="907"/>
      <c r="J2912" s="910"/>
      <c r="K2912" s="915" t="s">
        <v>117</v>
      </c>
    </row>
    <row r="2913" spans="6:16" ht="24" customHeight="1">
      <c r="F2913" s="907"/>
      <c r="G2913" s="914" t="s">
        <v>903</v>
      </c>
      <c r="H2913" s="760" t="s">
        <v>482</v>
      </c>
      <c r="I2913" s="907"/>
      <c r="J2913" s="910"/>
      <c r="K2913" s="758">
        <f>K2911+C22</f>
        <v>6205.0639999999994</v>
      </c>
    </row>
    <row r="2914" spans="6:16" ht="24" customHeight="1">
      <c r="F2914" s="907"/>
      <c r="G2914" s="914" t="s">
        <v>905</v>
      </c>
      <c r="H2914" s="760" t="s">
        <v>486</v>
      </c>
      <c r="I2914" s="907"/>
      <c r="J2914" s="910"/>
      <c r="K2914" s="758">
        <f>K2913+C23</f>
        <v>6382.0639999999994</v>
      </c>
    </row>
    <row r="2915" spans="6:16" ht="24" customHeight="1">
      <c r="F2915" s="907"/>
      <c r="G2915" s="914" t="s">
        <v>907</v>
      </c>
      <c r="H2915" s="760" t="s">
        <v>489</v>
      </c>
      <c r="I2915" s="907"/>
      <c r="J2915" s="910"/>
      <c r="K2915" s="758">
        <f>K2914+C23</f>
        <v>6559.0639999999994</v>
      </c>
    </row>
    <row r="2916" spans="6:16" ht="24" customHeight="1">
      <c r="F2916" s="907"/>
      <c r="G2916" s="914" t="s">
        <v>909</v>
      </c>
      <c r="H2916" s="760" t="s">
        <v>491</v>
      </c>
      <c r="I2916" s="907"/>
      <c r="J2916" s="910"/>
      <c r="K2916" s="758">
        <f>K2915+C23</f>
        <v>6736.0639999999994</v>
      </c>
    </row>
    <row r="2917" spans="6:16" ht="24" customHeight="1">
      <c r="F2917" s="907"/>
      <c r="G2917" s="908"/>
      <c r="H2917" s="907"/>
      <c r="I2917" s="907"/>
      <c r="J2917" s="910"/>
      <c r="K2917" s="907"/>
    </row>
    <row r="2918" spans="6:16" ht="24" customHeight="1">
      <c r="F2918" s="907"/>
      <c r="G2918" s="912"/>
      <c r="H2918" s="970"/>
      <c r="I2918" s="907"/>
      <c r="J2918" s="960"/>
      <c r="K2918" s="907"/>
    </row>
    <row r="2919" spans="6:16" ht="24" customHeight="1">
      <c r="F2919" s="907"/>
      <c r="G2919" s="908"/>
      <c r="H2919" s="913" t="s">
        <v>2513</v>
      </c>
      <c r="I2919" s="907"/>
      <c r="J2919" s="960"/>
      <c r="K2919" s="907"/>
    </row>
    <row r="2920" spans="6:16" ht="24" customHeight="1">
      <c r="F2920" s="907"/>
      <c r="G2920" s="908"/>
      <c r="H2920" s="907"/>
      <c r="I2920" s="907"/>
      <c r="J2920" s="960"/>
      <c r="K2920" s="907"/>
    </row>
    <row r="2921" spans="6:16" ht="24" customHeight="1">
      <c r="F2921" s="962"/>
      <c r="G2921" s="908"/>
      <c r="H2921" s="907" t="s">
        <v>2514</v>
      </c>
      <c r="I2921" s="907"/>
      <c r="J2921" s="908"/>
      <c r="K2921" s="907"/>
    </row>
    <row r="2922" spans="6:16" ht="24" customHeight="1">
      <c r="F2922" s="926"/>
      <c r="G2922" s="908"/>
      <c r="H2922" s="907" t="s">
        <v>2515</v>
      </c>
      <c r="I2922" s="907"/>
      <c r="J2922" s="908"/>
      <c r="K2922" s="907"/>
    </row>
    <row r="2923" spans="6:16" ht="24" customHeight="1">
      <c r="F2923" s="907"/>
      <c r="G2923" s="908"/>
      <c r="H2923" s="960" t="s">
        <v>2516</v>
      </c>
      <c r="I2923" s="907"/>
      <c r="J2923" s="911"/>
      <c r="K2923" s="907"/>
      <c r="P2923" s="575">
        <f>0.35*4</f>
        <v>1.4</v>
      </c>
    </row>
    <row r="2924" spans="6:16" ht="24" customHeight="1">
      <c r="F2924" s="907"/>
      <c r="G2924" s="908"/>
      <c r="H2924" s="917" t="s">
        <v>2517</v>
      </c>
      <c r="I2924" s="913"/>
      <c r="J2924" s="912"/>
      <c r="K2924" s="913"/>
      <c r="P2924" s="575">
        <f>0.3*4</f>
        <v>1.2</v>
      </c>
    </row>
    <row r="2925" spans="6:16" ht="24" customHeight="1">
      <c r="F2925" s="907"/>
      <c r="G2925" s="908"/>
      <c r="H2925" s="907" t="s">
        <v>2518</v>
      </c>
      <c r="I2925" s="907"/>
      <c r="J2925" s="960"/>
      <c r="K2925" s="907"/>
      <c r="P2925" s="575">
        <f>1.28*2</f>
        <v>2.56</v>
      </c>
    </row>
    <row r="2926" spans="6:16" ht="24" customHeight="1">
      <c r="F2926" s="907"/>
      <c r="G2926" s="908"/>
      <c r="H2926" s="913" t="s">
        <v>2519</v>
      </c>
      <c r="I2926" s="907"/>
      <c r="J2926" s="960"/>
      <c r="K2926" s="907"/>
      <c r="P2926" s="575" t="s">
        <v>2520</v>
      </c>
    </row>
    <row r="2927" spans="6:16" ht="24" customHeight="1">
      <c r="F2927" s="962">
        <v>3.5999999999999997E-2</v>
      </c>
      <c r="G2927" s="908" t="s">
        <v>429</v>
      </c>
      <c r="H2927" s="907" t="s">
        <v>2521</v>
      </c>
      <c r="I2927" s="907">
        <f>K2913</f>
        <v>6205.0639999999994</v>
      </c>
      <c r="J2927" s="908" t="s">
        <v>429</v>
      </c>
      <c r="K2927" s="907">
        <f>F2927*I2927</f>
        <v>223.38230399999995</v>
      </c>
    </row>
    <row r="2928" spans="6:16" ht="24" customHeight="1">
      <c r="F2928" s="926">
        <v>3.0649999999999999</v>
      </c>
      <c r="G2928" s="908" t="s">
        <v>654</v>
      </c>
      <c r="H2928" s="971" t="s">
        <v>2522</v>
      </c>
      <c r="I2928" s="907">
        <f>K1582/1000</f>
        <v>70.345399999999998</v>
      </c>
      <c r="J2928" s="908" t="s">
        <v>654</v>
      </c>
      <c r="K2928" s="907">
        <f>F2928*I2928</f>
        <v>215.60865099999998</v>
      </c>
    </row>
    <row r="2929" spans="6:11" ht="24" customHeight="1">
      <c r="F2929" s="926">
        <v>0.79800000000000004</v>
      </c>
      <c r="G2929" s="908" t="s">
        <v>110</v>
      </c>
      <c r="H2929" s="907" t="s">
        <v>2523</v>
      </c>
      <c r="I2929" s="907">
        <f>I2358</f>
        <v>901.99226399999998</v>
      </c>
      <c r="J2929" s="908" t="s">
        <v>110</v>
      </c>
      <c r="K2929" s="907">
        <f>F2929*I2929</f>
        <v>719.789826672</v>
      </c>
    </row>
    <row r="2930" spans="6:11" ht="24" customHeight="1">
      <c r="F2930" s="907"/>
      <c r="G2930" s="908"/>
      <c r="H2930" s="912" t="s">
        <v>2524</v>
      </c>
      <c r="I2930" s="913"/>
      <c r="J2930" s="912" t="s">
        <v>2433</v>
      </c>
      <c r="K2930" s="913">
        <f>SUM(K2927:K2929)</f>
        <v>1158.7807816719999</v>
      </c>
    </row>
    <row r="2931" spans="6:11" ht="24" customHeight="1">
      <c r="F2931" s="962"/>
      <c r="G2931" s="908"/>
      <c r="H2931" s="912" t="s">
        <v>2198</v>
      </c>
      <c r="I2931" s="907"/>
      <c r="J2931" s="912" t="s">
        <v>2433</v>
      </c>
      <c r="K2931" s="913">
        <f>K2930/2.1</f>
        <v>551.80037222476187</v>
      </c>
    </row>
    <row r="2932" spans="6:11" ht="24" customHeight="1">
      <c r="F2932" s="926"/>
      <c r="G2932" s="908"/>
      <c r="H2932" s="907"/>
      <c r="I2932" s="907"/>
      <c r="J2932" s="908"/>
      <c r="K2932" s="907"/>
    </row>
    <row r="2933" spans="6:11" ht="24" customHeight="1">
      <c r="F2933" s="907"/>
      <c r="G2933" s="908"/>
      <c r="H2933" s="911"/>
      <c r="I2933" s="907"/>
      <c r="J2933" s="911"/>
      <c r="K2933" s="907"/>
    </row>
    <row r="2934" spans="6:11" ht="24" customHeight="1">
      <c r="F2934" s="907"/>
      <c r="G2934" s="908"/>
      <c r="H2934" s="912"/>
      <c r="I2934" s="913"/>
      <c r="J2934" s="912"/>
      <c r="K2934" s="913"/>
    </row>
    <row r="2935" spans="6:11" ht="24" customHeight="1">
      <c r="F2935" s="907"/>
      <c r="G2935" s="908"/>
      <c r="H2935" s="913" t="s">
        <v>2525</v>
      </c>
      <c r="I2935" s="907"/>
      <c r="J2935" s="960"/>
      <c r="K2935" s="907"/>
    </row>
    <row r="2936" spans="6:11" ht="56.25" customHeight="1">
      <c r="F2936" s="962">
        <v>3.5999999999999997E-2</v>
      </c>
      <c r="G2936" s="908" t="s">
        <v>429</v>
      </c>
      <c r="H2936" s="907" t="s">
        <v>2521</v>
      </c>
      <c r="I2936" s="907">
        <f>K2914</f>
        <v>6382.0639999999994</v>
      </c>
      <c r="J2936" s="908" t="s">
        <v>429</v>
      </c>
      <c r="K2936" s="907">
        <f>F2936*I2936</f>
        <v>229.75430399999996</v>
      </c>
    </row>
    <row r="2937" spans="6:11" ht="24" customHeight="1">
      <c r="F2937" s="926">
        <v>3.0649999999999999</v>
      </c>
      <c r="G2937" s="908" t="s">
        <v>654</v>
      </c>
      <c r="H2937" s="971" t="s">
        <v>2522</v>
      </c>
      <c r="I2937" s="907">
        <f>K1582/1000</f>
        <v>70.345399999999998</v>
      </c>
      <c r="J2937" s="908" t="s">
        <v>654</v>
      </c>
      <c r="K2937" s="907">
        <f>F2937*I2937</f>
        <v>215.60865099999998</v>
      </c>
    </row>
    <row r="2938" spans="6:11" ht="24" customHeight="1">
      <c r="F2938" s="926">
        <v>0.79800000000000004</v>
      </c>
      <c r="G2938" s="908" t="s">
        <v>110</v>
      </c>
      <c r="H2938" s="907" t="s">
        <v>2523</v>
      </c>
      <c r="I2938" s="907">
        <f>I2358</f>
        <v>901.99226399999998</v>
      </c>
      <c r="J2938" s="908" t="s">
        <v>110</v>
      </c>
      <c r="K2938" s="907">
        <f>F2938*I2938</f>
        <v>719.789826672</v>
      </c>
    </row>
    <row r="2939" spans="6:11" ht="24" customHeight="1">
      <c r="F2939" s="907"/>
      <c r="G2939" s="908"/>
      <c r="H2939" s="912" t="s">
        <v>2524</v>
      </c>
      <c r="I2939" s="913"/>
      <c r="J2939" s="912" t="s">
        <v>2433</v>
      </c>
      <c r="K2939" s="913">
        <f>SUM(K2936:K2938)</f>
        <v>1165.1527816719999</v>
      </c>
    </row>
    <row r="2940" spans="6:11" ht="24" customHeight="1">
      <c r="F2940" s="962"/>
      <c r="G2940" s="908"/>
      <c r="H2940" s="912" t="s">
        <v>2198</v>
      </c>
      <c r="I2940" s="907"/>
      <c r="J2940" s="912" t="s">
        <v>2433</v>
      </c>
      <c r="K2940" s="913">
        <f>K2939/2.1</f>
        <v>554.83465793904759</v>
      </c>
    </row>
    <row r="2941" spans="6:11" ht="24" customHeight="1">
      <c r="F2941" s="926"/>
      <c r="G2941" s="908"/>
      <c r="H2941" s="907"/>
      <c r="I2941" s="907"/>
      <c r="J2941" s="908"/>
      <c r="K2941" s="907"/>
    </row>
    <row r="2942" spans="6:11" ht="24" customHeight="1">
      <c r="F2942" s="907"/>
      <c r="G2942" s="908"/>
      <c r="H2942" s="907"/>
      <c r="I2942" s="907"/>
      <c r="J2942" s="960"/>
      <c r="K2942" s="907"/>
    </row>
    <row r="2943" spans="6:11" ht="24" customHeight="1">
      <c r="F2943" s="907"/>
      <c r="G2943" s="908"/>
      <c r="H2943" s="907"/>
      <c r="I2943" s="907"/>
      <c r="J2943" s="960"/>
      <c r="K2943" s="907"/>
    </row>
    <row r="2944" spans="6:11" ht="24" customHeight="1">
      <c r="F2944" s="907"/>
      <c r="G2944" s="908"/>
      <c r="H2944" s="907"/>
      <c r="I2944" s="907"/>
      <c r="J2944" s="960"/>
      <c r="K2944" s="907"/>
    </row>
    <row r="2945" spans="6:11" ht="24" customHeight="1">
      <c r="F2945" s="907"/>
      <c r="G2945" s="908"/>
      <c r="H2945" s="913" t="s">
        <v>2526</v>
      </c>
      <c r="I2945" s="907"/>
      <c r="J2945" s="960"/>
      <c r="K2945" s="907"/>
    </row>
    <row r="2946" spans="6:11" ht="24" customHeight="1">
      <c r="F2946" s="962">
        <v>3.5999999999999997E-2</v>
      </c>
      <c r="G2946" s="908" t="s">
        <v>429</v>
      </c>
      <c r="H2946" s="907" t="s">
        <v>2521</v>
      </c>
      <c r="I2946" s="907">
        <f>K2915</f>
        <v>6559.0639999999994</v>
      </c>
      <c r="J2946" s="908" t="s">
        <v>429</v>
      </c>
      <c r="K2946" s="907">
        <f>F2946*I2946</f>
        <v>236.12630399999995</v>
      </c>
    </row>
    <row r="2947" spans="6:11" ht="24" customHeight="1">
      <c r="F2947" s="926">
        <v>3.0649999999999999</v>
      </c>
      <c r="G2947" s="908" t="s">
        <v>654</v>
      </c>
      <c r="H2947" s="971" t="s">
        <v>2522</v>
      </c>
      <c r="I2947" s="907">
        <f>I2928</f>
        <v>70.345399999999998</v>
      </c>
      <c r="J2947" s="908" t="s">
        <v>654</v>
      </c>
      <c r="K2947" s="907">
        <f>F2947*I2947</f>
        <v>215.60865099999998</v>
      </c>
    </row>
    <row r="2948" spans="6:11" ht="24" customHeight="1">
      <c r="F2948" s="926">
        <v>0.79800000000000004</v>
      </c>
      <c r="G2948" s="908" t="s">
        <v>110</v>
      </c>
      <c r="H2948" s="907" t="s">
        <v>2523</v>
      </c>
      <c r="I2948" s="907">
        <f>I2929</f>
        <v>901.99226399999998</v>
      </c>
      <c r="J2948" s="908" t="s">
        <v>110</v>
      </c>
      <c r="K2948" s="907">
        <f>F2948*I2948</f>
        <v>719.789826672</v>
      </c>
    </row>
    <row r="2949" spans="6:11" ht="24" customHeight="1">
      <c r="F2949" s="907"/>
      <c r="G2949" s="908"/>
      <c r="H2949" s="912" t="s">
        <v>2524</v>
      </c>
      <c r="I2949" s="913"/>
      <c r="J2949" s="912" t="s">
        <v>2433</v>
      </c>
      <c r="K2949" s="913">
        <f>SUM(K2946:K2948)</f>
        <v>1171.5247816719998</v>
      </c>
    </row>
    <row r="2950" spans="6:11" ht="24" customHeight="1">
      <c r="F2950" s="962"/>
      <c r="G2950" s="908"/>
      <c r="H2950" s="912" t="s">
        <v>2198</v>
      </c>
      <c r="I2950" s="907"/>
      <c r="J2950" s="912" t="s">
        <v>2433</v>
      </c>
      <c r="K2950" s="913">
        <f>K2949/2.1</f>
        <v>557.86894365333319</v>
      </c>
    </row>
    <row r="2951" spans="6:11" ht="24" customHeight="1">
      <c r="F2951" s="926"/>
      <c r="G2951" s="908"/>
      <c r="H2951" s="907"/>
      <c r="I2951" s="907"/>
      <c r="J2951" s="908"/>
      <c r="K2951" s="907"/>
    </row>
    <row r="2952" spans="6:11" ht="24" customHeight="1">
      <c r="F2952" s="907"/>
      <c r="G2952" s="908"/>
      <c r="H2952" s="907"/>
      <c r="I2952" s="907"/>
      <c r="J2952" s="960"/>
      <c r="K2952" s="907"/>
    </row>
    <row r="2953" spans="6:11" ht="24" customHeight="1">
      <c r="F2953" s="907"/>
      <c r="G2953" s="908"/>
      <c r="H2953" s="907"/>
      <c r="I2953" s="907"/>
      <c r="J2953" s="960"/>
      <c r="K2953" s="907"/>
    </row>
    <row r="2954" spans="6:11" ht="24" customHeight="1">
      <c r="F2954" s="907"/>
      <c r="G2954" s="908"/>
      <c r="H2954" s="913" t="s">
        <v>2527</v>
      </c>
      <c r="I2954" s="907"/>
      <c r="J2954" s="960"/>
      <c r="K2954" s="907"/>
    </row>
    <row r="2955" spans="6:11" ht="24" customHeight="1">
      <c r="F2955" s="962">
        <v>3.5999999999999997E-2</v>
      </c>
      <c r="G2955" s="908" t="s">
        <v>429</v>
      </c>
      <c r="H2955" s="907" t="s">
        <v>2521</v>
      </c>
      <c r="I2955" s="907">
        <f>K2916</f>
        <v>6736.0639999999994</v>
      </c>
      <c r="J2955" s="908" t="s">
        <v>429</v>
      </c>
      <c r="K2955" s="907">
        <f>F2955*I2955</f>
        <v>242.49830399999996</v>
      </c>
    </row>
    <row r="2956" spans="6:11" ht="24" customHeight="1">
      <c r="F2956" s="926">
        <v>3.0649999999999999</v>
      </c>
      <c r="G2956" s="908" t="s">
        <v>654</v>
      </c>
      <c r="H2956" s="971" t="s">
        <v>2522</v>
      </c>
      <c r="I2956" s="907">
        <f>I2947</f>
        <v>70.345399999999998</v>
      </c>
      <c r="J2956" s="908" t="s">
        <v>654</v>
      </c>
      <c r="K2956" s="907">
        <f>F2956*I2956</f>
        <v>215.60865099999998</v>
      </c>
    </row>
    <row r="2957" spans="6:11" ht="24" customHeight="1">
      <c r="F2957" s="926">
        <v>0.79800000000000004</v>
      </c>
      <c r="G2957" s="908" t="s">
        <v>110</v>
      </c>
      <c r="H2957" s="907" t="s">
        <v>2523</v>
      </c>
      <c r="I2957" s="907">
        <f>I2948</f>
        <v>901.99226399999998</v>
      </c>
      <c r="J2957" s="908" t="s">
        <v>110</v>
      </c>
      <c r="K2957" s="907">
        <f>F2957*I2957</f>
        <v>719.789826672</v>
      </c>
    </row>
    <row r="2958" spans="6:11" ht="24" customHeight="1">
      <c r="F2958" s="907"/>
      <c r="G2958" s="908"/>
      <c r="H2958" s="912" t="s">
        <v>2524</v>
      </c>
      <c r="I2958" s="913"/>
      <c r="J2958" s="912" t="s">
        <v>2433</v>
      </c>
      <c r="K2958" s="913">
        <f>SUM(K2955:K2957)</f>
        <v>1177.8967816720001</v>
      </c>
    </row>
    <row r="2959" spans="6:11" ht="24" customHeight="1">
      <c r="F2959" s="962"/>
      <c r="G2959" s="908"/>
      <c r="H2959" s="912" t="s">
        <v>2198</v>
      </c>
      <c r="I2959" s="907"/>
      <c r="J2959" s="912" t="s">
        <v>2433</v>
      </c>
      <c r="K2959" s="913">
        <f>K2958/2.1</f>
        <v>560.90322936761902</v>
      </c>
    </row>
    <row r="2960" spans="6:11" ht="24" customHeight="1">
      <c r="F2960" s="926"/>
      <c r="G2960" s="908"/>
      <c r="H2960" s="907"/>
      <c r="I2960" s="907"/>
      <c r="J2960" s="908"/>
      <c r="K2960" s="907"/>
    </row>
    <row r="2961" spans="6:15" ht="24" customHeight="1">
      <c r="F2961" s="907"/>
      <c r="G2961" s="908"/>
      <c r="H2961" s="907"/>
      <c r="I2961" s="907"/>
      <c r="J2961" s="910"/>
      <c r="K2961" s="907"/>
    </row>
    <row r="2962" spans="6:15" ht="24" customHeight="1">
      <c r="F2962" s="907"/>
      <c r="G2962" s="908"/>
      <c r="H2962" s="907"/>
      <c r="I2962" s="907"/>
      <c r="J2962" s="910"/>
      <c r="K2962" s="907"/>
    </row>
    <row r="2963" spans="6:15" ht="24" customHeight="1">
      <c r="F2963" s="907"/>
      <c r="G2963" s="908"/>
      <c r="H2963" s="907"/>
      <c r="I2963" s="907">
        <f>160*10.76</f>
        <v>1721.6</v>
      </c>
      <c r="J2963" s="910"/>
      <c r="K2963" s="907"/>
    </row>
    <row r="2964" spans="6:15" ht="24" customHeight="1">
      <c r="F2964" s="761" t="s">
        <v>1465</v>
      </c>
      <c r="G2964" s="914" t="s">
        <v>122</v>
      </c>
      <c r="H2964" s="760" t="s">
        <v>2485</v>
      </c>
      <c r="I2964" s="907">
        <f>148*10.76</f>
        <v>1592.48</v>
      </c>
      <c r="J2964" s="910"/>
      <c r="K2964" s="907"/>
    </row>
    <row r="2965" spans="6:15" ht="24" customHeight="1">
      <c r="F2965" s="907"/>
      <c r="G2965" s="908"/>
      <c r="H2965" s="760" t="s">
        <v>1467</v>
      </c>
      <c r="I2965" s="907"/>
      <c r="J2965" s="910"/>
      <c r="K2965" s="907"/>
    </row>
    <row r="2966" spans="6:15" ht="24" customHeight="1">
      <c r="F2966" s="907"/>
      <c r="G2966" s="908"/>
      <c r="H2966" s="760" t="s">
        <v>1496</v>
      </c>
      <c r="I2966" s="907"/>
      <c r="J2966" s="910"/>
      <c r="K2966" s="907"/>
    </row>
    <row r="2967" spans="6:15" ht="24" customHeight="1">
      <c r="F2967" s="907"/>
      <c r="G2967" s="908"/>
      <c r="H2967" s="915" t="s">
        <v>117</v>
      </c>
      <c r="I2967" s="962">
        <f>1.4*2.025</f>
        <v>2.8349999999999995</v>
      </c>
      <c r="J2967" s="910"/>
      <c r="K2967" s="907"/>
    </row>
    <row r="2968" spans="6:15" ht="24" customHeight="1">
      <c r="F2968" s="907"/>
      <c r="G2968" s="908"/>
      <c r="H2968" s="760" t="s">
        <v>2528</v>
      </c>
      <c r="I2968" s="907"/>
      <c r="J2968" s="910"/>
      <c r="K2968" s="907"/>
    </row>
    <row r="2969" spans="6:15" ht="24" customHeight="1">
      <c r="F2969" s="907"/>
      <c r="G2969" s="908"/>
      <c r="H2969" s="907"/>
      <c r="I2969" s="907"/>
      <c r="J2969" s="910"/>
      <c r="K2969" s="907"/>
    </row>
    <row r="2970" spans="6:15" ht="44.25" customHeight="1">
      <c r="F2970" s="926">
        <v>1.64</v>
      </c>
      <c r="G2970" s="914" t="s">
        <v>140</v>
      </c>
      <c r="H2970" s="924" t="s">
        <v>2487</v>
      </c>
      <c r="I2970" s="972">
        <f>I2834</f>
        <v>2370</v>
      </c>
      <c r="J2970" s="761" t="s">
        <v>140</v>
      </c>
      <c r="K2970" s="907">
        <f>F2971*I2970</f>
        <v>3886.7999999999997</v>
      </c>
    </row>
    <row r="2971" spans="6:15" ht="24" customHeight="1">
      <c r="F2971" s="949">
        <v>1.64</v>
      </c>
      <c r="G2971" s="914" t="s">
        <v>140</v>
      </c>
      <c r="H2971" s="760" t="s">
        <v>1480</v>
      </c>
      <c r="I2971" s="907">
        <f t="shared" ref="I2971:I2977" si="269">I2835</f>
        <v>161</v>
      </c>
      <c r="J2971" s="761" t="s">
        <v>140</v>
      </c>
      <c r="K2971" s="758">
        <f t="shared" ref="K2971:K2977" si="270">(F2971*I2971)</f>
        <v>264.03999999999996</v>
      </c>
      <c r="O2971" s="760" t="s">
        <v>2485</v>
      </c>
    </row>
    <row r="2972" spans="6:15" ht="24" customHeight="1">
      <c r="F2972" s="758">
        <v>2</v>
      </c>
      <c r="G2972" s="914" t="s">
        <v>1</v>
      </c>
      <c r="H2972" s="760" t="s">
        <v>1481</v>
      </c>
      <c r="I2972" s="907">
        <f t="shared" si="269"/>
        <v>50.9</v>
      </c>
      <c r="J2972" s="761" t="s">
        <v>209</v>
      </c>
      <c r="K2972" s="758">
        <f t="shared" si="270"/>
        <v>101.8</v>
      </c>
      <c r="O2972" s="760" t="s">
        <v>1467</v>
      </c>
    </row>
    <row r="2973" spans="6:15" ht="24" customHeight="1">
      <c r="F2973" s="758">
        <v>3</v>
      </c>
      <c r="G2973" s="914" t="s">
        <v>209</v>
      </c>
      <c r="H2973" s="760" t="s">
        <v>1482</v>
      </c>
      <c r="I2973" s="907">
        <f t="shared" si="269"/>
        <v>79.099999999999994</v>
      </c>
      <c r="J2973" s="761" t="s">
        <v>209</v>
      </c>
      <c r="K2973" s="758">
        <f t="shared" si="270"/>
        <v>237.29999999999998</v>
      </c>
      <c r="O2973" s="760" t="s">
        <v>2529</v>
      </c>
    </row>
    <row r="2974" spans="6:15" ht="24" customHeight="1">
      <c r="F2974" s="758">
        <v>2</v>
      </c>
      <c r="G2974" s="914" t="s">
        <v>209</v>
      </c>
      <c r="H2974" s="760" t="s">
        <v>1484</v>
      </c>
      <c r="I2974" s="907">
        <f t="shared" si="269"/>
        <v>57.2</v>
      </c>
      <c r="J2974" s="761" t="s">
        <v>209</v>
      </c>
      <c r="K2974" s="758">
        <f t="shared" si="270"/>
        <v>114.4</v>
      </c>
      <c r="O2974" s="915" t="s">
        <v>117</v>
      </c>
    </row>
    <row r="2975" spans="6:15" ht="24" customHeight="1">
      <c r="F2975" s="758">
        <v>1</v>
      </c>
      <c r="G2975" s="914" t="s">
        <v>209</v>
      </c>
      <c r="H2975" s="760" t="s">
        <v>1486</v>
      </c>
      <c r="I2975" s="907">
        <f t="shared" si="269"/>
        <v>159.69999999999999</v>
      </c>
      <c r="J2975" s="761" t="s">
        <v>209</v>
      </c>
      <c r="K2975" s="758">
        <f t="shared" si="270"/>
        <v>159.69999999999999</v>
      </c>
      <c r="L2975" s="575" t="s">
        <v>115</v>
      </c>
      <c r="O2975" s="760" t="s">
        <v>2530</v>
      </c>
    </row>
    <row r="2976" spans="6:15" ht="24" customHeight="1">
      <c r="F2976" s="758">
        <v>1</v>
      </c>
      <c r="G2976" s="914" t="s">
        <v>209</v>
      </c>
      <c r="H2976" s="760" t="s">
        <v>1488</v>
      </c>
      <c r="I2976" s="907">
        <f t="shared" si="269"/>
        <v>7.3</v>
      </c>
      <c r="J2976" s="761" t="s">
        <v>209</v>
      </c>
      <c r="K2976" s="758">
        <f t="shared" si="270"/>
        <v>7.3</v>
      </c>
    </row>
    <row r="2977" spans="6:18" ht="39.75" customHeight="1">
      <c r="F2977" s="758">
        <v>1</v>
      </c>
      <c r="G2977" s="914" t="s">
        <v>209</v>
      </c>
      <c r="H2977" s="760" t="s">
        <v>630</v>
      </c>
      <c r="I2977" s="907">
        <f t="shared" si="269"/>
        <v>43.8</v>
      </c>
      <c r="J2977" s="761" t="s">
        <v>209</v>
      </c>
      <c r="K2977" s="758">
        <f t="shared" si="270"/>
        <v>43.8</v>
      </c>
      <c r="M2977" s="926">
        <v>2.2549999999999999</v>
      </c>
      <c r="N2977" s="914" t="s">
        <v>140</v>
      </c>
      <c r="O2977" s="924" t="s">
        <v>2487</v>
      </c>
      <c r="P2977" s="973">
        <f>I2970</f>
        <v>2370</v>
      </c>
      <c r="Q2977" s="761" t="s">
        <v>140</v>
      </c>
      <c r="R2977" s="907">
        <f>M2978*P2977</f>
        <v>5344.3499999999995</v>
      </c>
    </row>
    <row r="2978" spans="6:18" ht="24" customHeight="1">
      <c r="F2978" s="907"/>
      <c r="G2978" s="908"/>
      <c r="H2978" s="907"/>
      <c r="I2978" s="907"/>
      <c r="J2978" s="910"/>
      <c r="K2978" s="919">
        <v>0.63</v>
      </c>
      <c r="M2978" s="949">
        <v>2.2549999999999999</v>
      </c>
      <c r="N2978" s="914" t="s">
        <v>140</v>
      </c>
      <c r="O2978" s="760" t="s">
        <v>1480</v>
      </c>
      <c r="P2978" s="973">
        <f t="shared" ref="P2978:P2984" si="271">I2971</f>
        <v>161</v>
      </c>
      <c r="Q2978" s="761" t="s">
        <v>140</v>
      </c>
      <c r="R2978" s="758">
        <f t="shared" ref="R2978:R2984" si="272">(M2978*P2978)</f>
        <v>363.05500000000001</v>
      </c>
    </row>
    <row r="2979" spans="6:18" ht="24" customHeight="1">
      <c r="F2979" s="907"/>
      <c r="G2979" s="908"/>
      <c r="H2979" s="760" t="s">
        <v>2531</v>
      </c>
      <c r="I2979" s="907"/>
      <c r="J2979" s="910"/>
      <c r="K2979" s="758">
        <f>SUM(K2970:K2978)</f>
        <v>4815.7700000000004</v>
      </c>
      <c r="M2979" s="758">
        <v>2</v>
      </c>
      <c r="N2979" s="914" t="s">
        <v>1</v>
      </c>
      <c r="O2979" s="760" t="s">
        <v>1481</v>
      </c>
      <c r="P2979" s="973">
        <f t="shared" si="271"/>
        <v>50.9</v>
      </c>
      <c r="Q2979" s="761" t="s">
        <v>209</v>
      </c>
      <c r="R2979" s="758">
        <f t="shared" si="272"/>
        <v>101.8</v>
      </c>
    </row>
    <row r="2980" spans="6:18" ht="24" customHeight="1">
      <c r="F2980" s="907"/>
      <c r="G2980" s="908"/>
      <c r="H2980" s="907"/>
      <c r="I2980" s="907"/>
      <c r="J2980" s="910"/>
      <c r="K2980" s="915" t="s">
        <v>117</v>
      </c>
      <c r="M2980" s="758">
        <v>3</v>
      </c>
      <c r="N2980" s="914" t="s">
        <v>209</v>
      </c>
      <c r="O2980" s="760" t="s">
        <v>1482</v>
      </c>
      <c r="P2980" s="973">
        <f t="shared" si="271"/>
        <v>79.099999999999994</v>
      </c>
      <c r="Q2980" s="761" t="s">
        <v>209</v>
      </c>
      <c r="R2980" s="758">
        <f t="shared" si="272"/>
        <v>237.29999999999998</v>
      </c>
    </row>
    <row r="2981" spans="6:18" ht="24" customHeight="1">
      <c r="F2981" s="907"/>
      <c r="G2981" s="908"/>
      <c r="H2981" s="760" t="s">
        <v>154</v>
      </c>
      <c r="I2981" s="907"/>
      <c r="J2981" s="910"/>
      <c r="K2981" s="758">
        <f>K2979/F2971</f>
        <v>2936.4451219512198</v>
      </c>
      <c r="M2981" s="758">
        <v>2</v>
      </c>
      <c r="N2981" s="914" t="s">
        <v>209</v>
      </c>
      <c r="O2981" s="760" t="s">
        <v>1484</v>
      </c>
      <c r="P2981" s="973">
        <f t="shared" si="271"/>
        <v>57.2</v>
      </c>
      <c r="Q2981" s="761" t="s">
        <v>209</v>
      </c>
      <c r="R2981" s="758">
        <f t="shared" si="272"/>
        <v>114.4</v>
      </c>
    </row>
    <row r="2982" spans="6:18" ht="24" customHeight="1">
      <c r="F2982" s="760" t="s">
        <v>115</v>
      </c>
      <c r="G2982" s="908"/>
      <c r="H2982" s="907"/>
      <c r="I2982" s="907"/>
      <c r="J2982" s="910"/>
      <c r="K2982" s="907"/>
      <c r="M2982" s="758">
        <v>1</v>
      </c>
      <c r="N2982" s="914" t="s">
        <v>209</v>
      </c>
      <c r="O2982" s="760" t="s">
        <v>1486</v>
      </c>
      <c r="P2982" s="973">
        <f t="shared" si="271"/>
        <v>159.69999999999999</v>
      </c>
      <c r="Q2982" s="761" t="s">
        <v>209</v>
      </c>
      <c r="R2982" s="758">
        <f t="shared" si="272"/>
        <v>159.69999999999999</v>
      </c>
    </row>
    <row r="2983" spans="6:18" ht="24" customHeight="1">
      <c r="F2983" s="907"/>
      <c r="G2983" s="908"/>
      <c r="H2983" s="907"/>
      <c r="I2983" s="907"/>
      <c r="J2983" s="910"/>
      <c r="K2983" s="907"/>
      <c r="M2983" s="758">
        <v>1</v>
      </c>
      <c r="N2983" s="914" t="s">
        <v>209</v>
      </c>
      <c r="O2983" s="760" t="s">
        <v>1488</v>
      </c>
      <c r="P2983" s="973">
        <f t="shared" si="271"/>
        <v>7.3</v>
      </c>
      <c r="Q2983" s="761" t="s">
        <v>209</v>
      </c>
      <c r="R2983" s="758">
        <f t="shared" si="272"/>
        <v>7.3</v>
      </c>
    </row>
    <row r="2984" spans="6:18" ht="24" customHeight="1">
      <c r="F2984" s="932" t="s">
        <v>2532</v>
      </c>
      <c r="G2984" s="935"/>
      <c r="H2984" s="932"/>
      <c r="I2984" s="932"/>
      <c r="J2984" s="933"/>
      <c r="K2984" s="932"/>
      <c r="M2984" s="758">
        <v>1</v>
      </c>
      <c r="N2984" s="914" t="s">
        <v>209</v>
      </c>
      <c r="O2984" s="760" t="s">
        <v>630</v>
      </c>
      <c r="P2984" s="973">
        <f t="shared" si="271"/>
        <v>43.8</v>
      </c>
      <c r="Q2984" s="761" t="s">
        <v>209</v>
      </c>
      <c r="R2984" s="758">
        <f t="shared" si="272"/>
        <v>43.8</v>
      </c>
    </row>
    <row r="2985" spans="6:18" ht="24" customHeight="1">
      <c r="F2985" s="932"/>
      <c r="G2985" s="935"/>
      <c r="H2985" s="932"/>
      <c r="I2985" s="932"/>
      <c r="J2985" s="933"/>
      <c r="K2985" s="932"/>
      <c r="M2985" s="907"/>
      <c r="N2985" s="908"/>
      <c r="O2985" s="907"/>
      <c r="P2985" s="907"/>
      <c r="Q2985" s="910"/>
      <c r="R2985" s="915" t="s">
        <v>117</v>
      </c>
    </row>
    <row r="2986" spans="6:18" ht="24" customHeight="1">
      <c r="F2986" s="932" t="s">
        <v>2533</v>
      </c>
      <c r="G2986" s="935"/>
      <c r="H2986" s="932"/>
      <c r="I2986" s="932"/>
      <c r="J2986" s="933"/>
      <c r="K2986" s="932"/>
      <c r="M2986" s="907"/>
      <c r="N2986" s="908"/>
      <c r="O2986" s="760" t="s">
        <v>2534</v>
      </c>
      <c r="P2986" s="907"/>
      <c r="Q2986" s="910"/>
      <c r="R2986" s="758">
        <f>SUM(R2977:R2984)+0.17</f>
        <v>6371.875</v>
      </c>
    </row>
    <row r="2987" spans="6:18" ht="24" customHeight="1">
      <c r="F2987" s="932"/>
      <c r="G2987" s="935"/>
      <c r="H2987" s="932"/>
      <c r="I2987" s="932"/>
      <c r="J2987" s="933"/>
      <c r="K2987" s="932"/>
      <c r="M2987" s="907"/>
      <c r="N2987" s="908"/>
      <c r="O2987" s="907"/>
      <c r="P2987" s="907"/>
      <c r="Q2987" s="910"/>
      <c r="R2987" s="915" t="s">
        <v>117</v>
      </c>
    </row>
    <row r="2988" spans="6:18" ht="24" customHeight="1">
      <c r="F2988" s="932"/>
      <c r="G2988" s="974">
        <v>0.99350000000000005</v>
      </c>
      <c r="H2988" s="932" t="s">
        <v>429</v>
      </c>
      <c r="I2988" s="932"/>
      <c r="J2988" s="933"/>
      <c r="K2988" s="932"/>
      <c r="M2988" s="907"/>
      <c r="N2988" s="908"/>
      <c r="O2988" s="760" t="s">
        <v>154</v>
      </c>
      <c r="P2988" s="907"/>
      <c r="Q2988" s="910"/>
      <c r="R2988" s="758">
        <f>R2986/M2978</f>
        <v>2825.6651884700668</v>
      </c>
    </row>
    <row r="2989" spans="6:18" ht="24" customHeight="1">
      <c r="F2989" s="932"/>
      <c r="G2989" s="935"/>
      <c r="H2989" s="932"/>
      <c r="I2989" s="932"/>
      <c r="J2989" s="933"/>
      <c r="K2989" s="932"/>
    </row>
    <row r="2990" spans="6:18" ht="24" customHeight="1">
      <c r="F2990" s="942" t="s">
        <v>2460</v>
      </c>
      <c r="G2990" s="935"/>
      <c r="H2990" s="932"/>
      <c r="I2990" s="932"/>
      <c r="J2990" s="933"/>
      <c r="K2990" s="932"/>
    </row>
    <row r="2991" spans="6:18" ht="24" customHeight="1">
      <c r="F2991" s="932"/>
      <c r="G2991" s="935"/>
      <c r="H2991" s="932"/>
      <c r="I2991" s="932"/>
      <c r="J2991" s="933"/>
      <c r="K2991" s="932"/>
    </row>
    <row r="2992" spans="6:18" ht="24" customHeight="1">
      <c r="F2992" s="975">
        <v>0.42</v>
      </c>
      <c r="G2992" s="935" t="s">
        <v>429</v>
      </c>
      <c r="H2992" s="932" t="s">
        <v>2535</v>
      </c>
      <c r="I2992" s="932">
        <f>K817</f>
        <v>7344.0209999999988</v>
      </c>
      <c r="J2992" s="938" t="s">
        <v>429</v>
      </c>
      <c r="K2992" s="932">
        <f>F2992*I2992</f>
        <v>3084.4888199999996</v>
      </c>
    </row>
    <row r="2993" spans="6:11" ht="24" customHeight="1">
      <c r="F2993" s="932">
        <v>0.25</v>
      </c>
      <c r="G2993" s="935" t="s">
        <v>164</v>
      </c>
      <c r="H2993" s="932" t="s">
        <v>1131</v>
      </c>
      <c r="I2993" s="932">
        <f>C11</f>
        <v>718</v>
      </c>
      <c r="J2993" s="938" t="s">
        <v>227</v>
      </c>
      <c r="K2993" s="932">
        <f>F2993*I2993</f>
        <v>179.5</v>
      </c>
    </row>
    <row r="2994" spans="6:11" ht="24" customHeight="1">
      <c r="F2994" s="932">
        <v>3.5</v>
      </c>
      <c r="G2994" s="935" t="s">
        <v>240</v>
      </c>
      <c r="H2994" s="932" t="s">
        <v>1606</v>
      </c>
      <c r="I2994" s="932">
        <f>C12</f>
        <v>502</v>
      </c>
      <c r="J2994" s="938" t="s">
        <v>227</v>
      </c>
      <c r="K2994" s="932">
        <f>F2994*I2994</f>
        <v>1757</v>
      </c>
    </row>
    <row r="2995" spans="6:11" ht="24" customHeight="1">
      <c r="F2995" s="976">
        <v>32.1</v>
      </c>
      <c r="G2995" s="977" t="s">
        <v>148</v>
      </c>
      <c r="H2995" s="976" t="s">
        <v>2536</v>
      </c>
      <c r="I2995" s="932"/>
      <c r="J2995" s="938"/>
      <c r="K2995" s="932">
        <f>(F2995*I2995)/1000</f>
        <v>0</v>
      </c>
    </row>
    <row r="2996" spans="6:11" ht="24" customHeight="1">
      <c r="F2996" s="932"/>
      <c r="G2996" s="932" t="s">
        <v>2465</v>
      </c>
      <c r="H2996" s="932" t="s">
        <v>2466</v>
      </c>
      <c r="I2996" s="932"/>
      <c r="J2996" s="938" t="s">
        <v>2295</v>
      </c>
      <c r="K2996" s="932">
        <f>(K2993+K2994)*10%</f>
        <v>193.65</v>
      </c>
    </row>
    <row r="2997" spans="6:11" ht="24" customHeight="1">
      <c r="F2997" s="932"/>
      <c r="G2997" s="935"/>
      <c r="H2997" s="932"/>
      <c r="I2997" s="932"/>
      <c r="J2997" s="933"/>
      <c r="K2997" s="932" t="s">
        <v>2468</v>
      </c>
    </row>
    <row r="2998" spans="6:11" ht="24" customHeight="1">
      <c r="F2998" s="932"/>
      <c r="G2998" s="935"/>
      <c r="H2998" s="932"/>
      <c r="I2998" s="932"/>
      <c r="J2998" s="933"/>
      <c r="K2998" s="932"/>
    </row>
    <row r="2999" spans="6:11" ht="24" customHeight="1">
      <c r="F2999" s="932"/>
      <c r="G2999" s="935"/>
      <c r="H2999" s="932"/>
      <c r="I2999" s="932" t="s">
        <v>2537</v>
      </c>
      <c r="J2999" s="933"/>
      <c r="K2999" s="932">
        <f>SUM(K2992:K2996)</f>
        <v>5214.6388199999992</v>
      </c>
    </row>
    <row r="3000" spans="6:11" ht="24" customHeight="1">
      <c r="F3000" s="932"/>
      <c r="G3000" s="935"/>
      <c r="H3000" s="932"/>
      <c r="I3000" s="932"/>
      <c r="J3000" s="933"/>
      <c r="K3000" s="932"/>
    </row>
    <row r="3001" spans="6:11" ht="24" customHeight="1">
      <c r="F3001" s="932"/>
      <c r="G3001" s="935"/>
      <c r="H3001" s="932"/>
      <c r="I3001" s="932" t="s">
        <v>2470</v>
      </c>
      <c r="J3001" s="933"/>
      <c r="K3001" s="932">
        <f>K2999/3.5</f>
        <v>1489.8968057142854</v>
      </c>
    </row>
    <row r="3002" spans="6:11" ht="24" customHeight="1">
      <c r="F3002" s="932"/>
      <c r="G3002" s="931" t="s">
        <v>2538</v>
      </c>
      <c r="H3002" s="932"/>
      <c r="I3002" s="932"/>
      <c r="J3002" s="933"/>
      <c r="K3002" s="932"/>
    </row>
    <row r="3003" spans="6:11" ht="24" customHeight="1">
      <c r="F3003" s="907"/>
      <c r="G3003" s="908"/>
      <c r="H3003" s="907"/>
      <c r="I3003" s="907"/>
      <c r="J3003" s="910"/>
      <c r="K3003" s="907"/>
    </row>
    <row r="3004" spans="6:11" ht="42" customHeight="1">
      <c r="F3004" s="907">
        <v>1</v>
      </c>
      <c r="G3004" s="935" t="s">
        <v>429</v>
      </c>
      <c r="H3004" s="907" t="s">
        <v>403</v>
      </c>
      <c r="I3004" s="907">
        <f>AC38</f>
        <v>456.69</v>
      </c>
      <c r="J3004" s="938" t="s">
        <v>429</v>
      </c>
      <c r="K3004" s="932">
        <f>F3004*I3004</f>
        <v>456.69</v>
      </c>
    </row>
    <row r="3005" spans="6:11" ht="24" customHeight="1">
      <c r="F3005" s="907">
        <v>1</v>
      </c>
      <c r="G3005" s="935" t="s">
        <v>429</v>
      </c>
      <c r="H3005" s="907" t="s">
        <v>2539</v>
      </c>
      <c r="I3005" s="907">
        <f>AE28</f>
        <v>29.3</v>
      </c>
      <c r="J3005" s="938" t="s">
        <v>429</v>
      </c>
      <c r="K3005" s="932">
        <f>F3005*I3005</f>
        <v>29.3</v>
      </c>
    </row>
    <row r="3006" spans="6:11" ht="24" customHeight="1">
      <c r="F3006" s="907"/>
      <c r="G3006" s="908"/>
      <c r="H3006" s="907"/>
      <c r="I3006" s="907"/>
      <c r="J3006" s="910"/>
      <c r="K3006" s="913">
        <f>SUM(K3004:K3005)</f>
        <v>485.99</v>
      </c>
    </row>
    <row r="3008" spans="6:11" ht="24" customHeight="1">
      <c r="H3008" s="576" t="s">
        <v>2540</v>
      </c>
      <c r="I3008" s="731"/>
      <c r="J3008" s="580"/>
    </row>
    <row r="3009" spans="8:11" ht="32.25" customHeight="1">
      <c r="H3009" s="731" t="s">
        <v>2541</v>
      </c>
      <c r="I3009" s="907">
        <f>C764</f>
        <v>1000</v>
      </c>
      <c r="J3009" s="580" t="s">
        <v>1729</v>
      </c>
      <c r="K3009" s="618">
        <f>I3009</f>
        <v>1000</v>
      </c>
    </row>
    <row r="3010" spans="8:11" ht="24" customHeight="1">
      <c r="J3010" s="580"/>
      <c r="K3010" s="684"/>
    </row>
    <row r="3011" spans="8:11" ht="24" customHeight="1">
      <c r="J3011" s="580"/>
      <c r="K3011" s="684"/>
    </row>
    <row r="3012" spans="8:11" ht="24" customHeight="1">
      <c r="H3012" s="575" t="s">
        <v>2542</v>
      </c>
      <c r="I3012" s="855">
        <v>466.6</v>
      </c>
      <c r="J3012" s="580" t="s">
        <v>1729</v>
      </c>
      <c r="K3012" s="618">
        <f>I3012</f>
        <v>466.6</v>
      </c>
    </row>
    <row r="3013" spans="8:11" ht="24" customHeight="1">
      <c r="I3013" s="618"/>
      <c r="J3013" s="580"/>
      <c r="K3013" s="618"/>
    </row>
    <row r="3014" spans="8:11" ht="24" customHeight="1">
      <c r="H3014" s="575" t="s">
        <v>3108</v>
      </c>
      <c r="I3014" s="855">
        <v>375.7</v>
      </c>
      <c r="J3014" s="580" t="s">
        <v>1729</v>
      </c>
      <c r="K3014" s="618">
        <f>I3014</f>
        <v>375.7</v>
      </c>
    </row>
    <row r="3015" spans="8:11" ht="24" customHeight="1">
      <c r="J3015" s="580"/>
      <c r="K3015" s="618"/>
    </row>
    <row r="3016" spans="8:11" ht="24" customHeight="1">
      <c r="H3016" s="575" t="s">
        <v>2544</v>
      </c>
      <c r="J3016" s="580"/>
      <c r="K3016" s="684"/>
    </row>
    <row r="3017" spans="8:11" ht="24" customHeight="1">
      <c r="H3017" s="575" t="s">
        <v>2545</v>
      </c>
      <c r="I3017" s="855">
        <v>847</v>
      </c>
      <c r="J3017" s="580" t="s">
        <v>1729</v>
      </c>
      <c r="K3017" s="618">
        <f>I3017</f>
        <v>847</v>
      </c>
    </row>
    <row r="3018" spans="8:11" ht="24" customHeight="1">
      <c r="H3018" s="573" t="s">
        <v>2546</v>
      </c>
      <c r="I3018" s="851">
        <f>K2291</f>
        <v>1768</v>
      </c>
      <c r="J3018" s="580"/>
      <c r="K3018" s="851">
        <f>I3018</f>
        <v>1768</v>
      </c>
    </row>
    <row r="3019" spans="8:11" ht="24" customHeight="1">
      <c r="J3019" s="580"/>
    </row>
    <row r="3020" spans="8:11" ht="44.25" customHeight="1">
      <c r="J3020" s="580"/>
    </row>
    <row r="3021" spans="8:11" ht="68.25" customHeight="1">
      <c r="J3021" s="580"/>
    </row>
    <row r="3022" spans="8:11" ht="24" customHeight="1">
      <c r="J3022" s="580"/>
    </row>
    <row r="3023" spans="8:11" ht="24" customHeight="1">
      <c r="I3023" s="684"/>
      <c r="J3023" s="580"/>
    </row>
    <row r="3024" spans="8:11" ht="24" customHeight="1">
      <c r="J3024" s="580"/>
    </row>
    <row r="3025" spans="8:11" ht="24" customHeight="1">
      <c r="H3025" s="661"/>
      <c r="J3025" s="580"/>
    </row>
    <row r="3026" spans="8:11" ht="24" customHeight="1">
      <c r="J3026" s="580"/>
    </row>
    <row r="3027" spans="8:11" ht="24" customHeight="1">
      <c r="H3027" s="764"/>
      <c r="I3027" s="619"/>
      <c r="J3027" s="862"/>
      <c r="K3027" s="619"/>
    </row>
    <row r="3030" spans="8:11" ht="24" customHeight="1">
      <c r="H3030" s="575" t="s">
        <v>2547</v>
      </c>
    </row>
    <row r="3031" spans="8:11" ht="24" customHeight="1">
      <c r="H3031" s="575" t="s">
        <v>2548</v>
      </c>
      <c r="J3031" s="578" t="s">
        <v>227</v>
      </c>
      <c r="K3031" s="854">
        <v>130</v>
      </c>
    </row>
    <row r="3032" spans="8:11" ht="24" customHeight="1">
      <c r="K3032" s="686"/>
    </row>
    <row r="3033" spans="8:11" ht="24" customHeight="1">
      <c r="H3033" s="575" t="s">
        <v>2549</v>
      </c>
      <c r="J3033" s="578" t="s">
        <v>227</v>
      </c>
      <c r="K3033" s="854">
        <v>170</v>
      </c>
    </row>
    <row r="3034" spans="8:11" ht="24" customHeight="1">
      <c r="K3034" s="686"/>
    </row>
    <row r="3035" spans="8:11" ht="24" customHeight="1">
      <c r="K3035" s="686"/>
    </row>
    <row r="3036" spans="8:11" ht="24" customHeight="1">
      <c r="H3036" s="573" t="s">
        <v>2550</v>
      </c>
      <c r="J3036" s="578" t="s">
        <v>227</v>
      </c>
      <c r="K3036" s="754">
        <v>443</v>
      </c>
    </row>
    <row r="3037" spans="8:11" ht="24" customHeight="1">
      <c r="K3037" s="686"/>
    </row>
    <row r="3038" spans="8:11" ht="45" customHeight="1">
      <c r="H3038" s="633" t="s">
        <v>226</v>
      </c>
      <c r="J3038" s="578" t="s">
        <v>227</v>
      </c>
      <c r="K3038" s="629">
        <f>[2]Elec.Data!K3767</f>
        <v>1284</v>
      </c>
    </row>
    <row r="3040" spans="8:11" ht="41.25" customHeight="1"/>
    <row r="3041" spans="6:18" ht="24" customHeight="1">
      <c r="H3041" s="575" t="s">
        <v>2544</v>
      </c>
      <c r="J3041" s="578" t="s">
        <v>227</v>
      </c>
      <c r="K3041" s="684">
        <f>K3017</f>
        <v>847</v>
      </c>
    </row>
    <row r="3042" spans="6:18" ht="24" customHeight="1">
      <c r="H3042" s="575" t="s">
        <v>2551</v>
      </c>
    </row>
    <row r="3044" spans="6:18" ht="24" customHeight="1">
      <c r="F3044" s="575">
        <v>0.5</v>
      </c>
      <c r="H3044" s="575" t="s">
        <v>2552</v>
      </c>
      <c r="J3044" s="578">
        <f>C15</f>
        <v>667</v>
      </c>
      <c r="K3044" s="575">
        <f>J3044*F3044</f>
        <v>333.5</v>
      </c>
    </row>
    <row r="3045" spans="6:18" ht="24" customHeight="1">
      <c r="F3045" s="575">
        <v>0.5</v>
      </c>
      <c r="H3045" s="575" t="s">
        <v>1606</v>
      </c>
      <c r="J3045" s="578">
        <f>C12</f>
        <v>502</v>
      </c>
      <c r="K3045" s="575">
        <f>J3045*F3045</f>
        <v>251</v>
      </c>
    </row>
    <row r="3046" spans="6:18" ht="24" customHeight="1">
      <c r="I3046" s="1458" t="s">
        <v>2553</v>
      </c>
      <c r="J3046" s="1458"/>
      <c r="K3046" s="619">
        <f>SUM(K3041:K3045)</f>
        <v>1431.5</v>
      </c>
    </row>
    <row r="3049" spans="6:18" ht="24" customHeight="1">
      <c r="F3049" s="761" t="s">
        <v>1465</v>
      </c>
      <c r="G3049" s="914" t="s">
        <v>122</v>
      </c>
      <c r="H3049" s="760" t="s">
        <v>2485</v>
      </c>
      <c r="I3049" s="907"/>
      <c r="J3049" s="910"/>
      <c r="K3049" s="907"/>
    </row>
    <row r="3050" spans="6:18" ht="24" customHeight="1">
      <c r="F3050" s="907"/>
      <c r="G3050" s="908"/>
      <c r="H3050" s="760" t="s">
        <v>1467</v>
      </c>
      <c r="I3050" s="907"/>
      <c r="J3050" s="910"/>
      <c r="K3050" s="907"/>
    </row>
    <row r="3051" spans="6:18" ht="24" customHeight="1">
      <c r="F3051" s="907"/>
      <c r="G3051" s="908"/>
      <c r="H3051" s="760" t="s">
        <v>2554</v>
      </c>
      <c r="I3051" s="907"/>
      <c r="J3051" s="910"/>
      <c r="K3051" s="907"/>
    </row>
    <row r="3052" spans="6:18" ht="24" customHeight="1">
      <c r="F3052" s="907"/>
      <c r="G3052" s="908"/>
      <c r="H3052" s="915" t="s">
        <v>117</v>
      </c>
      <c r="I3052" s="907"/>
      <c r="J3052" s="910"/>
      <c r="K3052" s="907"/>
    </row>
    <row r="3053" spans="6:18" ht="24" customHeight="1">
      <c r="F3053" s="907"/>
      <c r="G3053" s="908"/>
      <c r="H3053" s="760" t="s">
        <v>2555</v>
      </c>
      <c r="I3053" s="907"/>
      <c r="J3053" s="910"/>
      <c r="K3053" s="907"/>
    </row>
    <row r="3054" spans="6:18" ht="24" customHeight="1">
      <c r="F3054" s="907"/>
      <c r="G3054" s="908"/>
      <c r="H3054" s="907"/>
      <c r="I3054" s="907"/>
      <c r="J3054" s="910"/>
      <c r="K3054" s="907"/>
    </row>
    <row r="3055" spans="6:18" ht="38.25" customHeight="1">
      <c r="F3055" s="962">
        <v>2.2275</v>
      </c>
      <c r="G3055" s="914" t="s">
        <v>140</v>
      </c>
      <c r="H3055" s="924" t="s">
        <v>2487</v>
      </c>
      <c r="I3055" s="973">
        <f>I2834</f>
        <v>2370</v>
      </c>
      <c r="J3055" s="761" t="s">
        <v>140</v>
      </c>
      <c r="K3055" s="907">
        <f>F3056*I3055</f>
        <v>5279.1750000000002</v>
      </c>
    </row>
    <row r="3056" spans="6:18" ht="24" customHeight="1">
      <c r="F3056" s="955">
        <f>F3055</f>
        <v>2.2275</v>
      </c>
      <c r="G3056" s="914" t="s">
        <v>140</v>
      </c>
      <c r="H3056" s="916" t="s">
        <v>1480</v>
      </c>
      <c r="I3056" s="919">
        <f>I2867</f>
        <v>248</v>
      </c>
      <c r="J3056" s="761" t="s">
        <v>140</v>
      </c>
      <c r="K3056" s="758">
        <f t="shared" ref="K3056:K3062" si="273">(F3056*I3056)</f>
        <v>552.41999999999996</v>
      </c>
      <c r="M3056" s="761" t="s">
        <v>1465</v>
      </c>
      <c r="N3056" s="914" t="s">
        <v>122</v>
      </c>
      <c r="O3056" s="760" t="s">
        <v>2485</v>
      </c>
      <c r="P3056" s="907"/>
      <c r="Q3056" s="910"/>
      <c r="R3056" s="907"/>
    </row>
    <row r="3057" spans="6:18" ht="24" customHeight="1">
      <c r="F3057" s="758">
        <v>4</v>
      </c>
      <c r="G3057" s="914" t="s">
        <v>1</v>
      </c>
      <c r="H3057" s="760" t="s">
        <v>1481</v>
      </c>
      <c r="I3057" s="973">
        <f t="shared" ref="I3057:I3062" si="274">I2972</f>
        <v>50.9</v>
      </c>
      <c r="J3057" s="761" t="s">
        <v>209</v>
      </c>
      <c r="K3057" s="758">
        <f t="shared" si="273"/>
        <v>203.6</v>
      </c>
      <c r="M3057" s="907"/>
      <c r="N3057" s="908"/>
      <c r="O3057" s="760" t="s">
        <v>1467</v>
      </c>
      <c r="P3057" s="907"/>
      <c r="Q3057" s="910"/>
      <c r="R3057" s="907"/>
    </row>
    <row r="3058" spans="6:18" ht="24" customHeight="1">
      <c r="F3058" s="758">
        <v>6</v>
      </c>
      <c r="G3058" s="914" t="s">
        <v>209</v>
      </c>
      <c r="H3058" s="760" t="s">
        <v>1482</v>
      </c>
      <c r="I3058" s="973">
        <f t="shared" si="274"/>
        <v>79.099999999999994</v>
      </c>
      <c r="J3058" s="761" t="s">
        <v>209</v>
      </c>
      <c r="K3058" s="758">
        <f t="shared" si="273"/>
        <v>474.59999999999997</v>
      </c>
      <c r="M3058" s="907"/>
      <c r="N3058" s="908"/>
      <c r="O3058" s="760" t="s">
        <v>2556</v>
      </c>
      <c r="P3058" s="907"/>
      <c r="Q3058" s="910"/>
      <c r="R3058" s="907"/>
    </row>
    <row r="3059" spans="6:18" ht="24" customHeight="1">
      <c r="F3059" s="758">
        <v>4</v>
      </c>
      <c r="G3059" s="914" t="s">
        <v>209</v>
      </c>
      <c r="H3059" s="760" t="s">
        <v>1484</v>
      </c>
      <c r="I3059" s="973">
        <f t="shared" si="274"/>
        <v>57.2</v>
      </c>
      <c r="J3059" s="761" t="s">
        <v>209</v>
      </c>
      <c r="K3059" s="758">
        <f t="shared" si="273"/>
        <v>228.8</v>
      </c>
      <c r="M3059" s="907"/>
      <c r="N3059" s="908"/>
      <c r="O3059" s="915" t="s">
        <v>117</v>
      </c>
      <c r="P3059" s="907"/>
      <c r="Q3059" s="910"/>
      <c r="R3059" s="907"/>
    </row>
    <row r="3060" spans="6:18" ht="24" customHeight="1">
      <c r="F3060" s="758">
        <v>1</v>
      </c>
      <c r="G3060" s="914" t="s">
        <v>209</v>
      </c>
      <c r="H3060" s="760" t="s">
        <v>1486</v>
      </c>
      <c r="I3060" s="973">
        <f t="shared" si="274"/>
        <v>159.69999999999999</v>
      </c>
      <c r="J3060" s="761" t="s">
        <v>209</v>
      </c>
      <c r="K3060" s="758">
        <f t="shared" si="273"/>
        <v>159.69999999999999</v>
      </c>
      <c r="M3060" s="907"/>
      <c r="N3060" s="908"/>
      <c r="O3060" s="760" t="s">
        <v>2557</v>
      </c>
      <c r="P3060" s="907"/>
      <c r="Q3060" s="910"/>
      <c r="R3060" s="907"/>
    </row>
    <row r="3061" spans="6:18" ht="24" customHeight="1">
      <c r="F3061" s="758">
        <v>2</v>
      </c>
      <c r="G3061" s="914" t="s">
        <v>209</v>
      </c>
      <c r="H3061" s="760" t="s">
        <v>1488</v>
      </c>
      <c r="I3061" s="973">
        <f t="shared" si="274"/>
        <v>7.3</v>
      </c>
      <c r="J3061" s="761" t="s">
        <v>209</v>
      </c>
      <c r="K3061" s="758">
        <f t="shared" si="273"/>
        <v>14.6</v>
      </c>
      <c r="M3061" s="907"/>
      <c r="N3061" s="908"/>
      <c r="O3061" s="907"/>
      <c r="P3061" s="907"/>
      <c r="Q3061" s="910"/>
      <c r="R3061" s="907"/>
    </row>
    <row r="3062" spans="6:18" ht="33.75" customHeight="1">
      <c r="F3062" s="758">
        <v>2</v>
      </c>
      <c r="G3062" s="914" t="s">
        <v>209</v>
      </c>
      <c r="H3062" s="760" t="s">
        <v>630</v>
      </c>
      <c r="I3062" s="973">
        <f t="shared" si="274"/>
        <v>43.8</v>
      </c>
      <c r="J3062" s="761" t="s">
        <v>209</v>
      </c>
      <c r="K3062" s="758">
        <f t="shared" si="273"/>
        <v>87.6</v>
      </c>
      <c r="M3062" s="926">
        <v>3.29</v>
      </c>
      <c r="N3062" s="914" t="s">
        <v>140</v>
      </c>
      <c r="O3062" s="924" t="s">
        <v>2487</v>
      </c>
      <c r="P3062" s="973">
        <f>I3055</f>
        <v>2370</v>
      </c>
      <c r="Q3062" s="761" t="s">
        <v>140</v>
      </c>
      <c r="R3062" s="907">
        <f>M3063*P3062</f>
        <v>7797.3</v>
      </c>
    </row>
    <row r="3063" spans="6:18" ht="33.75" customHeight="1">
      <c r="F3063" s="907"/>
      <c r="G3063" s="908"/>
      <c r="H3063" s="907"/>
      <c r="I3063" s="907"/>
      <c r="J3063" s="910"/>
      <c r="K3063" s="919">
        <v>0.2</v>
      </c>
      <c r="M3063" s="949">
        <v>3.29</v>
      </c>
      <c r="N3063" s="914" t="s">
        <v>140</v>
      </c>
      <c r="O3063" s="760" t="s">
        <v>1480</v>
      </c>
      <c r="P3063" s="973">
        <f t="shared" ref="P3063:P3069" si="275">I3056</f>
        <v>248</v>
      </c>
      <c r="Q3063" s="761" t="s">
        <v>140</v>
      </c>
      <c r="R3063" s="758">
        <f t="shared" ref="R3063:R3069" si="276">(M3063*P3063)</f>
        <v>815.92</v>
      </c>
    </row>
    <row r="3064" spans="6:18" ht="24" customHeight="1">
      <c r="F3064" s="907"/>
      <c r="G3064" s="908"/>
      <c r="H3064" s="760" t="s">
        <v>2558</v>
      </c>
      <c r="I3064" s="907"/>
      <c r="J3064" s="910"/>
      <c r="K3064" s="758">
        <f>SUM(K3055:K3063)</f>
        <v>7000.6950000000015</v>
      </c>
      <c r="M3064" s="758">
        <v>4</v>
      </c>
      <c r="N3064" s="914" t="s">
        <v>1</v>
      </c>
      <c r="O3064" s="760" t="s">
        <v>1481</v>
      </c>
      <c r="P3064" s="973">
        <f t="shared" si="275"/>
        <v>50.9</v>
      </c>
      <c r="Q3064" s="761" t="s">
        <v>209</v>
      </c>
      <c r="R3064" s="758">
        <f t="shared" si="276"/>
        <v>203.6</v>
      </c>
    </row>
    <row r="3065" spans="6:18" ht="24" customHeight="1">
      <c r="F3065" s="907"/>
      <c r="G3065" s="908"/>
      <c r="H3065" s="907"/>
      <c r="I3065" s="907"/>
      <c r="J3065" s="910"/>
      <c r="K3065" s="915" t="s">
        <v>117</v>
      </c>
      <c r="M3065" s="758">
        <v>6</v>
      </c>
      <c r="N3065" s="914" t="s">
        <v>209</v>
      </c>
      <c r="O3065" s="760" t="s">
        <v>1482</v>
      </c>
      <c r="P3065" s="973">
        <f t="shared" si="275"/>
        <v>79.099999999999994</v>
      </c>
      <c r="Q3065" s="761" t="s">
        <v>209</v>
      </c>
      <c r="R3065" s="758">
        <f t="shared" si="276"/>
        <v>474.59999999999997</v>
      </c>
    </row>
    <row r="3066" spans="6:18" ht="24" customHeight="1">
      <c r="F3066" s="907"/>
      <c r="G3066" s="908"/>
      <c r="H3066" s="760" t="s">
        <v>154</v>
      </c>
      <c r="I3066" s="907"/>
      <c r="J3066" s="910"/>
      <c r="K3066" s="758">
        <f>K3064/F3056</f>
        <v>3142.8484848484854</v>
      </c>
      <c r="M3066" s="758">
        <v>4</v>
      </c>
      <c r="N3066" s="914" t="s">
        <v>209</v>
      </c>
      <c r="O3066" s="760" t="s">
        <v>1484</v>
      </c>
      <c r="P3066" s="973">
        <f t="shared" si="275"/>
        <v>57.2</v>
      </c>
      <c r="Q3066" s="761" t="s">
        <v>209</v>
      </c>
      <c r="R3066" s="758">
        <f t="shared" si="276"/>
        <v>228.8</v>
      </c>
    </row>
    <row r="3067" spans="6:18" ht="24" customHeight="1">
      <c r="M3067" s="758">
        <v>1</v>
      </c>
      <c r="N3067" s="914" t="s">
        <v>209</v>
      </c>
      <c r="O3067" s="760" t="s">
        <v>1486</v>
      </c>
      <c r="P3067" s="973">
        <f t="shared" si="275"/>
        <v>159.69999999999999</v>
      </c>
      <c r="Q3067" s="761" t="s">
        <v>209</v>
      </c>
      <c r="R3067" s="758">
        <f t="shared" si="276"/>
        <v>159.69999999999999</v>
      </c>
    </row>
    <row r="3068" spans="6:18" ht="24" customHeight="1">
      <c r="F3068" s="761" t="s">
        <v>1465</v>
      </c>
      <c r="G3068" s="914" t="s">
        <v>122</v>
      </c>
      <c r="H3068" s="760" t="s">
        <v>2485</v>
      </c>
      <c r="I3068" s="907"/>
      <c r="J3068" s="910"/>
      <c r="K3068" s="907"/>
      <c r="M3068" s="758">
        <v>2</v>
      </c>
      <c r="N3068" s="914" t="s">
        <v>209</v>
      </c>
      <c r="O3068" s="760" t="s">
        <v>1488</v>
      </c>
      <c r="P3068" s="973">
        <f t="shared" si="275"/>
        <v>7.3</v>
      </c>
      <c r="Q3068" s="761" t="s">
        <v>209</v>
      </c>
      <c r="R3068" s="758">
        <f t="shared" si="276"/>
        <v>14.6</v>
      </c>
    </row>
    <row r="3069" spans="6:18" ht="24" customHeight="1">
      <c r="F3069" s="907"/>
      <c r="G3069" s="908"/>
      <c r="H3069" s="760" t="s">
        <v>1467</v>
      </c>
      <c r="I3069" s="907"/>
      <c r="J3069" s="910"/>
      <c r="K3069" s="907"/>
      <c r="M3069" s="758">
        <v>2</v>
      </c>
      <c r="N3069" s="914" t="s">
        <v>209</v>
      </c>
      <c r="O3069" s="760" t="s">
        <v>630</v>
      </c>
      <c r="P3069" s="973">
        <f t="shared" si="275"/>
        <v>43.8</v>
      </c>
      <c r="Q3069" s="761" t="s">
        <v>209</v>
      </c>
      <c r="R3069" s="758">
        <f t="shared" si="276"/>
        <v>87.6</v>
      </c>
    </row>
    <row r="3070" spans="6:18" ht="24" customHeight="1">
      <c r="F3070" s="907"/>
      <c r="G3070" s="908"/>
      <c r="H3070" s="760" t="s">
        <v>2559</v>
      </c>
      <c r="I3070" s="907"/>
      <c r="J3070" s="910"/>
      <c r="K3070" s="907"/>
      <c r="M3070" s="907"/>
      <c r="N3070" s="908"/>
      <c r="O3070" s="907"/>
      <c r="P3070" s="907"/>
      <c r="Q3070" s="910"/>
      <c r="R3070" s="915" t="s">
        <v>117</v>
      </c>
    </row>
    <row r="3071" spans="6:18" ht="24" customHeight="1">
      <c r="F3071" s="907"/>
      <c r="G3071" s="908"/>
      <c r="H3071" s="915" t="s">
        <v>117</v>
      </c>
      <c r="I3071" s="907"/>
      <c r="J3071" s="910"/>
      <c r="K3071" s="907"/>
      <c r="M3071" s="907"/>
      <c r="N3071" s="908"/>
      <c r="O3071" s="760" t="s">
        <v>2560</v>
      </c>
      <c r="P3071" s="907"/>
      <c r="Q3071" s="910"/>
      <c r="R3071" s="758">
        <f>SUM(R3062:R3070)+0.5</f>
        <v>9782.6200000000008</v>
      </c>
    </row>
    <row r="3072" spans="6:18" ht="24" customHeight="1">
      <c r="F3072" s="907"/>
      <c r="G3072" s="908"/>
      <c r="H3072" s="760" t="s">
        <v>2561</v>
      </c>
      <c r="I3072" s="907"/>
      <c r="J3072" s="910"/>
      <c r="K3072" s="907"/>
      <c r="M3072" s="907"/>
      <c r="N3072" s="908"/>
      <c r="O3072" s="907"/>
      <c r="P3072" s="907"/>
      <c r="Q3072" s="910"/>
      <c r="R3072" s="915" t="s">
        <v>117</v>
      </c>
    </row>
    <row r="3073" spans="6:18" ht="24" customHeight="1">
      <c r="F3073" s="907"/>
      <c r="G3073" s="908"/>
      <c r="H3073" s="907"/>
      <c r="I3073" s="907"/>
      <c r="J3073" s="910"/>
      <c r="K3073" s="907"/>
      <c r="M3073" s="907"/>
      <c r="N3073" s="908"/>
      <c r="O3073" s="760" t="s">
        <v>154</v>
      </c>
      <c r="P3073" s="907"/>
      <c r="Q3073" s="910"/>
      <c r="R3073" s="758">
        <f>R3071/M3062</f>
        <v>2973.4407294832827</v>
      </c>
    </row>
    <row r="3074" spans="6:18" ht="24" customHeight="1">
      <c r="F3074" s="926">
        <v>2.87</v>
      </c>
      <c r="G3074" s="914" t="s">
        <v>140</v>
      </c>
      <c r="H3074" s="924" t="s">
        <v>2487</v>
      </c>
      <c r="I3074" s="973">
        <f>I3055</f>
        <v>2370</v>
      </c>
      <c r="J3074" s="761" t="s">
        <v>140</v>
      </c>
      <c r="K3074" s="907">
        <f>F3075*I3074</f>
        <v>6801.9000000000005</v>
      </c>
      <c r="N3074" s="576"/>
      <c r="Q3074" s="578"/>
    </row>
    <row r="3075" spans="6:18" ht="24" customHeight="1">
      <c r="F3075" s="949">
        <f>F3074</f>
        <v>2.87</v>
      </c>
      <c r="G3075" s="914" t="s">
        <v>140</v>
      </c>
      <c r="H3075" s="916" t="s">
        <v>1480</v>
      </c>
      <c r="I3075" s="919">
        <f t="shared" ref="I3075:I3081" si="277">I3056</f>
        <v>248</v>
      </c>
      <c r="J3075" s="761" t="s">
        <v>140</v>
      </c>
      <c r="K3075" s="758">
        <f t="shared" ref="K3075:K3081" si="278">(F3075*I3075)</f>
        <v>711.76</v>
      </c>
    </row>
    <row r="3076" spans="6:18" ht="24" customHeight="1">
      <c r="F3076" s="758">
        <v>4</v>
      </c>
      <c r="G3076" s="914" t="s">
        <v>1</v>
      </c>
      <c r="H3076" s="760" t="s">
        <v>1481</v>
      </c>
      <c r="I3076" s="973">
        <f t="shared" si="277"/>
        <v>50.9</v>
      </c>
      <c r="J3076" s="761" t="s">
        <v>209</v>
      </c>
      <c r="K3076" s="758">
        <f t="shared" si="278"/>
        <v>203.6</v>
      </c>
    </row>
    <row r="3077" spans="6:18" ht="24" customHeight="1">
      <c r="F3077" s="758">
        <v>6</v>
      </c>
      <c r="G3077" s="914" t="s">
        <v>209</v>
      </c>
      <c r="H3077" s="760" t="s">
        <v>1482</v>
      </c>
      <c r="I3077" s="973">
        <f t="shared" si="277"/>
        <v>79.099999999999994</v>
      </c>
      <c r="J3077" s="761" t="s">
        <v>209</v>
      </c>
      <c r="K3077" s="758">
        <f t="shared" si="278"/>
        <v>474.59999999999997</v>
      </c>
    </row>
    <row r="3078" spans="6:18" ht="24" customHeight="1">
      <c r="F3078" s="758">
        <v>4</v>
      </c>
      <c r="G3078" s="914" t="s">
        <v>209</v>
      </c>
      <c r="H3078" s="760" t="s">
        <v>1484</v>
      </c>
      <c r="I3078" s="973">
        <f t="shared" si="277"/>
        <v>57.2</v>
      </c>
      <c r="J3078" s="761" t="s">
        <v>209</v>
      </c>
      <c r="K3078" s="758">
        <f t="shared" si="278"/>
        <v>228.8</v>
      </c>
    </row>
    <row r="3079" spans="6:18" ht="24" customHeight="1">
      <c r="F3079" s="758">
        <v>1</v>
      </c>
      <c r="G3079" s="914" t="s">
        <v>209</v>
      </c>
      <c r="H3079" s="760" t="s">
        <v>1486</v>
      </c>
      <c r="I3079" s="973">
        <f t="shared" si="277"/>
        <v>159.69999999999999</v>
      </c>
      <c r="J3079" s="761" t="s">
        <v>209</v>
      </c>
      <c r="K3079" s="758">
        <f t="shared" si="278"/>
        <v>159.69999999999999</v>
      </c>
    </row>
    <row r="3080" spans="6:18" ht="24" customHeight="1">
      <c r="F3080" s="758">
        <v>2</v>
      </c>
      <c r="G3080" s="914" t="s">
        <v>209</v>
      </c>
      <c r="H3080" s="760" t="s">
        <v>1488</v>
      </c>
      <c r="I3080" s="973">
        <f t="shared" si="277"/>
        <v>7.3</v>
      </c>
      <c r="J3080" s="761" t="s">
        <v>209</v>
      </c>
      <c r="K3080" s="758">
        <f t="shared" si="278"/>
        <v>14.6</v>
      </c>
    </row>
    <row r="3081" spans="6:18" ht="24" customHeight="1">
      <c r="F3081" s="758">
        <v>2</v>
      </c>
      <c r="G3081" s="914" t="s">
        <v>209</v>
      </c>
      <c r="H3081" s="760" t="s">
        <v>630</v>
      </c>
      <c r="I3081" s="973">
        <f t="shared" si="277"/>
        <v>43.8</v>
      </c>
      <c r="J3081" s="761" t="s">
        <v>209</v>
      </c>
      <c r="K3081" s="758">
        <f t="shared" si="278"/>
        <v>87.6</v>
      </c>
    </row>
    <row r="3082" spans="6:18" ht="24" customHeight="1">
      <c r="F3082" s="907"/>
      <c r="G3082" s="908"/>
      <c r="H3082" s="907"/>
      <c r="I3082" s="907"/>
      <c r="J3082" s="910"/>
      <c r="K3082" s="919">
        <f>1.19+0.16</f>
        <v>1.3499999999999999</v>
      </c>
    </row>
    <row r="3083" spans="6:18" ht="24" customHeight="1">
      <c r="F3083" s="907"/>
      <c r="G3083" s="908"/>
      <c r="H3083" s="760" t="s">
        <v>2562</v>
      </c>
      <c r="I3083" s="907"/>
      <c r="J3083" s="910"/>
      <c r="K3083" s="758">
        <f>SUM(K3074:K3082)</f>
        <v>8683.9100000000035</v>
      </c>
    </row>
    <row r="3084" spans="6:18" ht="24" customHeight="1">
      <c r="F3084" s="907"/>
      <c r="G3084" s="908"/>
      <c r="H3084" s="907"/>
      <c r="I3084" s="907"/>
      <c r="J3084" s="910"/>
      <c r="K3084" s="915" t="s">
        <v>117</v>
      </c>
    </row>
    <row r="3085" spans="6:18" ht="24" customHeight="1">
      <c r="F3085" s="907"/>
      <c r="G3085" s="908"/>
      <c r="H3085" s="760" t="s">
        <v>154</v>
      </c>
      <c r="I3085" s="907"/>
      <c r="J3085" s="910"/>
      <c r="K3085" s="758">
        <f>K3083/F3075</f>
        <v>3025.7526132404191</v>
      </c>
    </row>
    <row r="3087" spans="6:18" ht="24" customHeight="1">
      <c r="F3087" s="883" t="s">
        <v>2407</v>
      </c>
      <c r="G3087" s="884"/>
      <c r="H3087" s="601" t="s">
        <v>2563</v>
      </c>
      <c r="I3087" s="885"/>
      <c r="J3087" s="886"/>
      <c r="K3087" s="885"/>
    </row>
    <row r="3088" spans="6:18" ht="24" customHeight="1">
      <c r="F3088" s="885"/>
      <c r="G3088" s="884"/>
      <c r="H3088" s="887" t="s">
        <v>117</v>
      </c>
      <c r="I3088" s="887" t="s">
        <v>117</v>
      </c>
      <c r="J3088" s="601" t="s">
        <v>117</v>
      </c>
      <c r="K3088" s="885"/>
    </row>
    <row r="3089" spans="6:42" ht="24" customHeight="1">
      <c r="F3089" s="885"/>
      <c r="G3089" s="884"/>
      <c r="H3089" s="885"/>
      <c r="I3089" s="885"/>
      <c r="J3089" s="886"/>
      <c r="K3089" s="885"/>
    </row>
    <row r="3090" spans="6:42" ht="24" customHeight="1">
      <c r="F3090" s="885"/>
      <c r="G3090" s="884"/>
      <c r="H3090" s="601" t="s">
        <v>1580</v>
      </c>
      <c r="I3090" s="885"/>
      <c r="J3090" s="886"/>
      <c r="K3090" s="885"/>
    </row>
    <row r="3091" spans="6:42" ht="24" customHeight="1">
      <c r="F3091" s="885"/>
      <c r="G3091" s="884"/>
      <c r="H3091" s="601"/>
      <c r="I3091" s="885"/>
      <c r="J3091" s="886"/>
      <c r="K3091" s="885"/>
    </row>
    <row r="3092" spans="6:42" ht="24" customHeight="1">
      <c r="F3092" s="885"/>
      <c r="G3092" s="884"/>
      <c r="H3092" s="601" t="s">
        <v>1582</v>
      </c>
      <c r="I3092" s="885"/>
      <c r="J3092" s="886"/>
      <c r="K3092" s="885"/>
    </row>
    <row r="3093" spans="6:42" ht="24" customHeight="1">
      <c r="F3093" s="885"/>
      <c r="G3093" s="884"/>
      <c r="H3093" s="601" t="s">
        <v>1583</v>
      </c>
      <c r="I3093" s="885"/>
      <c r="J3093" s="886"/>
      <c r="K3093" s="885"/>
    </row>
    <row r="3094" spans="6:42" ht="24" customHeight="1">
      <c r="F3094" s="885"/>
      <c r="G3094" s="884"/>
      <c r="H3094" s="601" t="s">
        <v>1584</v>
      </c>
      <c r="I3094" s="885"/>
      <c r="J3094" s="886"/>
      <c r="K3094" s="885"/>
      <c r="S3094" s="574"/>
      <c r="T3094" s="585"/>
      <c r="U3094" s="573"/>
      <c r="W3094" s="578"/>
    </row>
    <row r="3095" spans="6:42" ht="24" customHeight="1">
      <c r="F3095" s="885"/>
      <c r="G3095" s="884"/>
      <c r="H3095" s="601" t="s">
        <v>1585</v>
      </c>
      <c r="I3095" s="885"/>
      <c r="J3095" s="886"/>
      <c r="K3095" s="885"/>
      <c r="S3095" s="575"/>
      <c r="U3095" s="573"/>
      <c r="W3095" s="578"/>
    </row>
    <row r="3096" spans="6:42" ht="24" customHeight="1">
      <c r="F3096" s="885"/>
      <c r="G3096" s="884"/>
      <c r="H3096" s="601" t="s">
        <v>2409</v>
      </c>
      <c r="I3096" s="885"/>
      <c r="J3096" s="601" t="s">
        <v>115</v>
      </c>
      <c r="K3096" s="890">
        <v>3.7699999999999997E-2</v>
      </c>
      <c r="S3096" s="575"/>
      <c r="T3096" s="576"/>
      <c r="U3096" s="573"/>
      <c r="W3096" s="578"/>
    </row>
    <row r="3097" spans="6:42" ht="24" customHeight="1">
      <c r="F3097" s="885"/>
      <c r="G3097" s="884"/>
      <c r="H3097" s="978" t="s">
        <v>2564</v>
      </c>
      <c r="I3097" s="885"/>
      <c r="J3097" s="891" t="s">
        <v>115</v>
      </c>
      <c r="K3097" s="891" t="s">
        <v>115</v>
      </c>
      <c r="S3097" s="575"/>
      <c r="T3097" s="576"/>
      <c r="U3097" s="573"/>
      <c r="W3097" s="578"/>
    </row>
    <row r="3098" spans="6:42" ht="24" customHeight="1">
      <c r="F3098" s="885"/>
      <c r="G3098" s="884"/>
      <c r="H3098" s="601" t="s">
        <v>1590</v>
      </c>
      <c r="I3098" s="885"/>
      <c r="J3098" s="886"/>
      <c r="K3098" s="891" t="s">
        <v>115</v>
      </c>
      <c r="S3098" s="575"/>
      <c r="T3098" s="576"/>
      <c r="U3098" s="573"/>
      <c r="W3098" s="578"/>
    </row>
    <row r="3099" spans="6:42" ht="31.5" customHeight="1">
      <c r="F3099" s="885"/>
      <c r="G3099" s="884"/>
      <c r="H3099" s="885"/>
      <c r="I3099" s="885"/>
      <c r="J3099" s="886"/>
      <c r="K3099" s="885"/>
      <c r="S3099" s="575"/>
      <c r="T3099" s="576"/>
      <c r="U3099" s="576" t="s">
        <v>2565</v>
      </c>
      <c r="W3099" s="578"/>
      <c r="AJ3099" s="575" t="s">
        <v>115</v>
      </c>
    </row>
    <row r="3100" spans="6:42" ht="24.75" customHeight="1">
      <c r="F3100" s="892">
        <v>1.18E-2</v>
      </c>
      <c r="G3100" s="893" t="s">
        <v>126</v>
      </c>
      <c r="H3100" s="601" t="s">
        <v>621</v>
      </c>
      <c r="I3100" s="894">
        <f>I2662</f>
        <v>111600</v>
      </c>
      <c r="J3100" s="601" t="s">
        <v>126</v>
      </c>
      <c r="K3100" s="894">
        <f t="shared" ref="K3100:K3108" si="279">(F3100*I3100)</f>
        <v>1316.8799999999999</v>
      </c>
      <c r="S3100" s="575"/>
      <c r="T3100" s="576"/>
      <c r="U3100" s="584"/>
      <c r="W3100" s="578"/>
    </row>
    <row r="3101" spans="6:42" ht="36" customHeight="1">
      <c r="F3101" s="892">
        <v>3.7699999999999997E-2</v>
      </c>
      <c r="G3101" s="893" t="s">
        <v>126</v>
      </c>
      <c r="H3101" s="601" t="s">
        <v>622</v>
      </c>
      <c r="I3101" s="894">
        <f t="shared" ref="I3101:I3108" si="280">I2663</f>
        <v>99400</v>
      </c>
      <c r="J3101" s="601" t="s">
        <v>126</v>
      </c>
      <c r="K3101" s="894">
        <f t="shared" si="279"/>
        <v>3747.3799999999997</v>
      </c>
      <c r="S3101" s="575"/>
      <c r="T3101" s="576"/>
      <c r="U3101" s="573" t="s">
        <v>2566</v>
      </c>
      <c r="V3101" s="674">
        <f xml:space="preserve"> 3.08*2.1</f>
        <v>6.4680000000000009</v>
      </c>
      <c r="W3101" s="578" t="s">
        <v>110</v>
      </c>
      <c r="X3101" s="575" t="s">
        <v>110</v>
      </c>
    </row>
    <row r="3102" spans="6:42" ht="45" customHeight="1">
      <c r="F3102" s="892">
        <v>1.8550000000000001E-2</v>
      </c>
      <c r="G3102" s="893" t="s">
        <v>126</v>
      </c>
      <c r="H3102" s="601" t="s">
        <v>1591</v>
      </c>
      <c r="I3102" s="894">
        <f t="shared" si="280"/>
        <v>10275</v>
      </c>
      <c r="J3102" s="601" t="s">
        <v>126</v>
      </c>
      <c r="K3102" s="894">
        <f t="shared" si="279"/>
        <v>190.60124999999999</v>
      </c>
      <c r="S3102" s="575"/>
      <c r="T3102" s="979"/>
      <c r="U3102" s="980" t="s">
        <v>2567</v>
      </c>
      <c r="V3102" s="981">
        <f>4*2.05*0.075*0.0375</f>
        <v>2.3062499999999996E-2</v>
      </c>
      <c r="W3102" s="982" t="s">
        <v>642</v>
      </c>
      <c r="X3102" s="843"/>
      <c r="AE3102" s="619" t="s">
        <v>2568</v>
      </c>
      <c r="AP3102" s="619" t="s">
        <v>2569</v>
      </c>
    </row>
    <row r="3103" spans="6:42" ht="31.5" customHeight="1">
      <c r="F3103" s="892">
        <v>1.36</v>
      </c>
      <c r="G3103" s="893" t="s">
        <v>140</v>
      </c>
      <c r="H3103" s="601" t="s">
        <v>2570</v>
      </c>
      <c r="I3103" s="894">
        <f>I1055</f>
        <v>387.4</v>
      </c>
      <c r="J3103" s="601" t="s">
        <v>140</v>
      </c>
      <c r="K3103" s="894">
        <f t="shared" si="279"/>
        <v>526.86400000000003</v>
      </c>
      <c r="S3103" s="575"/>
      <c r="T3103" s="979"/>
      <c r="U3103" s="843"/>
      <c r="V3103" s="843"/>
      <c r="W3103" s="980" t="s">
        <v>117</v>
      </c>
      <c r="X3103" s="843"/>
      <c r="AE3103" s="575" t="s">
        <v>2571</v>
      </c>
      <c r="AP3103" s="575" t="s">
        <v>2571</v>
      </c>
    </row>
    <row r="3104" spans="6:42" ht="31.5" customHeight="1">
      <c r="F3104" s="892">
        <v>2.0499999999999998</v>
      </c>
      <c r="G3104" s="893" t="s">
        <v>140</v>
      </c>
      <c r="H3104" s="601" t="s">
        <v>1593</v>
      </c>
      <c r="I3104" s="894">
        <f t="shared" si="280"/>
        <v>963</v>
      </c>
      <c r="J3104" s="601" t="s">
        <v>140</v>
      </c>
      <c r="K3104" s="894">
        <f t="shared" si="279"/>
        <v>1974.1499999999999</v>
      </c>
      <c r="S3104" s="575"/>
      <c r="T3104" s="979"/>
      <c r="U3104" s="980" t="s">
        <v>2572</v>
      </c>
      <c r="V3104" s="981">
        <f>2*3*0.55*0.15*0.0375</f>
        <v>1.8562499999999999E-2</v>
      </c>
      <c r="W3104" s="982" t="s">
        <v>642</v>
      </c>
      <c r="X3104" s="843"/>
      <c r="AE3104" s="575" t="s">
        <v>2573</v>
      </c>
      <c r="AP3104" s="575" t="s">
        <v>2573</v>
      </c>
    </row>
    <row r="3105" spans="6:47" ht="36" customHeight="1">
      <c r="F3105" s="894">
        <v>2</v>
      </c>
      <c r="G3105" s="893" t="s">
        <v>209</v>
      </c>
      <c r="H3105" s="601" t="s">
        <v>2574</v>
      </c>
      <c r="I3105" s="983">
        <v>50.3</v>
      </c>
      <c r="J3105" s="601" t="s">
        <v>209</v>
      </c>
      <c r="K3105" s="894">
        <f t="shared" si="279"/>
        <v>100.6</v>
      </c>
      <c r="S3105" s="575"/>
      <c r="T3105" s="979"/>
      <c r="U3105" s="980" t="s">
        <v>115</v>
      </c>
      <c r="V3105" s="980" t="s">
        <v>115</v>
      </c>
      <c r="W3105" s="982"/>
      <c r="X3105" s="984" t="s">
        <v>115</v>
      </c>
      <c r="AC3105" s="575">
        <v>0.1</v>
      </c>
      <c r="AD3105" s="575" t="s">
        <v>240</v>
      </c>
      <c r="AE3105" s="575" t="s">
        <v>2189</v>
      </c>
      <c r="AF3105" s="575">
        <f>AE17</f>
        <v>679</v>
      </c>
      <c r="AG3105" s="575" t="s">
        <v>227</v>
      </c>
      <c r="AH3105" s="575">
        <f>AC3105*AF3105</f>
        <v>67.900000000000006</v>
      </c>
      <c r="AM3105" s="575">
        <v>0.1</v>
      </c>
      <c r="AN3105" s="575" t="s">
        <v>240</v>
      </c>
      <c r="AP3105" s="575" t="s">
        <v>2189</v>
      </c>
      <c r="AQ3105" s="575">
        <f>AF3105</f>
        <v>679</v>
      </c>
      <c r="AR3105" s="575" t="s">
        <v>227</v>
      </c>
      <c r="AS3105" s="575">
        <f>AQ3105*AM3105</f>
        <v>67.900000000000006</v>
      </c>
    </row>
    <row r="3106" spans="6:47" ht="24.75" customHeight="1">
      <c r="F3106" s="894">
        <v>6</v>
      </c>
      <c r="G3106" s="893" t="s">
        <v>209</v>
      </c>
      <c r="H3106" s="601" t="s">
        <v>1551</v>
      </c>
      <c r="I3106" s="894">
        <f t="shared" si="280"/>
        <v>43.6</v>
      </c>
      <c r="J3106" s="601" t="s">
        <v>209</v>
      </c>
      <c r="K3106" s="894">
        <f t="shared" si="279"/>
        <v>261.60000000000002</v>
      </c>
      <c r="S3106" s="575"/>
      <c r="T3106" s="979"/>
      <c r="U3106" s="843"/>
      <c r="V3106" s="843"/>
      <c r="W3106" s="980" t="s">
        <v>115</v>
      </c>
      <c r="X3106" s="980" t="s">
        <v>115</v>
      </c>
      <c r="AC3106" s="575">
        <v>0.1</v>
      </c>
      <c r="AD3106" s="575" t="s">
        <v>2575</v>
      </c>
      <c r="AE3106" s="575" t="s">
        <v>1606</v>
      </c>
      <c r="AF3106" s="575">
        <f>AE11</f>
        <v>502</v>
      </c>
      <c r="AG3106" s="575" t="s">
        <v>227</v>
      </c>
      <c r="AH3106" s="575">
        <f>AC3106*AF3106</f>
        <v>50.2</v>
      </c>
      <c r="AM3106" s="575">
        <v>0.1</v>
      </c>
      <c r="AN3106" s="575" t="s">
        <v>2575</v>
      </c>
      <c r="AP3106" s="575" t="s">
        <v>1606</v>
      </c>
      <c r="AQ3106" s="575">
        <f>AF3106</f>
        <v>502</v>
      </c>
      <c r="AR3106" s="575" t="s">
        <v>227</v>
      </c>
      <c r="AS3106" s="575">
        <f>AQ3106*AM3106</f>
        <v>50.2</v>
      </c>
    </row>
    <row r="3107" spans="6:47" ht="29.25" customHeight="1">
      <c r="F3107" s="894">
        <v>2</v>
      </c>
      <c r="G3107" s="893" t="s">
        <v>209</v>
      </c>
      <c r="H3107" s="601" t="s">
        <v>2414</v>
      </c>
      <c r="I3107" s="894">
        <f t="shared" si="280"/>
        <v>53.8</v>
      </c>
      <c r="J3107" s="601" t="s">
        <v>209</v>
      </c>
      <c r="K3107" s="894">
        <f t="shared" si="279"/>
        <v>107.6</v>
      </c>
      <c r="S3107" s="575"/>
      <c r="T3107" s="979"/>
      <c r="U3107" s="980" t="s">
        <v>2576</v>
      </c>
      <c r="V3107" s="843">
        <f>2*0.625*0.425</f>
        <v>0.53125</v>
      </c>
      <c r="W3107" s="984" t="s">
        <v>115</v>
      </c>
      <c r="X3107" s="984" t="s">
        <v>115</v>
      </c>
      <c r="AC3107" s="575">
        <v>10</v>
      </c>
      <c r="AD3107" s="575" t="s">
        <v>2577</v>
      </c>
      <c r="AE3107" s="575" t="s">
        <v>2578</v>
      </c>
      <c r="AF3107" s="618">
        <v>18</v>
      </c>
      <c r="AG3107" s="575" t="s">
        <v>2579</v>
      </c>
      <c r="AH3107" s="575">
        <f>(AC3107*AF3107)/100</f>
        <v>1.8</v>
      </c>
      <c r="AM3107" s="575">
        <v>10</v>
      </c>
      <c r="AN3107" s="575" t="s">
        <v>2577</v>
      </c>
      <c r="AP3107" s="575" t="s">
        <v>2580</v>
      </c>
      <c r="AQ3107" s="686">
        <f>AF3107</f>
        <v>18</v>
      </c>
      <c r="AR3107" s="575" t="s">
        <v>2579</v>
      </c>
      <c r="AS3107" s="575">
        <f>(AQ3107*AM3107)/100</f>
        <v>1.8</v>
      </c>
    </row>
    <row r="3108" spans="6:47" ht="24" customHeight="1">
      <c r="F3108" s="894">
        <v>1</v>
      </c>
      <c r="G3108" s="893" t="s">
        <v>209</v>
      </c>
      <c r="H3108" s="601" t="s">
        <v>2413</v>
      </c>
      <c r="I3108" s="985">
        <f t="shared" si="280"/>
        <v>63.2</v>
      </c>
      <c r="J3108" s="601" t="s">
        <v>209</v>
      </c>
      <c r="K3108" s="894">
        <f t="shared" si="279"/>
        <v>63.2</v>
      </c>
      <c r="S3108" s="575"/>
      <c r="T3108" s="979"/>
      <c r="U3108" s="980" t="s">
        <v>2581</v>
      </c>
      <c r="V3108" s="843">
        <f>2*0.425*1.025</f>
        <v>0.87124999999999986</v>
      </c>
      <c r="W3108" s="982"/>
      <c r="X3108" s="984">
        <v>1.26</v>
      </c>
      <c r="AC3108" s="575">
        <v>0.25</v>
      </c>
      <c r="AD3108" s="575" t="s">
        <v>240</v>
      </c>
      <c r="AE3108" s="575" t="s">
        <v>2582</v>
      </c>
      <c r="AF3108" s="618">
        <v>3.5</v>
      </c>
      <c r="AG3108" s="575" t="s">
        <v>227</v>
      </c>
      <c r="AH3108" s="575">
        <v>1</v>
      </c>
      <c r="AM3108" s="575">
        <v>0.25</v>
      </c>
      <c r="AN3108" s="575" t="s">
        <v>240</v>
      </c>
      <c r="AP3108" s="575" t="s">
        <v>2583</v>
      </c>
      <c r="AQ3108" s="686">
        <f>AF3108</f>
        <v>3.5</v>
      </c>
      <c r="AR3108" s="575" t="s">
        <v>227</v>
      </c>
      <c r="AS3108" s="575">
        <f>AQ3108*AM3108</f>
        <v>0.875</v>
      </c>
      <c r="AU3108" s="575">
        <f>3.09/0.25</f>
        <v>12.36</v>
      </c>
    </row>
    <row r="3109" spans="6:47" ht="27.75" customHeight="1">
      <c r="F3109" s="894">
        <v>6.55</v>
      </c>
      <c r="G3109" s="893" t="s">
        <v>140</v>
      </c>
      <c r="H3109" s="601" t="s">
        <v>2584</v>
      </c>
      <c r="I3109" s="894">
        <f>K1540</f>
        <v>197.58330000000001</v>
      </c>
      <c r="J3109" s="601" t="s">
        <v>140</v>
      </c>
      <c r="K3109" s="894">
        <f>(F3109*I3109)</f>
        <v>1294.170615</v>
      </c>
      <c r="S3109" s="575"/>
      <c r="T3109" s="979"/>
      <c r="U3109" s="843"/>
      <c r="V3109" s="986">
        <f>SUM(V3107:V3108)</f>
        <v>1.4024999999999999</v>
      </c>
      <c r="W3109" s="982" t="s">
        <v>110</v>
      </c>
      <c r="X3109" s="980" t="s">
        <v>115</v>
      </c>
      <c r="AF3109" s="575" t="s">
        <v>2585</v>
      </c>
      <c r="AH3109" s="575">
        <f>SUM(AH3105:AH3108)</f>
        <v>120.9</v>
      </c>
      <c r="AQ3109" s="575" t="s">
        <v>2585</v>
      </c>
      <c r="AS3109" s="575">
        <f>SUM(AS3105:AS3108)</f>
        <v>120.77500000000001</v>
      </c>
    </row>
    <row r="3110" spans="6:47" ht="24" customHeight="1">
      <c r="F3110" s="885">
        <v>50</v>
      </c>
      <c r="G3110" s="884" t="s">
        <v>240</v>
      </c>
      <c r="H3110" s="601" t="s">
        <v>2586</v>
      </c>
      <c r="I3110" s="987">
        <f>I961</f>
        <v>2.37</v>
      </c>
      <c r="J3110" s="886"/>
      <c r="K3110" s="894">
        <f>(F3110*I3110)</f>
        <v>118.5</v>
      </c>
      <c r="S3110" s="575"/>
      <c r="T3110" s="576"/>
      <c r="W3110" s="578"/>
      <c r="X3110" s="703" t="s">
        <v>115</v>
      </c>
    </row>
    <row r="3111" spans="6:47" ht="26.25" customHeight="1">
      <c r="F3111" s="885"/>
      <c r="G3111" s="884"/>
      <c r="H3111" s="899"/>
      <c r="I3111" s="899"/>
      <c r="J3111" s="900"/>
      <c r="K3111" s="901" t="s">
        <v>117</v>
      </c>
      <c r="S3111" s="575"/>
      <c r="T3111" s="576"/>
      <c r="W3111" s="578"/>
      <c r="X3111" s="573" t="s">
        <v>115</v>
      </c>
      <c r="AE3111" s="988" t="s">
        <v>2460</v>
      </c>
      <c r="AF3111" s="575" t="s">
        <v>2587</v>
      </c>
      <c r="AG3111" s="988" t="s">
        <v>2587</v>
      </c>
      <c r="AH3111" s="988" t="s">
        <v>2588</v>
      </c>
      <c r="AP3111" s="988" t="s">
        <v>2460</v>
      </c>
      <c r="AQ3111" s="619" t="s">
        <v>2587</v>
      </c>
      <c r="AR3111" s="989" t="s">
        <v>2588</v>
      </c>
    </row>
    <row r="3112" spans="6:47" ht="24" customHeight="1">
      <c r="F3112" s="885"/>
      <c r="G3112" s="884"/>
      <c r="H3112" s="902" t="s">
        <v>1599</v>
      </c>
      <c r="I3112" s="899"/>
      <c r="J3112" s="900"/>
      <c r="K3112" s="903">
        <f>SUM(K3100:K3110)</f>
        <v>9701.545865</v>
      </c>
      <c r="S3112" s="574" t="s">
        <v>1504</v>
      </c>
      <c r="T3112" s="585"/>
      <c r="U3112" s="577" t="s">
        <v>2589</v>
      </c>
      <c r="W3112" s="578"/>
      <c r="X3112" s="573" t="s">
        <v>115</v>
      </c>
      <c r="AE3112" s="988"/>
      <c r="AF3112" s="575">
        <v>331</v>
      </c>
      <c r="AG3112" s="988">
        <v>331</v>
      </c>
      <c r="AH3112" s="988">
        <v>283</v>
      </c>
      <c r="AP3112" s="988"/>
      <c r="AR3112" s="988"/>
      <c r="AS3112" s="988"/>
    </row>
    <row r="3113" spans="6:47" ht="24" customHeight="1">
      <c r="F3113" s="885"/>
      <c r="G3113" s="893" t="s">
        <v>115</v>
      </c>
      <c r="H3113" s="899"/>
      <c r="I3113" s="899"/>
      <c r="J3113" s="900"/>
      <c r="K3113" s="901" t="s">
        <v>117</v>
      </c>
      <c r="S3113" s="575"/>
      <c r="T3113" s="576"/>
      <c r="U3113" s="582" t="s">
        <v>117</v>
      </c>
      <c r="W3113" s="578"/>
      <c r="AE3113" s="988" t="s">
        <v>2590</v>
      </c>
      <c r="AF3113" s="575">
        <f>AH3109</f>
        <v>120.9</v>
      </c>
      <c r="AG3113" s="988">
        <f>AH3109</f>
        <v>120.9</v>
      </c>
      <c r="AH3113" s="988">
        <f>AH3109</f>
        <v>120.9</v>
      </c>
      <c r="AP3113" s="988" t="s">
        <v>2590</v>
      </c>
      <c r="AQ3113" s="619">
        <v>96</v>
      </c>
      <c r="AR3113" s="619">
        <v>85</v>
      </c>
      <c r="AS3113" s="619">
        <v>85</v>
      </c>
    </row>
    <row r="3114" spans="6:47" ht="21" customHeight="1">
      <c r="F3114" s="885"/>
      <c r="G3114" s="884"/>
      <c r="H3114" s="902" t="s">
        <v>154</v>
      </c>
      <c r="I3114" s="899"/>
      <c r="J3114" s="900"/>
      <c r="K3114" s="903">
        <f>K3112/2.52</f>
        <v>3849.8197876984127</v>
      </c>
      <c r="S3114" s="651">
        <v>7.0699999999999999E-2</v>
      </c>
      <c r="T3114" s="585" t="s">
        <v>126</v>
      </c>
      <c r="U3114" s="573" t="s">
        <v>2591</v>
      </c>
      <c r="V3114" s="587">
        <f>P3154</f>
        <v>99400</v>
      </c>
      <c r="W3114" s="573" t="s">
        <v>126</v>
      </c>
      <c r="X3114" s="587">
        <f>V3114*S3114</f>
        <v>7027.58</v>
      </c>
      <c r="AE3114" s="988" t="s">
        <v>2196</v>
      </c>
      <c r="AF3114" s="575">
        <f>SUM(AF3112:AF3113)</f>
        <v>451.9</v>
      </c>
      <c r="AG3114" s="988">
        <f>SUM(AG3112:AG3113)</f>
        <v>451.9</v>
      </c>
      <c r="AH3114" s="988">
        <f>SUM(AH3112:AH3113)</f>
        <v>403.9</v>
      </c>
      <c r="AP3114" s="988" t="s">
        <v>2196</v>
      </c>
      <c r="AQ3114" s="575">
        <f>AS3109</f>
        <v>120.77500000000001</v>
      </c>
      <c r="AR3114" s="988">
        <f>AS3109</f>
        <v>120.77500000000001</v>
      </c>
      <c r="AS3114" s="988"/>
    </row>
    <row r="3115" spans="6:47" ht="23.25" customHeight="1">
      <c r="F3115" s="885"/>
      <c r="G3115" s="884"/>
      <c r="H3115" s="899"/>
      <c r="I3115" s="899"/>
      <c r="J3115" s="900"/>
      <c r="K3115" s="901" t="s">
        <v>155</v>
      </c>
      <c r="S3115" s="651">
        <v>3.6659999999999999</v>
      </c>
      <c r="T3115" s="585" t="s">
        <v>140</v>
      </c>
      <c r="U3115" s="573" t="s">
        <v>2592</v>
      </c>
      <c r="V3115" s="587">
        <f>I1176</f>
        <v>208.8</v>
      </c>
      <c r="W3115" s="573" t="s">
        <v>126</v>
      </c>
      <c r="X3115" s="587">
        <f t="shared" ref="X3115:X3122" si="281">V3115*S3115</f>
        <v>765.46080000000006</v>
      </c>
      <c r="AE3115" s="988"/>
      <c r="AF3115" s="575">
        <f>ROUNDUP(AF3114,0)</f>
        <v>452</v>
      </c>
      <c r="AG3115" s="575">
        <f>ROUNDUP(AG3114,0)</f>
        <v>452</v>
      </c>
      <c r="AH3115" s="575">
        <f>ROUNDUP(AH3114,0)</f>
        <v>404</v>
      </c>
      <c r="AP3115" s="988"/>
      <c r="AQ3115" s="619">
        <f>SUM(AQ3112:AQ3114)</f>
        <v>216.77500000000001</v>
      </c>
      <c r="AR3115" s="619">
        <f>SUM(AR3112:AR3114)</f>
        <v>205.77500000000001</v>
      </c>
    </row>
    <row r="3116" spans="6:47" ht="39" customHeight="1">
      <c r="S3116" s="652">
        <v>5.16</v>
      </c>
      <c r="T3116" s="585" t="s">
        <v>140</v>
      </c>
      <c r="U3116" s="573" t="s">
        <v>624</v>
      </c>
      <c r="V3116" s="587">
        <f>AE32</f>
        <v>1078</v>
      </c>
      <c r="W3116" s="573" t="s">
        <v>140</v>
      </c>
      <c r="X3116" s="587">
        <f t="shared" si="281"/>
        <v>5562.4800000000005</v>
      </c>
      <c r="AE3116" s="988"/>
      <c r="AF3116" s="988"/>
      <c r="AG3116" s="988"/>
      <c r="AH3116" s="988"/>
      <c r="AQ3116" s="575">
        <f>ROUNDUP(AQ3115,0)</f>
        <v>217</v>
      </c>
      <c r="AR3116" s="575">
        <f>ROUNDUP(AR3115,0)</f>
        <v>206</v>
      </c>
    </row>
    <row r="3117" spans="6:47" ht="39" customHeight="1">
      <c r="S3117" s="652">
        <v>22.66</v>
      </c>
      <c r="T3117" s="585" t="s">
        <v>2593</v>
      </c>
      <c r="U3117" s="573" t="s">
        <v>2594</v>
      </c>
      <c r="V3117" s="587">
        <v>45.7</v>
      </c>
      <c r="W3117" s="573" t="s">
        <v>140</v>
      </c>
      <c r="X3117" s="587">
        <f t="shared" si="281"/>
        <v>1035.5620000000001</v>
      </c>
    </row>
    <row r="3118" spans="6:47" ht="39" customHeight="1">
      <c r="H3118" s="619" t="s">
        <v>2595</v>
      </c>
      <c r="N3118" s="576"/>
      <c r="O3118" s="619" t="s">
        <v>2596</v>
      </c>
      <c r="Q3118" s="578"/>
      <c r="S3118" s="587">
        <v>15</v>
      </c>
      <c r="T3118" s="585" t="s">
        <v>209</v>
      </c>
      <c r="U3118" s="573" t="s">
        <v>1506</v>
      </c>
      <c r="V3118" s="587">
        <f>C279</f>
        <v>79.099999999999994</v>
      </c>
      <c r="W3118" s="573" t="s">
        <v>209</v>
      </c>
      <c r="X3118" s="587">
        <f t="shared" si="281"/>
        <v>1186.5</v>
      </c>
    </row>
    <row r="3119" spans="6:47" ht="39" customHeight="1">
      <c r="F3119" s="575">
        <v>1</v>
      </c>
      <c r="H3119" s="575" t="s">
        <v>2597</v>
      </c>
      <c r="I3119" s="990">
        <v>143.97999999999999</v>
      </c>
      <c r="J3119" s="578" t="s">
        <v>227</v>
      </c>
      <c r="K3119" s="575">
        <f>I3119</f>
        <v>143.97999999999999</v>
      </c>
      <c r="M3119" s="575">
        <v>1</v>
      </c>
      <c r="N3119" s="576"/>
      <c r="O3119" s="575" t="s">
        <v>2598</v>
      </c>
      <c r="P3119" s="618">
        <v>14.7</v>
      </c>
      <c r="Q3119" s="578" t="s">
        <v>227</v>
      </c>
      <c r="R3119" s="575">
        <f>P3119</f>
        <v>14.7</v>
      </c>
      <c r="S3119" s="587">
        <v>10</v>
      </c>
      <c r="T3119" s="585" t="s">
        <v>209</v>
      </c>
      <c r="U3119" s="573" t="s">
        <v>2599</v>
      </c>
      <c r="V3119" s="593">
        <v>68.5</v>
      </c>
      <c r="W3119" s="573" t="s">
        <v>209</v>
      </c>
      <c r="X3119" s="587">
        <f t="shared" si="281"/>
        <v>685</v>
      </c>
    </row>
    <row r="3120" spans="6:47" ht="39" customHeight="1">
      <c r="F3120" s="575">
        <v>1</v>
      </c>
      <c r="H3120" s="686" t="s">
        <v>2600</v>
      </c>
      <c r="I3120" s="990">
        <v>41.65</v>
      </c>
      <c r="J3120" s="578" t="s">
        <v>227</v>
      </c>
      <c r="K3120" s="575">
        <f>I3120</f>
        <v>41.65</v>
      </c>
      <c r="M3120" s="575">
        <v>1</v>
      </c>
      <c r="N3120" s="576"/>
      <c r="O3120" s="575" t="s">
        <v>2601</v>
      </c>
      <c r="P3120" s="618">
        <v>7.3</v>
      </c>
      <c r="Q3120" s="578" t="s">
        <v>227</v>
      </c>
      <c r="R3120" s="575">
        <f>P3120</f>
        <v>7.3</v>
      </c>
      <c r="S3120" s="587">
        <v>5</v>
      </c>
      <c r="T3120" s="585" t="s">
        <v>209</v>
      </c>
      <c r="U3120" s="573" t="s">
        <v>2602</v>
      </c>
      <c r="V3120" s="587">
        <f>P3161</f>
        <v>50.9</v>
      </c>
      <c r="W3120" s="573" t="s">
        <v>209</v>
      </c>
      <c r="X3120" s="587">
        <f t="shared" si="281"/>
        <v>254.5</v>
      </c>
    </row>
    <row r="3121" spans="6:24" ht="39" customHeight="1">
      <c r="F3121" s="579">
        <v>0.125</v>
      </c>
      <c r="H3121" s="686" t="s">
        <v>2603</v>
      </c>
      <c r="I3121" s="575">
        <f>C15</f>
        <v>667</v>
      </c>
      <c r="J3121" s="578" t="s">
        <v>227</v>
      </c>
      <c r="K3121" s="575">
        <f>F3121*I3121</f>
        <v>83.375</v>
      </c>
      <c r="M3121" s="579">
        <v>0.125</v>
      </c>
      <c r="N3121" s="576"/>
      <c r="O3121" s="686" t="s">
        <v>2603</v>
      </c>
      <c r="P3121" s="686">
        <f>I3121</f>
        <v>667</v>
      </c>
      <c r="Q3121" s="578" t="s">
        <v>227</v>
      </c>
      <c r="R3121" s="575">
        <f>M3121*P3121</f>
        <v>83.375</v>
      </c>
      <c r="S3121" s="587">
        <v>5</v>
      </c>
      <c r="T3121" s="585" t="s">
        <v>209</v>
      </c>
      <c r="U3121" s="573" t="s">
        <v>628</v>
      </c>
      <c r="V3121" s="587">
        <f>P3160</f>
        <v>7.3</v>
      </c>
      <c r="W3121" s="573" t="s">
        <v>209</v>
      </c>
      <c r="X3121" s="587">
        <f t="shared" si="281"/>
        <v>36.5</v>
      </c>
    </row>
    <row r="3122" spans="6:24" ht="39" customHeight="1">
      <c r="F3122" s="579"/>
      <c r="H3122" s="686" t="s">
        <v>236</v>
      </c>
      <c r="K3122" s="575">
        <v>2.11</v>
      </c>
      <c r="M3122" s="579"/>
      <c r="N3122" s="576"/>
      <c r="O3122" s="686" t="s">
        <v>236</v>
      </c>
      <c r="Q3122" s="578"/>
      <c r="R3122" s="575">
        <v>4.37</v>
      </c>
      <c r="S3122" s="587">
        <v>10</v>
      </c>
      <c r="T3122" s="585" t="s">
        <v>209</v>
      </c>
      <c r="U3122" s="573" t="s">
        <v>2604</v>
      </c>
      <c r="V3122" s="587">
        <f>I3110</f>
        <v>2.37</v>
      </c>
      <c r="W3122" s="573" t="s">
        <v>209</v>
      </c>
      <c r="X3122" s="587">
        <f t="shared" si="281"/>
        <v>23.700000000000003</v>
      </c>
    </row>
    <row r="3123" spans="6:24" ht="24" customHeight="1">
      <c r="H3123" s="764" t="s">
        <v>2321</v>
      </c>
      <c r="I3123" s="619"/>
      <c r="J3123" s="630"/>
      <c r="K3123" s="619">
        <f>SUM(K3119:K3122)</f>
        <v>271.11500000000001</v>
      </c>
      <c r="N3123" s="576"/>
      <c r="O3123" s="764" t="s">
        <v>2321</v>
      </c>
      <c r="P3123" s="619"/>
      <c r="Q3123" s="630"/>
      <c r="R3123" s="619">
        <f>SUM(R3119:R3122)</f>
        <v>109.745</v>
      </c>
      <c r="S3123" s="587"/>
      <c r="T3123" s="585">
        <f>R3123-90</f>
        <v>19.745000000000005</v>
      </c>
      <c r="U3123" s="573"/>
      <c r="V3123" s="587"/>
      <c r="W3123" s="573" t="s">
        <v>209</v>
      </c>
      <c r="X3123" s="582" t="s">
        <v>117</v>
      </c>
    </row>
    <row r="3124" spans="6:24" ht="24" customHeight="1">
      <c r="R3124" s="575">
        <f>R3123-87</f>
        <v>22.745000000000005</v>
      </c>
      <c r="S3124" s="587"/>
      <c r="T3124" s="576"/>
      <c r="U3124" s="574" t="s">
        <v>2605</v>
      </c>
      <c r="W3124" s="578"/>
      <c r="X3124" s="587">
        <f>SUM(X3114:X3122)</f>
        <v>16577.282800000001</v>
      </c>
    </row>
    <row r="3125" spans="6:24" ht="24" customHeight="1">
      <c r="S3125" s="575"/>
      <c r="T3125" s="576"/>
      <c r="W3125" s="578"/>
      <c r="X3125" s="582" t="s">
        <v>117</v>
      </c>
    </row>
    <row r="3126" spans="6:24" ht="24" customHeight="1">
      <c r="F3126" s="574" t="s">
        <v>1517</v>
      </c>
      <c r="G3126" s="585" t="s">
        <v>122</v>
      </c>
      <c r="H3126" s="573" t="s">
        <v>1518</v>
      </c>
      <c r="S3126" s="575"/>
      <c r="T3126" s="585" t="s">
        <v>115</v>
      </c>
      <c r="U3126" s="589" t="s">
        <v>154</v>
      </c>
      <c r="W3126" s="578"/>
      <c r="X3126" s="586">
        <f>X3124/S3116</f>
        <v>3212.6517054263568</v>
      </c>
    </row>
    <row r="3127" spans="6:24" ht="24" customHeight="1">
      <c r="H3127" s="573" t="s">
        <v>1519</v>
      </c>
      <c r="S3127" s="575"/>
      <c r="T3127" s="576"/>
      <c r="W3127" s="578"/>
      <c r="X3127" s="582" t="s">
        <v>155</v>
      </c>
    </row>
    <row r="3128" spans="6:24" ht="24" customHeight="1">
      <c r="H3128" s="573" t="s">
        <v>1521</v>
      </c>
      <c r="S3128" s="575"/>
      <c r="T3128" s="576"/>
    </row>
    <row r="3129" spans="6:24" ht="24" customHeight="1">
      <c r="H3129" s="573" t="s">
        <v>1522</v>
      </c>
      <c r="S3129" s="574"/>
      <c r="T3129" s="585"/>
      <c r="U3129" s="573" t="s">
        <v>2606</v>
      </c>
      <c r="W3129" s="578"/>
      <c r="X3129" s="573" t="s">
        <v>115</v>
      </c>
    </row>
    <row r="3130" spans="6:24" ht="24" customHeight="1">
      <c r="H3130" s="573" t="s">
        <v>1523</v>
      </c>
      <c r="S3130" s="575"/>
      <c r="T3130" s="576"/>
      <c r="U3130" s="582" t="s">
        <v>117</v>
      </c>
      <c r="W3130" s="578"/>
    </row>
    <row r="3131" spans="6:24" ht="24" customHeight="1">
      <c r="H3131" s="573" t="s">
        <v>1524</v>
      </c>
      <c r="S3131" s="651">
        <v>2.7400000000000001E-2</v>
      </c>
      <c r="T3131" s="585" t="s">
        <v>126</v>
      </c>
      <c r="U3131" s="573" t="s">
        <v>2591</v>
      </c>
      <c r="V3131" s="587">
        <f>V3114</f>
        <v>99400</v>
      </c>
      <c r="W3131" s="573" t="s">
        <v>126</v>
      </c>
      <c r="X3131" s="587">
        <f>V3131*S3131</f>
        <v>2723.56</v>
      </c>
    </row>
    <row r="3132" spans="6:24" ht="24" customHeight="1">
      <c r="H3132" s="582" t="s">
        <v>117</v>
      </c>
      <c r="S3132" s="651">
        <v>1.1599999999999999</v>
      </c>
      <c r="T3132" s="585" t="s">
        <v>140</v>
      </c>
      <c r="U3132" s="573" t="s">
        <v>2592</v>
      </c>
      <c r="V3132" s="587">
        <f t="shared" ref="V3132:V3139" si="282">V3115</f>
        <v>208.8</v>
      </c>
      <c r="W3132" s="573" t="s">
        <v>126</v>
      </c>
      <c r="X3132" s="587">
        <f t="shared" ref="X3132:X3139" si="283">V3132*S3132</f>
        <v>242.208</v>
      </c>
    </row>
    <row r="3133" spans="6:24" ht="24" customHeight="1">
      <c r="H3133" s="573" t="s">
        <v>2607</v>
      </c>
      <c r="M3133" s="574" t="s">
        <v>1517</v>
      </c>
      <c r="N3133" s="585" t="s">
        <v>122</v>
      </c>
      <c r="O3133" s="573" t="s">
        <v>1518</v>
      </c>
      <c r="Q3133" s="578"/>
      <c r="S3133" s="652">
        <v>1.74</v>
      </c>
      <c r="T3133" s="585" t="s">
        <v>140</v>
      </c>
      <c r="U3133" s="573" t="s">
        <v>624</v>
      </c>
      <c r="V3133" s="587">
        <f t="shared" si="282"/>
        <v>1078</v>
      </c>
      <c r="W3133" s="573" t="s">
        <v>140</v>
      </c>
      <c r="X3133" s="587">
        <f t="shared" si="283"/>
        <v>1875.72</v>
      </c>
    </row>
    <row r="3134" spans="6:24" ht="24" customHeight="1">
      <c r="H3134" s="573" t="s">
        <v>1526</v>
      </c>
      <c r="N3134" s="576"/>
      <c r="O3134" s="573" t="s">
        <v>1519</v>
      </c>
      <c r="Q3134" s="578"/>
      <c r="S3134" s="652">
        <v>8.74</v>
      </c>
      <c r="T3134" s="585" t="s">
        <v>2593</v>
      </c>
      <c r="U3134" s="573" t="s">
        <v>2594</v>
      </c>
      <c r="V3134" s="587">
        <f t="shared" si="282"/>
        <v>45.7</v>
      </c>
      <c r="W3134" s="573" t="s">
        <v>140</v>
      </c>
      <c r="X3134" s="587">
        <f t="shared" si="283"/>
        <v>399.41800000000001</v>
      </c>
    </row>
    <row r="3135" spans="6:24" ht="24" customHeight="1">
      <c r="J3135" s="573" t="s">
        <v>117</v>
      </c>
      <c r="N3135" s="576"/>
      <c r="O3135" s="573" t="s">
        <v>1521</v>
      </c>
      <c r="Q3135" s="578"/>
      <c r="S3135" s="587">
        <v>6</v>
      </c>
      <c r="T3135" s="585" t="s">
        <v>209</v>
      </c>
      <c r="U3135" s="573" t="s">
        <v>1506</v>
      </c>
      <c r="V3135" s="587">
        <f t="shared" si="282"/>
        <v>79.099999999999994</v>
      </c>
      <c r="W3135" s="573" t="s">
        <v>209</v>
      </c>
      <c r="X3135" s="587">
        <f t="shared" si="283"/>
        <v>474.59999999999997</v>
      </c>
    </row>
    <row r="3136" spans="6:24" ht="24" customHeight="1">
      <c r="H3136" s="573" t="s">
        <v>2608</v>
      </c>
      <c r="N3136" s="576"/>
      <c r="O3136" s="573" t="s">
        <v>1522</v>
      </c>
      <c r="Q3136" s="578"/>
      <c r="S3136" s="587">
        <v>4</v>
      </c>
      <c r="T3136" s="585" t="s">
        <v>209</v>
      </c>
      <c r="U3136" s="573" t="s">
        <v>2599</v>
      </c>
      <c r="V3136" s="587">
        <f t="shared" si="282"/>
        <v>68.5</v>
      </c>
      <c r="W3136" s="573" t="s">
        <v>209</v>
      </c>
      <c r="X3136" s="587">
        <f t="shared" si="283"/>
        <v>274</v>
      </c>
    </row>
    <row r="3137" spans="6:24" ht="24" customHeight="1">
      <c r="H3137" s="573" t="s">
        <v>115</v>
      </c>
      <c r="I3137" s="573" t="s">
        <v>115</v>
      </c>
      <c r="K3137" s="703" t="s">
        <v>115</v>
      </c>
      <c r="N3137" s="576"/>
      <c r="O3137" s="573" t="s">
        <v>1523</v>
      </c>
      <c r="Q3137" s="578"/>
      <c r="S3137" s="587">
        <v>2</v>
      </c>
      <c r="T3137" s="585" t="s">
        <v>209</v>
      </c>
      <c r="U3137" s="573" t="s">
        <v>2602</v>
      </c>
      <c r="V3137" s="587">
        <f t="shared" si="282"/>
        <v>50.9</v>
      </c>
      <c r="W3137" s="573" t="s">
        <v>209</v>
      </c>
      <c r="X3137" s="587">
        <f t="shared" si="283"/>
        <v>101.8</v>
      </c>
    </row>
    <row r="3138" spans="6:24" ht="24" customHeight="1">
      <c r="J3138" s="573" t="s">
        <v>115</v>
      </c>
      <c r="K3138" s="573" t="s">
        <v>115</v>
      </c>
      <c r="N3138" s="576"/>
      <c r="O3138" s="573" t="s">
        <v>1524</v>
      </c>
      <c r="Q3138" s="578"/>
      <c r="S3138" s="587">
        <v>2</v>
      </c>
      <c r="T3138" s="585" t="s">
        <v>209</v>
      </c>
      <c r="U3138" s="573" t="s">
        <v>628</v>
      </c>
      <c r="V3138" s="587">
        <f t="shared" si="282"/>
        <v>7.3</v>
      </c>
      <c r="W3138" s="573" t="s">
        <v>209</v>
      </c>
      <c r="X3138" s="587">
        <f t="shared" si="283"/>
        <v>14.6</v>
      </c>
    </row>
    <row r="3139" spans="6:24" ht="24" customHeight="1">
      <c r="H3139" s="573" t="s">
        <v>2609</v>
      </c>
      <c r="J3139" s="703" t="s">
        <v>115</v>
      </c>
      <c r="K3139" s="703" t="s">
        <v>115</v>
      </c>
      <c r="N3139" s="576"/>
      <c r="O3139" s="584" t="s">
        <v>2610</v>
      </c>
      <c r="Q3139" s="578"/>
      <c r="S3139" s="587">
        <v>10</v>
      </c>
      <c r="T3139" s="585" t="s">
        <v>209</v>
      </c>
      <c r="U3139" s="573" t="s">
        <v>2604</v>
      </c>
      <c r="V3139" s="587">
        <f t="shared" si="282"/>
        <v>2.37</v>
      </c>
      <c r="W3139" s="573" t="s">
        <v>209</v>
      </c>
      <c r="X3139" s="587">
        <f t="shared" si="283"/>
        <v>23.700000000000003</v>
      </c>
    </row>
    <row r="3140" spans="6:24" ht="24" customHeight="1">
      <c r="H3140" s="573" t="s">
        <v>2611</v>
      </c>
      <c r="K3140" s="703">
        <v>1.26</v>
      </c>
      <c r="N3140" s="576"/>
      <c r="O3140" s="573" t="s">
        <v>2612</v>
      </c>
      <c r="P3140" s="674">
        <f>1.1*2.05</f>
        <v>2.2549999999999999</v>
      </c>
      <c r="Q3140" s="578" t="s">
        <v>110</v>
      </c>
      <c r="S3140" s="587"/>
      <c r="T3140" s="585"/>
      <c r="U3140" s="573"/>
      <c r="V3140" s="587"/>
      <c r="W3140" s="573" t="s">
        <v>209</v>
      </c>
      <c r="X3140" s="582" t="s">
        <v>117</v>
      </c>
    </row>
    <row r="3141" spans="6:24" ht="24" customHeight="1">
      <c r="K3141" s="573" t="s">
        <v>115</v>
      </c>
      <c r="N3141" s="576"/>
      <c r="O3141" s="573" t="s">
        <v>2613</v>
      </c>
      <c r="P3141" s="941">
        <f>2*2.05*0.075*0.0375</f>
        <v>1.1531249999999998E-2</v>
      </c>
      <c r="Q3141" s="578" t="s">
        <v>642</v>
      </c>
      <c r="S3141" s="587"/>
      <c r="T3141" s="576"/>
      <c r="U3141" s="574" t="s">
        <v>2614</v>
      </c>
      <c r="W3141" s="578"/>
      <c r="X3141" s="587">
        <f>SUM(X3131:X3139)</f>
        <v>6129.6060000000007</v>
      </c>
    </row>
    <row r="3142" spans="6:24" ht="24" customHeight="1">
      <c r="K3142" s="703" t="s">
        <v>115</v>
      </c>
      <c r="N3142" s="576"/>
      <c r="Q3142" s="573" t="s">
        <v>117</v>
      </c>
      <c r="S3142" s="575"/>
      <c r="T3142" s="576"/>
      <c r="W3142" s="578"/>
      <c r="X3142" s="582" t="s">
        <v>117</v>
      </c>
    </row>
    <row r="3143" spans="6:24" ht="24" customHeight="1">
      <c r="K3143" s="573" t="s">
        <v>115</v>
      </c>
      <c r="N3143" s="576"/>
      <c r="O3143" s="573" t="s">
        <v>2615</v>
      </c>
      <c r="P3143" s="941">
        <f>1*3*1.1*0.15*0.0375</f>
        <v>1.8562499999999999E-2</v>
      </c>
      <c r="Q3143" s="578" t="s">
        <v>642</v>
      </c>
      <c r="S3143" s="575"/>
      <c r="T3143" s="585" t="s">
        <v>115</v>
      </c>
      <c r="U3143" s="589" t="s">
        <v>154</v>
      </c>
      <c r="W3143" s="578"/>
      <c r="X3143" s="586">
        <f>X3141/S3133</f>
        <v>3522.7620689655178</v>
      </c>
    </row>
    <row r="3144" spans="6:24" ht="24" customHeight="1">
      <c r="F3144" s="574" t="s">
        <v>1504</v>
      </c>
      <c r="G3144" s="585"/>
      <c r="H3144" s="573" t="s">
        <v>1544</v>
      </c>
      <c r="K3144" s="573" t="s">
        <v>115</v>
      </c>
      <c r="N3144" s="576"/>
      <c r="O3144" s="573" t="s">
        <v>115</v>
      </c>
      <c r="P3144" s="573" t="s">
        <v>115</v>
      </c>
      <c r="Q3144" s="578"/>
      <c r="R3144" s="703" t="s">
        <v>115</v>
      </c>
      <c r="S3144" s="575"/>
      <c r="T3144" s="576"/>
      <c r="W3144" s="578"/>
      <c r="X3144" s="582" t="s">
        <v>155</v>
      </c>
    </row>
    <row r="3145" spans="6:24" ht="24" customHeight="1">
      <c r="H3145" s="582" t="s">
        <v>117</v>
      </c>
      <c r="N3145" s="576"/>
      <c r="Q3145" s="573" t="s">
        <v>115</v>
      </c>
      <c r="R3145" s="573" t="s">
        <v>115</v>
      </c>
    </row>
    <row r="3146" spans="6:24" ht="24" customHeight="1">
      <c r="F3146" s="651">
        <v>1.153E-2</v>
      </c>
      <c r="G3146" s="585" t="s">
        <v>126</v>
      </c>
      <c r="H3146" s="573" t="s">
        <v>621</v>
      </c>
      <c r="I3146" s="587">
        <f>AC26</f>
        <v>111600</v>
      </c>
      <c r="J3146" s="573" t="s">
        <v>126</v>
      </c>
      <c r="K3146" s="587">
        <f>I3146*F3146</f>
        <v>1286.748</v>
      </c>
      <c r="N3146" s="576"/>
      <c r="O3146" s="573" t="s">
        <v>2616</v>
      </c>
      <c r="P3146" s="575">
        <f>1*0.625*0.975</f>
        <v>0.609375</v>
      </c>
      <c r="Q3146" s="703" t="s">
        <v>115</v>
      </c>
      <c r="R3146" s="703" t="s">
        <v>115</v>
      </c>
    </row>
    <row r="3147" spans="6:24" ht="24" customHeight="1">
      <c r="F3147" s="652">
        <v>1.52E-2</v>
      </c>
      <c r="G3147" s="585" t="s">
        <v>126</v>
      </c>
      <c r="H3147" s="573" t="s">
        <v>622</v>
      </c>
      <c r="I3147" s="587">
        <f>AC27</f>
        <v>99400</v>
      </c>
      <c r="J3147" s="573" t="s">
        <v>126</v>
      </c>
      <c r="K3147" s="587">
        <f t="shared" ref="K3147:K3155" si="284">I3147*F3147</f>
        <v>1510.88</v>
      </c>
      <c r="N3147" s="576"/>
      <c r="O3147" s="573" t="s">
        <v>2581</v>
      </c>
      <c r="P3147" s="575">
        <f>1*0.975*1.025</f>
        <v>0.9993749999999999</v>
      </c>
      <c r="Q3147" s="578"/>
      <c r="R3147" s="703">
        <v>1.26</v>
      </c>
      <c r="U3147" s="577" t="s">
        <v>2617</v>
      </c>
    </row>
    <row r="3148" spans="6:24" ht="24" customHeight="1">
      <c r="F3148" s="652">
        <f>K3140</f>
        <v>1.26</v>
      </c>
      <c r="G3148" s="585" t="s">
        <v>140</v>
      </c>
      <c r="H3148" s="573" t="s">
        <v>623</v>
      </c>
      <c r="I3148" s="587">
        <f>C783</f>
        <v>387.4</v>
      </c>
      <c r="J3148" s="573" t="s">
        <v>140</v>
      </c>
      <c r="K3148" s="587">
        <f t="shared" si="284"/>
        <v>488.12399999999997</v>
      </c>
      <c r="N3148" s="576"/>
      <c r="P3148" s="619">
        <f>SUM(P3146:P3147)</f>
        <v>1.6087499999999999</v>
      </c>
      <c r="Q3148" s="578" t="s">
        <v>110</v>
      </c>
      <c r="R3148" s="573" t="s">
        <v>115</v>
      </c>
      <c r="S3148" s="1454" t="s">
        <v>2618</v>
      </c>
      <c r="T3148" s="1454"/>
      <c r="U3148" s="579">
        <f>2*2*0.075*0.0375*1.95</f>
        <v>2.1937499999999999E-2</v>
      </c>
    </row>
    <row r="3149" spans="6:24" ht="24" customHeight="1">
      <c r="F3149" s="652">
        <v>1.845</v>
      </c>
      <c r="G3149" s="585" t="s">
        <v>140</v>
      </c>
      <c r="H3149" s="573" t="s">
        <v>624</v>
      </c>
      <c r="I3149" s="587">
        <f>D30</f>
        <v>963</v>
      </c>
      <c r="J3149" s="573" t="s">
        <v>140</v>
      </c>
      <c r="K3149" s="587">
        <f t="shared" si="284"/>
        <v>1776.7349999999999</v>
      </c>
      <c r="N3149" s="576"/>
      <c r="Q3149" s="578"/>
      <c r="R3149" s="703" t="s">
        <v>115</v>
      </c>
      <c r="S3149" s="991" t="s">
        <v>2619</v>
      </c>
      <c r="T3149" s="576"/>
      <c r="U3149" s="941">
        <f>2*2*0.065*0.075*0.375</f>
        <v>7.3124999999999996E-3</v>
      </c>
    </row>
    <row r="3150" spans="6:24" ht="24" customHeight="1">
      <c r="F3150" s="587">
        <v>2</v>
      </c>
      <c r="G3150" s="585" t="s">
        <v>209</v>
      </c>
      <c r="H3150" s="573" t="s">
        <v>625</v>
      </c>
      <c r="I3150" s="587">
        <f>C284</f>
        <v>57.2</v>
      </c>
      <c r="J3150" s="573" t="s">
        <v>209</v>
      </c>
      <c r="K3150" s="587">
        <f t="shared" si="284"/>
        <v>114.4</v>
      </c>
      <c r="N3150" s="576"/>
      <c r="Q3150" s="578"/>
      <c r="R3150" s="573" t="s">
        <v>115</v>
      </c>
      <c r="S3150" s="991"/>
      <c r="T3150" s="576"/>
      <c r="U3150" s="879">
        <f>SUM(U3148:U3149)</f>
        <v>2.9249999999999998E-2</v>
      </c>
      <c r="V3150" s="575" t="s">
        <v>2620</v>
      </c>
    </row>
    <row r="3151" spans="6:24" ht="24" customHeight="1">
      <c r="F3151" s="587">
        <v>3</v>
      </c>
      <c r="G3151" s="585" t="s">
        <v>209</v>
      </c>
      <c r="H3151" s="573" t="s">
        <v>1506</v>
      </c>
      <c r="I3151" s="587">
        <f>C279</f>
        <v>79.099999999999994</v>
      </c>
      <c r="J3151" s="573" t="s">
        <v>209</v>
      </c>
      <c r="K3151" s="587">
        <f t="shared" si="284"/>
        <v>237.29999999999998</v>
      </c>
      <c r="M3151" s="574" t="s">
        <v>1504</v>
      </c>
      <c r="N3151" s="585"/>
      <c r="O3151" s="573" t="s">
        <v>2621</v>
      </c>
      <c r="Q3151" s="578"/>
      <c r="R3151" s="573" t="s">
        <v>115</v>
      </c>
      <c r="S3151" s="991" t="s">
        <v>2622</v>
      </c>
      <c r="T3151" s="576"/>
      <c r="U3151" s="579">
        <f>2*0.65*1.95</f>
        <v>2.5350000000000001</v>
      </c>
      <c r="V3151" s="575" t="s">
        <v>656</v>
      </c>
    </row>
    <row r="3152" spans="6:24" ht="24" customHeight="1">
      <c r="F3152" s="587">
        <v>1</v>
      </c>
      <c r="G3152" s="585" t="s">
        <v>209</v>
      </c>
      <c r="H3152" s="573" t="s">
        <v>627</v>
      </c>
      <c r="I3152" s="587">
        <f>C286</f>
        <v>159.69999999999999</v>
      </c>
      <c r="J3152" s="573" t="s">
        <v>209</v>
      </c>
      <c r="K3152" s="587">
        <f t="shared" si="284"/>
        <v>159.69999999999999</v>
      </c>
      <c r="N3152" s="576"/>
      <c r="O3152" s="582" t="s">
        <v>117</v>
      </c>
      <c r="Q3152" s="578"/>
      <c r="S3152" s="991" t="s">
        <v>2623</v>
      </c>
      <c r="T3152" s="576"/>
      <c r="U3152" s="579">
        <f>1*2*0.525*1.825</f>
        <v>1.91625</v>
      </c>
      <c r="V3152" s="575" t="s">
        <v>2624</v>
      </c>
    </row>
    <row r="3153" spans="6:24" ht="24" customHeight="1">
      <c r="F3153" s="587">
        <v>1</v>
      </c>
      <c r="G3153" s="585" t="s">
        <v>209</v>
      </c>
      <c r="H3153" s="573" t="s">
        <v>628</v>
      </c>
      <c r="I3153" s="587">
        <f>C288</f>
        <v>7.3</v>
      </c>
      <c r="J3153" s="573" t="s">
        <v>209</v>
      </c>
      <c r="K3153" s="587">
        <f t="shared" si="284"/>
        <v>7.3</v>
      </c>
      <c r="M3153" s="651">
        <f>P3141</f>
        <v>1.1531249999999998E-2</v>
      </c>
      <c r="N3153" s="585" t="s">
        <v>126</v>
      </c>
      <c r="O3153" s="573" t="s">
        <v>621</v>
      </c>
      <c r="P3153" s="587">
        <f>I3146</f>
        <v>111600</v>
      </c>
      <c r="Q3153" s="573" t="s">
        <v>126</v>
      </c>
      <c r="R3153" s="587">
        <f>P3153*M3153</f>
        <v>1286.8874999999998</v>
      </c>
      <c r="S3153" s="991" t="s">
        <v>2625</v>
      </c>
      <c r="T3153" s="576"/>
      <c r="U3153" s="579">
        <f>2*2*(0.525+1.825)</f>
        <v>9.4</v>
      </c>
      <c r="V3153" s="575" t="s">
        <v>2626</v>
      </c>
    </row>
    <row r="3154" spans="6:24" ht="24" customHeight="1">
      <c r="F3154" s="587">
        <v>1</v>
      </c>
      <c r="G3154" s="585" t="s">
        <v>209</v>
      </c>
      <c r="H3154" s="573" t="s">
        <v>1538</v>
      </c>
      <c r="I3154" s="587">
        <f>C598</f>
        <v>50.9</v>
      </c>
      <c r="J3154" s="573" t="s">
        <v>209</v>
      </c>
      <c r="K3154" s="587">
        <f t="shared" si="284"/>
        <v>50.9</v>
      </c>
      <c r="M3154" s="651">
        <f>P3143</f>
        <v>1.8562499999999999E-2</v>
      </c>
      <c r="N3154" s="585" t="s">
        <v>126</v>
      </c>
      <c r="O3154" s="573" t="s">
        <v>622</v>
      </c>
      <c r="P3154" s="587">
        <f t="shared" ref="P3154:P3162" si="285">I3147</f>
        <v>99400</v>
      </c>
      <c r="Q3154" s="573" t="s">
        <v>126</v>
      </c>
      <c r="R3154" s="587">
        <f t="shared" ref="R3154:R3163" si="286">P3154*M3154</f>
        <v>1845.1125</v>
      </c>
      <c r="S3154" s="574"/>
      <c r="T3154" s="585"/>
      <c r="W3154" s="578"/>
      <c r="X3154" s="573" t="s">
        <v>115</v>
      </c>
    </row>
    <row r="3155" spans="6:24" ht="24" customHeight="1">
      <c r="F3155" s="587">
        <v>1</v>
      </c>
      <c r="G3155" s="585" t="s">
        <v>209</v>
      </c>
      <c r="H3155" s="573" t="s">
        <v>630</v>
      </c>
      <c r="I3155" s="587">
        <f>D598</f>
        <v>43.8</v>
      </c>
      <c r="J3155" s="573" t="s">
        <v>209</v>
      </c>
      <c r="K3155" s="587">
        <f t="shared" si="284"/>
        <v>43.8</v>
      </c>
      <c r="M3155" s="652">
        <f>P3148</f>
        <v>1.6087499999999999</v>
      </c>
      <c r="N3155" s="585" t="s">
        <v>140</v>
      </c>
      <c r="O3155" s="573" t="s">
        <v>623</v>
      </c>
      <c r="P3155" s="587">
        <f t="shared" si="285"/>
        <v>387.4</v>
      </c>
      <c r="Q3155" s="573" t="s">
        <v>140</v>
      </c>
      <c r="R3155" s="587">
        <f t="shared" si="286"/>
        <v>623.22974999999997</v>
      </c>
      <c r="S3155" s="575"/>
      <c r="T3155" s="576"/>
      <c r="U3155" s="582" t="s">
        <v>117</v>
      </c>
      <c r="W3155" s="578"/>
    </row>
    <row r="3156" spans="6:24" ht="24" customHeight="1">
      <c r="H3156" s="907" t="s">
        <v>2604</v>
      </c>
      <c r="K3156" s="685">
        <f>10*2.18</f>
        <v>21.8</v>
      </c>
      <c r="M3156" s="652">
        <f>P3140</f>
        <v>2.2549999999999999</v>
      </c>
      <c r="N3156" s="585" t="s">
        <v>140</v>
      </c>
      <c r="O3156" s="573" t="s">
        <v>624</v>
      </c>
      <c r="P3156" s="587">
        <f t="shared" si="285"/>
        <v>963</v>
      </c>
      <c r="Q3156" s="573" t="s">
        <v>140</v>
      </c>
      <c r="R3156" s="587">
        <f t="shared" si="286"/>
        <v>2171.5650000000001</v>
      </c>
      <c r="S3156" s="651">
        <v>9.2099999999999994E-3</v>
      </c>
      <c r="T3156" s="585" t="s">
        <v>126</v>
      </c>
      <c r="U3156" s="573" t="s">
        <v>2591</v>
      </c>
      <c r="V3156" s="587">
        <f>V3131</f>
        <v>99400</v>
      </c>
      <c r="W3156" s="573" t="s">
        <v>126</v>
      </c>
      <c r="X3156" s="587">
        <f>V3156*S3156</f>
        <v>915.47399999999993</v>
      </c>
    </row>
    <row r="3157" spans="6:24" ht="24" customHeight="1">
      <c r="H3157" s="574" t="s">
        <v>2627</v>
      </c>
      <c r="K3157" s="587">
        <f>SUM(K3146:K3156)</f>
        <v>5697.6869999999999</v>
      </c>
      <c r="M3157" s="587">
        <v>2</v>
      </c>
      <c r="N3157" s="585" t="s">
        <v>209</v>
      </c>
      <c r="O3157" s="573" t="s">
        <v>625</v>
      </c>
      <c r="P3157" s="587">
        <f t="shared" si="285"/>
        <v>57.2</v>
      </c>
      <c r="Q3157" s="573" t="s">
        <v>209</v>
      </c>
      <c r="R3157" s="587">
        <f t="shared" si="286"/>
        <v>114.4</v>
      </c>
      <c r="S3157" s="651">
        <v>0.65249999999999997</v>
      </c>
      <c r="T3157" s="585" t="s">
        <v>140</v>
      </c>
      <c r="U3157" s="573" t="s">
        <v>2592</v>
      </c>
      <c r="V3157" s="587">
        <f>V3132</f>
        <v>208.8</v>
      </c>
      <c r="W3157" s="573" t="s">
        <v>126</v>
      </c>
      <c r="X3157" s="587">
        <f t="shared" ref="X3157:X3164" si="287">V3157*S3157</f>
        <v>136.24199999999999</v>
      </c>
    </row>
    <row r="3158" spans="6:24" ht="24" customHeight="1">
      <c r="G3158" s="585" t="s">
        <v>115</v>
      </c>
      <c r="K3158" s="582" t="s">
        <v>117</v>
      </c>
      <c r="M3158" s="587">
        <v>3</v>
      </c>
      <c r="N3158" s="585" t="s">
        <v>209</v>
      </c>
      <c r="O3158" s="573" t="s">
        <v>1506</v>
      </c>
      <c r="P3158" s="587">
        <f t="shared" si="285"/>
        <v>79.099999999999994</v>
      </c>
      <c r="Q3158" s="573" t="s">
        <v>209</v>
      </c>
      <c r="R3158" s="587">
        <f t="shared" si="286"/>
        <v>237.29999999999998</v>
      </c>
      <c r="S3158" s="652">
        <v>0.879</v>
      </c>
      <c r="T3158" s="585" t="s">
        <v>140</v>
      </c>
      <c r="U3158" s="573" t="s">
        <v>624</v>
      </c>
      <c r="V3158" s="587">
        <f t="shared" ref="V3158:V3163" si="288">V3133</f>
        <v>1078</v>
      </c>
      <c r="W3158" s="573" t="s">
        <v>140</v>
      </c>
      <c r="X3158" s="587">
        <f t="shared" si="287"/>
        <v>947.56200000000001</v>
      </c>
    </row>
    <row r="3159" spans="6:24" ht="24" customHeight="1">
      <c r="H3159" s="589" t="s">
        <v>154</v>
      </c>
      <c r="K3159" s="586">
        <f>K3157/F3149</f>
        <v>3088.1772357723576</v>
      </c>
      <c r="M3159" s="587">
        <v>1</v>
      </c>
      <c r="N3159" s="585" t="s">
        <v>209</v>
      </c>
      <c r="O3159" s="573" t="s">
        <v>627</v>
      </c>
      <c r="P3159" s="587">
        <f t="shared" si="285"/>
        <v>159.69999999999999</v>
      </c>
      <c r="Q3159" s="573" t="s">
        <v>209</v>
      </c>
      <c r="R3159" s="587">
        <f t="shared" si="286"/>
        <v>159.69999999999999</v>
      </c>
      <c r="S3159" s="652">
        <v>4.3250000000000002</v>
      </c>
      <c r="T3159" s="585" t="s">
        <v>2593</v>
      </c>
      <c r="U3159" s="573" t="s">
        <v>2594</v>
      </c>
      <c r="V3159" s="587">
        <f t="shared" si="288"/>
        <v>45.7</v>
      </c>
      <c r="W3159" s="573" t="s">
        <v>140</v>
      </c>
      <c r="X3159" s="587">
        <f t="shared" si="287"/>
        <v>197.65250000000003</v>
      </c>
    </row>
    <row r="3160" spans="6:24" ht="24" customHeight="1">
      <c r="K3160" s="582" t="s">
        <v>155</v>
      </c>
      <c r="M3160" s="587">
        <v>1</v>
      </c>
      <c r="N3160" s="585" t="s">
        <v>209</v>
      </c>
      <c r="O3160" s="573" t="s">
        <v>628</v>
      </c>
      <c r="P3160" s="587">
        <f t="shared" si="285"/>
        <v>7.3</v>
      </c>
      <c r="Q3160" s="573" t="s">
        <v>209</v>
      </c>
      <c r="R3160" s="587">
        <f t="shared" si="286"/>
        <v>7.3</v>
      </c>
      <c r="S3160" s="587">
        <v>3</v>
      </c>
      <c r="T3160" s="585" t="s">
        <v>209</v>
      </c>
      <c r="U3160" s="573" t="s">
        <v>1506</v>
      </c>
      <c r="V3160" s="587">
        <f t="shared" si="288"/>
        <v>79.099999999999994</v>
      </c>
      <c r="W3160" s="573" t="s">
        <v>209</v>
      </c>
      <c r="X3160" s="587">
        <f t="shared" si="287"/>
        <v>237.29999999999998</v>
      </c>
    </row>
    <row r="3161" spans="6:24" ht="24" customHeight="1">
      <c r="M3161" s="587">
        <v>1</v>
      </c>
      <c r="N3161" s="585" t="s">
        <v>209</v>
      </c>
      <c r="O3161" s="573" t="s">
        <v>1538</v>
      </c>
      <c r="P3161" s="587">
        <f t="shared" si="285"/>
        <v>50.9</v>
      </c>
      <c r="Q3161" s="573" t="s">
        <v>209</v>
      </c>
      <c r="R3161" s="587">
        <f t="shared" si="286"/>
        <v>50.9</v>
      </c>
      <c r="S3161" s="587">
        <v>2</v>
      </c>
      <c r="T3161" s="585" t="s">
        <v>209</v>
      </c>
      <c r="U3161" s="573" t="s">
        <v>2599</v>
      </c>
      <c r="V3161" s="587">
        <f t="shared" si="288"/>
        <v>68.5</v>
      </c>
      <c r="W3161" s="573" t="s">
        <v>209</v>
      </c>
      <c r="X3161" s="587">
        <f t="shared" si="287"/>
        <v>137</v>
      </c>
    </row>
    <row r="3162" spans="6:24" ht="24" customHeight="1">
      <c r="M3162" s="587">
        <v>1</v>
      </c>
      <c r="N3162" s="585" t="s">
        <v>209</v>
      </c>
      <c r="O3162" s="573" t="s">
        <v>630</v>
      </c>
      <c r="P3162" s="587">
        <f t="shared" si="285"/>
        <v>43.8</v>
      </c>
      <c r="Q3162" s="573" t="s">
        <v>209</v>
      </c>
      <c r="R3162" s="587">
        <f t="shared" si="286"/>
        <v>43.8</v>
      </c>
      <c r="S3162" s="587">
        <v>1</v>
      </c>
      <c r="T3162" s="585" t="s">
        <v>209</v>
      </c>
      <c r="U3162" s="573" t="s">
        <v>2602</v>
      </c>
      <c r="V3162" s="587">
        <f t="shared" si="288"/>
        <v>50.9</v>
      </c>
      <c r="W3162" s="573" t="s">
        <v>209</v>
      </c>
      <c r="X3162" s="587">
        <f t="shared" si="287"/>
        <v>50.9</v>
      </c>
    </row>
    <row r="3163" spans="6:24" ht="24" customHeight="1">
      <c r="M3163" s="587">
        <v>58</v>
      </c>
      <c r="N3163" s="576"/>
      <c r="O3163" s="907" t="s">
        <v>2604</v>
      </c>
      <c r="P3163" s="575">
        <f>P2864</f>
        <v>2.37</v>
      </c>
      <c r="Q3163" s="578"/>
      <c r="R3163" s="587">
        <f t="shared" si="286"/>
        <v>137.46</v>
      </c>
      <c r="S3163" s="587">
        <v>1</v>
      </c>
      <c r="T3163" s="585" t="s">
        <v>209</v>
      </c>
      <c r="U3163" s="573" t="s">
        <v>628</v>
      </c>
      <c r="V3163" s="587">
        <f t="shared" si="288"/>
        <v>7.3</v>
      </c>
      <c r="W3163" s="573" t="s">
        <v>209</v>
      </c>
      <c r="X3163" s="587">
        <f t="shared" si="287"/>
        <v>7.3</v>
      </c>
    </row>
    <row r="3164" spans="6:24" ht="24" customHeight="1">
      <c r="N3164" s="576"/>
      <c r="O3164" s="574" t="s">
        <v>2500</v>
      </c>
      <c r="Q3164" s="578"/>
      <c r="R3164" s="587">
        <f>SUM(R3153:R3163)</f>
        <v>6677.6547499999997</v>
      </c>
      <c r="S3164" s="587">
        <v>36</v>
      </c>
      <c r="T3164" s="585" t="s">
        <v>209</v>
      </c>
      <c r="U3164" s="573" t="s">
        <v>2604</v>
      </c>
      <c r="V3164" s="587">
        <f>V3139</f>
        <v>2.37</v>
      </c>
      <c r="W3164" s="573" t="s">
        <v>209</v>
      </c>
      <c r="X3164" s="587">
        <f t="shared" si="287"/>
        <v>85.320000000000007</v>
      </c>
    </row>
    <row r="3165" spans="6:24" ht="24" customHeight="1">
      <c r="N3165" s="585" t="s">
        <v>115</v>
      </c>
      <c r="Q3165" s="578"/>
      <c r="R3165" s="582" t="s">
        <v>117</v>
      </c>
      <c r="S3165" s="587"/>
      <c r="T3165" s="585"/>
      <c r="U3165" s="573"/>
      <c r="V3165" s="587"/>
      <c r="W3165" s="573" t="s">
        <v>209</v>
      </c>
      <c r="X3165" s="582" t="s">
        <v>117</v>
      </c>
    </row>
    <row r="3166" spans="6:24" ht="24" customHeight="1">
      <c r="H3166" s="575" t="s">
        <v>2628</v>
      </c>
      <c r="J3166" s="575"/>
      <c r="N3166" s="576"/>
      <c r="O3166" s="589" t="s">
        <v>154</v>
      </c>
      <c r="Q3166" s="578"/>
      <c r="R3166" s="586">
        <f>R3164/M3156</f>
        <v>2961.2659645232816</v>
      </c>
      <c r="S3166" s="587"/>
      <c r="T3166" s="576"/>
      <c r="U3166" s="589" t="s">
        <v>2629</v>
      </c>
      <c r="W3166" s="578"/>
      <c r="X3166" s="587">
        <f>SUM(X3156:X3164)</f>
        <v>2714.7505000000006</v>
      </c>
    </row>
    <row r="3167" spans="6:24" ht="24" customHeight="1">
      <c r="J3167" s="575"/>
      <c r="N3167" s="576"/>
      <c r="Q3167" s="578"/>
      <c r="R3167" s="582" t="s">
        <v>155</v>
      </c>
      <c r="S3167" s="575"/>
      <c r="T3167" s="576"/>
      <c r="W3167" s="578"/>
      <c r="X3167" s="582" t="s">
        <v>117</v>
      </c>
    </row>
    <row r="3168" spans="6:24" ht="24" customHeight="1">
      <c r="F3168" s="575">
        <v>3.23</v>
      </c>
      <c r="G3168" s="576" t="s">
        <v>654</v>
      </c>
      <c r="H3168" s="575" t="s">
        <v>2630</v>
      </c>
      <c r="I3168" s="575">
        <f>I1505</f>
        <v>48.95</v>
      </c>
      <c r="J3168" s="576" t="s">
        <v>654</v>
      </c>
      <c r="K3168" s="575">
        <f>I3168*F3168</f>
        <v>158.10850000000002</v>
      </c>
      <c r="S3168" s="575"/>
      <c r="T3168" s="585" t="s">
        <v>115</v>
      </c>
      <c r="U3168" s="589" t="s">
        <v>154</v>
      </c>
      <c r="W3168" s="578"/>
      <c r="X3168" s="586">
        <f>X3166/S3158</f>
        <v>3088.4533560864625</v>
      </c>
    </row>
    <row r="3169" spans="6:24" ht="24" customHeight="1">
      <c r="F3169" s="575">
        <v>0.5</v>
      </c>
      <c r="G3169" s="576" t="s">
        <v>188</v>
      </c>
      <c r="H3169" s="575" t="s">
        <v>2631</v>
      </c>
      <c r="I3169" s="575">
        <f>I1506</f>
        <v>615</v>
      </c>
      <c r="J3169" s="576" t="s">
        <v>188</v>
      </c>
      <c r="K3169" s="575">
        <f>I3169*F3169</f>
        <v>307.5</v>
      </c>
      <c r="S3169" s="575"/>
      <c r="T3169" s="576"/>
      <c r="W3169" s="578"/>
      <c r="X3169" s="582" t="s">
        <v>155</v>
      </c>
    </row>
    <row r="3170" spans="6:24" ht="24" customHeight="1">
      <c r="F3170" s="575">
        <v>0.5</v>
      </c>
      <c r="G3170" s="576" t="s">
        <v>188</v>
      </c>
      <c r="H3170" s="573" t="s">
        <v>146</v>
      </c>
      <c r="I3170" s="575">
        <f>I1507</f>
        <v>502</v>
      </c>
      <c r="J3170" s="576" t="s">
        <v>188</v>
      </c>
      <c r="K3170" s="575">
        <f>I3170*F3170</f>
        <v>251</v>
      </c>
      <c r="M3170" s="761"/>
      <c r="N3170" s="914" t="s">
        <v>122</v>
      </c>
      <c r="O3170" s="760" t="s">
        <v>2632</v>
      </c>
      <c r="P3170" s="907"/>
      <c r="Q3170" s="910"/>
      <c r="R3170" s="907"/>
    </row>
    <row r="3171" spans="6:24" ht="24" customHeight="1">
      <c r="F3171" s="575">
        <v>0.8</v>
      </c>
      <c r="G3171" s="576" t="s">
        <v>188</v>
      </c>
      <c r="H3171" s="573" t="s">
        <v>147</v>
      </c>
      <c r="I3171" s="575">
        <f>I1508</f>
        <v>412</v>
      </c>
      <c r="J3171" s="576" t="s">
        <v>188</v>
      </c>
      <c r="K3171" s="575">
        <f>I3171*F3171</f>
        <v>329.6</v>
      </c>
      <c r="M3171" s="907"/>
      <c r="N3171" s="908"/>
      <c r="O3171" s="760" t="s">
        <v>1467</v>
      </c>
      <c r="P3171" s="907"/>
      <c r="Q3171" s="910"/>
      <c r="R3171" s="907"/>
    </row>
    <row r="3172" spans="6:24" ht="24" customHeight="1">
      <c r="F3172" s="575">
        <v>10</v>
      </c>
      <c r="G3172" s="576" t="s">
        <v>174</v>
      </c>
      <c r="H3172" s="573" t="s">
        <v>3109</v>
      </c>
      <c r="I3172" s="575">
        <f>C460</f>
        <v>3.2</v>
      </c>
      <c r="J3172" s="576" t="s">
        <v>174</v>
      </c>
      <c r="K3172" s="575">
        <f>I3172*F3172</f>
        <v>32</v>
      </c>
      <c r="M3172" s="907"/>
      <c r="N3172" s="908"/>
      <c r="O3172" s="992" t="s">
        <v>2633</v>
      </c>
      <c r="P3172" s="907"/>
      <c r="Q3172" s="910"/>
      <c r="R3172" s="907"/>
    </row>
    <row r="3173" spans="6:24" ht="24" customHeight="1">
      <c r="H3173" s="573" t="s">
        <v>167</v>
      </c>
      <c r="I3173" s="661" t="s">
        <v>166</v>
      </c>
      <c r="J3173" s="580"/>
      <c r="K3173" s="575">
        <v>1.75</v>
      </c>
      <c r="M3173" s="907"/>
      <c r="N3173" s="908"/>
      <c r="O3173" s="915" t="s">
        <v>117</v>
      </c>
      <c r="P3173" s="907"/>
      <c r="Q3173" s="910"/>
      <c r="R3173" s="907"/>
    </row>
    <row r="3174" spans="6:24" ht="24" customHeight="1">
      <c r="J3174" s="580"/>
      <c r="K3174" s="575">
        <f>SUM(K3168:K3173)</f>
        <v>1079.9585000000002</v>
      </c>
      <c r="M3174" s="907"/>
      <c r="N3174" s="908"/>
      <c r="O3174" s="760" t="s">
        <v>2634</v>
      </c>
      <c r="P3174" s="911" t="s">
        <v>155</v>
      </c>
      <c r="Q3174" s="993">
        <v>3.1219999999999999</v>
      </c>
      <c r="R3174" s="907" t="s">
        <v>174</v>
      </c>
    </row>
    <row r="3175" spans="6:24" ht="24" customHeight="1">
      <c r="J3175" s="580"/>
      <c r="K3175" s="575">
        <f>K3174/10</f>
        <v>107.99585000000002</v>
      </c>
      <c r="M3175" s="907"/>
      <c r="N3175" s="908"/>
      <c r="O3175" s="760"/>
      <c r="P3175" s="911"/>
      <c r="Q3175" s="993"/>
      <c r="R3175" s="907"/>
    </row>
    <row r="3176" spans="6:24" ht="24" customHeight="1">
      <c r="G3176" s="575"/>
      <c r="J3176" s="575"/>
      <c r="L3176" s="575">
        <f>K3210</f>
        <v>311.61900000000003</v>
      </c>
      <c r="M3176" s="907"/>
      <c r="N3176" s="908"/>
      <c r="O3176" s="760" t="s">
        <v>2635</v>
      </c>
      <c r="P3176" s="911" t="s">
        <v>155</v>
      </c>
      <c r="Q3176" s="994">
        <v>5.1999999999999998E-2</v>
      </c>
      <c r="R3176" s="907" t="s">
        <v>429</v>
      </c>
    </row>
    <row r="3177" spans="6:24" ht="24" customHeight="1">
      <c r="G3177" s="575"/>
      <c r="J3177" s="575"/>
      <c r="L3177" s="575">
        <f>K3211</f>
        <v>430.5</v>
      </c>
      <c r="M3177" s="907"/>
      <c r="N3177" s="908"/>
      <c r="O3177" s="760" t="s">
        <v>2636</v>
      </c>
      <c r="Q3177" s="995"/>
      <c r="R3177" s="907"/>
    </row>
    <row r="3178" spans="6:24" ht="24" customHeight="1">
      <c r="G3178" s="575"/>
      <c r="J3178" s="575"/>
      <c r="M3178" s="907"/>
      <c r="N3178" s="908"/>
      <c r="O3178" s="760" t="s">
        <v>2637</v>
      </c>
      <c r="P3178" s="911" t="s">
        <v>155</v>
      </c>
      <c r="Q3178" s="996">
        <v>2.2780000000000002E-2</v>
      </c>
      <c r="R3178" s="907"/>
    </row>
    <row r="3179" spans="6:24" ht="24" customHeight="1">
      <c r="H3179" s="575" t="s">
        <v>2638</v>
      </c>
      <c r="J3179" s="575"/>
      <c r="L3179" s="575">
        <v>1.5</v>
      </c>
      <c r="M3179" s="907"/>
      <c r="N3179" s="908"/>
      <c r="O3179" s="760" t="s">
        <v>2639</v>
      </c>
      <c r="P3179" s="911" t="s">
        <v>155</v>
      </c>
      <c r="Q3179" s="996">
        <v>1.013E-2</v>
      </c>
      <c r="R3179" s="939"/>
    </row>
    <row r="3180" spans="6:24" ht="24" customHeight="1">
      <c r="J3180" s="575"/>
      <c r="L3180" s="575">
        <f>SUM(L3176:L3179)</f>
        <v>743.61900000000003</v>
      </c>
      <c r="M3180" s="907"/>
      <c r="N3180" s="908"/>
      <c r="O3180" s="907"/>
      <c r="P3180" s="907"/>
      <c r="Q3180" s="915" t="s">
        <v>117</v>
      </c>
    </row>
    <row r="3181" spans="6:24" ht="24" customHeight="1">
      <c r="F3181" s="575">
        <v>1.8</v>
      </c>
      <c r="G3181" s="576" t="s">
        <v>654</v>
      </c>
      <c r="H3181" s="575" t="s">
        <v>2630</v>
      </c>
      <c r="I3181" s="575">
        <f>I3168</f>
        <v>48.95</v>
      </c>
      <c r="J3181" s="576" t="s">
        <v>654</v>
      </c>
      <c r="K3181" s="575">
        <f>I3181*F3181</f>
        <v>88.110000000000014</v>
      </c>
      <c r="M3181" s="907"/>
      <c r="N3181" s="908"/>
      <c r="O3181" s="907"/>
      <c r="P3181" s="907"/>
      <c r="Q3181" s="997">
        <v>3.2910000000000002E-2</v>
      </c>
      <c r="R3181" s="575" t="s">
        <v>429</v>
      </c>
    </row>
    <row r="3182" spans="6:24" ht="24" customHeight="1">
      <c r="F3182" s="575">
        <v>0.25</v>
      </c>
      <c r="G3182" s="576" t="s">
        <v>188</v>
      </c>
      <c r="H3182" s="575" t="s">
        <v>2631</v>
      </c>
      <c r="I3182" s="575">
        <f>I3169</f>
        <v>615</v>
      </c>
      <c r="J3182" s="576" t="s">
        <v>188</v>
      </c>
      <c r="K3182" s="575">
        <f>I3182*F3182</f>
        <v>153.75</v>
      </c>
      <c r="L3182" s="575">
        <f>L3180/10</f>
        <v>74.361900000000006</v>
      </c>
      <c r="M3182" s="907"/>
      <c r="N3182" s="908"/>
      <c r="O3182" s="907"/>
      <c r="P3182" s="907"/>
      <c r="Q3182" s="915" t="s">
        <v>117</v>
      </c>
    </row>
    <row r="3183" spans="6:24" ht="24" customHeight="1">
      <c r="F3183" s="575">
        <v>0.25</v>
      </c>
      <c r="G3183" s="576" t="s">
        <v>188</v>
      </c>
      <c r="H3183" s="573" t="s">
        <v>146</v>
      </c>
      <c r="I3183" s="575">
        <f>I3170</f>
        <v>502</v>
      </c>
      <c r="J3183" s="576" t="s">
        <v>188</v>
      </c>
      <c r="K3183" s="575">
        <f>I3183*F3183</f>
        <v>125.5</v>
      </c>
      <c r="M3183" s="907"/>
      <c r="N3183" s="908"/>
      <c r="O3183" s="760" t="s">
        <v>2640</v>
      </c>
      <c r="P3183" s="907"/>
      <c r="Q3183" s="998">
        <v>1.7600000000000001E-2</v>
      </c>
      <c r="R3183" s="939"/>
    </row>
    <row r="3184" spans="6:24" ht="24" customHeight="1">
      <c r="F3184" s="575">
        <v>0.4</v>
      </c>
      <c r="G3184" s="576" t="s">
        <v>188</v>
      </c>
      <c r="H3184" s="573" t="s">
        <v>147</v>
      </c>
      <c r="I3184" s="575">
        <f>I3171</f>
        <v>412</v>
      </c>
      <c r="J3184" s="576" t="s">
        <v>188</v>
      </c>
      <c r="K3184" s="575">
        <f>I3184*F3184</f>
        <v>164.8</v>
      </c>
      <c r="M3184" s="907"/>
      <c r="N3184" s="908"/>
      <c r="O3184" s="760" t="s">
        <v>2641</v>
      </c>
      <c r="P3184" s="907"/>
      <c r="Q3184" s="999">
        <v>8.3999999999999995E-3</v>
      </c>
      <c r="R3184" s="939"/>
    </row>
    <row r="3185" spans="6:20" ht="24" customHeight="1">
      <c r="F3185" s="575">
        <v>10</v>
      </c>
      <c r="G3185" s="576" t="s">
        <v>174</v>
      </c>
      <c r="H3185" s="573" t="s">
        <v>192</v>
      </c>
      <c r="I3185" s="575">
        <f>I3172</f>
        <v>3.2</v>
      </c>
      <c r="J3185" s="576" t="s">
        <v>174</v>
      </c>
      <c r="K3185" s="575">
        <f>I3185*F3185</f>
        <v>32</v>
      </c>
      <c r="M3185" s="907"/>
      <c r="N3185" s="908"/>
      <c r="O3185" s="760"/>
      <c r="P3185" s="907"/>
      <c r="Q3185" s="915" t="s">
        <v>117</v>
      </c>
      <c r="R3185" s="939"/>
    </row>
    <row r="3186" spans="6:20" ht="24" customHeight="1">
      <c r="H3186" s="573" t="s">
        <v>167</v>
      </c>
      <c r="I3186" s="661" t="s">
        <v>176</v>
      </c>
      <c r="J3186" s="580"/>
      <c r="K3186" s="575">
        <v>1.6</v>
      </c>
      <c r="M3186" s="907"/>
      <c r="N3186" s="908"/>
      <c r="O3186" s="760"/>
      <c r="P3186" s="907"/>
      <c r="Q3186" s="1000">
        <v>2.5999999999999999E-2</v>
      </c>
      <c r="R3186" s="939" t="s">
        <v>429</v>
      </c>
    </row>
    <row r="3187" spans="6:20" ht="24" customHeight="1">
      <c r="J3187" s="580"/>
      <c r="K3187" s="575">
        <f>SUM(K3181:K3186)</f>
        <v>565.7600000000001</v>
      </c>
      <c r="M3187" s="907"/>
      <c r="N3187" s="908"/>
      <c r="O3187" s="907"/>
      <c r="P3187" s="907"/>
      <c r="Q3187" s="915" t="s">
        <v>117</v>
      </c>
      <c r="R3187" s="915"/>
    </row>
    <row r="3188" spans="6:20" ht="24" customHeight="1">
      <c r="J3188" s="580"/>
      <c r="K3188" s="575">
        <f>K3187/10</f>
        <v>56.576000000000008</v>
      </c>
      <c r="M3188" s="939">
        <v>5.1999999999999998E-2</v>
      </c>
      <c r="N3188" s="914" t="s">
        <v>126</v>
      </c>
      <c r="O3188" s="760" t="s">
        <v>1483</v>
      </c>
      <c r="P3188" s="758">
        <f>AC26</f>
        <v>111600</v>
      </c>
      <c r="Q3188" s="761" t="s">
        <v>126</v>
      </c>
      <c r="R3188" s="758">
        <f>P3188*M3188</f>
        <v>5803.2</v>
      </c>
    </row>
    <row r="3189" spans="6:20" ht="24" customHeight="1">
      <c r="G3189" s="575"/>
      <c r="J3189" s="575"/>
      <c r="M3189" s="939">
        <v>3.2910000000000002E-2</v>
      </c>
      <c r="N3189" s="914" t="s">
        <v>126</v>
      </c>
      <c r="O3189" s="760" t="s">
        <v>1485</v>
      </c>
      <c r="P3189" s="758">
        <f>AC27</f>
        <v>99400</v>
      </c>
      <c r="Q3189" s="761" t="s">
        <v>126</v>
      </c>
      <c r="R3189" s="758">
        <f t="shared" ref="R3189:R3199" si="289">P3189*M3189</f>
        <v>3271.2540000000004</v>
      </c>
    </row>
    <row r="3190" spans="6:20" ht="24" customHeight="1">
      <c r="G3190" s="575"/>
      <c r="J3190" s="575"/>
      <c r="M3190" s="939">
        <v>2.5999999999999999E-2</v>
      </c>
      <c r="N3190" s="914" t="s">
        <v>126</v>
      </c>
      <c r="O3190" s="760" t="s">
        <v>2642</v>
      </c>
      <c r="P3190" s="758">
        <v>101921.4</v>
      </c>
      <c r="Q3190" s="761" t="s">
        <v>126</v>
      </c>
      <c r="R3190" s="758">
        <f t="shared" si="289"/>
        <v>2649.9563999999996</v>
      </c>
    </row>
    <row r="3191" spans="6:20" ht="24" customHeight="1">
      <c r="G3191" s="575"/>
      <c r="J3191" s="575"/>
      <c r="L3191" s="575">
        <f>K3225</f>
        <v>520.14600000000007</v>
      </c>
      <c r="M3191" s="955"/>
      <c r="N3191" s="908"/>
      <c r="O3191" s="760" t="s">
        <v>2643</v>
      </c>
      <c r="P3191" s="758"/>
      <c r="Q3191" s="910"/>
      <c r="R3191" s="758">
        <f t="shared" si="289"/>
        <v>0</v>
      </c>
    </row>
    <row r="3192" spans="6:20" ht="24" customHeight="1">
      <c r="H3192" s="575" t="s">
        <v>183</v>
      </c>
      <c r="J3192" s="575"/>
      <c r="L3192" s="575">
        <f>K3226</f>
        <v>738</v>
      </c>
      <c r="M3192" s="955">
        <v>3.1219999999999999</v>
      </c>
      <c r="N3192" s="914" t="s">
        <v>140</v>
      </c>
      <c r="O3192" s="760" t="s">
        <v>1480</v>
      </c>
      <c r="P3192" s="758">
        <f>I954</f>
        <v>1155</v>
      </c>
      <c r="Q3192" s="761" t="s">
        <v>140</v>
      </c>
      <c r="R3192" s="758">
        <f t="shared" si="289"/>
        <v>3605.91</v>
      </c>
    </row>
    <row r="3193" spans="6:20" ht="24" customHeight="1">
      <c r="H3193" s="575" t="s">
        <v>191</v>
      </c>
      <c r="J3193" s="575"/>
      <c r="M3193" s="758">
        <v>4</v>
      </c>
      <c r="N3193" s="914" t="s">
        <v>1</v>
      </c>
      <c r="O3193" s="760" t="s">
        <v>2644</v>
      </c>
      <c r="P3193" s="758">
        <f>I2637</f>
        <v>450</v>
      </c>
      <c r="Q3193" s="761" t="s">
        <v>209</v>
      </c>
      <c r="R3193" s="758">
        <f t="shared" si="289"/>
        <v>1800</v>
      </c>
    </row>
    <row r="3194" spans="6:20" ht="24" customHeight="1">
      <c r="H3194" s="575" t="s">
        <v>185</v>
      </c>
      <c r="J3194" s="575"/>
      <c r="L3194" s="575">
        <f>K3228</f>
        <v>6.65</v>
      </c>
      <c r="M3194" s="758">
        <v>8</v>
      </c>
      <c r="N3194" s="914" t="s">
        <v>209</v>
      </c>
      <c r="O3194" s="760" t="s">
        <v>1482</v>
      </c>
      <c r="P3194" s="758">
        <f>P3158</f>
        <v>79.099999999999994</v>
      </c>
      <c r="Q3194" s="761" t="s">
        <v>209</v>
      </c>
      <c r="R3194" s="758">
        <f t="shared" si="289"/>
        <v>632.79999999999995</v>
      </c>
    </row>
    <row r="3195" spans="6:20" ht="24" customHeight="1">
      <c r="J3195" s="575"/>
      <c r="L3195" s="575">
        <f>SUM(L3191:L3194)</f>
        <v>1264.7960000000003</v>
      </c>
      <c r="M3195" s="758">
        <v>4</v>
      </c>
      <c r="N3195" s="914" t="s">
        <v>209</v>
      </c>
      <c r="O3195" s="1001" t="s">
        <v>2645</v>
      </c>
      <c r="P3195" s="1002">
        <v>86.3</v>
      </c>
      <c r="Q3195" s="761" t="s">
        <v>209</v>
      </c>
      <c r="R3195" s="758">
        <f t="shared" si="289"/>
        <v>345.2</v>
      </c>
    </row>
    <row r="3196" spans="6:20" ht="24" customHeight="1">
      <c r="F3196" s="575">
        <v>1.1100000000000001</v>
      </c>
      <c r="G3196" s="576" t="s">
        <v>186</v>
      </c>
      <c r="H3196" s="575" t="s">
        <v>187</v>
      </c>
      <c r="I3196" s="575">
        <f>I1547</f>
        <v>223.2</v>
      </c>
      <c r="J3196" s="576" t="s">
        <v>186</v>
      </c>
      <c r="K3196" s="575">
        <f>I3196*F3196</f>
        <v>247.75200000000001</v>
      </c>
      <c r="M3196" s="758">
        <v>1</v>
      </c>
      <c r="N3196" s="914" t="s">
        <v>209</v>
      </c>
      <c r="O3196" s="1001" t="s">
        <v>2646</v>
      </c>
      <c r="P3196" s="1002">
        <v>185.2</v>
      </c>
      <c r="Q3196" s="761" t="s">
        <v>209</v>
      </c>
      <c r="R3196" s="758">
        <f t="shared" si="289"/>
        <v>185.2</v>
      </c>
    </row>
    <row r="3197" spans="6:20" ht="24" customHeight="1">
      <c r="F3197" s="575">
        <v>0.7</v>
      </c>
      <c r="G3197" s="576" t="s">
        <v>188</v>
      </c>
      <c r="H3197" s="575" t="s">
        <v>181</v>
      </c>
      <c r="I3197" s="575">
        <f>I3182</f>
        <v>615</v>
      </c>
      <c r="J3197" s="576" t="s">
        <v>188</v>
      </c>
      <c r="K3197" s="575">
        <f>I3197*F3197</f>
        <v>430.5</v>
      </c>
      <c r="L3197" s="575">
        <f>L3195/10</f>
        <v>126.47960000000003</v>
      </c>
      <c r="M3197" s="758">
        <v>2</v>
      </c>
      <c r="N3197" s="914" t="s">
        <v>209</v>
      </c>
      <c r="O3197" s="1001" t="s">
        <v>2647</v>
      </c>
      <c r="P3197" s="1002">
        <v>22.7</v>
      </c>
      <c r="Q3197" s="761" t="s">
        <v>209</v>
      </c>
      <c r="R3197" s="758">
        <f t="shared" si="289"/>
        <v>45.4</v>
      </c>
    </row>
    <row r="3198" spans="6:20" ht="24" customHeight="1">
      <c r="F3198" s="575">
        <v>10</v>
      </c>
      <c r="G3198" s="576" t="s">
        <v>174</v>
      </c>
      <c r="H3198" s="869" t="s">
        <v>2648</v>
      </c>
      <c r="I3198" s="612">
        <v>6.5</v>
      </c>
      <c r="J3198" s="576" t="s">
        <v>174</v>
      </c>
      <c r="K3198" s="575">
        <f>I3198*F3198</f>
        <v>65</v>
      </c>
      <c r="M3198" s="758">
        <v>2</v>
      </c>
      <c r="N3198" s="914" t="s">
        <v>209</v>
      </c>
      <c r="O3198" s="1001" t="s">
        <v>2649</v>
      </c>
      <c r="P3198" s="1002">
        <v>43.8</v>
      </c>
      <c r="Q3198" s="761" t="s">
        <v>209</v>
      </c>
      <c r="R3198" s="758">
        <f t="shared" si="289"/>
        <v>87.6</v>
      </c>
      <c r="S3198" s="579">
        <f>0.42*3.122</f>
        <v>1.31124</v>
      </c>
      <c r="T3198" s="575">
        <f>S3198+19.79</f>
        <v>21.101240000000001</v>
      </c>
    </row>
    <row r="3199" spans="6:20" ht="24" customHeight="1">
      <c r="H3199" s="573" t="s">
        <v>167</v>
      </c>
      <c r="I3199" s="575" t="s">
        <v>166</v>
      </c>
      <c r="J3199" s="580"/>
      <c r="K3199" s="575">
        <v>1.9</v>
      </c>
      <c r="M3199" s="758">
        <v>118</v>
      </c>
      <c r="N3199" s="914" t="s">
        <v>209</v>
      </c>
      <c r="O3199" s="907" t="s">
        <v>2604</v>
      </c>
      <c r="P3199" s="907">
        <f>I961</f>
        <v>2.37</v>
      </c>
      <c r="Q3199" s="761" t="s">
        <v>209</v>
      </c>
      <c r="R3199" s="758">
        <f t="shared" si="289"/>
        <v>279.66000000000003</v>
      </c>
    </row>
    <row r="3200" spans="6:20" ht="24" customHeight="1">
      <c r="H3200" s="575" t="s">
        <v>153</v>
      </c>
      <c r="J3200" s="580"/>
      <c r="K3200" s="575">
        <f>SUM(K3196:K3199)</f>
        <v>745.15199999999993</v>
      </c>
      <c r="M3200" s="907"/>
      <c r="N3200" s="908"/>
      <c r="O3200" s="907"/>
      <c r="P3200" s="907"/>
      <c r="Q3200" s="910"/>
      <c r="R3200" s="915" t="s">
        <v>117</v>
      </c>
    </row>
    <row r="3201" spans="6:18" ht="24" customHeight="1">
      <c r="J3201" s="580"/>
      <c r="M3201" s="907"/>
      <c r="N3201" s="908"/>
      <c r="O3201" s="760" t="s">
        <v>2650</v>
      </c>
      <c r="P3201" s="907"/>
      <c r="Q3201" s="910"/>
      <c r="R3201" s="758">
        <f>SUM(R3188:R3199)</f>
        <v>18706.180399999997</v>
      </c>
    </row>
    <row r="3202" spans="6:18" ht="24" customHeight="1">
      <c r="H3202" s="575" t="s">
        <v>154</v>
      </c>
      <c r="J3202" s="580"/>
      <c r="K3202" s="575">
        <f>K3200/10</f>
        <v>74.515199999999993</v>
      </c>
      <c r="M3202" s="907"/>
      <c r="N3202" s="908"/>
      <c r="O3202" s="907"/>
      <c r="P3202" s="907"/>
      <c r="Q3202" s="910"/>
      <c r="R3202" s="915" t="s">
        <v>117</v>
      </c>
    </row>
    <row r="3203" spans="6:18" ht="24" customHeight="1">
      <c r="J3203" s="580"/>
      <c r="M3203" s="907"/>
      <c r="N3203" s="908"/>
      <c r="O3203" s="921" t="s">
        <v>154</v>
      </c>
      <c r="P3203" s="907"/>
      <c r="Q3203" s="912" t="s">
        <v>2433</v>
      </c>
      <c r="R3203" s="922">
        <f>R3201/M3192</f>
        <v>5991.7297885970529</v>
      </c>
    </row>
    <row r="3204" spans="6:18" ht="24" customHeight="1">
      <c r="J3204" s="580"/>
      <c r="M3204" s="761"/>
      <c r="N3204" s="914" t="s">
        <v>122</v>
      </c>
      <c r="O3204" s="760" t="s">
        <v>2651</v>
      </c>
      <c r="P3204" s="907"/>
      <c r="Q3204" s="910"/>
      <c r="R3204" s="907"/>
    </row>
    <row r="3205" spans="6:18" ht="24" customHeight="1">
      <c r="J3205" s="580"/>
      <c r="M3205" s="907"/>
      <c r="N3205" s="908"/>
      <c r="O3205" s="760" t="s">
        <v>1467</v>
      </c>
      <c r="P3205" s="907"/>
      <c r="Q3205" s="910"/>
      <c r="R3205" s="907"/>
    </row>
    <row r="3206" spans="6:18" ht="24" customHeight="1">
      <c r="H3206" s="575" t="s">
        <v>183</v>
      </c>
      <c r="J3206" s="580"/>
      <c r="M3206" s="907"/>
      <c r="N3206" s="908"/>
      <c r="O3206" s="992" t="s">
        <v>2633</v>
      </c>
      <c r="P3206" s="907"/>
      <c r="Q3206" s="910"/>
      <c r="R3206" s="907"/>
    </row>
    <row r="3207" spans="6:18" ht="24" customHeight="1">
      <c r="H3207" s="575" t="s">
        <v>184</v>
      </c>
      <c r="J3207" s="580"/>
      <c r="L3207" s="575">
        <f>K3241</f>
        <v>421.84799999999996</v>
      </c>
      <c r="M3207" s="907"/>
      <c r="N3207" s="908"/>
      <c r="O3207" s="915" t="s">
        <v>117</v>
      </c>
      <c r="P3207" s="907"/>
      <c r="Q3207" s="910"/>
      <c r="R3207" s="907"/>
    </row>
    <row r="3208" spans="6:18" ht="24" customHeight="1">
      <c r="H3208" s="575" t="s">
        <v>185</v>
      </c>
      <c r="J3208" s="580"/>
      <c r="L3208" s="575">
        <f>K3242</f>
        <v>676.5</v>
      </c>
      <c r="M3208" s="907"/>
      <c r="N3208" s="908"/>
      <c r="O3208" s="760" t="s">
        <v>2634</v>
      </c>
      <c r="P3208" s="911" t="s">
        <v>155</v>
      </c>
      <c r="Q3208" s="993">
        <v>3.1219999999999999</v>
      </c>
      <c r="R3208" s="960" t="s">
        <v>174</v>
      </c>
    </row>
    <row r="3209" spans="6:18" ht="24" customHeight="1">
      <c r="J3209" s="580"/>
      <c r="M3209" s="907"/>
      <c r="N3209" s="908"/>
      <c r="O3209" s="760"/>
      <c r="P3209" s="911"/>
      <c r="Q3209" s="993"/>
      <c r="R3209" s="960"/>
    </row>
    <row r="3210" spans="6:18" ht="24" customHeight="1">
      <c r="F3210" s="575">
        <v>1.33</v>
      </c>
      <c r="G3210" s="576" t="s">
        <v>186</v>
      </c>
      <c r="H3210" s="575" t="s">
        <v>187</v>
      </c>
      <c r="I3210" s="575">
        <f>I1534</f>
        <v>234.3</v>
      </c>
      <c r="J3210" s="576" t="s">
        <v>186</v>
      </c>
      <c r="K3210" s="575">
        <f>I3210*F3210</f>
        <v>311.61900000000003</v>
      </c>
      <c r="L3210" s="575">
        <f>K3244</f>
        <v>1.9</v>
      </c>
      <c r="M3210" s="907"/>
      <c r="N3210" s="908"/>
      <c r="O3210" s="760" t="s">
        <v>2635</v>
      </c>
      <c r="P3210" s="911" t="s">
        <v>155</v>
      </c>
      <c r="Q3210" s="994">
        <v>5.1999999999999998E-2</v>
      </c>
      <c r="R3210" s="960" t="s">
        <v>429</v>
      </c>
    </row>
    <row r="3211" spans="6:18" ht="24" customHeight="1">
      <c r="F3211" s="575">
        <v>0.7</v>
      </c>
      <c r="G3211" s="576" t="s">
        <v>188</v>
      </c>
      <c r="H3211" s="575" t="s">
        <v>181</v>
      </c>
      <c r="I3211" s="575">
        <f>I3197</f>
        <v>615</v>
      </c>
      <c r="J3211" s="576" t="s">
        <v>188</v>
      </c>
      <c r="K3211" s="575">
        <f>I3211*F3211</f>
        <v>430.5</v>
      </c>
      <c r="L3211" s="575">
        <f>SUM(L3207:L3210)</f>
        <v>1100.248</v>
      </c>
      <c r="M3211" s="907"/>
      <c r="N3211" s="908"/>
      <c r="O3211" s="760" t="s">
        <v>2636</v>
      </c>
      <c r="Q3211" s="995"/>
      <c r="R3211" s="960"/>
    </row>
    <row r="3212" spans="6:18" ht="24" customHeight="1">
      <c r="F3212" s="575">
        <v>10</v>
      </c>
      <c r="G3212" s="576" t="s">
        <v>174</v>
      </c>
      <c r="H3212" s="682" t="s">
        <v>189</v>
      </c>
      <c r="I3212" s="612">
        <f>AE49</f>
        <v>7.4</v>
      </c>
      <c r="J3212" s="576" t="s">
        <v>174</v>
      </c>
      <c r="K3212" s="575">
        <f>I3212*F3212</f>
        <v>74</v>
      </c>
      <c r="M3212" s="907"/>
      <c r="N3212" s="908"/>
      <c r="O3212" s="760" t="s">
        <v>2652</v>
      </c>
      <c r="P3212" s="911" t="s">
        <v>155</v>
      </c>
      <c r="Q3212" s="996">
        <v>2.2780000000000002E-2</v>
      </c>
      <c r="R3212" s="960"/>
    </row>
    <row r="3213" spans="6:18" ht="24" customHeight="1">
      <c r="H3213" s="575" t="s">
        <v>167</v>
      </c>
      <c r="I3213" s="575" t="s">
        <v>166</v>
      </c>
      <c r="J3213" s="580"/>
      <c r="K3213" s="575">
        <v>1.5</v>
      </c>
      <c r="M3213" s="907"/>
      <c r="N3213" s="908"/>
      <c r="O3213" s="760" t="s">
        <v>2639</v>
      </c>
      <c r="P3213" s="911" t="s">
        <v>155</v>
      </c>
      <c r="Q3213" s="996">
        <v>1.013E-2</v>
      </c>
      <c r="R3213" s="961"/>
    </row>
    <row r="3214" spans="6:18" ht="24" customHeight="1">
      <c r="H3214" s="575" t="s">
        <v>153</v>
      </c>
      <c r="J3214" s="580"/>
      <c r="K3214" s="575">
        <f>SUM(K3210:K3213)</f>
        <v>817.61900000000003</v>
      </c>
      <c r="M3214" s="907"/>
      <c r="N3214" s="908"/>
      <c r="O3214" s="907"/>
      <c r="P3214" s="907"/>
      <c r="Q3214" s="1003" t="s">
        <v>2653</v>
      </c>
      <c r="R3214" s="578"/>
    </row>
    <row r="3215" spans="6:18" ht="24" customHeight="1">
      <c r="J3215" s="580"/>
      <c r="M3215" s="907"/>
      <c r="N3215" s="908"/>
      <c r="O3215" s="907"/>
      <c r="P3215" s="907"/>
      <c r="Q3215" s="997">
        <v>3.2910000000000002E-2</v>
      </c>
      <c r="R3215" s="578" t="s">
        <v>429</v>
      </c>
    </row>
    <row r="3216" spans="6:18" ht="24" customHeight="1">
      <c r="H3216" s="575" t="s">
        <v>154</v>
      </c>
      <c r="J3216" s="580"/>
      <c r="K3216" s="575">
        <f>K3214/10</f>
        <v>81.761899999999997</v>
      </c>
      <c r="M3216" s="907"/>
      <c r="N3216" s="908"/>
      <c r="O3216" s="907"/>
      <c r="P3216" s="907"/>
      <c r="Q3216" s="1003" t="s">
        <v>2653</v>
      </c>
      <c r="R3216" s="578"/>
    </row>
    <row r="3217" spans="6:18" ht="24" customHeight="1">
      <c r="J3217" s="580"/>
      <c r="M3217" s="907"/>
      <c r="N3217" s="908"/>
      <c r="O3217" s="760" t="s">
        <v>2654</v>
      </c>
      <c r="P3217" s="907"/>
      <c r="Q3217" s="880">
        <v>0.94</v>
      </c>
      <c r="R3217" s="961" t="s">
        <v>174</v>
      </c>
    </row>
    <row r="3218" spans="6:18" ht="24" customHeight="1">
      <c r="J3218" s="580"/>
      <c r="M3218" s="907"/>
      <c r="N3218" s="908"/>
      <c r="O3218" s="760" t="s">
        <v>2655</v>
      </c>
      <c r="P3218" s="907"/>
      <c r="Q3218" s="1000">
        <v>8.3999999999999995E-3</v>
      </c>
      <c r="R3218" s="961" t="s">
        <v>429</v>
      </c>
    </row>
    <row r="3219" spans="6:18" ht="24" customHeight="1">
      <c r="J3219" s="580"/>
      <c r="M3219" s="907"/>
      <c r="N3219" s="908"/>
      <c r="O3219" s="760" t="s">
        <v>2656</v>
      </c>
      <c r="P3219" s="907"/>
      <c r="Q3219" s="1000">
        <v>7.9</v>
      </c>
      <c r="R3219" s="961" t="s">
        <v>231</v>
      </c>
    </row>
    <row r="3220" spans="6:18" ht="24" customHeight="1">
      <c r="J3220" s="580"/>
      <c r="M3220" s="907"/>
      <c r="N3220" s="908"/>
      <c r="O3220" s="907"/>
      <c r="P3220" s="907"/>
      <c r="Q3220" s="915"/>
      <c r="R3220" s="915"/>
    </row>
    <row r="3221" spans="6:18" ht="24" customHeight="1">
      <c r="H3221" s="575" t="s">
        <v>190</v>
      </c>
      <c r="J3221" s="580"/>
      <c r="M3221" s="939">
        <v>5.1999999999999998E-2</v>
      </c>
      <c r="N3221" s="914" t="s">
        <v>126</v>
      </c>
      <c r="O3221" s="760" t="s">
        <v>1483</v>
      </c>
      <c r="P3221" s="758">
        <f>P3188</f>
        <v>111600</v>
      </c>
      <c r="Q3221" s="761" t="s">
        <v>126</v>
      </c>
      <c r="R3221" s="758">
        <f>P3221*M3221</f>
        <v>5803.2</v>
      </c>
    </row>
    <row r="3222" spans="6:18" ht="24" customHeight="1">
      <c r="H3222" s="575" t="s">
        <v>184</v>
      </c>
      <c r="J3222" s="580"/>
      <c r="M3222" s="939">
        <v>3.2910000000000002E-2</v>
      </c>
      <c r="N3222" s="914" t="s">
        <v>126</v>
      </c>
      <c r="O3222" s="760" t="s">
        <v>1485</v>
      </c>
      <c r="P3222" s="758">
        <f>P3189</f>
        <v>99400</v>
      </c>
      <c r="Q3222" s="761" t="s">
        <v>126</v>
      </c>
      <c r="R3222" s="758">
        <f t="shared" ref="R3222:R3234" si="290">P3222*M3222</f>
        <v>3271.2540000000004</v>
      </c>
    </row>
    <row r="3223" spans="6:18" ht="24" customHeight="1">
      <c r="H3223" s="575" t="s">
        <v>185</v>
      </c>
      <c r="J3223" s="580"/>
      <c r="M3223" s="939">
        <v>8.3999999999999995E-3</v>
      </c>
      <c r="N3223" s="914" t="s">
        <v>126</v>
      </c>
      <c r="O3223" s="1004" t="s">
        <v>2642</v>
      </c>
      <c r="P3223" s="758">
        <f>P3190</f>
        <v>101921.4</v>
      </c>
      <c r="Q3223" s="761" t="s">
        <v>126</v>
      </c>
      <c r="R3223" s="758">
        <f t="shared" si="290"/>
        <v>856.13975999999991</v>
      </c>
    </row>
    <row r="3224" spans="6:18" ht="24" customHeight="1">
      <c r="J3224" s="580"/>
      <c r="M3224" s="955"/>
      <c r="N3224" s="908"/>
      <c r="O3224" s="760" t="s">
        <v>2657</v>
      </c>
      <c r="P3224" s="758"/>
      <c r="Q3224" s="910"/>
      <c r="R3224" s="758">
        <f t="shared" si="290"/>
        <v>0</v>
      </c>
    </row>
    <row r="3225" spans="6:18" ht="24" customHeight="1">
      <c r="F3225" s="575">
        <v>2.2200000000000002</v>
      </c>
      <c r="G3225" s="576" t="s">
        <v>186</v>
      </c>
      <c r="H3225" s="575" t="s">
        <v>187</v>
      </c>
      <c r="I3225" s="575">
        <f>I3210</f>
        <v>234.3</v>
      </c>
      <c r="J3225" s="576" t="s">
        <v>186</v>
      </c>
      <c r="K3225" s="575">
        <f>I3225*F3225</f>
        <v>520.14600000000007</v>
      </c>
      <c r="M3225" s="955">
        <v>0.94</v>
      </c>
      <c r="N3225" s="914" t="s">
        <v>140</v>
      </c>
      <c r="O3225" s="1004" t="s">
        <v>2658</v>
      </c>
      <c r="P3225" s="1002">
        <v>355.5</v>
      </c>
      <c r="Q3225" s="910" t="s">
        <v>140</v>
      </c>
      <c r="R3225" s="758">
        <f t="shared" si="290"/>
        <v>334.16999999999996</v>
      </c>
    </row>
    <row r="3226" spans="6:18" ht="24" customHeight="1">
      <c r="F3226" s="575">
        <v>1.2</v>
      </c>
      <c r="G3226" s="576" t="s">
        <v>188</v>
      </c>
      <c r="H3226" s="575" t="s">
        <v>181</v>
      </c>
      <c r="I3226" s="575">
        <f>I3211</f>
        <v>615</v>
      </c>
      <c r="J3226" s="576" t="s">
        <v>188</v>
      </c>
      <c r="K3226" s="575">
        <f>I3226*F3226</f>
        <v>738</v>
      </c>
      <c r="M3226" s="955">
        <v>7.9</v>
      </c>
      <c r="N3226" s="914" t="s">
        <v>203</v>
      </c>
      <c r="O3226" s="1004" t="s">
        <v>2659</v>
      </c>
      <c r="P3226" s="1002">
        <v>15.15</v>
      </c>
      <c r="Q3226" s="910" t="s">
        <v>231</v>
      </c>
      <c r="R3226" s="758">
        <f t="shared" si="290"/>
        <v>119.685</v>
      </c>
    </row>
    <row r="3227" spans="6:18" ht="24" customHeight="1">
      <c r="F3227" s="575">
        <v>10</v>
      </c>
      <c r="G3227" s="576" t="s">
        <v>174</v>
      </c>
      <c r="H3227" s="575" t="s">
        <v>192</v>
      </c>
      <c r="I3227" s="575">
        <f>I3212</f>
        <v>7.4</v>
      </c>
      <c r="J3227" s="576" t="s">
        <v>174</v>
      </c>
      <c r="K3227" s="575">
        <f>I3227*F3227</f>
        <v>74</v>
      </c>
      <c r="M3227" s="955">
        <v>3.1219999999999999</v>
      </c>
      <c r="N3227" s="914" t="s">
        <v>140</v>
      </c>
      <c r="O3227" s="1004" t="s">
        <v>2660</v>
      </c>
      <c r="P3227" s="1002">
        <v>1078</v>
      </c>
      <c r="Q3227" s="761" t="s">
        <v>140</v>
      </c>
      <c r="R3227" s="758">
        <f t="shared" si="290"/>
        <v>3365.5160000000001</v>
      </c>
    </row>
    <row r="3228" spans="6:18" ht="24" customHeight="1">
      <c r="H3228" s="575" t="s">
        <v>167</v>
      </c>
      <c r="I3228" s="575" t="s">
        <v>166</v>
      </c>
      <c r="J3228" s="580"/>
      <c r="K3228" s="575">
        <v>6.65</v>
      </c>
      <c r="M3228" s="758">
        <v>4</v>
      </c>
      <c r="N3228" s="914" t="s">
        <v>1</v>
      </c>
      <c r="O3228" s="760" t="s">
        <v>2661</v>
      </c>
      <c r="P3228" s="758">
        <f>C598</f>
        <v>50.9</v>
      </c>
      <c r="Q3228" s="761" t="s">
        <v>209</v>
      </c>
      <c r="R3228" s="758">
        <f t="shared" si="290"/>
        <v>203.6</v>
      </c>
    </row>
    <row r="3229" spans="6:18" ht="24" customHeight="1">
      <c r="H3229" s="575" t="s">
        <v>153</v>
      </c>
      <c r="J3229" s="580"/>
      <c r="K3229" s="575">
        <f>SUM(K3225:K3228)</f>
        <v>1338.7960000000003</v>
      </c>
      <c r="M3229" s="758">
        <v>8</v>
      </c>
      <c r="N3229" s="914" t="s">
        <v>209</v>
      </c>
      <c r="O3229" s="760" t="s">
        <v>2662</v>
      </c>
      <c r="P3229" s="758">
        <f>C279</f>
        <v>79.099999999999994</v>
      </c>
      <c r="Q3229" s="761" t="s">
        <v>209</v>
      </c>
      <c r="R3229" s="758">
        <f t="shared" si="290"/>
        <v>632.79999999999995</v>
      </c>
    </row>
    <row r="3230" spans="6:18" ht="24" customHeight="1">
      <c r="J3230" s="580"/>
      <c r="M3230" s="758">
        <v>4</v>
      </c>
      <c r="N3230" s="914" t="s">
        <v>209</v>
      </c>
      <c r="O3230" s="760" t="s">
        <v>2663</v>
      </c>
      <c r="P3230" s="758">
        <f>P3195</f>
        <v>86.3</v>
      </c>
      <c r="Q3230" s="761" t="s">
        <v>209</v>
      </c>
      <c r="R3230" s="758">
        <f t="shared" si="290"/>
        <v>345.2</v>
      </c>
    </row>
    <row r="3231" spans="6:18" ht="24" customHeight="1">
      <c r="H3231" s="575" t="s">
        <v>154</v>
      </c>
      <c r="J3231" s="580"/>
      <c r="K3231" s="575">
        <f>K3229/10</f>
        <v>133.87960000000004</v>
      </c>
      <c r="M3231" s="758">
        <v>1</v>
      </c>
      <c r="N3231" s="914" t="s">
        <v>209</v>
      </c>
      <c r="O3231" s="760" t="s">
        <v>2664</v>
      </c>
      <c r="P3231" s="758">
        <f>P3196</f>
        <v>185.2</v>
      </c>
      <c r="Q3231" s="761" t="s">
        <v>209</v>
      </c>
      <c r="R3231" s="758">
        <f t="shared" si="290"/>
        <v>185.2</v>
      </c>
    </row>
    <row r="3232" spans="6:18" ht="24" customHeight="1">
      <c r="H3232" s="575">
        <f>142*10</f>
        <v>1420</v>
      </c>
      <c r="J3232" s="580"/>
      <c r="L3232" s="575">
        <f>K3266</f>
        <v>279</v>
      </c>
      <c r="M3232" s="758">
        <v>2</v>
      </c>
      <c r="N3232" s="914" t="s">
        <v>209</v>
      </c>
      <c r="O3232" s="760" t="s">
        <v>2665</v>
      </c>
      <c r="P3232" s="758">
        <f>P3197</f>
        <v>22.7</v>
      </c>
      <c r="Q3232" s="761" t="s">
        <v>209</v>
      </c>
      <c r="R3232" s="758">
        <f t="shared" si="290"/>
        <v>45.4</v>
      </c>
    </row>
    <row r="3233" spans="6:24" ht="24" customHeight="1">
      <c r="H3233" s="575">
        <f>H3232-1413.35</f>
        <v>6.6500000000000909</v>
      </c>
      <c r="J3233" s="580"/>
      <c r="L3233" s="575">
        <f>K3267</f>
        <v>153.75</v>
      </c>
      <c r="M3233" s="758">
        <v>2</v>
      </c>
      <c r="N3233" s="914" t="s">
        <v>209</v>
      </c>
      <c r="O3233" s="760" t="s">
        <v>2666</v>
      </c>
      <c r="P3233" s="758">
        <f>P3198</f>
        <v>43.8</v>
      </c>
      <c r="Q3233" s="761" t="s">
        <v>209</v>
      </c>
      <c r="R3233" s="758">
        <f t="shared" si="290"/>
        <v>87.6</v>
      </c>
    </row>
    <row r="3234" spans="6:24" ht="24" customHeight="1">
      <c r="J3234" s="580"/>
      <c r="L3234" s="575">
        <f>K3268</f>
        <v>125.5</v>
      </c>
      <c r="M3234" s="758">
        <v>118</v>
      </c>
      <c r="N3234" s="914" t="s">
        <v>209</v>
      </c>
      <c r="O3234" s="907" t="s">
        <v>2604</v>
      </c>
      <c r="P3234" s="907">
        <f>P3199</f>
        <v>2.37</v>
      </c>
      <c r="Q3234" s="761" t="s">
        <v>209</v>
      </c>
      <c r="R3234" s="758">
        <f t="shared" si="290"/>
        <v>279.66000000000003</v>
      </c>
    </row>
    <row r="3235" spans="6:24" ht="24" customHeight="1">
      <c r="J3235" s="580"/>
      <c r="L3235" s="575">
        <f>K3269</f>
        <v>164.8</v>
      </c>
      <c r="M3235" s="907"/>
      <c r="N3235" s="908"/>
      <c r="O3235" s="907"/>
      <c r="P3235" s="907"/>
      <c r="Q3235" s="910"/>
      <c r="R3235" s="915" t="s">
        <v>117</v>
      </c>
    </row>
    <row r="3236" spans="6:24" ht="24" customHeight="1">
      <c r="J3236" s="580"/>
      <c r="L3236" s="575">
        <f>K3270</f>
        <v>1.65</v>
      </c>
      <c r="M3236" s="907"/>
      <c r="N3236" s="908"/>
      <c r="O3236" s="760" t="s">
        <v>2650</v>
      </c>
      <c r="P3236" s="907"/>
      <c r="Q3236" s="910"/>
      <c r="R3236" s="758">
        <f>SUM(R3221:R3234)</f>
        <v>15529.42476</v>
      </c>
    </row>
    <row r="3237" spans="6:24" ht="24" customHeight="1">
      <c r="H3237" s="575" t="s">
        <v>190</v>
      </c>
      <c r="J3237" s="580"/>
      <c r="M3237" s="907"/>
      <c r="N3237" s="908"/>
      <c r="O3237" s="907"/>
      <c r="P3237" s="907"/>
      <c r="Q3237" s="910"/>
      <c r="R3237" s="915" t="s">
        <v>117</v>
      </c>
    </row>
    <row r="3238" spans="6:24" ht="24" customHeight="1">
      <c r="H3238" s="575" t="s">
        <v>191</v>
      </c>
      <c r="J3238" s="580"/>
      <c r="M3238" s="907"/>
      <c r="N3238" s="908"/>
      <c r="O3238" s="921" t="s">
        <v>154</v>
      </c>
      <c r="P3238" s="907"/>
      <c r="Q3238" s="912" t="s">
        <v>2433</v>
      </c>
      <c r="R3238" s="922">
        <f>R3236/M3227</f>
        <v>4974.1911467008331</v>
      </c>
    </row>
    <row r="3239" spans="6:24" ht="24" customHeight="1">
      <c r="H3239" s="575" t="s">
        <v>185</v>
      </c>
      <c r="J3239" s="580"/>
      <c r="L3239" s="575">
        <f>SUM(L3232:L3238)</f>
        <v>724.69999999999993</v>
      </c>
      <c r="M3239" s="761"/>
      <c r="N3239" s="914" t="s">
        <v>122</v>
      </c>
      <c r="O3239" s="760" t="s">
        <v>2632</v>
      </c>
      <c r="P3239" s="907"/>
      <c r="Q3239" s="910"/>
      <c r="R3239" s="907"/>
    </row>
    <row r="3240" spans="6:24" ht="24" customHeight="1">
      <c r="J3240" s="580"/>
      <c r="M3240" s="907"/>
      <c r="N3240" s="908"/>
      <c r="O3240" s="760" t="s">
        <v>1467</v>
      </c>
      <c r="P3240" s="907"/>
      <c r="Q3240" s="910"/>
      <c r="R3240" s="907"/>
    </row>
    <row r="3241" spans="6:24" ht="24" customHeight="1">
      <c r="F3241" s="575">
        <v>1.89</v>
      </c>
      <c r="G3241" s="576" t="s">
        <v>186</v>
      </c>
      <c r="H3241" s="575" t="s">
        <v>187</v>
      </c>
      <c r="I3241" s="575">
        <f>I3196</f>
        <v>223.2</v>
      </c>
      <c r="J3241" s="576" t="s">
        <v>186</v>
      </c>
      <c r="K3241" s="575">
        <f>I3241*F3241</f>
        <v>421.84799999999996</v>
      </c>
      <c r="L3241" s="575">
        <f>L3239/10</f>
        <v>72.47</v>
      </c>
      <c r="M3241" s="907"/>
      <c r="N3241" s="908"/>
      <c r="O3241" s="992" t="s">
        <v>2667</v>
      </c>
      <c r="P3241" s="907"/>
      <c r="Q3241" s="910"/>
      <c r="R3241" s="907"/>
    </row>
    <row r="3242" spans="6:24" ht="24" customHeight="1">
      <c r="F3242" s="575">
        <v>1.1000000000000001</v>
      </c>
      <c r="G3242" s="576" t="s">
        <v>188</v>
      </c>
      <c r="H3242" s="575" t="s">
        <v>181</v>
      </c>
      <c r="I3242" s="575">
        <f>I3197</f>
        <v>615</v>
      </c>
      <c r="J3242" s="576" t="s">
        <v>188</v>
      </c>
      <c r="K3242" s="575">
        <f>I3242*F3242</f>
        <v>676.5</v>
      </c>
      <c r="M3242" s="907"/>
      <c r="N3242" s="908"/>
      <c r="O3242" s="915" t="s">
        <v>117</v>
      </c>
      <c r="P3242" s="907"/>
      <c r="Q3242" s="910"/>
      <c r="R3242" s="907"/>
    </row>
    <row r="3243" spans="6:24" ht="30" customHeight="1">
      <c r="F3243" s="575">
        <v>10</v>
      </c>
      <c r="G3243" s="576" t="s">
        <v>174</v>
      </c>
      <c r="H3243" s="573" t="s">
        <v>192</v>
      </c>
      <c r="I3243" s="612">
        <f>AG53</f>
        <v>7.15</v>
      </c>
      <c r="J3243" s="576" t="s">
        <v>174</v>
      </c>
      <c r="K3243" s="575">
        <f>I3243*F3243</f>
        <v>71.5</v>
      </c>
      <c r="M3243" s="907"/>
      <c r="N3243" s="908"/>
      <c r="O3243" s="760" t="s">
        <v>2668</v>
      </c>
      <c r="P3243" s="911" t="s">
        <v>155</v>
      </c>
      <c r="Q3243" s="993">
        <v>2.4279999999999999</v>
      </c>
      <c r="R3243" s="907" t="s">
        <v>174</v>
      </c>
    </row>
    <row r="3244" spans="6:24" ht="30" customHeight="1">
      <c r="H3244" s="573" t="s">
        <v>167</v>
      </c>
      <c r="I3244" s="575" t="s">
        <v>166</v>
      </c>
      <c r="J3244" s="580"/>
      <c r="K3244" s="575">
        <v>1.9</v>
      </c>
      <c r="M3244" s="907"/>
      <c r="N3244" s="908"/>
      <c r="O3244" s="760"/>
      <c r="P3244" s="911"/>
      <c r="Q3244" s="993"/>
      <c r="R3244" s="907"/>
    </row>
    <row r="3245" spans="6:24" ht="30" customHeight="1">
      <c r="H3245" s="575" t="s">
        <v>153</v>
      </c>
      <c r="J3245" s="580"/>
      <c r="K3245" s="575">
        <f>SUM(K3241:K3244)</f>
        <v>1171.748</v>
      </c>
      <c r="M3245" s="907"/>
      <c r="N3245" s="908"/>
      <c r="O3245" s="760" t="s">
        <v>2635</v>
      </c>
      <c r="P3245" s="911" t="s">
        <v>155</v>
      </c>
      <c r="Q3245" s="994">
        <v>5.1999999999999998E-2</v>
      </c>
      <c r="R3245" s="907" t="s">
        <v>429</v>
      </c>
      <c r="T3245" s="619" t="s">
        <v>2669</v>
      </c>
    </row>
    <row r="3246" spans="6:24" ht="30" customHeight="1">
      <c r="J3246" s="580"/>
      <c r="M3246" s="907"/>
      <c r="N3246" s="908"/>
      <c r="O3246" s="760" t="s">
        <v>2636</v>
      </c>
      <c r="Q3246" s="995"/>
      <c r="R3246" s="907"/>
      <c r="T3246" s="619" t="s">
        <v>2670</v>
      </c>
    </row>
    <row r="3247" spans="6:24" ht="30" customHeight="1">
      <c r="H3247" s="575" t="s">
        <v>154</v>
      </c>
      <c r="J3247" s="580"/>
      <c r="K3247" s="575">
        <f>K3245/10</f>
        <v>117.1748</v>
      </c>
      <c r="M3247" s="907"/>
      <c r="N3247" s="908"/>
      <c r="O3247" s="760" t="s">
        <v>2671</v>
      </c>
      <c r="P3247" s="911" t="s">
        <v>155</v>
      </c>
      <c r="Q3247" s="1005">
        <v>1.7718999999999999E-2</v>
      </c>
      <c r="R3247" s="907"/>
      <c r="S3247" s="1006">
        <v>6.3E-2</v>
      </c>
      <c r="T3247" s="646" t="s">
        <v>126</v>
      </c>
      <c r="U3247" s="619" t="s">
        <v>1571</v>
      </c>
      <c r="V3247" s="619">
        <f>P3291</f>
        <v>111600</v>
      </c>
      <c r="W3247" s="630" t="s">
        <v>126</v>
      </c>
      <c r="X3247" s="619">
        <f>V3247*S3247</f>
        <v>7030.8</v>
      </c>
    </row>
    <row r="3248" spans="6:24" ht="30" customHeight="1">
      <c r="G3248" s="575"/>
      <c r="J3248" s="575"/>
      <c r="M3248" s="907"/>
      <c r="N3248" s="908"/>
      <c r="O3248" s="760" t="s">
        <v>2672</v>
      </c>
      <c r="P3248" s="911" t="s">
        <v>155</v>
      </c>
      <c r="Q3248" s="1005">
        <v>7.8750000000000001E-3</v>
      </c>
      <c r="R3248" s="939"/>
      <c r="S3248" s="1006">
        <v>4.8000000000000001E-2</v>
      </c>
      <c r="T3248" s="646" t="s">
        <v>126</v>
      </c>
      <c r="U3248" s="619" t="s">
        <v>2673</v>
      </c>
      <c r="V3248" s="619">
        <f>I3280</f>
        <v>99400</v>
      </c>
      <c r="W3248" s="630" t="s">
        <v>126</v>
      </c>
      <c r="X3248" s="619">
        <f>V3248*S3248</f>
        <v>4771.2</v>
      </c>
    </row>
    <row r="3249" spans="6:24" ht="30" customHeight="1">
      <c r="G3249" s="575"/>
      <c r="H3249" s="573" t="s">
        <v>1626</v>
      </c>
      <c r="J3249" s="575"/>
      <c r="M3249" s="907"/>
      <c r="N3249" s="908"/>
      <c r="O3249" s="907"/>
      <c r="P3249" s="907"/>
      <c r="Q3249" s="915" t="s">
        <v>117</v>
      </c>
      <c r="S3249" s="1006">
        <v>1.54</v>
      </c>
      <c r="T3249" s="646" t="s">
        <v>140</v>
      </c>
      <c r="U3249" s="619" t="s">
        <v>2674</v>
      </c>
      <c r="V3249" s="619">
        <f t="shared" ref="V3249:V3258" si="291">I3281</f>
        <v>2152</v>
      </c>
      <c r="W3249" s="630" t="s">
        <v>174</v>
      </c>
      <c r="X3249" s="619">
        <f t="shared" ref="X3249:X3258" si="292">V3249*S3249</f>
        <v>3314.08</v>
      </c>
    </row>
    <row r="3250" spans="6:24" ht="30" customHeight="1">
      <c r="G3250" s="575"/>
      <c r="H3250" s="573" t="s">
        <v>2675</v>
      </c>
      <c r="J3250" s="575"/>
      <c r="M3250" s="907"/>
      <c r="N3250" s="908"/>
      <c r="O3250" s="907"/>
      <c r="P3250" s="907"/>
      <c r="Q3250" s="997">
        <v>2.5590000000000002E-2</v>
      </c>
      <c r="R3250" s="575" t="s">
        <v>429</v>
      </c>
      <c r="S3250" s="1006">
        <v>3.9E-2</v>
      </c>
      <c r="T3250" s="646" t="s">
        <v>126</v>
      </c>
      <c r="U3250" s="692" t="s">
        <v>1573</v>
      </c>
      <c r="V3250" s="619">
        <f t="shared" si="291"/>
        <v>95000</v>
      </c>
      <c r="W3250" s="630" t="s">
        <v>126</v>
      </c>
      <c r="X3250" s="619">
        <f t="shared" si="292"/>
        <v>3705</v>
      </c>
    </row>
    <row r="3251" spans="6:24" ht="30" customHeight="1">
      <c r="G3251" s="575"/>
      <c r="J3251" s="575"/>
      <c r="M3251" s="907"/>
      <c r="N3251" s="908"/>
      <c r="O3251" s="907"/>
      <c r="P3251" s="907"/>
      <c r="Q3251" s="915" t="s">
        <v>117</v>
      </c>
      <c r="S3251" s="1006">
        <v>3.488</v>
      </c>
      <c r="T3251" s="646" t="s">
        <v>140</v>
      </c>
      <c r="U3251" s="692" t="s">
        <v>1574</v>
      </c>
      <c r="V3251" s="619">
        <f t="shared" si="291"/>
        <v>1155</v>
      </c>
      <c r="W3251" s="630" t="s">
        <v>140</v>
      </c>
      <c r="X3251" s="619">
        <f t="shared" si="292"/>
        <v>4028.64</v>
      </c>
    </row>
    <row r="3252" spans="6:24" ht="30" customHeight="1">
      <c r="F3252" s="587">
        <v>0.22</v>
      </c>
      <c r="G3252" s="585" t="s">
        <v>126</v>
      </c>
      <c r="H3252" s="573" t="s">
        <v>135</v>
      </c>
      <c r="I3252" s="587">
        <f>K49</f>
        <v>3080.2</v>
      </c>
      <c r="J3252" s="574" t="s">
        <v>126</v>
      </c>
      <c r="K3252" s="587">
        <f>(F3252*I3252)</f>
        <v>677.64400000000001</v>
      </c>
      <c r="M3252" s="907"/>
      <c r="N3252" s="908"/>
      <c r="O3252" s="760" t="s">
        <v>2676</v>
      </c>
      <c r="P3252" s="907"/>
      <c r="Q3252" s="998">
        <v>1.0999999999999999E-2</v>
      </c>
      <c r="R3252" s="939"/>
      <c r="S3252" s="1006">
        <v>6</v>
      </c>
      <c r="T3252" s="646" t="s">
        <v>1576</v>
      </c>
      <c r="U3252" s="619" t="s">
        <v>2677</v>
      </c>
      <c r="V3252" s="619">
        <f t="shared" si="291"/>
        <v>79</v>
      </c>
      <c r="W3252" s="630" t="s">
        <v>227</v>
      </c>
      <c r="X3252" s="619">
        <f t="shared" si="292"/>
        <v>474</v>
      </c>
    </row>
    <row r="3253" spans="6:24" ht="30" customHeight="1">
      <c r="F3253" s="587">
        <v>2.2000000000000002</v>
      </c>
      <c r="G3253" s="585" t="s">
        <v>1</v>
      </c>
      <c r="H3253" s="573" t="s">
        <v>144</v>
      </c>
      <c r="I3253" s="587">
        <f>AE9</f>
        <v>769</v>
      </c>
      <c r="J3253" s="574" t="s">
        <v>1</v>
      </c>
      <c r="K3253" s="587">
        <f>(F3253*I3253)</f>
        <v>1691.8000000000002</v>
      </c>
      <c r="M3253" s="907"/>
      <c r="N3253" s="908"/>
      <c r="O3253" s="760" t="s">
        <v>2678</v>
      </c>
      <c r="P3253" s="907"/>
      <c r="Q3253" s="999">
        <v>5.3E-3</v>
      </c>
      <c r="R3253" s="939"/>
      <c r="S3253" s="1006">
        <v>1</v>
      </c>
      <c r="T3253" s="646" t="s">
        <v>1576</v>
      </c>
      <c r="U3253" s="619" t="s">
        <v>2679</v>
      </c>
      <c r="V3253" s="619">
        <f t="shared" si="291"/>
        <v>260</v>
      </c>
      <c r="W3253" s="630" t="s">
        <v>227</v>
      </c>
      <c r="X3253" s="619">
        <f t="shared" si="292"/>
        <v>260</v>
      </c>
    </row>
    <row r="3254" spans="6:24" ht="30" customHeight="1">
      <c r="F3254" s="587">
        <v>0.5</v>
      </c>
      <c r="G3254" s="585" t="s">
        <v>1</v>
      </c>
      <c r="H3254" s="573" t="s">
        <v>1628</v>
      </c>
      <c r="I3254" s="587">
        <f>I3183</f>
        <v>502</v>
      </c>
      <c r="J3254" s="574" t="s">
        <v>1</v>
      </c>
      <c r="K3254" s="587">
        <f>(F3254*I3254)</f>
        <v>251</v>
      </c>
      <c r="M3254" s="907"/>
      <c r="N3254" s="908"/>
      <c r="O3254" s="760"/>
      <c r="P3254" s="907"/>
      <c r="Q3254" s="915" t="s">
        <v>117</v>
      </c>
      <c r="R3254" s="939"/>
      <c r="S3254" s="1006">
        <v>2</v>
      </c>
      <c r="T3254" s="646" t="s">
        <v>1576</v>
      </c>
      <c r="U3254" s="619" t="s">
        <v>2680</v>
      </c>
      <c r="V3254" s="619">
        <f t="shared" si="291"/>
        <v>130</v>
      </c>
      <c r="W3254" s="630" t="s">
        <v>227</v>
      </c>
      <c r="X3254" s="619">
        <f t="shared" si="292"/>
        <v>260</v>
      </c>
    </row>
    <row r="3255" spans="6:24" ht="30" customHeight="1">
      <c r="F3255" s="587">
        <v>3.2</v>
      </c>
      <c r="G3255" s="585" t="s">
        <v>1</v>
      </c>
      <c r="H3255" s="573" t="s">
        <v>147</v>
      </c>
      <c r="I3255" s="587">
        <f>I3184</f>
        <v>412</v>
      </c>
      <c r="J3255" s="574" t="s">
        <v>1</v>
      </c>
      <c r="K3255" s="587">
        <f>(F3255*I3255)</f>
        <v>1318.4</v>
      </c>
      <c r="M3255" s="907"/>
      <c r="N3255" s="908"/>
      <c r="O3255" s="760"/>
      <c r="P3255" s="907"/>
      <c r="Q3255" s="1000">
        <v>1.6299999999999999E-2</v>
      </c>
      <c r="R3255" s="939" t="s">
        <v>429</v>
      </c>
      <c r="S3255" s="1006">
        <v>2</v>
      </c>
      <c r="T3255" s="646" t="s">
        <v>1576</v>
      </c>
      <c r="U3255" s="619" t="s">
        <v>2681</v>
      </c>
      <c r="V3255" s="619">
        <f t="shared" si="291"/>
        <v>165</v>
      </c>
      <c r="W3255" s="630" t="s">
        <v>227</v>
      </c>
      <c r="X3255" s="619">
        <f t="shared" si="292"/>
        <v>330</v>
      </c>
    </row>
    <row r="3256" spans="6:24" ht="39.75" customHeight="1">
      <c r="F3256" s="587">
        <v>10</v>
      </c>
      <c r="G3256" s="585" t="s">
        <v>110</v>
      </c>
      <c r="H3256" s="1007" t="s">
        <v>2682</v>
      </c>
      <c r="I3256" s="677">
        <v>7.7</v>
      </c>
      <c r="J3256" s="574" t="s">
        <v>110</v>
      </c>
      <c r="K3256" s="587">
        <f>(F3256*I3256)</f>
        <v>77</v>
      </c>
      <c r="M3256" s="907"/>
      <c r="N3256" s="908"/>
      <c r="O3256" s="907"/>
      <c r="P3256" s="907"/>
      <c r="Q3256" s="915" t="s">
        <v>117</v>
      </c>
      <c r="R3256" s="915"/>
      <c r="S3256" s="1006">
        <v>1</v>
      </c>
      <c r="T3256" s="646" t="s">
        <v>1576</v>
      </c>
      <c r="U3256" s="619" t="s">
        <v>2683</v>
      </c>
      <c r="V3256" s="619">
        <f t="shared" si="291"/>
        <v>985</v>
      </c>
      <c r="W3256" s="630" t="s">
        <v>227</v>
      </c>
      <c r="X3256" s="619">
        <f t="shared" si="292"/>
        <v>985</v>
      </c>
    </row>
    <row r="3257" spans="6:24" ht="30" customHeight="1">
      <c r="J3257" s="580"/>
      <c r="K3257" s="582" t="s">
        <v>117</v>
      </c>
      <c r="M3257" s="939">
        <v>5.1999999999999998E-2</v>
      </c>
      <c r="N3257" s="914" t="s">
        <v>126</v>
      </c>
      <c r="O3257" s="760" t="s">
        <v>1483</v>
      </c>
      <c r="P3257" s="758">
        <f>P3188</f>
        <v>111600</v>
      </c>
      <c r="Q3257" s="761" t="s">
        <v>126</v>
      </c>
      <c r="R3257" s="758">
        <f>P3257*M3257</f>
        <v>5803.2</v>
      </c>
      <c r="S3257" s="1006">
        <v>2</v>
      </c>
      <c r="T3257" s="646" t="s">
        <v>1576</v>
      </c>
      <c r="U3257" s="619" t="s">
        <v>2684</v>
      </c>
      <c r="V3257" s="619">
        <f t="shared" si="291"/>
        <v>450</v>
      </c>
      <c r="W3257" s="630" t="s">
        <v>227</v>
      </c>
      <c r="X3257" s="619">
        <f t="shared" si="292"/>
        <v>900</v>
      </c>
    </row>
    <row r="3258" spans="6:24" ht="30" customHeight="1">
      <c r="H3258" s="573" t="s">
        <v>153</v>
      </c>
      <c r="J3258" s="580"/>
      <c r="K3258" s="587">
        <f>SUM(K3252:K3257)</f>
        <v>4015.8440000000005</v>
      </c>
      <c r="M3258" s="939">
        <v>2.5590000000000002E-2</v>
      </c>
      <c r="N3258" s="914" t="s">
        <v>126</v>
      </c>
      <c r="O3258" s="760" t="s">
        <v>1485</v>
      </c>
      <c r="P3258" s="758">
        <f>P3189</f>
        <v>99400</v>
      </c>
      <c r="Q3258" s="761" t="s">
        <v>126</v>
      </c>
      <c r="R3258" s="758">
        <f t="shared" ref="R3258:R3268" si="293">P3258*M3258</f>
        <v>2543.6460000000002</v>
      </c>
      <c r="S3258" s="1006">
        <v>0</v>
      </c>
      <c r="T3258" s="646" t="s">
        <v>240</v>
      </c>
      <c r="U3258" s="619" t="s">
        <v>2685</v>
      </c>
      <c r="V3258" s="619">
        <f t="shared" si="291"/>
        <v>2.37</v>
      </c>
      <c r="W3258" s="630" t="s">
        <v>227</v>
      </c>
      <c r="X3258" s="953">
        <f t="shared" si="292"/>
        <v>0</v>
      </c>
    </row>
    <row r="3259" spans="6:24" ht="30" customHeight="1">
      <c r="J3259" s="580"/>
      <c r="K3259" s="582" t="s">
        <v>117</v>
      </c>
      <c r="M3259" s="939">
        <v>1.6299999999999999E-2</v>
      </c>
      <c r="N3259" s="914" t="s">
        <v>126</v>
      </c>
      <c r="O3259" s="1004" t="s">
        <v>2686</v>
      </c>
      <c r="P3259" s="1008">
        <f>AC28</f>
        <v>95000</v>
      </c>
      <c r="Q3259" s="761" t="s">
        <v>126</v>
      </c>
      <c r="R3259" s="758">
        <f t="shared" si="293"/>
        <v>1548.4999999999998</v>
      </c>
      <c r="S3259" s="1006"/>
      <c r="T3259" s="646"/>
      <c r="U3259" s="619" t="s">
        <v>2687</v>
      </c>
      <c r="V3259" s="619"/>
      <c r="W3259" s="630"/>
      <c r="X3259" s="619">
        <f>SUM(X3247:X3258)</f>
        <v>26058.720000000001</v>
      </c>
    </row>
    <row r="3260" spans="6:24" ht="30" customHeight="1">
      <c r="H3260" s="573" t="s">
        <v>154</v>
      </c>
      <c r="J3260" s="580"/>
      <c r="K3260" s="587">
        <f>(K3258/10)</f>
        <v>401.58440000000007</v>
      </c>
      <c r="M3260" s="955"/>
      <c r="N3260" s="908"/>
      <c r="O3260" s="760" t="s">
        <v>1560</v>
      </c>
      <c r="P3260" s="758"/>
      <c r="Q3260" s="910"/>
      <c r="R3260" s="758">
        <f t="shared" si="293"/>
        <v>0</v>
      </c>
      <c r="S3260" s="1006"/>
      <c r="T3260" s="646"/>
      <c r="U3260" s="619"/>
      <c r="V3260" s="619"/>
      <c r="W3260" s="630"/>
      <c r="X3260" s="953" t="s">
        <v>1586</v>
      </c>
    </row>
    <row r="3261" spans="6:24" ht="24" customHeight="1">
      <c r="J3261" s="580"/>
      <c r="K3261" s="582" t="s">
        <v>155</v>
      </c>
      <c r="M3261" s="955">
        <v>2.4279999999999999</v>
      </c>
      <c r="N3261" s="914" t="s">
        <v>140</v>
      </c>
      <c r="O3261" s="760" t="s">
        <v>1480</v>
      </c>
      <c r="P3261" s="758">
        <f t="shared" ref="P3261:P3267" si="294">P3192</f>
        <v>1155</v>
      </c>
      <c r="Q3261" s="761" t="s">
        <v>140</v>
      </c>
      <c r="R3261" s="758">
        <f t="shared" si="293"/>
        <v>2804.34</v>
      </c>
      <c r="S3261" s="1006"/>
      <c r="T3261" s="646"/>
      <c r="U3261" s="619" t="s">
        <v>2688</v>
      </c>
      <c r="V3261" s="619"/>
      <c r="W3261" s="630"/>
      <c r="X3261" s="619">
        <f>X3259/S3251</f>
        <v>7470.9633027522941</v>
      </c>
    </row>
    <row r="3262" spans="6:24" ht="24" customHeight="1">
      <c r="G3262" s="575"/>
      <c r="J3262" s="575"/>
      <c r="K3262" s="575">
        <f>54000+7000</f>
        <v>61000</v>
      </c>
      <c r="M3262" s="758">
        <v>4</v>
      </c>
      <c r="N3262" s="914" t="s">
        <v>1</v>
      </c>
      <c r="O3262" s="760" t="s">
        <v>2644</v>
      </c>
      <c r="P3262" s="758">
        <f>P3228</f>
        <v>50.9</v>
      </c>
      <c r="Q3262" s="761" t="s">
        <v>209</v>
      </c>
      <c r="R3262" s="758">
        <f t="shared" si="293"/>
        <v>203.6</v>
      </c>
      <c r="S3262" s="1006"/>
      <c r="T3262" s="646"/>
      <c r="U3262" s="619"/>
      <c r="V3262" s="619"/>
      <c r="W3262" s="630"/>
      <c r="X3262" s="953" t="s">
        <v>1586</v>
      </c>
    </row>
    <row r="3263" spans="6:24" ht="24" customHeight="1">
      <c r="G3263" s="575"/>
      <c r="J3263" s="575"/>
      <c r="M3263" s="758">
        <v>8</v>
      </c>
      <c r="N3263" s="914" t="s">
        <v>209</v>
      </c>
      <c r="O3263" s="760" t="s">
        <v>1482</v>
      </c>
      <c r="P3263" s="758">
        <f>P3229</f>
        <v>79.099999999999994</v>
      </c>
      <c r="Q3263" s="761" t="s">
        <v>209</v>
      </c>
      <c r="R3263" s="758">
        <f t="shared" si="293"/>
        <v>632.79999999999995</v>
      </c>
    </row>
    <row r="3264" spans="6:24" ht="24" customHeight="1">
      <c r="F3264" s="574" t="s">
        <v>1803</v>
      </c>
      <c r="G3264" s="585" t="s">
        <v>122</v>
      </c>
      <c r="H3264" s="574" t="s">
        <v>2689</v>
      </c>
      <c r="J3264" s="580"/>
      <c r="M3264" s="758">
        <v>4</v>
      </c>
      <c r="N3264" s="914" t="s">
        <v>209</v>
      </c>
      <c r="O3264" s="760" t="s">
        <v>2663</v>
      </c>
      <c r="P3264" s="758">
        <f t="shared" si="294"/>
        <v>86.3</v>
      </c>
      <c r="Q3264" s="761" t="s">
        <v>209</v>
      </c>
      <c r="R3264" s="758">
        <f t="shared" si="293"/>
        <v>345.2</v>
      </c>
    </row>
    <row r="3265" spans="6:18" ht="24" customHeight="1">
      <c r="H3265" s="574" t="s">
        <v>777</v>
      </c>
      <c r="J3265" s="580"/>
      <c r="M3265" s="758">
        <v>1</v>
      </c>
      <c r="N3265" s="914" t="s">
        <v>209</v>
      </c>
      <c r="O3265" s="760" t="s">
        <v>2664</v>
      </c>
      <c r="P3265" s="758">
        <f t="shared" si="294"/>
        <v>185.2</v>
      </c>
      <c r="Q3265" s="761" t="s">
        <v>209</v>
      </c>
      <c r="R3265" s="758">
        <f t="shared" si="293"/>
        <v>185.2</v>
      </c>
    </row>
    <row r="3266" spans="6:18" ht="24" customHeight="1">
      <c r="F3266" s="587">
        <v>1.8</v>
      </c>
      <c r="G3266" s="585" t="s">
        <v>1806</v>
      </c>
      <c r="H3266" s="573" t="s">
        <v>1807</v>
      </c>
      <c r="I3266" s="587">
        <f>E271</f>
        <v>155</v>
      </c>
      <c r="J3266" s="574" t="s">
        <v>1806</v>
      </c>
      <c r="K3266" s="587">
        <f>(F3266*I3266)</f>
        <v>279</v>
      </c>
      <c r="M3266" s="758">
        <v>2</v>
      </c>
      <c r="N3266" s="914" t="s">
        <v>209</v>
      </c>
      <c r="O3266" s="760" t="s">
        <v>2665</v>
      </c>
      <c r="P3266" s="758">
        <f t="shared" si="294"/>
        <v>22.7</v>
      </c>
      <c r="Q3266" s="761" t="s">
        <v>209</v>
      </c>
      <c r="R3266" s="758">
        <f t="shared" si="293"/>
        <v>45.4</v>
      </c>
    </row>
    <row r="3267" spans="6:18" ht="24" customHeight="1">
      <c r="F3267" s="587">
        <v>0.25</v>
      </c>
      <c r="G3267" s="585" t="s">
        <v>233</v>
      </c>
      <c r="H3267" s="573" t="s">
        <v>1808</v>
      </c>
      <c r="I3267" s="587">
        <f>I3242</f>
        <v>615</v>
      </c>
      <c r="J3267" s="574" t="s">
        <v>233</v>
      </c>
      <c r="K3267" s="587">
        <f>(F3267*I3267)</f>
        <v>153.75</v>
      </c>
      <c r="M3267" s="758">
        <v>2</v>
      </c>
      <c r="N3267" s="914" t="s">
        <v>209</v>
      </c>
      <c r="O3267" s="760" t="s">
        <v>2666</v>
      </c>
      <c r="P3267" s="758">
        <f t="shared" si="294"/>
        <v>43.8</v>
      </c>
      <c r="Q3267" s="761" t="s">
        <v>209</v>
      </c>
      <c r="R3267" s="758">
        <f t="shared" si="293"/>
        <v>87.6</v>
      </c>
    </row>
    <row r="3268" spans="6:18" ht="24" customHeight="1">
      <c r="F3268" s="587">
        <v>0.25</v>
      </c>
      <c r="G3268" s="585" t="s">
        <v>233</v>
      </c>
      <c r="H3268" s="573" t="s">
        <v>956</v>
      </c>
      <c r="I3268" s="587">
        <f>I3183</f>
        <v>502</v>
      </c>
      <c r="J3268" s="574" t="s">
        <v>233</v>
      </c>
      <c r="K3268" s="587">
        <f>(F3268*I3268)</f>
        <v>125.5</v>
      </c>
      <c r="M3268" s="907">
        <v>118</v>
      </c>
      <c r="N3268" s="914" t="s">
        <v>209</v>
      </c>
      <c r="O3268" s="907" t="s">
        <v>2604</v>
      </c>
      <c r="P3268" s="907">
        <f>P3234</f>
        <v>2.37</v>
      </c>
      <c r="Q3268" s="910"/>
      <c r="R3268" s="758">
        <f t="shared" si="293"/>
        <v>279.66000000000003</v>
      </c>
    </row>
    <row r="3269" spans="6:18" ht="24" customHeight="1">
      <c r="F3269" s="587">
        <v>0.4</v>
      </c>
      <c r="G3269" s="585" t="s">
        <v>233</v>
      </c>
      <c r="H3269" s="573" t="s">
        <v>1809</v>
      </c>
      <c r="I3269" s="587">
        <f>I3184</f>
        <v>412</v>
      </c>
      <c r="J3269" s="574" t="s">
        <v>233</v>
      </c>
      <c r="K3269" s="587">
        <f>(F3269*I3269)</f>
        <v>164.8</v>
      </c>
      <c r="M3269" s="907"/>
      <c r="N3269" s="908"/>
      <c r="O3269" s="907"/>
      <c r="P3269" s="907"/>
      <c r="Q3269" s="910"/>
      <c r="R3269" s="915" t="s">
        <v>117</v>
      </c>
    </row>
    <row r="3270" spans="6:18" ht="24" customHeight="1">
      <c r="G3270" s="585" t="s">
        <v>129</v>
      </c>
      <c r="H3270" s="573" t="s">
        <v>769</v>
      </c>
      <c r="J3270" s="574" t="s">
        <v>129</v>
      </c>
      <c r="K3270" s="587">
        <v>1.65</v>
      </c>
      <c r="M3270" s="907"/>
      <c r="N3270" s="908"/>
      <c r="O3270" s="760" t="s">
        <v>2690</v>
      </c>
      <c r="P3270" s="907"/>
      <c r="Q3270" s="910"/>
      <c r="R3270" s="758">
        <f>SUM(R3257:R3268)</f>
        <v>14479.146000000001</v>
      </c>
    </row>
    <row r="3271" spans="6:18" ht="24" customHeight="1">
      <c r="F3271" s="575">
        <v>10</v>
      </c>
      <c r="H3271" s="573" t="s">
        <v>2691</v>
      </c>
      <c r="I3271" s="575">
        <f>I3172</f>
        <v>3.2</v>
      </c>
      <c r="J3271" s="580" t="s">
        <v>110</v>
      </c>
      <c r="K3271" s="587">
        <f>I3271*F3271</f>
        <v>32</v>
      </c>
      <c r="M3271" s="907"/>
      <c r="N3271" s="908"/>
      <c r="O3271" s="907"/>
      <c r="P3271" s="907"/>
      <c r="Q3271" s="910"/>
      <c r="R3271" s="915" t="s">
        <v>117</v>
      </c>
    </row>
    <row r="3272" spans="6:18" ht="24" customHeight="1">
      <c r="J3272" s="580"/>
      <c r="K3272" s="582" t="s">
        <v>117</v>
      </c>
      <c r="M3272" s="907"/>
      <c r="N3272" s="908"/>
      <c r="O3272" s="921" t="s">
        <v>154</v>
      </c>
      <c r="P3272" s="907"/>
      <c r="Q3272" s="912" t="s">
        <v>2433</v>
      </c>
      <c r="R3272" s="922">
        <f>R3270/M3261</f>
        <v>5963.404448105437</v>
      </c>
    </row>
    <row r="3273" spans="6:18" ht="24" customHeight="1">
      <c r="H3273" s="574" t="s">
        <v>1811</v>
      </c>
      <c r="J3273" s="580"/>
      <c r="K3273" s="587">
        <f>SUM(K3266:K3272)</f>
        <v>756.69999999999993</v>
      </c>
      <c r="M3273" s="761"/>
      <c r="N3273" s="914" t="s">
        <v>122</v>
      </c>
      <c r="O3273" s="760" t="s">
        <v>2692</v>
      </c>
      <c r="P3273" s="907"/>
      <c r="Q3273" s="910"/>
      <c r="R3273" s="907"/>
    </row>
    <row r="3274" spans="6:18" ht="24" customHeight="1">
      <c r="J3274" s="580"/>
      <c r="K3274" s="582" t="s">
        <v>117</v>
      </c>
      <c r="M3274" s="907"/>
      <c r="N3274" s="908"/>
      <c r="O3274" s="760" t="s">
        <v>1467</v>
      </c>
      <c r="P3274" s="907"/>
      <c r="Q3274" s="910"/>
      <c r="R3274" s="907"/>
    </row>
    <row r="3275" spans="6:18" ht="24" customHeight="1">
      <c r="F3275" s="573" t="s">
        <v>115</v>
      </c>
      <c r="G3275" s="585" t="s">
        <v>115</v>
      </c>
      <c r="H3275" s="574" t="s">
        <v>239</v>
      </c>
      <c r="I3275" s="573" t="s">
        <v>115</v>
      </c>
      <c r="J3275" s="574" t="s">
        <v>115</v>
      </c>
      <c r="K3275" s="587">
        <f>K3273/10</f>
        <v>75.669999999999987</v>
      </c>
      <c r="M3275" s="907"/>
      <c r="N3275" s="908"/>
      <c r="O3275" s="992" t="s">
        <v>2667</v>
      </c>
      <c r="P3275" s="907"/>
      <c r="Q3275" s="910"/>
      <c r="R3275" s="907"/>
    </row>
    <row r="3276" spans="6:18" ht="24" customHeight="1">
      <c r="J3276" s="580"/>
      <c r="K3276" s="582" t="s">
        <v>155</v>
      </c>
      <c r="M3276" s="907"/>
      <c r="N3276" s="908"/>
      <c r="O3276" s="915" t="s">
        <v>117</v>
      </c>
      <c r="P3276" s="907"/>
      <c r="Q3276" s="910"/>
      <c r="R3276" s="907"/>
    </row>
    <row r="3277" spans="6:18" ht="24" customHeight="1">
      <c r="G3277" s="619" t="s">
        <v>2693</v>
      </c>
      <c r="J3277" s="575"/>
      <c r="M3277" s="907"/>
      <c r="N3277" s="908"/>
      <c r="O3277" s="760" t="s">
        <v>2668</v>
      </c>
      <c r="P3277" s="911" t="s">
        <v>155</v>
      </c>
      <c r="Q3277" s="993">
        <v>2.4279999999999999</v>
      </c>
      <c r="R3277" s="907" t="s">
        <v>174</v>
      </c>
    </row>
    <row r="3278" spans="6:18" ht="24" customHeight="1">
      <c r="G3278" s="619" t="s">
        <v>2670</v>
      </c>
      <c r="J3278" s="575"/>
      <c r="M3278" s="907"/>
      <c r="N3278" s="908"/>
      <c r="O3278" s="760"/>
      <c r="P3278" s="911"/>
      <c r="Q3278" s="993"/>
      <c r="R3278" s="907"/>
    </row>
    <row r="3279" spans="6:18" ht="24" customHeight="1">
      <c r="G3279" s="575"/>
      <c r="J3279" s="575"/>
      <c r="M3279" s="907"/>
      <c r="N3279" s="908"/>
      <c r="O3279" s="760" t="s">
        <v>2635</v>
      </c>
      <c r="P3279" s="911" t="s">
        <v>155</v>
      </c>
      <c r="Q3279" s="994">
        <v>5.1999999999999998E-2</v>
      </c>
      <c r="R3279" s="907" t="s">
        <v>429</v>
      </c>
    </row>
    <row r="3280" spans="6:18" ht="24" customHeight="1">
      <c r="F3280" s="951">
        <v>0.10299999999999999</v>
      </c>
      <c r="G3280" s="646" t="s">
        <v>126</v>
      </c>
      <c r="H3280" s="619" t="s">
        <v>2673</v>
      </c>
      <c r="I3280" s="619">
        <f>I1102</f>
        <v>99400</v>
      </c>
      <c r="J3280" s="630" t="s">
        <v>126</v>
      </c>
      <c r="K3280" s="619">
        <f>I3280*F3280</f>
        <v>10238.199999999999</v>
      </c>
      <c r="M3280" s="907"/>
      <c r="N3280" s="908"/>
      <c r="O3280" s="760" t="s">
        <v>2636</v>
      </c>
      <c r="Q3280" s="995"/>
      <c r="R3280" s="907"/>
    </row>
    <row r="3281" spans="6:18" ht="24" customHeight="1">
      <c r="F3281" s="951">
        <v>1.32</v>
      </c>
      <c r="G3281" s="646" t="s">
        <v>140</v>
      </c>
      <c r="H3281" s="619" t="s">
        <v>2674</v>
      </c>
      <c r="I3281" s="1009">
        <v>2152</v>
      </c>
      <c r="J3281" s="630" t="s">
        <v>174</v>
      </c>
      <c r="K3281" s="619">
        <f t="shared" ref="K3281:K3290" si="295">I3281*F3281</f>
        <v>2840.6400000000003</v>
      </c>
      <c r="M3281" s="907"/>
      <c r="N3281" s="908"/>
      <c r="O3281" s="760" t="s">
        <v>2671</v>
      </c>
      <c r="P3281" s="911" t="s">
        <v>155</v>
      </c>
      <c r="Q3281" s="1005">
        <v>1.7718999999999999E-2</v>
      </c>
      <c r="R3281" s="907"/>
    </row>
    <row r="3282" spans="6:18" ht="24" customHeight="1">
      <c r="F3282" s="952">
        <v>3.3000000000000002E-2</v>
      </c>
      <c r="G3282" s="646" t="s">
        <v>126</v>
      </c>
      <c r="H3282" s="692" t="s">
        <v>1573</v>
      </c>
      <c r="I3282" s="619">
        <f>AC28</f>
        <v>95000</v>
      </c>
      <c r="J3282" s="630" t="s">
        <v>126</v>
      </c>
      <c r="K3282" s="619">
        <f t="shared" si="295"/>
        <v>3135</v>
      </c>
      <c r="M3282" s="907"/>
      <c r="N3282" s="908"/>
      <c r="O3282" s="760" t="s">
        <v>2672</v>
      </c>
      <c r="P3282" s="911" t="s">
        <v>155</v>
      </c>
      <c r="Q3282" s="1005">
        <v>7.8750000000000001E-3</v>
      </c>
      <c r="R3282" s="939"/>
    </row>
    <row r="3283" spans="6:18" ht="24" customHeight="1">
      <c r="F3283" s="952">
        <v>3.0225</v>
      </c>
      <c r="G3283" s="646" t="s">
        <v>140</v>
      </c>
      <c r="H3283" s="692" t="s">
        <v>1574</v>
      </c>
      <c r="I3283" s="619">
        <f>AE30</f>
        <v>1155</v>
      </c>
      <c r="J3283" s="630" t="s">
        <v>140</v>
      </c>
      <c r="K3283" s="619">
        <f t="shared" si="295"/>
        <v>3490.9875000000002</v>
      </c>
      <c r="M3283" s="907"/>
      <c r="N3283" s="908"/>
      <c r="O3283" s="907"/>
      <c r="P3283" s="907"/>
      <c r="Q3283" s="915" t="s">
        <v>117</v>
      </c>
    </row>
    <row r="3284" spans="6:18" ht="24" customHeight="1">
      <c r="F3284" s="619">
        <v>6</v>
      </c>
      <c r="G3284" s="646" t="s">
        <v>1576</v>
      </c>
      <c r="H3284" s="619" t="s">
        <v>2677</v>
      </c>
      <c r="I3284" s="1009">
        <v>79</v>
      </c>
      <c r="J3284" s="630" t="s">
        <v>227</v>
      </c>
      <c r="K3284" s="619">
        <f t="shared" si="295"/>
        <v>474</v>
      </c>
      <c r="M3284" s="907"/>
      <c r="N3284" s="908"/>
      <c r="O3284" s="907"/>
      <c r="P3284" s="907"/>
      <c r="Q3284" s="997">
        <v>2.5590000000000002E-2</v>
      </c>
      <c r="R3284" s="575" t="s">
        <v>429</v>
      </c>
    </row>
    <row r="3285" spans="6:18" ht="24" customHeight="1">
      <c r="F3285" s="619">
        <v>1</v>
      </c>
      <c r="G3285" s="646" t="s">
        <v>1576</v>
      </c>
      <c r="H3285" s="619" t="s">
        <v>2679</v>
      </c>
      <c r="I3285" s="619">
        <v>260</v>
      </c>
      <c r="J3285" s="630" t="s">
        <v>227</v>
      </c>
      <c r="K3285" s="619">
        <f t="shared" si="295"/>
        <v>260</v>
      </c>
      <c r="M3285" s="907"/>
      <c r="N3285" s="908"/>
      <c r="O3285" s="907"/>
      <c r="P3285" s="907"/>
      <c r="Q3285" s="915" t="s">
        <v>117</v>
      </c>
    </row>
    <row r="3286" spans="6:18" ht="24" customHeight="1">
      <c r="F3286" s="619">
        <v>2</v>
      </c>
      <c r="G3286" s="646" t="s">
        <v>1576</v>
      </c>
      <c r="H3286" s="619" t="s">
        <v>2680</v>
      </c>
      <c r="I3286" s="619">
        <v>130</v>
      </c>
      <c r="J3286" s="630" t="s">
        <v>227</v>
      </c>
      <c r="K3286" s="619">
        <f t="shared" si="295"/>
        <v>260</v>
      </c>
      <c r="M3286" s="907"/>
      <c r="N3286" s="908"/>
      <c r="O3286" s="760" t="s">
        <v>2694</v>
      </c>
      <c r="P3286" s="907"/>
      <c r="Q3286" s="998">
        <v>0.58750000000000002</v>
      </c>
      <c r="R3286" s="939"/>
    </row>
    <row r="3287" spans="6:18" ht="24" customHeight="1">
      <c r="F3287" s="619">
        <v>2</v>
      </c>
      <c r="G3287" s="646" t="s">
        <v>1576</v>
      </c>
      <c r="H3287" s="619" t="s">
        <v>2681</v>
      </c>
      <c r="I3287" s="619">
        <v>165</v>
      </c>
      <c r="J3287" s="630" t="s">
        <v>227</v>
      </c>
      <c r="K3287" s="619">
        <f t="shared" si="295"/>
        <v>330</v>
      </c>
      <c r="M3287" s="907"/>
      <c r="N3287" s="908"/>
      <c r="O3287" s="760" t="s">
        <v>2695</v>
      </c>
      <c r="P3287" s="907"/>
      <c r="Q3287" s="999">
        <v>0.28129999999999999</v>
      </c>
      <c r="R3287" s="939"/>
    </row>
    <row r="3288" spans="6:18" ht="24" customHeight="1">
      <c r="F3288" s="619">
        <v>1</v>
      </c>
      <c r="G3288" s="646" t="s">
        <v>1576</v>
      </c>
      <c r="H3288" s="619" t="s">
        <v>2683</v>
      </c>
      <c r="I3288" s="619">
        <v>985</v>
      </c>
      <c r="J3288" s="630" t="s">
        <v>227</v>
      </c>
      <c r="K3288" s="619">
        <f t="shared" si="295"/>
        <v>985</v>
      </c>
      <c r="M3288" s="907"/>
      <c r="N3288" s="908"/>
      <c r="O3288" s="760"/>
      <c r="P3288" s="907"/>
      <c r="Q3288" s="915" t="s">
        <v>117</v>
      </c>
      <c r="R3288" s="939"/>
    </row>
    <row r="3289" spans="6:18" ht="24" customHeight="1">
      <c r="F3289" s="619">
        <v>2</v>
      </c>
      <c r="G3289" s="646" t="s">
        <v>1576</v>
      </c>
      <c r="H3289" s="619" t="s">
        <v>2684</v>
      </c>
      <c r="I3289" s="619">
        <v>450</v>
      </c>
      <c r="J3289" s="630" t="s">
        <v>227</v>
      </c>
      <c r="K3289" s="619">
        <f t="shared" si="295"/>
        <v>900</v>
      </c>
      <c r="M3289" s="907"/>
      <c r="N3289" s="908"/>
      <c r="O3289" s="760"/>
      <c r="P3289" s="907"/>
      <c r="Q3289" s="999">
        <v>0.86880000000000002</v>
      </c>
      <c r="R3289" s="913" t="s">
        <v>174</v>
      </c>
    </row>
    <row r="3290" spans="6:18" ht="24" customHeight="1">
      <c r="F3290" s="619">
        <v>0</v>
      </c>
      <c r="G3290" s="646" t="s">
        <v>240</v>
      </c>
      <c r="H3290" s="619" t="s">
        <v>2685</v>
      </c>
      <c r="I3290" s="619">
        <f>I961</f>
        <v>2.37</v>
      </c>
      <c r="J3290" s="630" t="s">
        <v>227</v>
      </c>
      <c r="K3290" s="953">
        <f t="shared" si="295"/>
        <v>0</v>
      </c>
      <c r="M3290" s="907"/>
      <c r="N3290" s="908"/>
      <c r="O3290" s="907"/>
      <c r="P3290" s="907"/>
      <c r="Q3290" s="915" t="s">
        <v>117</v>
      </c>
      <c r="R3290" s="915"/>
    </row>
    <row r="3291" spans="6:18" ht="24" customHeight="1">
      <c r="F3291" s="619"/>
      <c r="G3291" s="646"/>
      <c r="H3291" s="619" t="s">
        <v>2687</v>
      </c>
      <c r="I3291" s="619"/>
      <c r="J3291" s="630"/>
      <c r="K3291" s="619">
        <f>SUM(K3280:K3290)</f>
        <v>22913.827499999999</v>
      </c>
      <c r="M3291" s="939">
        <v>5.1999999999999998E-2</v>
      </c>
      <c r="N3291" s="914" t="s">
        <v>126</v>
      </c>
      <c r="O3291" s="760" t="s">
        <v>1483</v>
      </c>
      <c r="P3291" s="758">
        <f>P3188</f>
        <v>111600</v>
      </c>
      <c r="Q3291" s="761" t="s">
        <v>126</v>
      </c>
      <c r="R3291" s="758">
        <f>P3291*M3291</f>
        <v>5803.2</v>
      </c>
    </row>
    <row r="3292" spans="6:18" ht="24" customHeight="1">
      <c r="F3292" s="619"/>
      <c r="G3292" s="646"/>
      <c r="H3292" s="619"/>
      <c r="I3292" s="619"/>
      <c r="J3292" s="630"/>
      <c r="K3292" s="953" t="s">
        <v>1586</v>
      </c>
      <c r="M3292" s="939">
        <v>2.5590000000000002E-2</v>
      </c>
      <c r="N3292" s="914" t="s">
        <v>126</v>
      </c>
      <c r="O3292" s="760" t="s">
        <v>1485</v>
      </c>
      <c r="P3292" s="758">
        <f>P3189</f>
        <v>99400</v>
      </c>
      <c r="Q3292" s="761" t="s">
        <v>126</v>
      </c>
      <c r="R3292" s="758">
        <f t="shared" ref="R3292:R3300" si="296">P3292*M3292</f>
        <v>2543.6460000000002</v>
      </c>
    </row>
    <row r="3293" spans="6:18" ht="24" customHeight="1">
      <c r="F3293" s="619"/>
      <c r="G3293" s="646"/>
      <c r="H3293" s="619" t="s">
        <v>2688</v>
      </c>
      <c r="I3293" s="619"/>
      <c r="J3293" s="630"/>
      <c r="K3293" s="619">
        <f>K3291/F3283</f>
        <v>7581.0843672456576</v>
      </c>
      <c r="M3293" s="758">
        <v>0.87</v>
      </c>
      <c r="N3293" s="914" t="s">
        <v>140</v>
      </c>
      <c r="O3293" s="573" t="s">
        <v>623</v>
      </c>
      <c r="P3293" s="758">
        <f>C783</f>
        <v>387.4</v>
      </c>
      <c r="Q3293" s="761" t="s">
        <v>126</v>
      </c>
      <c r="R3293" s="758">
        <f t="shared" si="296"/>
        <v>337.03799999999995</v>
      </c>
    </row>
    <row r="3294" spans="6:18" ht="24" customHeight="1">
      <c r="F3294" s="619"/>
      <c r="G3294" s="646"/>
      <c r="H3294" s="619"/>
      <c r="I3294" s="619"/>
      <c r="J3294" s="630"/>
      <c r="K3294" s="953" t="s">
        <v>1586</v>
      </c>
      <c r="M3294" s="955">
        <v>2.4279999999999999</v>
      </c>
      <c r="N3294" s="914" t="s">
        <v>140</v>
      </c>
      <c r="O3294" s="760" t="s">
        <v>1480</v>
      </c>
      <c r="P3294" s="758">
        <f>D30</f>
        <v>963</v>
      </c>
      <c r="Q3294" s="761" t="s">
        <v>140</v>
      </c>
      <c r="R3294" s="758">
        <f t="shared" si="296"/>
        <v>2338.1639999999998</v>
      </c>
    </row>
    <row r="3295" spans="6:18" ht="24" customHeight="1">
      <c r="G3295" s="575"/>
      <c r="J3295" s="575"/>
      <c r="M3295" s="758">
        <v>4</v>
      </c>
      <c r="N3295" s="914" t="s">
        <v>1</v>
      </c>
      <c r="O3295" s="760" t="s">
        <v>2644</v>
      </c>
      <c r="P3295" s="758">
        <f t="shared" ref="P3295:P3300" si="297">P3228</f>
        <v>50.9</v>
      </c>
      <c r="Q3295" s="761" t="s">
        <v>209</v>
      </c>
      <c r="R3295" s="758">
        <f t="shared" si="296"/>
        <v>203.6</v>
      </c>
    </row>
    <row r="3296" spans="6:18" ht="24" customHeight="1">
      <c r="G3296" s="575"/>
      <c r="J3296" s="575"/>
      <c r="M3296" s="758">
        <v>8</v>
      </c>
      <c r="N3296" s="914" t="s">
        <v>209</v>
      </c>
      <c r="O3296" s="760" t="s">
        <v>1482</v>
      </c>
      <c r="P3296" s="758">
        <f t="shared" si="297"/>
        <v>79.099999999999994</v>
      </c>
      <c r="Q3296" s="761" t="s">
        <v>209</v>
      </c>
      <c r="R3296" s="758">
        <f t="shared" si="296"/>
        <v>632.79999999999995</v>
      </c>
    </row>
    <row r="3297" spans="6:18" ht="24" customHeight="1">
      <c r="G3297" s="585" t="s">
        <v>1258</v>
      </c>
      <c r="H3297" s="574" t="s">
        <v>1421</v>
      </c>
      <c r="M3297" s="758">
        <v>4</v>
      </c>
      <c r="N3297" s="914" t="s">
        <v>209</v>
      </c>
      <c r="O3297" s="760" t="s">
        <v>2663</v>
      </c>
      <c r="P3297" s="758">
        <f t="shared" si="297"/>
        <v>86.3</v>
      </c>
      <c r="Q3297" s="761" t="s">
        <v>209</v>
      </c>
      <c r="R3297" s="758">
        <f t="shared" si="296"/>
        <v>345.2</v>
      </c>
    </row>
    <row r="3298" spans="6:18" ht="24" customHeight="1">
      <c r="H3298" s="574" t="s">
        <v>1434</v>
      </c>
      <c r="M3298" s="758">
        <v>1</v>
      </c>
      <c r="N3298" s="914" t="s">
        <v>209</v>
      </c>
      <c r="O3298" s="760" t="s">
        <v>2664</v>
      </c>
      <c r="P3298" s="758">
        <f t="shared" si="297"/>
        <v>185.2</v>
      </c>
      <c r="Q3298" s="761" t="s">
        <v>209</v>
      </c>
      <c r="R3298" s="758">
        <f t="shared" si="296"/>
        <v>185.2</v>
      </c>
    </row>
    <row r="3299" spans="6:18" ht="24" customHeight="1">
      <c r="F3299" s="651">
        <v>6.5000000000000002E-2</v>
      </c>
      <c r="G3299" s="585" t="s">
        <v>126</v>
      </c>
      <c r="H3299" s="573" t="s">
        <v>1424</v>
      </c>
      <c r="I3299" s="587">
        <f>I859</f>
        <v>6679.6007444999996</v>
      </c>
      <c r="J3299" s="573" t="s">
        <v>126</v>
      </c>
      <c r="K3299" s="587">
        <f>I3299*F3299</f>
        <v>434.17404839249997</v>
      </c>
      <c r="M3299" s="758">
        <v>2</v>
      </c>
      <c r="N3299" s="914" t="s">
        <v>209</v>
      </c>
      <c r="O3299" s="760" t="s">
        <v>2665</v>
      </c>
      <c r="P3299" s="758">
        <f t="shared" si="297"/>
        <v>22.7</v>
      </c>
      <c r="Q3299" s="761" t="s">
        <v>209</v>
      </c>
      <c r="R3299" s="758">
        <f t="shared" si="296"/>
        <v>45.4</v>
      </c>
    </row>
    <row r="3300" spans="6:18" ht="24" customHeight="1">
      <c r="F3300" s="698">
        <v>8.4499999999999993</v>
      </c>
      <c r="G3300" s="585" t="s">
        <v>148</v>
      </c>
      <c r="H3300" s="573" t="s">
        <v>1426</v>
      </c>
      <c r="I3300" s="587">
        <f t="shared" ref="I3300:I3310" si="298">I860</f>
        <v>68782.5</v>
      </c>
      <c r="J3300" s="573" t="s">
        <v>124</v>
      </c>
      <c r="K3300" s="587">
        <f>I3300*F3300/1000</f>
        <v>581.21212500000001</v>
      </c>
      <c r="M3300" s="758">
        <v>2</v>
      </c>
      <c r="N3300" s="914" t="s">
        <v>209</v>
      </c>
      <c r="O3300" s="760" t="s">
        <v>2666</v>
      </c>
      <c r="P3300" s="758">
        <f t="shared" si="297"/>
        <v>43.8</v>
      </c>
      <c r="Q3300" s="761" t="s">
        <v>209</v>
      </c>
      <c r="R3300" s="758">
        <f t="shared" si="296"/>
        <v>87.6</v>
      </c>
    </row>
    <row r="3301" spans="6:18" ht="24" customHeight="1">
      <c r="F3301" s="587">
        <v>3</v>
      </c>
      <c r="G3301" s="585" t="s">
        <v>209</v>
      </c>
      <c r="H3301" s="573" t="s">
        <v>1428</v>
      </c>
      <c r="I3301" s="587">
        <f t="shared" si="298"/>
        <v>14.8</v>
      </c>
      <c r="J3301" s="573" t="s">
        <v>209</v>
      </c>
      <c r="K3301" s="587">
        <f t="shared" ref="K3301:K3308" si="299">I3301*F3301</f>
        <v>44.400000000000006</v>
      </c>
      <c r="M3301" s="907"/>
      <c r="N3301" s="908"/>
      <c r="O3301" s="907" t="s">
        <v>2604</v>
      </c>
      <c r="P3301" s="907"/>
      <c r="Q3301" s="910"/>
      <c r="R3301" s="919">
        <f>R3199</f>
        <v>279.66000000000003</v>
      </c>
    </row>
    <row r="3302" spans="6:18" ht="24" customHeight="1">
      <c r="F3302" s="587">
        <v>12</v>
      </c>
      <c r="G3302" s="585" t="s">
        <v>209</v>
      </c>
      <c r="H3302" s="573" t="s">
        <v>1429</v>
      </c>
      <c r="I3302" s="587">
        <f t="shared" si="298"/>
        <v>2</v>
      </c>
      <c r="J3302" s="573" t="s">
        <v>209</v>
      </c>
      <c r="K3302" s="587">
        <f t="shared" si="299"/>
        <v>24</v>
      </c>
      <c r="M3302" s="907"/>
      <c r="N3302" s="908"/>
      <c r="O3302" s="907"/>
      <c r="P3302" s="907"/>
      <c r="Q3302" s="910"/>
      <c r="R3302" s="915" t="s">
        <v>117</v>
      </c>
    </row>
    <row r="3303" spans="6:18" ht="24" customHeight="1">
      <c r="F3303" s="587">
        <v>2</v>
      </c>
      <c r="G3303" s="585" t="s">
        <v>209</v>
      </c>
      <c r="H3303" s="573" t="s">
        <v>1430</v>
      </c>
      <c r="I3303" s="587">
        <f t="shared" si="298"/>
        <v>4.9000000000000004</v>
      </c>
      <c r="J3303" s="573" t="s">
        <v>209</v>
      </c>
      <c r="K3303" s="587">
        <f t="shared" si="299"/>
        <v>9.8000000000000007</v>
      </c>
      <c r="M3303" s="907"/>
      <c r="N3303" s="908"/>
      <c r="O3303" s="760" t="s">
        <v>2690</v>
      </c>
      <c r="P3303" s="907"/>
      <c r="Q3303" s="910"/>
      <c r="R3303" s="758">
        <f>SUM(R3291:R3301)</f>
        <v>12801.508</v>
      </c>
    </row>
    <row r="3304" spans="6:18" ht="24" customHeight="1">
      <c r="F3304" s="587">
        <v>6</v>
      </c>
      <c r="G3304" s="585" t="s">
        <v>209</v>
      </c>
      <c r="H3304" s="573" t="s">
        <v>1432</v>
      </c>
      <c r="I3304" s="587">
        <f t="shared" si="298"/>
        <v>4.45</v>
      </c>
      <c r="J3304" s="573" t="s">
        <v>209</v>
      </c>
      <c r="K3304" s="587">
        <f t="shared" si="299"/>
        <v>26.700000000000003</v>
      </c>
      <c r="M3304" s="907"/>
      <c r="N3304" s="908"/>
      <c r="O3304" s="907"/>
      <c r="P3304" s="907"/>
      <c r="Q3304" s="910"/>
      <c r="R3304" s="915" t="s">
        <v>117</v>
      </c>
    </row>
    <row r="3305" spans="6:18" ht="24" customHeight="1">
      <c r="F3305" s="587">
        <v>1</v>
      </c>
      <c r="G3305" s="585" t="s">
        <v>209</v>
      </c>
      <c r="H3305" s="573" t="s">
        <v>1435</v>
      </c>
      <c r="I3305" s="587">
        <f t="shared" si="298"/>
        <v>769</v>
      </c>
      <c r="J3305" s="573" t="s">
        <v>209</v>
      </c>
      <c r="K3305" s="587">
        <f t="shared" si="299"/>
        <v>769</v>
      </c>
      <c r="M3305" s="907"/>
      <c r="N3305" s="908"/>
      <c r="O3305" s="921" t="s">
        <v>154</v>
      </c>
      <c r="P3305" s="907"/>
      <c r="Q3305" s="912" t="s">
        <v>2433</v>
      </c>
      <c r="R3305" s="922">
        <f>R3303/M3294</f>
        <v>5272.4497528830316</v>
      </c>
    </row>
    <row r="3306" spans="6:18" ht="24" customHeight="1">
      <c r="F3306" s="587">
        <v>1</v>
      </c>
      <c r="G3306" s="585" t="s">
        <v>209</v>
      </c>
      <c r="H3306" s="573" t="s">
        <v>1436</v>
      </c>
      <c r="I3306" s="587">
        <f t="shared" si="298"/>
        <v>502</v>
      </c>
      <c r="J3306" s="573" t="s">
        <v>209</v>
      </c>
      <c r="K3306" s="587">
        <f t="shared" si="299"/>
        <v>502</v>
      </c>
      <c r="M3306" s="761"/>
      <c r="N3306" s="914" t="s">
        <v>122</v>
      </c>
      <c r="O3306" s="760" t="s">
        <v>2696</v>
      </c>
      <c r="P3306" s="907"/>
      <c r="Q3306" s="910"/>
      <c r="R3306" s="907"/>
    </row>
    <row r="3307" spans="6:18" ht="24" customHeight="1">
      <c r="F3307" s="587">
        <v>1</v>
      </c>
      <c r="G3307" s="585" t="s">
        <v>209</v>
      </c>
      <c r="H3307" s="573" t="s">
        <v>1437</v>
      </c>
      <c r="I3307" s="587">
        <f t="shared" si="298"/>
        <v>25</v>
      </c>
      <c r="J3307" s="573" t="s">
        <v>209</v>
      </c>
      <c r="K3307" s="587">
        <f t="shared" si="299"/>
        <v>25</v>
      </c>
      <c r="M3307" s="907"/>
      <c r="N3307" s="908"/>
      <c r="O3307" s="760" t="s">
        <v>1467</v>
      </c>
      <c r="P3307" s="907"/>
      <c r="Q3307" s="910"/>
      <c r="R3307" s="907"/>
    </row>
    <row r="3308" spans="6:18" ht="24" customHeight="1">
      <c r="F3308" s="587">
        <v>0.5</v>
      </c>
      <c r="G3308" s="585" t="s">
        <v>209</v>
      </c>
      <c r="H3308" s="573" t="s">
        <v>1438</v>
      </c>
      <c r="I3308" s="587">
        <f t="shared" si="298"/>
        <v>412</v>
      </c>
      <c r="J3308" s="573" t="s">
        <v>209</v>
      </c>
      <c r="K3308" s="587">
        <f t="shared" si="299"/>
        <v>206</v>
      </c>
      <c r="M3308" s="907"/>
      <c r="N3308" s="908"/>
      <c r="O3308" s="992" t="s">
        <v>2633</v>
      </c>
      <c r="P3308" s="907"/>
      <c r="Q3308" s="910"/>
      <c r="R3308" s="907"/>
    </row>
    <row r="3309" spans="6:18" ht="24" customHeight="1">
      <c r="G3309" s="585" t="s">
        <v>129</v>
      </c>
      <c r="H3309" s="573" t="s">
        <v>1439</v>
      </c>
      <c r="I3309" s="587">
        <f t="shared" si="298"/>
        <v>0</v>
      </c>
      <c r="J3309" s="573" t="s">
        <v>129</v>
      </c>
      <c r="K3309" s="587">
        <v>2.1</v>
      </c>
      <c r="M3309" s="907"/>
      <c r="N3309" s="908"/>
      <c r="O3309" s="915" t="s">
        <v>117</v>
      </c>
      <c r="P3309" s="907"/>
      <c r="Q3309" s="910"/>
      <c r="R3309" s="907"/>
    </row>
    <row r="3310" spans="6:18" ht="24" customHeight="1">
      <c r="I3310" s="587">
        <f t="shared" si="298"/>
        <v>0</v>
      </c>
      <c r="K3310" s="582" t="s">
        <v>117</v>
      </c>
      <c r="M3310" s="907"/>
      <c r="N3310" s="908"/>
      <c r="O3310" s="760" t="s">
        <v>2634</v>
      </c>
      <c r="P3310" s="911" t="s">
        <v>155</v>
      </c>
      <c r="Q3310" s="993">
        <v>3.1219999999999999</v>
      </c>
      <c r="R3310" s="960" t="s">
        <v>174</v>
      </c>
    </row>
    <row r="3311" spans="6:18" ht="24" customHeight="1">
      <c r="H3311" s="589" t="s">
        <v>1440</v>
      </c>
      <c r="K3311" s="645">
        <f>SUM(K3299:K3310)</f>
        <v>2624.3861733925</v>
      </c>
      <c r="M3311" s="907"/>
      <c r="N3311" s="908"/>
      <c r="O3311" s="760"/>
      <c r="P3311" s="911"/>
      <c r="Q3311" s="993"/>
      <c r="R3311" s="960"/>
    </row>
    <row r="3312" spans="6:18" ht="24" customHeight="1">
      <c r="K3312" s="582" t="s">
        <v>117</v>
      </c>
      <c r="M3312" s="907"/>
      <c r="N3312" s="908"/>
      <c r="O3312" s="760" t="s">
        <v>2635</v>
      </c>
      <c r="P3312" s="911" t="s">
        <v>155</v>
      </c>
      <c r="Q3312" s="994">
        <v>5.1999999999999998E-2</v>
      </c>
      <c r="R3312" s="960" t="s">
        <v>429</v>
      </c>
    </row>
    <row r="3313" spans="6:18" ht="24" customHeight="1">
      <c r="G3313" s="575"/>
      <c r="J3313" s="575"/>
      <c r="M3313" s="907"/>
      <c r="N3313" s="908"/>
      <c r="O3313" s="760" t="s">
        <v>2636</v>
      </c>
      <c r="Q3313" s="995"/>
      <c r="R3313" s="960"/>
    </row>
    <row r="3314" spans="6:18" ht="24" customHeight="1">
      <c r="G3314" s="575"/>
      <c r="J3314" s="575"/>
      <c r="M3314" s="907"/>
      <c r="N3314" s="908"/>
      <c r="O3314" s="760" t="s">
        <v>2637</v>
      </c>
      <c r="P3314" s="911" t="s">
        <v>155</v>
      </c>
      <c r="Q3314" s="996">
        <v>2.2780000000000002E-2</v>
      </c>
      <c r="R3314" s="960"/>
    </row>
    <row r="3315" spans="6:18" ht="24" customHeight="1">
      <c r="G3315" s="619" t="s">
        <v>2458</v>
      </c>
      <c r="J3315" s="575"/>
      <c r="M3315" s="907"/>
      <c r="N3315" s="908"/>
      <c r="O3315" s="760" t="s">
        <v>2639</v>
      </c>
      <c r="P3315" s="911" t="s">
        <v>155</v>
      </c>
      <c r="Q3315" s="1005">
        <v>1.0125E-2</v>
      </c>
      <c r="R3315" s="961"/>
    </row>
    <row r="3316" spans="6:18" ht="24" customHeight="1">
      <c r="G3316" s="619" t="s">
        <v>2459</v>
      </c>
      <c r="J3316" s="575"/>
      <c r="M3316" s="907"/>
      <c r="N3316" s="908"/>
      <c r="O3316" s="907"/>
      <c r="P3316" s="907"/>
      <c r="Q3316" s="1003" t="s">
        <v>2653</v>
      </c>
      <c r="R3316" s="578"/>
    </row>
    <row r="3317" spans="6:18" ht="24" customHeight="1">
      <c r="G3317" s="575"/>
      <c r="J3317" s="575"/>
      <c r="M3317" s="907"/>
      <c r="N3317" s="908"/>
      <c r="O3317" s="907"/>
      <c r="P3317" s="907"/>
      <c r="Q3317" s="997">
        <v>3.2910000000000002E-2</v>
      </c>
      <c r="R3317" s="578" t="s">
        <v>429</v>
      </c>
    </row>
    <row r="3318" spans="6:18" ht="24" customHeight="1">
      <c r="F3318" s="952">
        <v>2.6159999999999999E-2</v>
      </c>
      <c r="G3318" s="646" t="s">
        <v>126</v>
      </c>
      <c r="H3318" s="619" t="s">
        <v>1571</v>
      </c>
      <c r="I3318" s="619">
        <f>AC26</f>
        <v>111600</v>
      </c>
      <c r="J3318" s="630" t="s">
        <v>126</v>
      </c>
      <c r="K3318" s="619">
        <f>I3318*F3318</f>
        <v>2919.4560000000001</v>
      </c>
      <c r="M3318" s="907"/>
      <c r="N3318" s="908"/>
      <c r="O3318" s="907"/>
      <c r="P3318" s="907"/>
      <c r="Q3318" s="1003" t="s">
        <v>2653</v>
      </c>
      <c r="R3318" s="578"/>
    </row>
    <row r="3319" spans="6:18" ht="24" customHeight="1">
      <c r="F3319" s="952">
        <v>4.7809999999999998E-2</v>
      </c>
      <c r="G3319" s="646" t="s">
        <v>126</v>
      </c>
      <c r="H3319" s="619" t="s">
        <v>1572</v>
      </c>
      <c r="I3319" s="619">
        <f>AC27</f>
        <v>99400</v>
      </c>
      <c r="J3319" s="630" t="s">
        <v>126</v>
      </c>
      <c r="K3319" s="619">
        <f t="shared" ref="K3319:K3327" si="300">I3319*F3319</f>
        <v>4752.3139999999994</v>
      </c>
      <c r="M3319" s="907"/>
      <c r="N3319" s="908"/>
      <c r="O3319" s="760" t="s">
        <v>2654</v>
      </c>
      <c r="P3319" s="907"/>
      <c r="Q3319" s="880">
        <v>0.94</v>
      </c>
      <c r="R3319" s="961" t="s">
        <v>174</v>
      </c>
    </row>
    <row r="3320" spans="6:18" ht="24" customHeight="1">
      <c r="F3320" s="952">
        <v>4.5879999999999997E-2</v>
      </c>
      <c r="G3320" s="646" t="s">
        <v>126</v>
      </c>
      <c r="H3320" s="1010" t="s">
        <v>2697</v>
      </c>
      <c r="I3320" s="1011">
        <v>107000</v>
      </c>
      <c r="J3320" s="630" t="s">
        <v>126</v>
      </c>
      <c r="K3320" s="619">
        <f t="shared" si="300"/>
        <v>4909.16</v>
      </c>
      <c r="M3320" s="907"/>
      <c r="N3320" s="908"/>
      <c r="O3320" s="760" t="s">
        <v>2698</v>
      </c>
      <c r="P3320" s="907"/>
      <c r="Q3320" s="1000">
        <v>0.45</v>
      </c>
      <c r="R3320" s="961" t="s">
        <v>429</v>
      </c>
    </row>
    <row r="3321" spans="6:18" ht="24" customHeight="1">
      <c r="F3321" s="952">
        <v>3.95</v>
      </c>
      <c r="G3321" s="646" t="s">
        <v>140</v>
      </c>
      <c r="H3321" s="619" t="s">
        <v>1574</v>
      </c>
      <c r="I3321" s="619">
        <f>P3261</f>
        <v>1155</v>
      </c>
      <c r="J3321" s="630" t="s">
        <v>140</v>
      </c>
      <c r="K3321" s="619">
        <f t="shared" si="300"/>
        <v>4562.25</v>
      </c>
      <c r="M3321" s="907"/>
      <c r="N3321" s="908"/>
      <c r="O3321" s="760" t="s">
        <v>2656</v>
      </c>
      <c r="P3321" s="907"/>
      <c r="Q3321" s="1000">
        <v>7.9</v>
      </c>
      <c r="R3321" s="961" t="s">
        <v>231</v>
      </c>
    </row>
    <row r="3322" spans="6:18" ht="24" customHeight="1">
      <c r="F3322" s="619">
        <v>2</v>
      </c>
      <c r="G3322" s="646" t="s">
        <v>1576</v>
      </c>
      <c r="H3322" s="619" t="s">
        <v>1577</v>
      </c>
      <c r="I3322" s="619">
        <f t="shared" ref="I3322:I3327" si="301">P3262</f>
        <v>50.9</v>
      </c>
      <c r="J3322" s="630" t="s">
        <v>227</v>
      </c>
      <c r="K3322" s="619">
        <f t="shared" si="300"/>
        <v>101.8</v>
      </c>
      <c r="M3322" s="907"/>
      <c r="N3322" s="908"/>
      <c r="O3322" s="907"/>
      <c r="P3322" s="907"/>
      <c r="Q3322" s="915"/>
      <c r="R3322" s="915"/>
    </row>
    <row r="3323" spans="6:18" ht="24" customHeight="1">
      <c r="F3323" s="619">
        <v>6</v>
      </c>
      <c r="G3323" s="646" t="s">
        <v>1576</v>
      </c>
      <c r="H3323" s="619" t="s">
        <v>1578</v>
      </c>
      <c r="I3323" s="619">
        <f t="shared" si="301"/>
        <v>79.099999999999994</v>
      </c>
      <c r="J3323" s="630" t="s">
        <v>227</v>
      </c>
      <c r="K3323" s="619">
        <f t="shared" si="300"/>
        <v>474.59999999999997</v>
      </c>
      <c r="M3323" s="939">
        <v>5.1999999999999998E-2</v>
      </c>
      <c r="N3323" s="914" t="s">
        <v>126</v>
      </c>
      <c r="O3323" s="760" t="s">
        <v>1483</v>
      </c>
      <c r="P3323" s="758">
        <f>P3221</f>
        <v>111600</v>
      </c>
      <c r="Q3323" s="761" t="s">
        <v>126</v>
      </c>
      <c r="R3323" s="758">
        <f>P3323*M3323</f>
        <v>5803.2</v>
      </c>
    </row>
    <row r="3324" spans="6:18" ht="24" customHeight="1">
      <c r="F3324" s="619">
        <v>4</v>
      </c>
      <c r="G3324" s="646" t="s">
        <v>1576</v>
      </c>
      <c r="H3324" s="619" t="s">
        <v>1579</v>
      </c>
      <c r="I3324" s="619">
        <f t="shared" si="301"/>
        <v>86.3</v>
      </c>
      <c r="J3324" s="630" t="s">
        <v>227</v>
      </c>
      <c r="K3324" s="619">
        <f t="shared" si="300"/>
        <v>345.2</v>
      </c>
      <c r="M3324" s="939">
        <v>3.2910000000000002E-2</v>
      </c>
      <c r="N3324" s="914" t="s">
        <v>126</v>
      </c>
      <c r="O3324" s="760" t="s">
        <v>1485</v>
      </c>
      <c r="P3324" s="758">
        <f>P3222</f>
        <v>99400</v>
      </c>
      <c r="Q3324" s="761" t="s">
        <v>126</v>
      </c>
      <c r="R3324" s="758">
        <f t="shared" ref="R3324:R3335" si="302">P3324*M3324</f>
        <v>3271.2540000000004</v>
      </c>
    </row>
    <row r="3325" spans="6:18" ht="24" customHeight="1">
      <c r="F3325" s="619">
        <v>1</v>
      </c>
      <c r="G3325" s="646" t="s">
        <v>1576</v>
      </c>
      <c r="H3325" s="619" t="s">
        <v>1581</v>
      </c>
      <c r="I3325" s="619">
        <f t="shared" si="301"/>
        <v>185.2</v>
      </c>
      <c r="J3325" s="630" t="s">
        <v>227</v>
      </c>
      <c r="K3325" s="619">
        <f t="shared" si="300"/>
        <v>185.2</v>
      </c>
      <c r="M3325" s="939">
        <v>0.45</v>
      </c>
      <c r="N3325" s="914" t="s">
        <v>140</v>
      </c>
      <c r="O3325" s="573" t="s">
        <v>623</v>
      </c>
      <c r="P3325" s="758">
        <f>P3293</f>
        <v>387.4</v>
      </c>
      <c r="Q3325" s="761" t="s">
        <v>126</v>
      </c>
      <c r="R3325" s="758">
        <f t="shared" si="302"/>
        <v>174.32999999999998</v>
      </c>
    </row>
    <row r="3326" spans="6:18" ht="24" customHeight="1">
      <c r="F3326" s="619">
        <v>2</v>
      </c>
      <c r="G3326" s="646" t="s">
        <v>1576</v>
      </c>
      <c r="H3326" s="619" t="s">
        <v>2699</v>
      </c>
      <c r="I3326" s="619">
        <f t="shared" si="301"/>
        <v>22.7</v>
      </c>
      <c r="J3326" s="630" t="s">
        <v>227</v>
      </c>
      <c r="K3326" s="619">
        <f t="shared" si="300"/>
        <v>45.4</v>
      </c>
      <c r="M3326" s="955">
        <v>0.94</v>
      </c>
      <c r="N3326" s="914" t="s">
        <v>140</v>
      </c>
      <c r="O3326" s="760" t="s">
        <v>2700</v>
      </c>
      <c r="P3326" s="758">
        <f t="shared" ref="P3326:P3334" si="303">P3225</f>
        <v>355.5</v>
      </c>
      <c r="Q3326" s="910" t="s">
        <v>140</v>
      </c>
      <c r="R3326" s="758">
        <f t="shared" si="302"/>
        <v>334.16999999999996</v>
      </c>
    </row>
    <row r="3327" spans="6:18" ht="24" customHeight="1">
      <c r="F3327" s="619">
        <v>2</v>
      </c>
      <c r="G3327" s="646" t="s">
        <v>1576</v>
      </c>
      <c r="H3327" s="619" t="s">
        <v>630</v>
      </c>
      <c r="I3327" s="619">
        <f t="shared" si="301"/>
        <v>43.8</v>
      </c>
      <c r="J3327" s="630" t="s">
        <v>227</v>
      </c>
      <c r="K3327" s="619">
        <f t="shared" si="300"/>
        <v>87.6</v>
      </c>
      <c r="M3327" s="955">
        <v>7.9</v>
      </c>
      <c r="N3327" s="914" t="s">
        <v>203</v>
      </c>
      <c r="O3327" s="760" t="s">
        <v>2701</v>
      </c>
      <c r="P3327" s="758">
        <f t="shared" si="303"/>
        <v>15.15</v>
      </c>
      <c r="Q3327" s="910"/>
      <c r="R3327" s="758">
        <f t="shared" si="302"/>
        <v>119.685</v>
      </c>
    </row>
    <row r="3328" spans="6:18" ht="24" customHeight="1">
      <c r="F3328" s="619">
        <v>10</v>
      </c>
      <c r="G3328" s="646"/>
      <c r="H3328" s="1010" t="s">
        <v>2702</v>
      </c>
      <c r="I3328" s="619">
        <f>I3290</f>
        <v>2.37</v>
      </c>
      <c r="J3328" s="630"/>
      <c r="K3328" s="619">
        <v>24.3</v>
      </c>
      <c r="M3328" s="955">
        <v>3.1219999999999999</v>
      </c>
      <c r="N3328" s="914" t="s">
        <v>140</v>
      </c>
      <c r="O3328" s="760" t="s">
        <v>1480</v>
      </c>
      <c r="P3328" s="758">
        <f t="shared" si="303"/>
        <v>1078</v>
      </c>
      <c r="Q3328" s="761" t="s">
        <v>140</v>
      </c>
      <c r="R3328" s="758">
        <f t="shared" si="302"/>
        <v>3365.5160000000001</v>
      </c>
    </row>
    <row r="3329" spans="6:18" ht="24" customHeight="1">
      <c r="F3329" s="619"/>
      <c r="G3329" s="646"/>
      <c r="H3329" s="619" t="s">
        <v>154</v>
      </c>
      <c r="I3329" s="619"/>
      <c r="J3329" s="630"/>
      <c r="K3329" s="619">
        <f>SUM(K3318:K3328)</f>
        <v>18407.28</v>
      </c>
      <c r="M3329" s="758">
        <v>4</v>
      </c>
      <c r="N3329" s="914" t="s">
        <v>1</v>
      </c>
      <c r="O3329" s="760" t="s">
        <v>2644</v>
      </c>
      <c r="P3329" s="758">
        <f t="shared" si="303"/>
        <v>50.9</v>
      </c>
      <c r="Q3329" s="761" t="s">
        <v>209</v>
      </c>
      <c r="R3329" s="758">
        <f t="shared" si="302"/>
        <v>203.6</v>
      </c>
    </row>
    <row r="3330" spans="6:18" ht="24" customHeight="1">
      <c r="F3330" s="619"/>
      <c r="G3330" s="646"/>
      <c r="H3330" s="619"/>
      <c r="I3330" s="619"/>
      <c r="J3330" s="630"/>
      <c r="K3330" s="953" t="s">
        <v>1586</v>
      </c>
      <c r="M3330" s="758">
        <v>8</v>
      </c>
      <c r="N3330" s="914" t="s">
        <v>209</v>
      </c>
      <c r="O3330" s="760" t="s">
        <v>1482</v>
      </c>
      <c r="P3330" s="758">
        <f t="shared" si="303"/>
        <v>79.099999999999994</v>
      </c>
      <c r="Q3330" s="761" t="s">
        <v>209</v>
      </c>
      <c r="R3330" s="758">
        <f t="shared" si="302"/>
        <v>632.79999999999995</v>
      </c>
    </row>
    <row r="3331" spans="6:18" ht="24" customHeight="1">
      <c r="F3331" s="619"/>
      <c r="G3331" s="646"/>
      <c r="H3331" s="619" t="s">
        <v>154</v>
      </c>
      <c r="I3331" s="619"/>
      <c r="J3331" s="630"/>
      <c r="K3331" s="619">
        <f>K3329/F3321</f>
        <v>4660.0708860759487</v>
      </c>
      <c r="M3331" s="758">
        <v>4</v>
      </c>
      <c r="N3331" s="914" t="s">
        <v>209</v>
      </c>
      <c r="O3331" s="760" t="s">
        <v>2663</v>
      </c>
      <c r="P3331" s="758">
        <f t="shared" si="303"/>
        <v>86.3</v>
      </c>
      <c r="Q3331" s="761" t="s">
        <v>209</v>
      </c>
      <c r="R3331" s="758">
        <f t="shared" si="302"/>
        <v>345.2</v>
      </c>
    </row>
    <row r="3332" spans="6:18" ht="24" customHeight="1">
      <c r="F3332" s="619"/>
      <c r="G3332" s="646"/>
      <c r="H3332" s="619"/>
      <c r="I3332" s="619"/>
      <c r="J3332" s="630"/>
      <c r="K3332" s="953" t="s">
        <v>1586</v>
      </c>
      <c r="M3332" s="758">
        <v>1</v>
      </c>
      <c r="N3332" s="914" t="s">
        <v>209</v>
      </c>
      <c r="O3332" s="760" t="s">
        <v>2664</v>
      </c>
      <c r="P3332" s="758">
        <f t="shared" si="303"/>
        <v>185.2</v>
      </c>
      <c r="Q3332" s="761" t="s">
        <v>209</v>
      </c>
      <c r="R3332" s="758">
        <f t="shared" si="302"/>
        <v>185.2</v>
      </c>
    </row>
    <row r="3333" spans="6:18" ht="24" customHeight="1">
      <c r="G3333" s="575"/>
      <c r="J3333" s="575"/>
      <c r="M3333" s="758">
        <v>2</v>
      </c>
      <c r="N3333" s="914" t="s">
        <v>209</v>
      </c>
      <c r="O3333" s="760" t="s">
        <v>2665</v>
      </c>
      <c r="P3333" s="758">
        <f t="shared" si="303"/>
        <v>22.7</v>
      </c>
      <c r="Q3333" s="761" t="s">
        <v>209</v>
      </c>
      <c r="R3333" s="758">
        <f t="shared" si="302"/>
        <v>45.4</v>
      </c>
    </row>
    <row r="3334" spans="6:18" ht="24" customHeight="1">
      <c r="G3334" s="575"/>
      <c r="J3334" s="575"/>
      <c r="M3334" s="758">
        <v>2</v>
      </c>
      <c r="N3334" s="914" t="s">
        <v>209</v>
      </c>
      <c r="O3334" s="760" t="s">
        <v>2666</v>
      </c>
      <c r="P3334" s="758">
        <f t="shared" si="303"/>
        <v>43.8</v>
      </c>
      <c r="Q3334" s="761" t="s">
        <v>209</v>
      </c>
      <c r="R3334" s="758">
        <f t="shared" si="302"/>
        <v>87.6</v>
      </c>
    </row>
    <row r="3335" spans="6:18" ht="24" customHeight="1">
      <c r="G3335" s="575"/>
      <c r="J3335" s="575"/>
      <c r="M3335" s="907">
        <v>118</v>
      </c>
      <c r="N3335" s="914" t="s">
        <v>209</v>
      </c>
      <c r="O3335" s="907" t="s">
        <v>2604</v>
      </c>
      <c r="P3335" s="907">
        <f>P3268</f>
        <v>2.37</v>
      </c>
      <c r="Q3335" s="761" t="s">
        <v>209</v>
      </c>
      <c r="R3335" s="758">
        <f t="shared" si="302"/>
        <v>279.66000000000003</v>
      </c>
    </row>
    <row r="3336" spans="6:18" ht="24" customHeight="1">
      <c r="F3336" s="574"/>
      <c r="G3336" s="585" t="s">
        <v>122</v>
      </c>
      <c r="H3336" s="573" t="s">
        <v>2703</v>
      </c>
      <c r="J3336" s="580"/>
      <c r="M3336" s="907"/>
      <c r="N3336" s="908"/>
      <c r="O3336" s="907"/>
      <c r="P3336" s="907"/>
      <c r="Q3336" s="910"/>
      <c r="R3336" s="915" t="s">
        <v>117</v>
      </c>
    </row>
    <row r="3337" spans="6:18" ht="24" customHeight="1">
      <c r="H3337" s="573" t="s">
        <v>178</v>
      </c>
      <c r="J3337" s="580"/>
      <c r="M3337" s="907"/>
      <c r="N3337" s="908"/>
      <c r="O3337" s="760" t="s">
        <v>2650</v>
      </c>
      <c r="P3337" s="907"/>
      <c r="Q3337" s="910"/>
      <c r="R3337" s="758">
        <f>SUM(R3323:R3335)</f>
        <v>14847.615</v>
      </c>
    </row>
    <row r="3338" spans="6:18" ht="24" customHeight="1">
      <c r="H3338" s="577" t="s">
        <v>179</v>
      </c>
      <c r="J3338" s="580"/>
      <c r="M3338" s="907"/>
      <c r="N3338" s="908"/>
      <c r="O3338" s="907"/>
      <c r="P3338" s="907"/>
      <c r="Q3338" s="910"/>
      <c r="R3338" s="915" t="s">
        <v>117</v>
      </c>
    </row>
    <row r="3339" spans="6:18" ht="24" customHeight="1">
      <c r="H3339" s="582" t="s">
        <v>117</v>
      </c>
      <c r="J3339" s="580"/>
      <c r="M3339" s="907"/>
      <c r="N3339" s="908"/>
      <c r="O3339" s="921" t="s">
        <v>154</v>
      </c>
      <c r="P3339" s="907"/>
      <c r="Q3339" s="912" t="s">
        <v>2433</v>
      </c>
      <c r="R3339" s="922">
        <f>R3337/M3328</f>
        <v>4755.8023702754645</v>
      </c>
    </row>
    <row r="3340" spans="6:18" ht="24" customHeight="1">
      <c r="F3340" s="587">
        <v>1.34</v>
      </c>
      <c r="G3340" s="585" t="s">
        <v>148</v>
      </c>
      <c r="H3340" s="869" t="s">
        <v>180</v>
      </c>
      <c r="I3340" s="593">
        <v>72.400000000000006</v>
      </c>
      <c r="J3340" s="573" t="s">
        <v>148</v>
      </c>
      <c r="K3340" s="587">
        <f>(F3340*I3340)</f>
        <v>97.01600000000002</v>
      </c>
    </row>
    <row r="3341" spans="6:18" ht="24" customHeight="1">
      <c r="F3341" s="587">
        <v>0.5</v>
      </c>
      <c r="G3341" s="585" t="s">
        <v>1</v>
      </c>
      <c r="H3341" s="573" t="s">
        <v>181</v>
      </c>
      <c r="I3341" s="587">
        <f>AE13</f>
        <v>615</v>
      </c>
      <c r="J3341" s="585" t="s">
        <v>1</v>
      </c>
      <c r="K3341" s="587">
        <f>(F3341*I3341)</f>
        <v>307.5</v>
      </c>
    </row>
    <row r="3342" spans="6:18" ht="24" customHeight="1">
      <c r="F3342" s="587">
        <v>0.5</v>
      </c>
      <c r="G3342" s="585" t="s">
        <v>1</v>
      </c>
      <c r="H3342" s="573" t="s">
        <v>146</v>
      </c>
      <c r="I3342" s="587">
        <f>AE11</f>
        <v>502</v>
      </c>
      <c r="J3342" s="585" t="s">
        <v>1</v>
      </c>
      <c r="K3342" s="587">
        <f>(F3342*I3342)</f>
        <v>251</v>
      </c>
      <c r="M3342" s="761"/>
      <c r="N3342" s="914" t="s">
        <v>122</v>
      </c>
      <c r="O3342" s="760" t="s">
        <v>2704</v>
      </c>
      <c r="P3342" s="907"/>
      <c r="Q3342" s="910"/>
      <c r="R3342" s="907"/>
    </row>
    <row r="3343" spans="6:18" ht="24" customHeight="1">
      <c r="F3343" s="587">
        <v>0.8</v>
      </c>
      <c r="G3343" s="585" t="s">
        <v>1</v>
      </c>
      <c r="H3343" s="573" t="s">
        <v>147</v>
      </c>
      <c r="I3343" s="587">
        <f>AE12</f>
        <v>412</v>
      </c>
      <c r="J3343" s="585" t="s">
        <v>1</v>
      </c>
      <c r="K3343" s="587">
        <f>(F3343*I3343)</f>
        <v>329.6</v>
      </c>
      <c r="M3343" s="907"/>
      <c r="N3343" s="908"/>
      <c r="O3343" s="760" t="s">
        <v>1467</v>
      </c>
      <c r="P3343" s="907"/>
      <c r="Q3343" s="910"/>
      <c r="R3343" s="907"/>
    </row>
    <row r="3344" spans="6:18" ht="24" customHeight="1">
      <c r="G3344" s="585" t="s">
        <v>129</v>
      </c>
      <c r="H3344" s="573" t="s">
        <v>182</v>
      </c>
      <c r="I3344" s="573" t="s">
        <v>115</v>
      </c>
      <c r="J3344" s="574" t="s">
        <v>129</v>
      </c>
      <c r="K3344" s="587">
        <v>2.6</v>
      </c>
      <c r="M3344" s="907"/>
      <c r="N3344" s="908"/>
      <c r="O3344" s="992" t="s">
        <v>2705</v>
      </c>
      <c r="P3344" s="907"/>
      <c r="Q3344" s="910"/>
      <c r="R3344" s="907"/>
    </row>
    <row r="3345" spans="6:18" ht="24" customHeight="1">
      <c r="J3345" s="580"/>
      <c r="K3345" s="582" t="s">
        <v>117</v>
      </c>
      <c r="M3345" s="907"/>
      <c r="N3345" s="908"/>
      <c r="O3345" s="915" t="s">
        <v>117</v>
      </c>
      <c r="P3345" s="907"/>
      <c r="Q3345" s="910"/>
      <c r="R3345" s="907"/>
    </row>
    <row r="3346" spans="6:18" ht="24" customHeight="1">
      <c r="H3346" s="573" t="s">
        <v>153</v>
      </c>
      <c r="J3346" s="580"/>
      <c r="K3346" s="587">
        <f>SUM(K3340:K3345)</f>
        <v>987.71600000000012</v>
      </c>
      <c r="M3346" s="907"/>
      <c r="N3346" s="908"/>
      <c r="O3346" s="760" t="s">
        <v>2706</v>
      </c>
      <c r="P3346" s="911" t="s">
        <v>155</v>
      </c>
      <c r="Q3346" s="993">
        <v>1.734</v>
      </c>
      <c r="R3346" s="907" t="s">
        <v>174</v>
      </c>
    </row>
    <row r="3347" spans="6:18" ht="24" customHeight="1">
      <c r="J3347" s="580"/>
      <c r="K3347" s="582" t="s">
        <v>117</v>
      </c>
      <c r="M3347" s="907"/>
      <c r="N3347" s="908"/>
      <c r="O3347" s="760"/>
      <c r="P3347" s="911"/>
      <c r="Q3347" s="993"/>
      <c r="R3347" s="907"/>
    </row>
    <row r="3348" spans="6:18" ht="24" customHeight="1">
      <c r="H3348" s="577" t="s">
        <v>154</v>
      </c>
      <c r="J3348" s="580"/>
      <c r="K3348" s="586">
        <f>(K3346/10)</f>
        <v>98.771600000000007</v>
      </c>
      <c r="M3348" s="907"/>
      <c r="N3348" s="908"/>
      <c r="O3348" s="760" t="s">
        <v>2707</v>
      </c>
      <c r="P3348" s="911" t="s">
        <v>155</v>
      </c>
      <c r="Q3348" s="994">
        <v>3.9E-2</v>
      </c>
      <c r="R3348" s="907" t="s">
        <v>429</v>
      </c>
    </row>
    <row r="3349" spans="6:18" ht="24" customHeight="1">
      <c r="F3349" s="573" t="s">
        <v>115</v>
      </c>
      <c r="J3349" s="580"/>
      <c r="M3349" s="907"/>
      <c r="N3349" s="908"/>
      <c r="O3349" s="760" t="s">
        <v>2636</v>
      </c>
      <c r="Q3349" s="995"/>
      <c r="R3349" s="907"/>
    </row>
    <row r="3350" spans="6:18" ht="24" customHeight="1">
      <c r="G3350" s="575"/>
      <c r="J3350" s="575"/>
      <c r="M3350" s="907"/>
      <c r="N3350" s="908"/>
      <c r="O3350" s="760" t="s">
        <v>2708</v>
      </c>
      <c r="P3350" s="911" t="s">
        <v>155</v>
      </c>
      <c r="Q3350" s="996">
        <v>1.2659999999999999E-2</v>
      </c>
      <c r="R3350" s="907"/>
    </row>
    <row r="3351" spans="6:18" ht="24" customHeight="1">
      <c r="H3351" s="619" t="s">
        <v>2709</v>
      </c>
      <c r="J3351" s="575"/>
      <c r="M3351" s="907"/>
      <c r="N3351" s="908"/>
      <c r="O3351" s="760" t="s">
        <v>2710</v>
      </c>
      <c r="P3351" s="911" t="s">
        <v>155</v>
      </c>
      <c r="Q3351" s="1005">
        <v>5.6249999999999998E-3</v>
      </c>
      <c r="R3351" s="939"/>
    </row>
    <row r="3352" spans="6:18" ht="24" customHeight="1">
      <c r="J3352" s="575"/>
      <c r="M3352" s="907"/>
      <c r="N3352" s="908"/>
      <c r="O3352" s="907"/>
      <c r="P3352" s="907"/>
      <c r="Q3352" s="915" t="s">
        <v>117</v>
      </c>
    </row>
    <row r="3353" spans="6:18" ht="24" customHeight="1">
      <c r="F3353" s="575">
        <v>1.4</v>
      </c>
      <c r="G3353" s="585" t="s">
        <v>171</v>
      </c>
      <c r="H3353" s="575" t="s">
        <v>172</v>
      </c>
      <c r="I3353" s="661">
        <f>I3366</f>
        <v>289.8</v>
      </c>
      <c r="J3353" s="585" t="s">
        <v>171</v>
      </c>
      <c r="K3353" s="575">
        <f>I3353*F3353</f>
        <v>405.71999999999997</v>
      </c>
      <c r="M3353" s="907"/>
      <c r="N3353" s="908"/>
      <c r="O3353" s="907"/>
      <c r="P3353" s="907"/>
      <c r="Q3353" s="997">
        <v>1.8290000000000001E-2</v>
      </c>
      <c r="R3353" s="575" t="s">
        <v>429</v>
      </c>
    </row>
    <row r="3354" spans="6:18" ht="24" customHeight="1">
      <c r="F3354" s="575">
        <v>1.5</v>
      </c>
      <c r="G3354" s="585" t="s">
        <v>1</v>
      </c>
      <c r="H3354" s="575" t="s">
        <v>173</v>
      </c>
      <c r="I3354" s="661">
        <f>I3367</f>
        <v>615</v>
      </c>
      <c r="J3354" s="585" t="s">
        <v>1</v>
      </c>
      <c r="K3354" s="575">
        <f>I3354*F3354</f>
        <v>922.5</v>
      </c>
      <c r="M3354" s="907"/>
      <c r="N3354" s="908"/>
      <c r="O3354" s="907"/>
      <c r="P3354" s="907"/>
      <c r="Q3354" s="915" t="s">
        <v>117</v>
      </c>
    </row>
    <row r="3355" spans="6:18" ht="24" customHeight="1">
      <c r="F3355" s="575">
        <v>10</v>
      </c>
      <c r="G3355" s="576" t="s">
        <v>174</v>
      </c>
      <c r="H3355" s="573" t="s">
        <v>175</v>
      </c>
      <c r="I3355" s="661">
        <f>I3368</f>
        <v>3.2</v>
      </c>
      <c r="J3355" s="576" t="s">
        <v>174</v>
      </c>
      <c r="K3355" s="575">
        <f>I3355*F3355</f>
        <v>32</v>
      </c>
      <c r="M3355" s="907"/>
      <c r="N3355" s="908"/>
      <c r="O3355" s="760" t="s">
        <v>2711</v>
      </c>
      <c r="P3355" s="907"/>
      <c r="Q3355" s="998">
        <v>0.4113</v>
      </c>
      <c r="R3355" s="939"/>
    </row>
    <row r="3356" spans="6:18" ht="24" customHeight="1">
      <c r="H3356" s="573" t="s">
        <v>167</v>
      </c>
      <c r="I3356" s="661" t="s">
        <v>176</v>
      </c>
      <c r="J3356" s="580"/>
      <c r="K3356" s="575">
        <v>4.33</v>
      </c>
      <c r="M3356" s="907"/>
      <c r="N3356" s="908"/>
      <c r="O3356" s="760" t="s">
        <v>2712</v>
      </c>
      <c r="P3356" s="907"/>
      <c r="Q3356" s="999">
        <v>0.19689999999999999</v>
      </c>
      <c r="R3356" s="939"/>
    </row>
    <row r="3357" spans="6:18" ht="24" customHeight="1">
      <c r="H3357" s="573" t="s">
        <v>153</v>
      </c>
      <c r="J3357" s="580"/>
      <c r="K3357" s="575">
        <f>SUM(K3353:K3356)</f>
        <v>1364.55</v>
      </c>
      <c r="M3357" s="907"/>
      <c r="N3357" s="908"/>
      <c r="O3357" s="760"/>
      <c r="P3357" s="907"/>
      <c r="Q3357" s="915" t="s">
        <v>117</v>
      </c>
      <c r="R3357" s="939"/>
    </row>
    <row r="3358" spans="6:18" ht="24" customHeight="1">
      <c r="H3358" s="577" t="s">
        <v>154</v>
      </c>
      <c r="J3358" s="580"/>
      <c r="K3358" s="575">
        <f>K3357/10</f>
        <v>136.45499999999998</v>
      </c>
      <c r="M3358" s="907"/>
      <c r="N3358" s="908"/>
      <c r="O3358" s="760"/>
      <c r="P3358" s="907"/>
      <c r="Q3358" s="1000">
        <v>0.60819999999999996</v>
      </c>
      <c r="R3358" s="913"/>
    </row>
    <row r="3359" spans="6:18" ht="24" customHeight="1">
      <c r="I3359" s="575">
        <f>146*10</f>
        <v>1460</v>
      </c>
      <c r="J3359" s="580"/>
      <c r="M3359" s="907"/>
      <c r="N3359" s="908"/>
      <c r="O3359" s="907"/>
      <c r="P3359" s="907"/>
      <c r="Q3359" s="915" t="s">
        <v>117</v>
      </c>
      <c r="R3359" s="915"/>
    </row>
    <row r="3360" spans="6:18" ht="24" customHeight="1">
      <c r="I3360" s="575">
        <f>I3359-K3357</f>
        <v>95.450000000000045</v>
      </c>
      <c r="J3360" s="580"/>
      <c r="M3360" s="939">
        <v>3.9E-2</v>
      </c>
      <c r="N3360" s="914" t="s">
        <v>126</v>
      </c>
      <c r="O3360" s="760" t="s">
        <v>1483</v>
      </c>
      <c r="P3360" s="758">
        <f>P3291</f>
        <v>111600</v>
      </c>
      <c r="Q3360" s="761" t="s">
        <v>126</v>
      </c>
      <c r="R3360" s="758">
        <f>P3360*M3360</f>
        <v>4352.3999999999996</v>
      </c>
    </row>
    <row r="3361" spans="6:18" ht="24" customHeight="1">
      <c r="G3361" s="575"/>
      <c r="J3361" s="575"/>
      <c r="M3361" s="939">
        <v>1.8290000000000001E-2</v>
      </c>
      <c r="N3361" s="914" t="s">
        <v>126</v>
      </c>
      <c r="O3361" s="760" t="s">
        <v>1485</v>
      </c>
      <c r="P3361" s="758">
        <f>P3292</f>
        <v>99400</v>
      </c>
      <c r="Q3361" s="761" t="s">
        <v>126</v>
      </c>
      <c r="R3361" s="758">
        <f t="shared" ref="R3361:R3370" si="304">P3361*M3361</f>
        <v>1818.0260000000001</v>
      </c>
    </row>
    <row r="3362" spans="6:18" ht="24" customHeight="1">
      <c r="G3362" s="575"/>
      <c r="J3362" s="575"/>
      <c r="M3362" s="939">
        <v>0.60819999999999996</v>
      </c>
      <c r="N3362" s="914" t="s">
        <v>140</v>
      </c>
      <c r="O3362" s="573" t="s">
        <v>623</v>
      </c>
      <c r="P3362" s="758">
        <f>P3325</f>
        <v>387.4</v>
      </c>
      <c r="Q3362" s="761" t="s">
        <v>126</v>
      </c>
      <c r="R3362" s="758">
        <f t="shared" si="304"/>
        <v>235.61667999999997</v>
      </c>
    </row>
    <row r="3363" spans="6:18" ht="24" customHeight="1">
      <c r="G3363" s="575"/>
      <c r="J3363" s="575"/>
      <c r="M3363" s="955">
        <v>1.734</v>
      </c>
      <c r="N3363" s="914" t="s">
        <v>140</v>
      </c>
      <c r="O3363" s="760" t="s">
        <v>1480</v>
      </c>
      <c r="P3363" s="758">
        <f>P3328</f>
        <v>1078</v>
      </c>
      <c r="Q3363" s="761" t="s">
        <v>140</v>
      </c>
      <c r="R3363" s="758">
        <f t="shared" si="304"/>
        <v>1869.252</v>
      </c>
    </row>
    <row r="3364" spans="6:18" ht="24" customHeight="1">
      <c r="H3364" s="619" t="s">
        <v>170</v>
      </c>
      <c r="J3364" s="575"/>
      <c r="M3364" s="758">
        <v>2</v>
      </c>
      <c r="N3364" s="914" t="s">
        <v>1</v>
      </c>
      <c r="O3364" s="760" t="s">
        <v>2644</v>
      </c>
      <c r="P3364" s="758">
        <f t="shared" ref="P3364:P3369" si="305">P3295</f>
        <v>50.9</v>
      </c>
      <c r="Q3364" s="761" t="s">
        <v>209</v>
      </c>
      <c r="R3364" s="758">
        <f t="shared" si="304"/>
        <v>101.8</v>
      </c>
    </row>
    <row r="3365" spans="6:18" ht="24" customHeight="1">
      <c r="J3365" s="575"/>
      <c r="M3365" s="758">
        <v>4</v>
      </c>
      <c r="N3365" s="914" t="s">
        <v>209</v>
      </c>
      <c r="O3365" s="760" t="s">
        <v>1482</v>
      </c>
      <c r="P3365" s="758">
        <f t="shared" si="305"/>
        <v>79.099999999999994</v>
      </c>
      <c r="Q3365" s="761" t="s">
        <v>209</v>
      </c>
      <c r="R3365" s="758">
        <f t="shared" si="304"/>
        <v>316.39999999999998</v>
      </c>
    </row>
    <row r="3366" spans="6:18" ht="24" customHeight="1">
      <c r="F3366" s="575">
        <v>0.8</v>
      </c>
      <c r="G3366" s="585" t="s">
        <v>171</v>
      </c>
      <c r="H3366" s="575" t="s">
        <v>172</v>
      </c>
      <c r="I3366" s="661">
        <f>P1319</f>
        <v>289.8</v>
      </c>
      <c r="J3366" s="585" t="s">
        <v>171</v>
      </c>
      <c r="K3366" s="575">
        <f>I3366*F3366</f>
        <v>231.84000000000003</v>
      </c>
      <c r="M3366" s="758">
        <v>2</v>
      </c>
      <c r="N3366" s="914" t="s">
        <v>209</v>
      </c>
      <c r="O3366" s="760" t="s">
        <v>2663</v>
      </c>
      <c r="P3366" s="758">
        <f t="shared" si="305"/>
        <v>86.3</v>
      </c>
      <c r="Q3366" s="761" t="s">
        <v>209</v>
      </c>
      <c r="R3366" s="758">
        <f t="shared" si="304"/>
        <v>172.6</v>
      </c>
    </row>
    <row r="3367" spans="6:18" ht="24" customHeight="1">
      <c r="F3367" s="575">
        <v>0.7</v>
      </c>
      <c r="G3367" s="585" t="s">
        <v>1</v>
      </c>
      <c r="H3367" s="575" t="s">
        <v>173</v>
      </c>
      <c r="I3367" s="575">
        <f>I3341</f>
        <v>615</v>
      </c>
      <c r="J3367" s="585" t="s">
        <v>1</v>
      </c>
      <c r="K3367" s="575">
        <f>I3367*F3367</f>
        <v>430.5</v>
      </c>
      <c r="M3367" s="758">
        <v>1</v>
      </c>
      <c r="N3367" s="914" t="s">
        <v>209</v>
      </c>
      <c r="O3367" s="760" t="s">
        <v>2664</v>
      </c>
      <c r="P3367" s="758">
        <f t="shared" si="305"/>
        <v>185.2</v>
      </c>
      <c r="Q3367" s="761" t="s">
        <v>209</v>
      </c>
      <c r="R3367" s="758">
        <f t="shared" si="304"/>
        <v>185.2</v>
      </c>
    </row>
    <row r="3368" spans="6:18" ht="24" customHeight="1">
      <c r="F3368" s="575">
        <v>10</v>
      </c>
      <c r="G3368" s="576" t="s">
        <v>174</v>
      </c>
      <c r="H3368" s="573" t="s">
        <v>175</v>
      </c>
      <c r="I3368" s="575">
        <f>I3185</f>
        <v>3.2</v>
      </c>
      <c r="J3368" s="576" t="s">
        <v>174</v>
      </c>
      <c r="K3368" s="575">
        <f>I3368*F3368</f>
        <v>32</v>
      </c>
      <c r="M3368" s="758">
        <v>1</v>
      </c>
      <c r="N3368" s="914" t="s">
        <v>209</v>
      </c>
      <c r="O3368" s="760" t="s">
        <v>2665</v>
      </c>
      <c r="P3368" s="758">
        <f t="shared" si="305"/>
        <v>22.7</v>
      </c>
      <c r="Q3368" s="761" t="s">
        <v>209</v>
      </c>
      <c r="R3368" s="758">
        <f t="shared" si="304"/>
        <v>22.7</v>
      </c>
    </row>
    <row r="3369" spans="6:18" ht="24" customHeight="1">
      <c r="H3369" s="573" t="s">
        <v>167</v>
      </c>
      <c r="I3369" s="661" t="s">
        <v>176</v>
      </c>
      <c r="J3369" s="580"/>
      <c r="K3369" s="575">
        <v>1.6</v>
      </c>
      <c r="M3369" s="758">
        <v>1</v>
      </c>
      <c r="N3369" s="914" t="s">
        <v>209</v>
      </c>
      <c r="O3369" s="760" t="s">
        <v>2666</v>
      </c>
      <c r="P3369" s="758">
        <f t="shared" si="305"/>
        <v>43.8</v>
      </c>
      <c r="Q3369" s="761" t="s">
        <v>209</v>
      </c>
      <c r="R3369" s="758">
        <f t="shared" si="304"/>
        <v>43.8</v>
      </c>
    </row>
    <row r="3370" spans="6:18" ht="24" customHeight="1">
      <c r="H3370" s="573" t="s">
        <v>153</v>
      </c>
      <c r="J3370" s="580"/>
      <c r="K3370" s="575">
        <f>SUM(K3366:K3369)</f>
        <v>695.94</v>
      </c>
      <c r="M3370" s="758">
        <v>58</v>
      </c>
      <c r="N3370" s="914" t="s">
        <v>209</v>
      </c>
      <c r="O3370" s="907" t="s">
        <v>2604</v>
      </c>
      <c r="P3370" s="907">
        <f>P3335</f>
        <v>2.37</v>
      </c>
      <c r="Q3370" s="761" t="s">
        <v>209</v>
      </c>
      <c r="R3370" s="758">
        <f t="shared" si="304"/>
        <v>137.46</v>
      </c>
    </row>
    <row r="3371" spans="6:18" ht="24" customHeight="1">
      <c r="H3371" s="577" t="s">
        <v>154</v>
      </c>
      <c r="J3371" s="580"/>
      <c r="K3371" s="575">
        <f>K3370/10</f>
        <v>69.594000000000008</v>
      </c>
      <c r="M3371" s="907"/>
      <c r="N3371" s="908"/>
      <c r="O3371" s="907"/>
      <c r="P3371" s="907"/>
      <c r="Q3371" s="910"/>
      <c r="R3371" s="915" t="s">
        <v>117</v>
      </c>
    </row>
    <row r="3372" spans="6:18" ht="24" customHeight="1">
      <c r="M3372" s="907"/>
      <c r="N3372" s="908"/>
      <c r="O3372" s="760" t="s">
        <v>2713</v>
      </c>
      <c r="P3372" s="907"/>
      <c r="Q3372" s="910"/>
      <c r="R3372" s="758">
        <f>SUM(R3360:R3370)</f>
        <v>9255.2546799999982</v>
      </c>
    </row>
    <row r="3373" spans="6:18" ht="24" customHeight="1">
      <c r="M3373" s="907"/>
      <c r="N3373" s="908"/>
      <c r="O3373" s="907"/>
      <c r="P3373" s="907"/>
      <c r="Q3373" s="910"/>
      <c r="R3373" s="915" t="s">
        <v>117</v>
      </c>
    </row>
    <row r="3374" spans="6:18" ht="24" customHeight="1">
      <c r="F3374" s="907"/>
      <c r="G3374" s="908"/>
      <c r="H3374" s="760"/>
      <c r="I3374" s="911"/>
      <c r="J3374" s="993"/>
      <c r="K3374" s="907"/>
      <c r="M3374" s="907"/>
      <c r="N3374" s="908"/>
      <c r="O3374" s="921" t="s">
        <v>154</v>
      </c>
      <c r="P3374" s="907"/>
      <c r="Q3374" s="912" t="s">
        <v>2433</v>
      </c>
      <c r="R3374" s="922">
        <f>R3372/M3363</f>
        <v>5337.5171164936555</v>
      </c>
    </row>
    <row r="3375" spans="6:18" ht="24" customHeight="1">
      <c r="F3375" s="907"/>
      <c r="G3375" s="908"/>
      <c r="H3375" s="760" t="s">
        <v>2707</v>
      </c>
      <c r="I3375" s="911" t="s">
        <v>155</v>
      </c>
      <c r="J3375" s="994">
        <v>3.9E-2</v>
      </c>
      <c r="K3375" s="907" t="s">
        <v>429</v>
      </c>
      <c r="N3375" s="576"/>
      <c r="Q3375" s="578"/>
      <c r="R3375" s="582" t="s">
        <v>155</v>
      </c>
    </row>
    <row r="3376" spans="6:18" ht="24" customHeight="1">
      <c r="F3376" s="907"/>
      <c r="G3376" s="908"/>
      <c r="H3376" s="760" t="s">
        <v>2636</v>
      </c>
      <c r="J3376" s="995"/>
      <c r="K3376" s="907"/>
      <c r="M3376" s="761"/>
      <c r="N3376" s="914" t="s">
        <v>122</v>
      </c>
      <c r="O3376" s="760" t="s">
        <v>2704</v>
      </c>
      <c r="P3376" s="907"/>
      <c r="Q3376" s="910"/>
      <c r="R3376" s="907"/>
    </row>
    <row r="3377" spans="6:18" ht="24" customHeight="1">
      <c r="F3377" s="907"/>
      <c r="G3377" s="908"/>
      <c r="H3377" s="760" t="s">
        <v>2714</v>
      </c>
      <c r="I3377" s="911" t="s">
        <v>155</v>
      </c>
      <c r="J3377" s="996">
        <v>1.519E-2</v>
      </c>
      <c r="K3377" s="907"/>
      <c r="M3377" s="907"/>
      <c r="N3377" s="908"/>
      <c r="O3377" s="760" t="s">
        <v>1467</v>
      </c>
      <c r="P3377" s="907"/>
      <c r="Q3377" s="910"/>
      <c r="R3377" s="907"/>
    </row>
    <row r="3378" spans="6:18" ht="24" customHeight="1">
      <c r="F3378" s="907"/>
      <c r="G3378" s="908"/>
      <c r="H3378" s="760" t="s">
        <v>2715</v>
      </c>
      <c r="I3378" s="911" t="s">
        <v>155</v>
      </c>
      <c r="J3378" s="1005">
        <v>6.7499999999999999E-3</v>
      </c>
      <c r="K3378" s="939"/>
      <c r="M3378" s="907"/>
      <c r="N3378" s="908"/>
      <c r="O3378" s="992" t="s">
        <v>2716</v>
      </c>
      <c r="P3378" s="907"/>
      <c r="Q3378" s="910"/>
      <c r="R3378" s="907"/>
    </row>
    <row r="3379" spans="6:18" ht="24" customHeight="1">
      <c r="F3379" s="907"/>
      <c r="G3379" s="908"/>
      <c r="H3379" s="907"/>
      <c r="I3379" s="907"/>
      <c r="J3379" s="915" t="s">
        <v>117</v>
      </c>
      <c r="M3379" s="907"/>
      <c r="N3379" s="908"/>
      <c r="O3379" s="915" t="s">
        <v>117</v>
      </c>
      <c r="P3379" s="907"/>
      <c r="Q3379" s="910"/>
      <c r="R3379" s="907"/>
    </row>
    <row r="3380" spans="6:18" ht="24" customHeight="1">
      <c r="F3380" s="907"/>
      <c r="G3380" s="908"/>
      <c r="H3380" s="907"/>
      <c r="I3380" s="907"/>
      <c r="J3380" s="997">
        <v>2.1940000000000001E-2</v>
      </c>
      <c r="K3380" s="575" t="s">
        <v>429</v>
      </c>
      <c r="M3380" s="907"/>
      <c r="N3380" s="908"/>
      <c r="O3380" s="760" t="s">
        <v>2717</v>
      </c>
      <c r="P3380" s="911" t="s">
        <v>155</v>
      </c>
      <c r="Q3380" s="993">
        <v>2.081</v>
      </c>
      <c r="R3380" s="907" t="s">
        <v>174</v>
      </c>
    </row>
    <row r="3381" spans="6:18" ht="24" customHeight="1">
      <c r="F3381" s="907"/>
      <c r="G3381" s="908"/>
      <c r="H3381" s="907"/>
      <c r="I3381" s="907"/>
      <c r="J3381" s="915" t="s">
        <v>117</v>
      </c>
      <c r="M3381" s="907"/>
      <c r="N3381" s="908"/>
      <c r="O3381" s="760"/>
      <c r="P3381" s="911"/>
      <c r="Q3381" s="993"/>
      <c r="R3381" s="907"/>
    </row>
    <row r="3382" spans="6:18" ht="24" customHeight="1">
      <c r="F3382" s="907"/>
      <c r="G3382" s="908"/>
      <c r="H3382" s="760" t="s">
        <v>2694</v>
      </c>
      <c r="I3382" s="907"/>
      <c r="J3382" s="998">
        <v>0.58750000000000002</v>
      </c>
      <c r="K3382" s="939"/>
      <c r="M3382" s="907"/>
      <c r="N3382" s="908"/>
      <c r="O3382" s="760" t="s">
        <v>2707</v>
      </c>
      <c r="P3382" s="911" t="s">
        <v>155</v>
      </c>
      <c r="Q3382" s="994">
        <v>3.9E-2</v>
      </c>
      <c r="R3382" s="907" t="s">
        <v>429</v>
      </c>
    </row>
    <row r="3383" spans="6:18" ht="24" customHeight="1">
      <c r="F3383" s="907"/>
      <c r="G3383" s="908"/>
      <c r="H3383" s="760" t="s">
        <v>2695</v>
      </c>
      <c r="I3383" s="907"/>
      <c r="J3383" s="999">
        <v>0.28129999999999999</v>
      </c>
      <c r="K3383" s="939"/>
      <c r="M3383" s="907"/>
      <c r="N3383" s="908"/>
      <c r="O3383" s="760" t="s">
        <v>2636</v>
      </c>
      <c r="Q3383" s="995"/>
      <c r="R3383" s="907"/>
    </row>
    <row r="3384" spans="6:18" ht="24" customHeight="1">
      <c r="F3384" s="907"/>
      <c r="G3384" s="908"/>
      <c r="H3384" s="760"/>
      <c r="I3384" s="907"/>
      <c r="J3384" s="915" t="s">
        <v>117</v>
      </c>
      <c r="K3384" s="939"/>
      <c r="M3384" s="907"/>
      <c r="N3384" s="908"/>
      <c r="O3384" s="760" t="s">
        <v>2714</v>
      </c>
      <c r="P3384" s="911" t="s">
        <v>155</v>
      </c>
      <c r="Q3384" s="996">
        <v>1.519E-2</v>
      </c>
      <c r="R3384" s="907"/>
    </row>
    <row r="3385" spans="6:18" ht="24" customHeight="1">
      <c r="F3385" s="907"/>
      <c r="G3385" s="908"/>
      <c r="H3385" s="760"/>
      <c r="I3385" s="907"/>
      <c r="J3385" s="1000">
        <v>0.86880000000000002</v>
      </c>
      <c r="K3385" s="913"/>
      <c r="M3385" s="907"/>
      <c r="N3385" s="908"/>
      <c r="O3385" s="760" t="s">
        <v>2715</v>
      </c>
      <c r="P3385" s="911" t="s">
        <v>155</v>
      </c>
      <c r="Q3385" s="1005">
        <v>6.7499999999999999E-3</v>
      </c>
      <c r="R3385" s="939"/>
    </row>
    <row r="3386" spans="6:18" ht="24" customHeight="1">
      <c r="F3386" s="907"/>
      <c r="G3386" s="908"/>
      <c r="H3386" s="907"/>
      <c r="I3386" s="907"/>
      <c r="J3386" s="915" t="s">
        <v>117</v>
      </c>
      <c r="K3386" s="915"/>
      <c r="M3386" s="907"/>
      <c r="N3386" s="908"/>
      <c r="O3386" s="907"/>
      <c r="P3386" s="907"/>
      <c r="Q3386" s="915" t="s">
        <v>117</v>
      </c>
    </row>
    <row r="3387" spans="6:18" ht="24" customHeight="1">
      <c r="F3387" s="939">
        <v>3.9E-2</v>
      </c>
      <c r="G3387" s="914" t="s">
        <v>126</v>
      </c>
      <c r="H3387" s="760" t="s">
        <v>1483</v>
      </c>
      <c r="I3387" s="758">
        <f>C88</f>
        <v>111600</v>
      </c>
      <c r="J3387" s="761" t="s">
        <v>126</v>
      </c>
      <c r="K3387" s="758">
        <v>2868.26</v>
      </c>
      <c r="M3387" s="907"/>
      <c r="N3387" s="908"/>
      <c r="O3387" s="907"/>
      <c r="P3387" s="907"/>
      <c r="Q3387" s="997">
        <v>2.1940000000000001E-2</v>
      </c>
      <c r="R3387" s="575" t="s">
        <v>429</v>
      </c>
    </row>
    <row r="3388" spans="6:18" ht="24" customHeight="1">
      <c r="F3388" s="939">
        <v>2.1940000000000001E-2</v>
      </c>
      <c r="G3388" s="914" t="s">
        <v>126</v>
      </c>
      <c r="H3388" s="760" t="s">
        <v>1485</v>
      </c>
      <c r="I3388" s="758">
        <f>C89</f>
        <v>99400</v>
      </c>
      <c r="J3388" s="761" t="s">
        <v>126</v>
      </c>
      <c r="K3388" s="758">
        <v>1435.86</v>
      </c>
      <c r="M3388" s="907"/>
      <c r="N3388" s="908"/>
      <c r="O3388" s="907"/>
      <c r="P3388" s="907"/>
      <c r="Q3388" s="915" t="s">
        <v>117</v>
      </c>
    </row>
    <row r="3389" spans="6:18" ht="24" customHeight="1">
      <c r="F3389" s="939">
        <v>0.86880000000000002</v>
      </c>
      <c r="G3389" s="914" t="s">
        <v>140</v>
      </c>
      <c r="H3389" s="573" t="s">
        <v>623</v>
      </c>
      <c r="I3389" s="758">
        <f>C784</f>
        <v>0</v>
      </c>
      <c r="J3389" s="761" t="s">
        <v>126</v>
      </c>
      <c r="K3389" s="758">
        <v>336.66</v>
      </c>
      <c r="M3389" s="907"/>
      <c r="N3389" s="908"/>
      <c r="O3389" s="760" t="s">
        <v>2694</v>
      </c>
      <c r="P3389" s="907"/>
      <c r="Q3389" s="998">
        <v>0.58750000000000002</v>
      </c>
      <c r="R3389" s="939"/>
    </row>
    <row r="3390" spans="6:18" ht="24" customHeight="1">
      <c r="F3390" s="955">
        <v>2.081</v>
      </c>
      <c r="G3390" s="914" t="s">
        <v>140</v>
      </c>
      <c r="H3390" s="760" t="s">
        <v>1480</v>
      </c>
      <c r="I3390" s="1012">
        <v>363</v>
      </c>
      <c r="J3390" s="761" t="s">
        <v>140</v>
      </c>
      <c r="K3390" s="758">
        <v>755.4</v>
      </c>
      <c r="M3390" s="907"/>
      <c r="N3390" s="908"/>
      <c r="O3390" s="760" t="s">
        <v>2695</v>
      </c>
      <c r="P3390" s="907"/>
      <c r="Q3390" s="999">
        <v>0.28129999999999999</v>
      </c>
      <c r="R3390" s="939"/>
    </row>
    <row r="3391" spans="6:18" ht="24" customHeight="1">
      <c r="F3391" s="758">
        <v>2</v>
      </c>
      <c r="G3391" s="914" t="s">
        <v>1</v>
      </c>
      <c r="H3391" s="916" t="s">
        <v>2718</v>
      </c>
      <c r="I3391" s="758">
        <f t="shared" ref="I3391:I3396" si="306">I3322</f>
        <v>50.9</v>
      </c>
      <c r="J3391" s="761" t="s">
        <v>209</v>
      </c>
      <c r="K3391" s="758">
        <v>84</v>
      </c>
      <c r="M3391" s="907"/>
      <c r="N3391" s="908"/>
      <c r="O3391" s="760"/>
      <c r="P3391" s="907"/>
      <c r="Q3391" s="915" t="s">
        <v>117</v>
      </c>
      <c r="R3391" s="939"/>
    </row>
    <row r="3392" spans="6:18" ht="24" customHeight="1">
      <c r="F3392" s="758">
        <v>4</v>
      </c>
      <c r="G3392" s="914" t="s">
        <v>209</v>
      </c>
      <c r="H3392" s="916" t="s">
        <v>2719</v>
      </c>
      <c r="I3392" s="758">
        <f t="shared" si="306"/>
        <v>79.099999999999994</v>
      </c>
      <c r="J3392" s="761" t="s">
        <v>209</v>
      </c>
      <c r="K3392" s="758">
        <v>232</v>
      </c>
      <c r="M3392" s="907"/>
      <c r="N3392" s="908"/>
      <c r="O3392" s="760"/>
      <c r="P3392" s="907"/>
      <c r="Q3392" s="1000">
        <v>0.86880000000000002</v>
      </c>
      <c r="R3392" s="913"/>
    </row>
    <row r="3393" spans="6:18" ht="24" customHeight="1">
      <c r="F3393" s="758">
        <v>2</v>
      </c>
      <c r="G3393" s="914" t="s">
        <v>209</v>
      </c>
      <c r="H3393" s="916" t="s">
        <v>2720</v>
      </c>
      <c r="I3393" s="758">
        <f t="shared" si="306"/>
        <v>86.3</v>
      </c>
      <c r="J3393" s="761" t="s">
        <v>209</v>
      </c>
      <c r="K3393" s="758">
        <v>126</v>
      </c>
      <c r="M3393" s="907"/>
      <c r="N3393" s="908"/>
      <c r="O3393" s="907"/>
      <c r="P3393" s="907"/>
      <c r="Q3393" s="915" t="s">
        <v>117</v>
      </c>
      <c r="R3393" s="915"/>
    </row>
    <row r="3394" spans="6:18" ht="24" customHeight="1">
      <c r="F3394" s="758">
        <v>1</v>
      </c>
      <c r="G3394" s="914" t="s">
        <v>209</v>
      </c>
      <c r="H3394" s="916" t="s">
        <v>2721</v>
      </c>
      <c r="I3394" s="758">
        <f t="shared" si="306"/>
        <v>185.2</v>
      </c>
      <c r="J3394" s="761" t="s">
        <v>209</v>
      </c>
      <c r="K3394" s="758">
        <v>152</v>
      </c>
      <c r="M3394" s="939">
        <v>3.9E-2</v>
      </c>
      <c r="N3394" s="914" t="s">
        <v>126</v>
      </c>
      <c r="O3394" s="760" t="s">
        <v>1483</v>
      </c>
      <c r="P3394" s="758">
        <f>P3291</f>
        <v>111600</v>
      </c>
      <c r="Q3394" s="761" t="s">
        <v>126</v>
      </c>
      <c r="R3394" s="758">
        <f>P3394*M3394</f>
        <v>4352.3999999999996</v>
      </c>
    </row>
    <row r="3395" spans="6:18" ht="24" customHeight="1">
      <c r="F3395" s="758">
        <v>1</v>
      </c>
      <c r="G3395" s="914" t="s">
        <v>209</v>
      </c>
      <c r="H3395" s="916" t="s">
        <v>2665</v>
      </c>
      <c r="I3395" s="758">
        <f t="shared" si="306"/>
        <v>22.7</v>
      </c>
      <c r="J3395" s="761" t="s">
        <v>209</v>
      </c>
      <c r="K3395" s="758">
        <v>20</v>
      </c>
      <c r="M3395" s="939">
        <v>2.1940000000000001E-2</v>
      </c>
      <c r="N3395" s="914" t="s">
        <v>126</v>
      </c>
      <c r="O3395" s="760" t="s">
        <v>1485</v>
      </c>
      <c r="P3395" s="758">
        <f>P3292</f>
        <v>99400</v>
      </c>
      <c r="Q3395" s="761" t="s">
        <v>126</v>
      </c>
      <c r="R3395" s="758">
        <f t="shared" ref="R3395:R3404" si="307">P3395*M3395</f>
        <v>2180.8360000000002</v>
      </c>
    </row>
    <row r="3396" spans="6:18" ht="24" customHeight="1">
      <c r="F3396" s="758">
        <v>1</v>
      </c>
      <c r="G3396" s="914" t="s">
        <v>209</v>
      </c>
      <c r="H3396" s="916" t="s">
        <v>2666</v>
      </c>
      <c r="I3396" s="758">
        <f t="shared" si="306"/>
        <v>43.8</v>
      </c>
      <c r="J3396" s="761" t="s">
        <v>209</v>
      </c>
      <c r="K3396" s="758">
        <v>37</v>
      </c>
      <c r="M3396" s="939">
        <v>0.86880000000000002</v>
      </c>
      <c r="N3396" s="914" t="s">
        <v>140</v>
      </c>
      <c r="O3396" s="573" t="s">
        <v>623</v>
      </c>
      <c r="P3396" s="758">
        <f>P3362</f>
        <v>387.4</v>
      </c>
      <c r="Q3396" s="761" t="s">
        <v>126</v>
      </c>
      <c r="R3396" s="758">
        <f t="shared" si="307"/>
        <v>336.57311999999996</v>
      </c>
    </row>
    <row r="3397" spans="6:18" ht="24" customHeight="1">
      <c r="F3397" s="907"/>
      <c r="G3397" s="908"/>
      <c r="H3397" s="907" t="s">
        <v>2604</v>
      </c>
      <c r="I3397" s="907"/>
      <c r="J3397" s="910"/>
      <c r="K3397" s="1013"/>
      <c r="M3397" s="955">
        <v>2.081</v>
      </c>
      <c r="N3397" s="914" t="s">
        <v>140</v>
      </c>
      <c r="O3397" s="760" t="s">
        <v>1480</v>
      </c>
      <c r="P3397" s="758">
        <f>P3294</f>
        <v>963</v>
      </c>
      <c r="Q3397" s="761" t="s">
        <v>140</v>
      </c>
      <c r="R3397" s="758">
        <f t="shared" si="307"/>
        <v>2004.0029999999999</v>
      </c>
    </row>
    <row r="3398" spans="6:18" ht="24" customHeight="1">
      <c r="F3398" s="907"/>
      <c r="G3398" s="908"/>
      <c r="H3398" s="907"/>
      <c r="I3398" s="907"/>
      <c r="J3398" s="910"/>
      <c r="K3398" s="915" t="s">
        <v>117</v>
      </c>
      <c r="M3398" s="758">
        <v>2</v>
      </c>
      <c r="N3398" s="914" t="s">
        <v>1</v>
      </c>
      <c r="O3398" s="760" t="s">
        <v>2644</v>
      </c>
      <c r="P3398" s="758">
        <f t="shared" ref="P3398:P3403" si="308">P3295</f>
        <v>50.9</v>
      </c>
      <c r="Q3398" s="761" t="s">
        <v>209</v>
      </c>
      <c r="R3398" s="758">
        <f t="shared" si="307"/>
        <v>101.8</v>
      </c>
    </row>
    <row r="3399" spans="6:18" ht="24" customHeight="1">
      <c r="F3399" s="907"/>
      <c r="G3399" s="908"/>
      <c r="H3399" s="760" t="s">
        <v>2722</v>
      </c>
      <c r="I3399" s="907"/>
      <c r="J3399" s="910"/>
      <c r="K3399" s="758">
        <v>6067.81</v>
      </c>
      <c r="M3399" s="758">
        <v>4</v>
      </c>
      <c r="N3399" s="914" t="s">
        <v>209</v>
      </c>
      <c r="O3399" s="760" t="s">
        <v>1482</v>
      </c>
      <c r="P3399" s="758">
        <f t="shared" si="308"/>
        <v>79.099999999999994</v>
      </c>
      <c r="Q3399" s="761" t="s">
        <v>209</v>
      </c>
      <c r="R3399" s="758">
        <f t="shared" si="307"/>
        <v>316.39999999999998</v>
      </c>
    </row>
    <row r="3400" spans="6:18" ht="24" customHeight="1">
      <c r="F3400" s="907"/>
      <c r="G3400" s="908"/>
      <c r="H3400" s="907"/>
      <c r="I3400" s="907"/>
      <c r="J3400" s="910"/>
      <c r="K3400" s="915" t="s">
        <v>117</v>
      </c>
      <c r="M3400" s="758">
        <v>2</v>
      </c>
      <c r="N3400" s="914" t="s">
        <v>209</v>
      </c>
      <c r="O3400" s="760" t="s">
        <v>2663</v>
      </c>
      <c r="P3400" s="758">
        <f t="shared" si="308"/>
        <v>86.3</v>
      </c>
      <c r="Q3400" s="761" t="s">
        <v>209</v>
      </c>
      <c r="R3400" s="758">
        <f t="shared" si="307"/>
        <v>172.6</v>
      </c>
    </row>
    <row r="3401" spans="6:18" ht="24" customHeight="1">
      <c r="F3401" s="907"/>
      <c r="G3401" s="908"/>
      <c r="H3401" s="921" t="s">
        <v>154</v>
      </c>
      <c r="I3401" s="907"/>
      <c r="J3401" s="912" t="s">
        <v>2433</v>
      </c>
      <c r="K3401" s="922">
        <v>2915.81</v>
      </c>
      <c r="M3401" s="758">
        <v>1</v>
      </c>
      <c r="N3401" s="914" t="s">
        <v>209</v>
      </c>
      <c r="O3401" s="760" t="s">
        <v>2664</v>
      </c>
      <c r="P3401" s="758">
        <f t="shared" si="308"/>
        <v>185.2</v>
      </c>
      <c r="Q3401" s="761" t="s">
        <v>209</v>
      </c>
      <c r="R3401" s="758">
        <f t="shared" si="307"/>
        <v>185.2</v>
      </c>
    </row>
    <row r="3402" spans="6:18" ht="24" customHeight="1">
      <c r="K3402" s="582" t="s">
        <v>155</v>
      </c>
      <c r="M3402" s="758">
        <v>1</v>
      </c>
      <c r="N3402" s="914" t="s">
        <v>209</v>
      </c>
      <c r="O3402" s="760" t="s">
        <v>2665</v>
      </c>
      <c r="P3402" s="758">
        <f t="shared" si="308"/>
        <v>22.7</v>
      </c>
      <c r="Q3402" s="761" t="s">
        <v>209</v>
      </c>
      <c r="R3402" s="758">
        <f t="shared" si="307"/>
        <v>22.7</v>
      </c>
    </row>
    <row r="3403" spans="6:18" ht="24" customHeight="1">
      <c r="M3403" s="758">
        <v>1</v>
      </c>
      <c r="N3403" s="914" t="s">
        <v>209</v>
      </c>
      <c r="O3403" s="760" t="s">
        <v>2666</v>
      </c>
      <c r="P3403" s="758">
        <f t="shared" si="308"/>
        <v>43.8</v>
      </c>
      <c r="Q3403" s="761" t="s">
        <v>209</v>
      </c>
      <c r="R3403" s="758">
        <f t="shared" si="307"/>
        <v>43.8</v>
      </c>
    </row>
    <row r="3404" spans="6:18" ht="24" customHeight="1">
      <c r="M3404" s="758">
        <v>58</v>
      </c>
      <c r="N3404" s="914" t="s">
        <v>209</v>
      </c>
      <c r="O3404" s="907" t="s">
        <v>2604</v>
      </c>
      <c r="P3404" s="907">
        <f>P3370</f>
        <v>2.37</v>
      </c>
      <c r="Q3404" s="910"/>
      <c r="R3404" s="758">
        <f t="shared" si="307"/>
        <v>137.46</v>
      </c>
    </row>
    <row r="3405" spans="6:18" ht="24" customHeight="1">
      <c r="M3405" s="907"/>
      <c r="N3405" s="908"/>
      <c r="O3405" s="907"/>
      <c r="P3405" s="907"/>
      <c r="Q3405" s="910"/>
      <c r="R3405" s="915" t="s">
        <v>117</v>
      </c>
    </row>
    <row r="3406" spans="6:18" ht="24" customHeight="1">
      <c r="F3406" s="686"/>
      <c r="G3406" s="717"/>
      <c r="H3406" s="862" t="s">
        <v>2723</v>
      </c>
      <c r="I3406" s="862"/>
      <c r="J3406" s="718"/>
      <c r="K3406" s="686"/>
      <c r="M3406" s="907"/>
      <c r="N3406" s="908"/>
      <c r="O3406" s="760" t="s">
        <v>2722</v>
      </c>
      <c r="P3406" s="907"/>
      <c r="Q3406" s="910"/>
      <c r="R3406" s="758">
        <f>SUM(R3394:R3404)</f>
        <v>9853.7721199999996</v>
      </c>
    </row>
    <row r="3407" spans="6:18" ht="24" customHeight="1">
      <c r="F3407" s="686"/>
      <c r="G3407" s="717"/>
      <c r="H3407" s="686"/>
      <c r="I3407" s="686"/>
      <c r="J3407" s="718"/>
      <c r="K3407" s="686"/>
      <c r="M3407" s="907"/>
      <c r="N3407" s="908"/>
      <c r="O3407" s="907"/>
      <c r="P3407" s="907"/>
      <c r="Q3407" s="910"/>
      <c r="R3407" s="915" t="s">
        <v>117</v>
      </c>
    </row>
    <row r="3408" spans="6:18" ht="24" customHeight="1">
      <c r="F3408" s="575" t="s">
        <v>2724</v>
      </c>
      <c r="G3408" s="717"/>
      <c r="H3408" s="686"/>
      <c r="I3408" s="879">
        <f>2*0.95*2.325</f>
        <v>4.4175000000000004</v>
      </c>
      <c r="J3408" s="718"/>
      <c r="K3408" s="686"/>
      <c r="M3408" s="907"/>
      <c r="N3408" s="908"/>
      <c r="O3408" s="921" t="s">
        <v>154</v>
      </c>
      <c r="P3408" s="907"/>
      <c r="Q3408" s="912" t="s">
        <v>2433</v>
      </c>
      <c r="R3408" s="922">
        <f>R3406/M3397</f>
        <v>4735.1139452186444</v>
      </c>
    </row>
    <row r="3409" spans="6:18" ht="24" customHeight="1">
      <c r="F3409" s="575" t="s">
        <v>2725</v>
      </c>
      <c r="G3409" s="717"/>
      <c r="H3409" s="686"/>
      <c r="I3409" s="879">
        <f>2*2*2.325*0.075*0.0375</f>
        <v>2.6156249999999999E-2</v>
      </c>
      <c r="J3409" s="718"/>
      <c r="K3409" s="686"/>
      <c r="N3409" s="576"/>
      <c r="Q3409" s="578"/>
      <c r="R3409" s="582" t="s">
        <v>155</v>
      </c>
    </row>
    <row r="3410" spans="6:18" ht="24" customHeight="1">
      <c r="F3410" s="686" t="s">
        <v>2380</v>
      </c>
      <c r="G3410" s="717"/>
      <c r="H3410" s="686"/>
      <c r="I3410" s="716">
        <f>2*3*0.95*0.15*0.0375</f>
        <v>3.2062499999999994E-2</v>
      </c>
      <c r="J3410" s="718"/>
      <c r="K3410" s="686"/>
    </row>
    <row r="3411" spans="6:18" ht="24" customHeight="1">
      <c r="F3411" s="686" t="s">
        <v>2726</v>
      </c>
      <c r="G3411" s="576" t="s">
        <v>2727</v>
      </c>
      <c r="H3411" s="686"/>
      <c r="I3411" s="716">
        <f>2*2*0.95*0.075*0.0375</f>
        <v>1.0687499999999999E-2</v>
      </c>
      <c r="J3411" s="718"/>
      <c r="K3411" s="686"/>
      <c r="N3411" s="576"/>
      <c r="O3411" s="619"/>
      <c r="Q3411" s="578"/>
    </row>
    <row r="3412" spans="6:18" ht="24" customHeight="1">
      <c r="F3412" s="686"/>
      <c r="G3412" s="717"/>
      <c r="H3412" s="686"/>
      <c r="I3412" s="880">
        <f>SUM(I3410:I3411)</f>
        <v>4.2749999999999996E-2</v>
      </c>
      <c r="J3412" s="718"/>
      <c r="K3412" s="686"/>
    </row>
    <row r="3413" spans="6:18" ht="24" customHeight="1">
      <c r="F3413" s="686"/>
      <c r="G3413" s="717"/>
      <c r="H3413" s="686"/>
      <c r="I3413" s="686"/>
      <c r="J3413" s="718"/>
      <c r="K3413" s="686"/>
    </row>
    <row r="3414" spans="6:18" ht="24" customHeight="1">
      <c r="F3414" s="686"/>
      <c r="G3414" s="717"/>
      <c r="H3414" s="686"/>
      <c r="I3414" s="686"/>
      <c r="J3414" s="718"/>
      <c r="K3414" s="686"/>
    </row>
    <row r="3415" spans="6:18" ht="24" customHeight="1">
      <c r="F3415" s="575" t="s">
        <v>2728</v>
      </c>
      <c r="G3415" s="717"/>
      <c r="H3415" s="686"/>
      <c r="I3415" s="716">
        <f>2*4*0.825*0.36*0.01875</f>
        <v>4.4549999999999999E-2</v>
      </c>
      <c r="J3415" s="718"/>
      <c r="K3415" s="686"/>
    </row>
    <row r="3416" spans="6:18" ht="24" customHeight="1">
      <c r="F3416" s="575" t="s">
        <v>2729</v>
      </c>
      <c r="G3416" s="717"/>
      <c r="H3416" s="686"/>
      <c r="I3416" s="716">
        <f>2*0.825*0.36*0.01875</f>
        <v>1.11375E-2</v>
      </c>
      <c r="J3416" s="718"/>
      <c r="K3416" s="686"/>
    </row>
    <row r="3417" spans="6:18" ht="24" customHeight="1">
      <c r="F3417" s="686"/>
      <c r="G3417" s="717"/>
      <c r="H3417" s="686"/>
      <c r="I3417" s="880">
        <f>SUM(I3415:I3416)</f>
        <v>5.5687500000000001E-2</v>
      </c>
      <c r="J3417" s="718"/>
      <c r="K3417" s="686"/>
    </row>
    <row r="3418" spans="6:18" ht="24" customHeight="1">
      <c r="F3418" s="686"/>
      <c r="G3418" s="717"/>
      <c r="H3418" s="619" t="s">
        <v>2376</v>
      </c>
      <c r="I3418" s="686"/>
      <c r="J3418" s="718"/>
      <c r="K3418" s="686"/>
      <c r="M3418" s="761"/>
      <c r="N3418" s="914" t="s">
        <v>122</v>
      </c>
      <c r="O3418" s="760" t="s">
        <v>2651</v>
      </c>
      <c r="P3418" s="907"/>
      <c r="Q3418" s="910"/>
      <c r="R3418" s="907"/>
    </row>
    <row r="3419" spans="6:18" ht="24" customHeight="1">
      <c r="F3419" s="686"/>
      <c r="G3419" s="717"/>
      <c r="H3419" s="686"/>
      <c r="I3419" s="686"/>
      <c r="J3419" s="718"/>
      <c r="K3419" s="686"/>
      <c r="M3419" s="907"/>
      <c r="N3419" s="908"/>
      <c r="O3419" s="760" t="s">
        <v>1467</v>
      </c>
      <c r="P3419" s="907"/>
      <c r="Q3419" s="910"/>
      <c r="R3419" s="907"/>
    </row>
    <row r="3420" spans="6:18" ht="24" customHeight="1">
      <c r="F3420" s="716">
        <f>I3409</f>
        <v>2.6156249999999999E-2</v>
      </c>
      <c r="G3420" s="717" t="s">
        <v>126</v>
      </c>
      <c r="H3420" s="686" t="s">
        <v>2377</v>
      </c>
      <c r="I3420" s="686">
        <f>I2633</f>
        <v>111600</v>
      </c>
      <c r="J3420" s="718" t="s">
        <v>126</v>
      </c>
      <c r="K3420" s="686">
        <f>F3420*I3420</f>
        <v>2919.0374999999999</v>
      </c>
      <c r="M3420" s="907"/>
      <c r="N3420" s="908"/>
      <c r="O3420" s="992" t="s">
        <v>2667</v>
      </c>
      <c r="P3420" s="907"/>
      <c r="Q3420" s="910"/>
      <c r="R3420" s="907"/>
    </row>
    <row r="3421" spans="6:18" ht="24" customHeight="1">
      <c r="F3421" s="716">
        <f>I3412</f>
        <v>4.2749999999999996E-2</v>
      </c>
      <c r="G3421" s="717" t="s">
        <v>126</v>
      </c>
      <c r="H3421" s="686" t="s">
        <v>1572</v>
      </c>
      <c r="I3421" s="686">
        <f>I2634</f>
        <v>99400</v>
      </c>
      <c r="J3421" s="718" t="s">
        <v>126</v>
      </c>
      <c r="K3421" s="686">
        <f t="shared" ref="K3421:K3430" si="309">F3421*I3421</f>
        <v>4249.3499999999995</v>
      </c>
      <c r="M3421" s="907"/>
      <c r="N3421" s="908"/>
      <c r="O3421" s="915" t="s">
        <v>117</v>
      </c>
      <c r="P3421" s="907"/>
      <c r="Q3421" s="910"/>
      <c r="R3421" s="907"/>
    </row>
    <row r="3422" spans="6:18" ht="24" customHeight="1">
      <c r="F3422" s="719">
        <f>I3417</f>
        <v>5.5687500000000001E-2</v>
      </c>
      <c r="G3422" s="717" t="s">
        <v>126</v>
      </c>
      <c r="H3422" s="575" t="s">
        <v>2730</v>
      </c>
      <c r="I3422" s="686">
        <f>I2635</f>
        <v>107000</v>
      </c>
      <c r="J3422" s="718" t="s">
        <v>126</v>
      </c>
      <c r="K3422" s="686">
        <f t="shared" si="309"/>
        <v>5958.5625</v>
      </c>
      <c r="M3422" s="907"/>
      <c r="N3422" s="908"/>
      <c r="O3422" s="760" t="s">
        <v>2668</v>
      </c>
      <c r="P3422" s="911" t="s">
        <v>155</v>
      </c>
      <c r="Q3422" s="993">
        <v>2.4279999999999999</v>
      </c>
      <c r="R3422" s="907" t="s">
        <v>174</v>
      </c>
    </row>
    <row r="3423" spans="6:18" ht="24" customHeight="1">
      <c r="F3423" s="716">
        <f>I3408</f>
        <v>4.4175000000000004</v>
      </c>
      <c r="G3423" s="717" t="s">
        <v>140</v>
      </c>
      <c r="H3423" s="686" t="s">
        <v>1574</v>
      </c>
      <c r="I3423" s="686">
        <f>I2636</f>
        <v>1155</v>
      </c>
      <c r="J3423" s="718" t="s">
        <v>140</v>
      </c>
      <c r="K3423" s="686">
        <f t="shared" si="309"/>
        <v>5102.2125000000005</v>
      </c>
      <c r="M3423" s="907"/>
      <c r="N3423" s="908"/>
      <c r="O3423" s="760"/>
      <c r="P3423" s="911"/>
      <c r="Q3423" s="993"/>
      <c r="R3423" s="907"/>
    </row>
    <row r="3424" spans="6:18" ht="24" customHeight="1">
      <c r="F3424" s="686">
        <v>2</v>
      </c>
      <c r="G3424" s="717" t="s">
        <v>1576</v>
      </c>
      <c r="H3424" s="575" t="s">
        <v>2401</v>
      </c>
      <c r="I3424" s="881">
        <v>450</v>
      </c>
      <c r="J3424" s="718" t="s">
        <v>227</v>
      </c>
      <c r="K3424" s="686">
        <f t="shared" si="309"/>
        <v>900</v>
      </c>
      <c r="M3424" s="907"/>
      <c r="N3424" s="908"/>
      <c r="O3424" s="760" t="s">
        <v>2635</v>
      </c>
      <c r="P3424" s="911" t="s">
        <v>155</v>
      </c>
      <c r="Q3424" s="994">
        <v>5.1999999999999998E-2</v>
      </c>
      <c r="R3424" s="907" t="s">
        <v>429</v>
      </c>
    </row>
    <row r="3425" spans="6:18" ht="24" customHeight="1">
      <c r="F3425" s="686">
        <v>6</v>
      </c>
      <c r="G3425" s="717" t="s">
        <v>1576</v>
      </c>
      <c r="H3425" s="575" t="s">
        <v>2402</v>
      </c>
      <c r="I3425" s="881">
        <v>79</v>
      </c>
      <c r="J3425" s="718" t="s">
        <v>227</v>
      </c>
      <c r="K3425" s="686">
        <f t="shared" si="309"/>
        <v>474</v>
      </c>
      <c r="M3425" s="907"/>
      <c r="N3425" s="908"/>
      <c r="O3425" s="760" t="s">
        <v>2636</v>
      </c>
      <c r="Q3425" s="995"/>
      <c r="R3425" s="907"/>
    </row>
    <row r="3426" spans="6:18" ht="24" customHeight="1">
      <c r="F3426" s="686">
        <v>4</v>
      </c>
      <c r="G3426" s="717" t="s">
        <v>1576</v>
      </c>
      <c r="H3426" s="575" t="s">
        <v>2403</v>
      </c>
      <c r="I3426" s="881">
        <v>130</v>
      </c>
      <c r="J3426" s="718" t="s">
        <v>227</v>
      </c>
      <c r="K3426" s="686">
        <f t="shared" si="309"/>
        <v>520</v>
      </c>
      <c r="M3426" s="907"/>
      <c r="N3426" s="908"/>
      <c r="O3426" s="760" t="s">
        <v>2671</v>
      </c>
      <c r="P3426" s="911" t="s">
        <v>155</v>
      </c>
      <c r="Q3426" s="996">
        <v>1.772E-2</v>
      </c>
      <c r="R3426" s="907"/>
    </row>
    <row r="3427" spans="6:18" ht="24" customHeight="1">
      <c r="F3427" s="686">
        <v>1</v>
      </c>
      <c r="G3427" s="717" t="s">
        <v>1576</v>
      </c>
      <c r="H3427" s="575" t="s">
        <v>2404</v>
      </c>
      <c r="I3427" s="881">
        <v>985</v>
      </c>
      <c r="J3427" s="718" t="s">
        <v>227</v>
      </c>
      <c r="K3427" s="686">
        <f t="shared" si="309"/>
        <v>985</v>
      </c>
      <c r="M3427" s="907"/>
      <c r="N3427" s="908"/>
      <c r="O3427" s="760" t="s">
        <v>2672</v>
      </c>
      <c r="P3427" s="911" t="s">
        <v>155</v>
      </c>
      <c r="Q3427" s="1005">
        <v>7.8750000000000001E-3</v>
      </c>
      <c r="R3427" s="939"/>
    </row>
    <row r="3428" spans="6:18" ht="24" customHeight="1">
      <c r="F3428" s="686">
        <v>2</v>
      </c>
      <c r="G3428" s="717" t="s">
        <v>1576</v>
      </c>
      <c r="H3428" s="575" t="s">
        <v>2405</v>
      </c>
      <c r="I3428" s="881">
        <v>21.5</v>
      </c>
      <c r="J3428" s="718" t="s">
        <v>227</v>
      </c>
      <c r="K3428" s="686">
        <f t="shared" si="309"/>
        <v>43</v>
      </c>
      <c r="M3428" s="907"/>
      <c r="N3428" s="908"/>
      <c r="O3428" s="907"/>
      <c r="P3428" s="907"/>
      <c r="Q3428" s="915" t="s">
        <v>117</v>
      </c>
    </row>
    <row r="3429" spans="6:18" ht="24" customHeight="1">
      <c r="F3429" s="686">
        <v>2</v>
      </c>
      <c r="G3429" s="717" t="s">
        <v>1576</v>
      </c>
      <c r="H3429" s="686" t="s">
        <v>630</v>
      </c>
      <c r="I3429" s="686">
        <f>I3396</f>
        <v>43.8</v>
      </c>
      <c r="J3429" s="718" t="s">
        <v>227</v>
      </c>
      <c r="K3429" s="686">
        <f t="shared" si="309"/>
        <v>87.6</v>
      </c>
      <c r="M3429" s="907"/>
      <c r="N3429" s="908"/>
      <c r="O3429" s="907"/>
      <c r="P3429" s="907"/>
      <c r="Q3429" s="997">
        <v>2.5600000000000001E-2</v>
      </c>
      <c r="R3429" s="575" t="s">
        <v>429</v>
      </c>
    </row>
    <row r="3430" spans="6:18" ht="24" customHeight="1">
      <c r="F3430" s="720">
        <v>130</v>
      </c>
      <c r="G3430" s="717" t="s">
        <v>1576</v>
      </c>
      <c r="H3430" s="686" t="s">
        <v>1508</v>
      </c>
      <c r="I3430" s="881">
        <f>I3328</f>
        <v>2.37</v>
      </c>
      <c r="J3430" s="718"/>
      <c r="K3430" s="686">
        <f t="shared" si="309"/>
        <v>308.10000000000002</v>
      </c>
      <c r="M3430" s="907"/>
      <c r="N3430" s="908"/>
      <c r="O3430" s="907"/>
      <c r="P3430" s="907"/>
      <c r="Q3430" s="915" t="s">
        <v>117</v>
      </c>
    </row>
    <row r="3431" spans="6:18" ht="24" customHeight="1">
      <c r="F3431" s="686"/>
      <c r="G3431" s="717"/>
      <c r="H3431" s="686"/>
      <c r="I3431" s="686"/>
      <c r="J3431" s="718"/>
      <c r="K3431" s="721"/>
      <c r="M3431" s="907"/>
      <c r="N3431" s="908"/>
      <c r="O3431" s="760" t="s">
        <v>2731</v>
      </c>
      <c r="P3431" s="907"/>
      <c r="Q3431" s="880">
        <v>0.58750000000000002</v>
      </c>
      <c r="R3431" s="961" t="s">
        <v>174</v>
      </c>
    </row>
    <row r="3432" spans="6:18" ht="24" customHeight="1">
      <c r="F3432" s="686"/>
      <c r="G3432" s="646"/>
      <c r="H3432" s="619" t="s">
        <v>2732</v>
      </c>
      <c r="I3432" s="686"/>
      <c r="J3432" s="718"/>
      <c r="K3432" s="619">
        <f>SUM(K3420:K3431)</f>
        <v>21546.862499999996</v>
      </c>
      <c r="M3432" s="907"/>
      <c r="N3432" s="908"/>
      <c r="O3432" s="760" t="s">
        <v>2733</v>
      </c>
      <c r="P3432" s="907"/>
      <c r="Q3432" s="1000">
        <v>5.3E-3</v>
      </c>
      <c r="R3432" s="961" t="s">
        <v>429</v>
      </c>
    </row>
    <row r="3433" spans="6:18" ht="24" customHeight="1">
      <c r="F3433" s="686"/>
      <c r="G3433" s="646"/>
      <c r="I3433" s="686"/>
      <c r="J3433" s="718"/>
      <c r="K3433" s="721" t="s">
        <v>1586</v>
      </c>
      <c r="M3433" s="907"/>
      <c r="N3433" s="908"/>
      <c r="O3433" s="760" t="s">
        <v>2734</v>
      </c>
      <c r="P3433" s="907"/>
      <c r="Q3433" s="1000">
        <v>6.7</v>
      </c>
      <c r="R3433" s="961" t="s">
        <v>231</v>
      </c>
    </row>
    <row r="3434" spans="6:18" ht="24" customHeight="1">
      <c r="F3434" s="686"/>
      <c r="G3434" s="646"/>
      <c r="H3434" s="619" t="s">
        <v>154</v>
      </c>
      <c r="I3434" s="686"/>
      <c r="J3434" s="718"/>
      <c r="K3434" s="619">
        <f>K3432/F3423</f>
        <v>4877.614601018674</v>
      </c>
      <c r="M3434" s="907"/>
      <c r="N3434" s="908"/>
      <c r="O3434" s="907"/>
      <c r="P3434" s="907"/>
      <c r="Q3434" s="915"/>
      <c r="R3434" s="915"/>
    </row>
    <row r="3435" spans="6:18" ht="24" customHeight="1">
      <c r="G3435" s="575"/>
      <c r="J3435" s="575"/>
      <c r="M3435" s="939">
        <v>5.1999999999999998E-2</v>
      </c>
      <c r="N3435" s="914" t="s">
        <v>126</v>
      </c>
      <c r="O3435" s="760" t="s">
        <v>1483</v>
      </c>
      <c r="P3435" s="758">
        <f>P3221</f>
        <v>111600</v>
      </c>
      <c r="Q3435" s="761" t="s">
        <v>126</v>
      </c>
      <c r="R3435" s="758">
        <f>P3435*M3435</f>
        <v>5803.2</v>
      </c>
    </row>
    <row r="3436" spans="6:18" ht="24" customHeight="1">
      <c r="M3436" s="939">
        <v>2.5600000000000001E-2</v>
      </c>
      <c r="N3436" s="914" t="s">
        <v>126</v>
      </c>
      <c r="O3436" s="760" t="s">
        <v>1485</v>
      </c>
      <c r="P3436" s="758">
        <f>P3222</f>
        <v>99400</v>
      </c>
      <c r="Q3436" s="761" t="s">
        <v>126</v>
      </c>
      <c r="R3436" s="758">
        <f t="shared" ref="R3436:R3448" si="310">P3436*M3436</f>
        <v>2544.6400000000003</v>
      </c>
    </row>
    <row r="3437" spans="6:18" ht="24" customHeight="1">
      <c r="M3437" s="939">
        <v>5.3E-3</v>
      </c>
      <c r="N3437" s="914" t="s">
        <v>126</v>
      </c>
      <c r="O3437" s="760" t="s">
        <v>2642</v>
      </c>
      <c r="P3437" s="758">
        <f>P3223</f>
        <v>101921.4</v>
      </c>
      <c r="Q3437" s="761" t="s">
        <v>126</v>
      </c>
      <c r="R3437" s="758">
        <f t="shared" si="310"/>
        <v>540.18341999999996</v>
      </c>
    </row>
    <row r="3438" spans="6:18" ht="24" customHeight="1">
      <c r="M3438" s="955"/>
      <c r="N3438" s="908"/>
      <c r="O3438" s="760" t="s">
        <v>1560</v>
      </c>
      <c r="P3438" s="758"/>
      <c r="Q3438" s="910"/>
      <c r="R3438" s="758">
        <f t="shared" si="310"/>
        <v>0</v>
      </c>
    </row>
    <row r="3439" spans="6:18" ht="24" customHeight="1">
      <c r="M3439" s="955">
        <v>0.58750000000000002</v>
      </c>
      <c r="N3439" s="914" t="s">
        <v>140</v>
      </c>
      <c r="O3439" s="760" t="s">
        <v>2700</v>
      </c>
      <c r="P3439" s="758">
        <f>P3225</f>
        <v>355.5</v>
      </c>
      <c r="Q3439" s="910" t="s">
        <v>140</v>
      </c>
      <c r="R3439" s="758">
        <f t="shared" si="310"/>
        <v>208.85625000000002</v>
      </c>
    </row>
    <row r="3440" spans="6:18" ht="24" customHeight="1">
      <c r="M3440" s="955">
        <v>6.7</v>
      </c>
      <c r="N3440" s="914" t="s">
        <v>203</v>
      </c>
      <c r="O3440" s="760" t="s">
        <v>2701</v>
      </c>
      <c r="P3440" s="758">
        <f>P3226</f>
        <v>15.15</v>
      </c>
      <c r="Q3440" s="910" t="s">
        <v>231</v>
      </c>
      <c r="R3440" s="758">
        <f t="shared" si="310"/>
        <v>101.50500000000001</v>
      </c>
    </row>
    <row r="3441" spans="6:18" ht="24" customHeight="1">
      <c r="M3441" s="955">
        <v>2.4279999999999999</v>
      </c>
      <c r="N3441" s="914" t="s">
        <v>140</v>
      </c>
      <c r="O3441" s="760" t="s">
        <v>1480</v>
      </c>
      <c r="P3441" s="758">
        <f>P3227</f>
        <v>1078</v>
      </c>
      <c r="Q3441" s="761" t="s">
        <v>140</v>
      </c>
      <c r="R3441" s="758">
        <f t="shared" si="310"/>
        <v>2617.384</v>
      </c>
    </row>
    <row r="3442" spans="6:18" ht="55.5" customHeight="1">
      <c r="M3442" s="758">
        <v>4</v>
      </c>
      <c r="N3442" s="914" t="s">
        <v>1</v>
      </c>
      <c r="O3442" s="760" t="s">
        <v>2644</v>
      </c>
      <c r="P3442" s="758">
        <f t="shared" ref="P3442:P3447" si="311">P3228</f>
        <v>50.9</v>
      </c>
      <c r="Q3442" s="761" t="s">
        <v>209</v>
      </c>
      <c r="R3442" s="758">
        <f t="shared" si="310"/>
        <v>203.6</v>
      </c>
    </row>
    <row r="3443" spans="6:18" ht="24" customHeight="1">
      <c r="M3443" s="758">
        <v>8</v>
      </c>
      <c r="N3443" s="914" t="s">
        <v>209</v>
      </c>
      <c r="O3443" s="760" t="s">
        <v>1482</v>
      </c>
      <c r="P3443" s="758">
        <f t="shared" si="311"/>
        <v>79.099999999999994</v>
      </c>
      <c r="Q3443" s="761" t="s">
        <v>209</v>
      </c>
      <c r="R3443" s="758">
        <f t="shared" si="310"/>
        <v>632.79999999999995</v>
      </c>
    </row>
    <row r="3444" spans="6:18" ht="24" customHeight="1">
      <c r="M3444" s="758">
        <v>4</v>
      </c>
      <c r="N3444" s="914" t="s">
        <v>209</v>
      </c>
      <c r="O3444" s="760" t="s">
        <v>2663</v>
      </c>
      <c r="P3444" s="758">
        <f t="shared" si="311"/>
        <v>86.3</v>
      </c>
      <c r="Q3444" s="761" t="s">
        <v>209</v>
      </c>
      <c r="R3444" s="758">
        <f t="shared" si="310"/>
        <v>345.2</v>
      </c>
    </row>
    <row r="3445" spans="6:18" ht="24" customHeight="1">
      <c r="M3445" s="758">
        <v>1</v>
      </c>
      <c r="N3445" s="914" t="s">
        <v>209</v>
      </c>
      <c r="O3445" s="760" t="s">
        <v>2664</v>
      </c>
      <c r="P3445" s="758">
        <f t="shared" si="311"/>
        <v>185.2</v>
      </c>
      <c r="Q3445" s="761" t="s">
        <v>209</v>
      </c>
      <c r="R3445" s="758">
        <f t="shared" si="310"/>
        <v>185.2</v>
      </c>
    </row>
    <row r="3446" spans="6:18" ht="24" customHeight="1">
      <c r="M3446" s="758">
        <v>2</v>
      </c>
      <c r="N3446" s="914" t="s">
        <v>209</v>
      </c>
      <c r="O3446" s="760" t="s">
        <v>2665</v>
      </c>
      <c r="P3446" s="758">
        <f t="shared" si="311"/>
        <v>22.7</v>
      </c>
      <c r="Q3446" s="761" t="s">
        <v>209</v>
      </c>
      <c r="R3446" s="758">
        <f t="shared" si="310"/>
        <v>45.4</v>
      </c>
    </row>
    <row r="3447" spans="6:18" ht="24" customHeight="1">
      <c r="M3447" s="758">
        <v>2</v>
      </c>
      <c r="N3447" s="914" t="s">
        <v>209</v>
      </c>
      <c r="O3447" s="760" t="s">
        <v>2666</v>
      </c>
      <c r="P3447" s="758">
        <f t="shared" si="311"/>
        <v>43.8</v>
      </c>
      <c r="Q3447" s="761" t="s">
        <v>209</v>
      </c>
      <c r="R3447" s="758">
        <f t="shared" si="310"/>
        <v>87.6</v>
      </c>
    </row>
    <row r="3448" spans="6:18" ht="24" customHeight="1">
      <c r="M3448" s="907">
        <v>118</v>
      </c>
      <c r="N3448" s="914" t="s">
        <v>209</v>
      </c>
      <c r="O3448" s="907" t="s">
        <v>2604</v>
      </c>
      <c r="P3448" s="907">
        <f>P3404</f>
        <v>2.37</v>
      </c>
      <c r="Q3448" s="761" t="s">
        <v>209</v>
      </c>
      <c r="R3448" s="758">
        <f t="shared" si="310"/>
        <v>279.66000000000003</v>
      </c>
    </row>
    <row r="3449" spans="6:18" ht="24" customHeight="1">
      <c r="M3449" s="907"/>
      <c r="N3449" s="908"/>
      <c r="O3449" s="907"/>
      <c r="P3449" s="907"/>
      <c r="Q3449" s="910"/>
      <c r="R3449" s="915" t="s">
        <v>117</v>
      </c>
    </row>
    <row r="3450" spans="6:18" ht="24" customHeight="1">
      <c r="F3450" s="620">
        <v>29.5</v>
      </c>
      <c r="G3450" s="585" t="s">
        <v>122</v>
      </c>
      <c r="H3450" s="573" t="s">
        <v>2735</v>
      </c>
      <c r="J3450" s="580"/>
      <c r="M3450" s="907"/>
      <c r="N3450" s="908"/>
      <c r="O3450" s="760" t="s">
        <v>2690</v>
      </c>
      <c r="P3450" s="907"/>
      <c r="Q3450" s="910"/>
      <c r="R3450" s="758">
        <f>SUM(R3435:R3449)</f>
        <v>13595.22867</v>
      </c>
    </row>
    <row r="3451" spans="6:18" ht="24" customHeight="1">
      <c r="H3451" s="573" t="s">
        <v>2736</v>
      </c>
      <c r="J3451" s="580"/>
      <c r="M3451" s="907"/>
      <c r="N3451" s="908"/>
      <c r="O3451" s="907"/>
      <c r="P3451" s="907"/>
      <c r="Q3451" s="910"/>
      <c r="R3451" s="915" t="s">
        <v>117</v>
      </c>
    </row>
    <row r="3452" spans="6:18" ht="24" customHeight="1">
      <c r="H3452" s="573" t="s">
        <v>158</v>
      </c>
      <c r="J3452" s="580"/>
      <c r="M3452" s="907"/>
      <c r="N3452" s="908"/>
      <c r="O3452" s="921" t="s">
        <v>154</v>
      </c>
      <c r="P3452" s="907"/>
      <c r="Q3452" s="912" t="s">
        <v>2433</v>
      </c>
      <c r="R3452" s="922">
        <f>R3450/M3441</f>
        <v>5599.3528294892922</v>
      </c>
    </row>
    <row r="3453" spans="6:18" ht="24" customHeight="1">
      <c r="H3453" s="582" t="s">
        <v>117</v>
      </c>
      <c r="I3453" s="582" t="s">
        <v>117</v>
      </c>
      <c r="J3453" s="580"/>
      <c r="K3453" s="587"/>
    </row>
    <row r="3454" spans="6:18" ht="24" customHeight="1">
      <c r="F3454" s="587">
        <v>10</v>
      </c>
      <c r="G3454" s="585" t="s">
        <v>140</v>
      </c>
      <c r="H3454" s="577" t="s">
        <v>2737</v>
      </c>
      <c r="I3454" s="584">
        <v>412</v>
      </c>
      <c r="J3454" s="574" t="s">
        <v>140</v>
      </c>
      <c r="K3454" s="587">
        <f>F3454*I3454</f>
        <v>4120</v>
      </c>
    </row>
    <row r="3455" spans="6:18" ht="24" customHeight="1">
      <c r="F3455" s="587">
        <v>0.21</v>
      </c>
      <c r="G3455" s="585" t="s">
        <v>126</v>
      </c>
      <c r="H3455" s="573" t="s">
        <v>142</v>
      </c>
      <c r="I3455" s="587">
        <f>K32</f>
        <v>4193.8</v>
      </c>
      <c r="J3455" s="574" t="s">
        <v>126</v>
      </c>
      <c r="K3455" s="587">
        <f>(F3455*I3455)</f>
        <v>880.69799999999998</v>
      </c>
    </row>
    <row r="3456" spans="6:18" ht="24" customHeight="1">
      <c r="H3456" s="573" t="s">
        <v>160</v>
      </c>
      <c r="I3456" s="587"/>
      <c r="J3456" s="580"/>
      <c r="K3456" s="573" t="s">
        <v>115</v>
      </c>
      <c r="M3456" s="620">
        <v>29.5</v>
      </c>
      <c r="N3456" s="585" t="s">
        <v>122</v>
      </c>
      <c r="O3456" s="573" t="s">
        <v>2735</v>
      </c>
      <c r="Q3456" s="580"/>
    </row>
    <row r="3457" spans="6:18" ht="24" customHeight="1">
      <c r="F3457" s="587">
        <v>1.1000000000000001</v>
      </c>
      <c r="G3457" s="585" t="s">
        <v>1</v>
      </c>
      <c r="H3457" s="573" t="s">
        <v>144</v>
      </c>
      <c r="I3457" s="587">
        <f>C10</f>
        <v>769</v>
      </c>
      <c r="J3457" s="574" t="s">
        <v>1</v>
      </c>
      <c r="K3457" s="587">
        <f>(F3457*I3457)</f>
        <v>845.90000000000009</v>
      </c>
      <c r="N3457" s="576"/>
      <c r="O3457" s="573" t="s">
        <v>2736</v>
      </c>
      <c r="Q3457" s="580"/>
    </row>
    <row r="3458" spans="6:18" ht="24" customHeight="1">
      <c r="F3458" s="587">
        <v>1.1000000000000001</v>
      </c>
      <c r="G3458" s="585" t="s">
        <v>1</v>
      </c>
      <c r="H3458" s="573" t="s">
        <v>145</v>
      </c>
      <c r="I3458" s="587">
        <f>C11</f>
        <v>718</v>
      </c>
      <c r="J3458" s="574" t="s">
        <v>1</v>
      </c>
      <c r="K3458" s="587">
        <f>(F3458*I3458)</f>
        <v>789.80000000000007</v>
      </c>
      <c r="N3458" s="576"/>
      <c r="O3458" s="573" t="s">
        <v>158</v>
      </c>
      <c r="Q3458" s="580"/>
    </row>
    <row r="3459" spans="6:18" ht="24" customHeight="1">
      <c r="F3459" s="587">
        <v>2.2000000000000002</v>
      </c>
      <c r="G3459" s="585" t="s">
        <v>1</v>
      </c>
      <c r="H3459" s="573" t="s">
        <v>146</v>
      </c>
      <c r="I3459" s="587">
        <f>C12</f>
        <v>502</v>
      </c>
      <c r="J3459" s="574" t="s">
        <v>1</v>
      </c>
      <c r="K3459" s="587">
        <f>(F3459*I3459)</f>
        <v>1104.4000000000001</v>
      </c>
      <c r="N3459" s="576"/>
      <c r="O3459" s="582" t="s">
        <v>117</v>
      </c>
      <c r="P3459" s="582" t="s">
        <v>117</v>
      </c>
      <c r="Q3459" s="580"/>
      <c r="R3459" s="587"/>
    </row>
    <row r="3460" spans="6:18" ht="24" customHeight="1">
      <c r="F3460" s="587">
        <v>2.2000000000000002</v>
      </c>
      <c r="G3460" s="585" t="s">
        <v>1</v>
      </c>
      <c r="H3460" s="573" t="s">
        <v>147</v>
      </c>
      <c r="I3460" s="587">
        <f>C13</f>
        <v>412</v>
      </c>
      <c r="J3460" s="574" t="s">
        <v>1</v>
      </c>
      <c r="K3460" s="587">
        <f>(F3460*I3460)</f>
        <v>906.40000000000009</v>
      </c>
      <c r="M3460" s="587">
        <v>10</v>
      </c>
      <c r="N3460" s="585" t="s">
        <v>140</v>
      </c>
      <c r="O3460" s="577" t="s">
        <v>2737</v>
      </c>
      <c r="P3460" s="1014">
        <f>I3454</f>
        <v>412</v>
      </c>
      <c r="Q3460" s="574" t="s">
        <v>140</v>
      </c>
      <c r="R3460" s="587">
        <f>P3460*M3460</f>
        <v>4120</v>
      </c>
    </row>
    <row r="3461" spans="6:18" ht="24" customHeight="1">
      <c r="F3461" s="617">
        <v>20</v>
      </c>
      <c r="G3461" s="585" t="s">
        <v>148</v>
      </c>
      <c r="H3461" s="573" t="s">
        <v>125</v>
      </c>
      <c r="I3461" s="587">
        <f>AC31</f>
        <v>5800</v>
      </c>
      <c r="J3461" s="574" t="s">
        <v>124</v>
      </c>
      <c r="K3461" s="587">
        <f>(F3461*I3461)/1000</f>
        <v>116</v>
      </c>
      <c r="M3461" s="587">
        <v>0.21</v>
      </c>
      <c r="N3461" s="585" t="s">
        <v>126</v>
      </c>
      <c r="O3461" s="573" t="s">
        <v>142</v>
      </c>
      <c r="P3461" s="1015">
        <f t="shared" ref="P3461:P3471" si="312">I3455</f>
        <v>4193.8</v>
      </c>
      <c r="Q3461" s="574" t="s">
        <v>126</v>
      </c>
      <c r="R3461" s="587">
        <f t="shared" ref="R3461:R3471" si="313">P3461*M3461</f>
        <v>880.69799999999998</v>
      </c>
    </row>
    <row r="3462" spans="6:18" ht="24" customHeight="1">
      <c r="F3462" s="617">
        <v>2</v>
      </c>
      <c r="G3462" s="585" t="s">
        <v>148</v>
      </c>
      <c r="H3462" s="573" t="s">
        <v>1641</v>
      </c>
      <c r="I3462" s="587">
        <f>I1256</f>
        <v>36.1</v>
      </c>
      <c r="J3462" s="574" t="s">
        <v>148</v>
      </c>
      <c r="K3462" s="587">
        <f>(F3462*I3462)</f>
        <v>72.2</v>
      </c>
      <c r="N3462" s="576"/>
      <c r="O3462" s="573" t="s">
        <v>160</v>
      </c>
      <c r="P3462" s="1015">
        <f t="shared" si="312"/>
        <v>0</v>
      </c>
      <c r="Q3462" s="580"/>
      <c r="R3462" s="587">
        <f t="shared" si="313"/>
        <v>0</v>
      </c>
    </row>
    <row r="3463" spans="6:18" ht="24" customHeight="1">
      <c r="F3463" s="587">
        <v>1.6</v>
      </c>
      <c r="G3463" s="585" t="s">
        <v>1</v>
      </c>
      <c r="H3463" s="573" t="s">
        <v>145</v>
      </c>
      <c r="I3463" s="587">
        <f>I3458</f>
        <v>718</v>
      </c>
      <c r="J3463" s="574" t="s">
        <v>1</v>
      </c>
      <c r="K3463" s="587">
        <f>(F3463*I3463)</f>
        <v>1148.8</v>
      </c>
      <c r="M3463" s="587">
        <v>1.1000000000000001</v>
      </c>
      <c r="N3463" s="585" t="s">
        <v>1</v>
      </c>
      <c r="O3463" s="573" t="s">
        <v>144</v>
      </c>
      <c r="P3463" s="1015">
        <f t="shared" si="312"/>
        <v>769</v>
      </c>
      <c r="Q3463" s="574" t="s">
        <v>1</v>
      </c>
      <c r="R3463" s="587">
        <f t="shared" si="313"/>
        <v>845.90000000000009</v>
      </c>
    </row>
    <row r="3464" spans="6:18" ht="24" customHeight="1">
      <c r="F3464" s="587">
        <v>0.5</v>
      </c>
      <c r="G3464" s="585" t="s">
        <v>1</v>
      </c>
      <c r="H3464" s="573" t="s">
        <v>146</v>
      </c>
      <c r="I3464" s="587">
        <f>I3459</f>
        <v>502</v>
      </c>
      <c r="J3464" s="574" t="s">
        <v>1</v>
      </c>
      <c r="K3464" s="587">
        <f>(F3464*I3464)</f>
        <v>251</v>
      </c>
      <c r="M3464" s="587">
        <v>1.1000000000000001</v>
      </c>
      <c r="N3464" s="585" t="s">
        <v>1</v>
      </c>
      <c r="O3464" s="573" t="s">
        <v>145</v>
      </c>
      <c r="P3464" s="1015">
        <f t="shared" si="312"/>
        <v>718</v>
      </c>
      <c r="Q3464" s="574" t="s">
        <v>1</v>
      </c>
      <c r="R3464" s="587">
        <f t="shared" si="313"/>
        <v>789.80000000000007</v>
      </c>
    </row>
    <row r="3465" spans="6:18" ht="24" customHeight="1">
      <c r="F3465" s="587">
        <v>1.1000000000000001</v>
      </c>
      <c r="G3465" s="585" t="s">
        <v>1</v>
      </c>
      <c r="H3465" s="573" t="s">
        <v>147</v>
      </c>
      <c r="I3465" s="587">
        <f>I3460</f>
        <v>412</v>
      </c>
      <c r="J3465" s="574" t="s">
        <v>1</v>
      </c>
      <c r="K3465" s="587">
        <f>(F3465*I3465)</f>
        <v>453.20000000000005</v>
      </c>
      <c r="M3465" s="587">
        <v>2.2000000000000002</v>
      </c>
      <c r="N3465" s="585" t="s">
        <v>1</v>
      </c>
      <c r="O3465" s="573" t="s">
        <v>146</v>
      </c>
      <c r="P3465" s="1015">
        <f t="shared" si="312"/>
        <v>502</v>
      </c>
      <c r="Q3465" s="574" t="s">
        <v>1</v>
      </c>
      <c r="R3465" s="587">
        <f t="shared" si="313"/>
        <v>1104.4000000000001</v>
      </c>
    </row>
    <row r="3466" spans="6:18" ht="24" customHeight="1">
      <c r="G3466" s="585" t="s">
        <v>129</v>
      </c>
      <c r="H3466" s="573" t="s">
        <v>130</v>
      </c>
      <c r="I3466" s="587">
        <f>I1262</f>
        <v>0</v>
      </c>
      <c r="J3466" s="574" t="s">
        <v>129</v>
      </c>
      <c r="K3466" s="587">
        <v>0</v>
      </c>
      <c r="M3466" s="587">
        <v>2.2000000000000002</v>
      </c>
      <c r="N3466" s="585" t="s">
        <v>1</v>
      </c>
      <c r="O3466" s="573" t="s">
        <v>147</v>
      </c>
      <c r="P3466" s="1015">
        <f t="shared" si="312"/>
        <v>412</v>
      </c>
      <c r="Q3466" s="574" t="s">
        <v>1</v>
      </c>
      <c r="R3466" s="587">
        <f t="shared" si="313"/>
        <v>906.40000000000009</v>
      </c>
    </row>
    <row r="3467" spans="6:18" ht="24" customHeight="1">
      <c r="J3467" s="580"/>
      <c r="K3467" s="582" t="s">
        <v>117</v>
      </c>
      <c r="M3467" s="617">
        <v>20</v>
      </c>
      <c r="N3467" s="585" t="s">
        <v>148</v>
      </c>
      <c r="O3467" s="573" t="s">
        <v>125</v>
      </c>
      <c r="P3467" s="1015">
        <f t="shared" si="312"/>
        <v>5800</v>
      </c>
      <c r="Q3467" s="574" t="s">
        <v>124</v>
      </c>
      <c r="R3467" s="587">
        <f>P3467*M3467/1000</f>
        <v>116</v>
      </c>
    </row>
    <row r="3468" spans="6:18" ht="24" customHeight="1">
      <c r="H3468" s="573" t="s">
        <v>153</v>
      </c>
      <c r="J3468" s="580"/>
      <c r="K3468" s="587">
        <f>SUM(K3454:K3466)</f>
        <v>10688.398000000001</v>
      </c>
      <c r="M3468" s="617">
        <v>2</v>
      </c>
      <c r="N3468" s="585" t="s">
        <v>148</v>
      </c>
      <c r="O3468" s="573" t="s">
        <v>2738</v>
      </c>
      <c r="P3468" s="1015">
        <f>I3644</f>
        <v>24.5</v>
      </c>
      <c r="Q3468" s="574" t="s">
        <v>148</v>
      </c>
      <c r="R3468" s="587">
        <f t="shared" si="313"/>
        <v>49</v>
      </c>
    </row>
    <row r="3469" spans="6:18" ht="24" customHeight="1">
      <c r="J3469" s="580"/>
      <c r="K3469" s="582" t="s">
        <v>117</v>
      </c>
      <c r="M3469" s="587">
        <v>1.6</v>
      </c>
      <c r="N3469" s="585" t="s">
        <v>1</v>
      </c>
      <c r="O3469" s="573" t="s">
        <v>145</v>
      </c>
      <c r="P3469" s="1015">
        <f t="shared" si="312"/>
        <v>718</v>
      </c>
      <c r="Q3469" s="574" t="s">
        <v>1</v>
      </c>
      <c r="R3469" s="587">
        <f t="shared" si="313"/>
        <v>1148.8</v>
      </c>
    </row>
    <row r="3470" spans="6:18" ht="24" customHeight="1">
      <c r="H3470" s="573" t="s">
        <v>154</v>
      </c>
      <c r="J3470" s="580"/>
      <c r="K3470" s="586">
        <f>(K3468/10)</f>
        <v>1068.8398000000002</v>
      </c>
      <c r="M3470" s="587">
        <v>0.5</v>
      </c>
      <c r="N3470" s="585" t="s">
        <v>1</v>
      </c>
      <c r="O3470" s="573" t="s">
        <v>146</v>
      </c>
      <c r="P3470" s="1015">
        <f t="shared" si="312"/>
        <v>502</v>
      </c>
      <c r="Q3470" s="574" t="s">
        <v>1</v>
      </c>
      <c r="R3470" s="587">
        <f t="shared" si="313"/>
        <v>251</v>
      </c>
    </row>
    <row r="3471" spans="6:18" ht="24" customHeight="1">
      <c r="J3471" s="580"/>
      <c r="K3471" s="582" t="s">
        <v>155</v>
      </c>
      <c r="M3471" s="587">
        <v>1.1000000000000001</v>
      </c>
      <c r="N3471" s="585" t="s">
        <v>1</v>
      </c>
      <c r="O3471" s="573" t="s">
        <v>147</v>
      </c>
      <c r="P3471" s="1015">
        <f t="shared" si="312"/>
        <v>412</v>
      </c>
      <c r="Q3471" s="574" t="s">
        <v>1</v>
      </c>
      <c r="R3471" s="587">
        <f t="shared" si="313"/>
        <v>453.20000000000005</v>
      </c>
    </row>
    <row r="3472" spans="6:18" ht="24" customHeight="1">
      <c r="N3472" s="585" t="s">
        <v>129</v>
      </c>
      <c r="O3472" s="573" t="s">
        <v>130</v>
      </c>
      <c r="P3472" s="587">
        <v>0</v>
      </c>
      <c r="Q3472" s="574" t="s">
        <v>129</v>
      </c>
      <c r="R3472" s="587">
        <v>0</v>
      </c>
    </row>
    <row r="3473" spans="6:19" ht="24" customHeight="1">
      <c r="N3473" s="576"/>
      <c r="Q3473" s="580"/>
      <c r="R3473" s="582" t="s">
        <v>117</v>
      </c>
    </row>
    <row r="3474" spans="6:19" ht="24" customHeight="1">
      <c r="N3474" s="576"/>
      <c r="O3474" s="573" t="s">
        <v>153</v>
      </c>
      <c r="Q3474" s="580"/>
      <c r="R3474" s="587">
        <f>SUM(R3460:R3473)</f>
        <v>10665.198</v>
      </c>
    </row>
    <row r="3475" spans="6:19" ht="24" customHeight="1">
      <c r="N3475" s="576"/>
      <c r="Q3475" s="580"/>
      <c r="R3475" s="582" t="s">
        <v>117</v>
      </c>
    </row>
    <row r="3476" spans="6:19" ht="57.75" customHeight="1">
      <c r="G3476" s="1016">
        <v>90</v>
      </c>
      <c r="H3476" s="1017" t="s">
        <v>2739</v>
      </c>
      <c r="N3476" s="576"/>
      <c r="O3476" s="573" t="s">
        <v>154</v>
      </c>
      <c r="Q3476" s="580"/>
      <c r="R3476" s="586">
        <f>R3474/10</f>
        <v>1066.5198</v>
      </c>
    </row>
    <row r="3477" spans="6:19" ht="24" customHeight="1">
      <c r="F3477" s="674">
        <v>3.8100000000000002E-2</v>
      </c>
      <c r="G3477" s="717" t="s">
        <v>126</v>
      </c>
      <c r="H3477" s="686" t="s">
        <v>2740</v>
      </c>
      <c r="I3477" s="575">
        <f>I3387</f>
        <v>111600</v>
      </c>
      <c r="J3477" s="575">
        <f>J2279</f>
        <v>0</v>
      </c>
      <c r="K3477" s="575">
        <f>F3477*I3477</f>
        <v>4251.96</v>
      </c>
      <c r="N3477" s="576"/>
      <c r="Q3477" s="580"/>
      <c r="R3477" s="582" t="s">
        <v>155</v>
      </c>
    </row>
    <row r="3478" spans="6:19" ht="24" customHeight="1">
      <c r="F3478" s="579">
        <v>2.4E-2</v>
      </c>
      <c r="G3478" s="717" t="s">
        <v>126</v>
      </c>
      <c r="H3478" s="686" t="s">
        <v>2673</v>
      </c>
      <c r="I3478" s="575">
        <f>I3388</f>
        <v>99400</v>
      </c>
      <c r="J3478" s="575">
        <f>J2280</f>
        <v>0</v>
      </c>
      <c r="K3478" s="575">
        <f t="shared" ref="K3478:K3491" si="314">F3478*I3478</f>
        <v>2385.6</v>
      </c>
    </row>
    <row r="3479" spans="6:19" ht="24" customHeight="1">
      <c r="F3479" s="575">
        <v>0.01</v>
      </c>
      <c r="G3479" s="717" t="s">
        <v>126</v>
      </c>
      <c r="H3479" s="573" t="s">
        <v>1487</v>
      </c>
      <c r="I3479" s="575">
        <f>I2815</f>
        <v>95000</v>
      </c>
      <c r="J3479" s="575">
        <f>J2281</f>
        <v>0</v>
      </c>
      <c r="K3479" s="575">
        <f t="shared" si="314"/>
        <v>950</v>
      </c>
    </row>
    <row r="3480" spans="6:19" ht="24" customHeight="1">
      <c r="H3480" s="573" t="s">
        <v>1489</v>
      </c>
    </row>
    <row r="3481" spans="6:19" ht="24" customHeight="1">
      <c r="F3481" s="575">
        <v>1.05</v>
      </c>
      <c r="G3481" s="585" t="s">
        <v>140</v>
      </c>
      <c r="H3481" s="682" t="s">
        <v>2741</v>
      </c>
      <c r="I3481" s="618">
        <v>355.5</v>
      </c>
      <c r="J3481" s="578" t="s">
        <v>140</v>
      </c>
      <c r="K3481" s="575">
        <f t="shared" si="314"/>
        <v>373.27500000000003</v>
      </c>
    </row>
    <row r="3482" spans="6:19" ht="24" customHeight="1">
      <c r="F3482" s="575">
        <v>12</v>
      </c>
      <c r="G3482" s="585" t="s">
        <v>1962</v>
      </c>
      <c r="H3482" s="575" t="s">
        <v>2742</v>
      </c>
      <c r="I3482" s="575">
        <f>I2537</f>
        <v>54.5</v>
      </c>
      <c r="J3482" s="578" t="s">
        <v>1962</v>
      </c>
      <c r="K3482" s="575">
        <f t="shared" si="314"/>
        <v>654</v>
      </c>
      <c r="S3482" s="1006" t="s">
        <v>2743</v>
      </c>
    </row>
    <row r="3483" spans="6:19" ht="24" customHeight="1">
      <c r="F3483" s="575">
        <v>2.85</v>
      </c>
      <c r="G3483" s="585" t="s">
        <v>140</v>
      </c>
      <c r="H3483" s="575" t="s">
        <v>2744</v>
      </c>
      <c r="I3483" s="575">
        <f>D31</f>
        <v>1078</v>
      </c>
      <c r="J3483" s="578" t="s">
        <v>140</v>
      </c>
      <c r="K3483" s="575">
        <f t="shared" si="314"/>
        <v>3072.3</v>
      </c>
    </row>
    <row r="3484" spans="6:19" ht="24" customHeight="1">
      <c r="F3484" s="575">
        <v>6</v>
      </c>
      <c r="G3484" s="585" t="s">
        <v>164</v>
      </c>
      <c r="H3484" s="573" t="s">
        <v>1482</v>
      </c>
      <c r="I3484" s="575">
        <f>I2819</f>
        <v>110.17</v>
      </c>
      <c r="J3484" s="578" t="s">
        <v>1</v>
      </c>
      <c r="K3484" s="575">
        <f t="shared" si="314"/>
        <v>661.02</v>
      </c>
    </row>
    <row r="3485" spans="6:19" ht="24" customHeight="1">
      <c r="F3485" s="575">
        <v>1</v>
      </c>
      <c r="G3485" s="585" t="s">
        <v>164</v>
      </c>
      <c r="H3485" s="575" t="s">
        <v>2745</v>
      </c>
      <c r="I3485" s="575">
        <f>I2821</f>
        <v>550</v>
      </c>
      <c r="J3485" s="578" t="s">
        <v>1</v>
      </c>
      <c r="K3485" s="575">
        <f t="shared" si="314"/>
        <v>550</v>
      </c>
    </row>
    <row r="3486" spans="6:19" ht="24" customHeight="1">
      <c r="F3486" s="575">
        <v>3</v>
      </c>
      <c r="G3486" s="585" t="s">
        <v>164</v>
      </c>
      <c r="H3486" s="573" t="s">
        <v>1484</v>
      </c>
      <c r="I3486" s="575">
        <f>I2820</f>
        <v>160</v>
      </c>
      <c r="J3486" s="578" t="s">
        <v>1</v>
      </c>
      <c r="K3486" s="575">
        <f t="shared" si="314"/>
        <v>480</v>
      </c>
    </row>
    <row r="3487" spans="6:19" ht="24" customHeight="1">
      <c r="F3487" s="575">
        <v>2</v>
      </c>
      <c r="G3487" s="585" t="s">
        <v>164</v>
      </c>
      <c r="H3487" s="573" t="s">
        <v>2746</v>
      </c>
      <c r="I3487" s="575">
        <f>I2820</f>
        <v>160</v>
      </c>
      <c r="J3487" s="578" t="s">
        <v>1</v>
      </c>
      <c r="K3487" s="575">
        <f t="shared" si="314"/>
        <v>320</v>
      </c>
    </row>
    <row r="3488" spans="6:19" ht="24" customHeight="1">
      <c r="F3488" s="575">
        <v>2</v>
      </c>
      <c r="G3488" s="585" t="s">
        <v>164</v>
      </c>
      <c r="H3488" s="573" t="s">
        <v>630</v>
      </c>
      <c r="I3488" s="575">
        <f>I2823</f>
        <v>43.8</v>
      </c>
      <c r="J3488" s="578" t="s">
        <v>1</v>
      </c>
      <c r="K3488" s="575">
        <f t="shared" si="314"/>
        <v>87.6</v>
      </c>
    </row>
    <row r="3489" spans="6:15" ht="24" customHeight="1">
      <c r="F3489" s="575">
        <v>2</v>
      </c>
      <c r="G3489" s="585" t="s">
        <v>164</v>
      </c>
      <c r="H3489" s="573" t="s">
        <v>1488</v>
      </c>
      <c r="I3489" s="575">
        <f>I2822</f>
        <v>7.3</v>
      </c>
      <c r="J3489" s="578" t="s">
        <v>1</v>
      </c>
      <c r="K3489" s="575">
        <f t="shared" si="314"/>
        <v>14.6</v>
      </c>
    </row>
    <row r="3490" spans="6:15" ht="24" customHeight="1">
      <c r="F3490" s="575">
        <v>1.05</v>
      </c>
      <c r="G3490" s="585" t="s">
        <v>140</v>
      </c>
      <c r="H3490" s="573" t="s">
        <v>2747</v>
      </c>
      <c r="I3490" s="575">
        <f>K1553</f>
        <v>117.35039999999999</v>
      </c>
      <c r="J3490" s="578" t="s">
        <v>140</v>
      </c>
      <c r="K3490" s="575">
        <f t="shared" si="314"/>
        <v>123.21791999999999</v>
      </c>
    </row>
    <row r="3491" spans="6:15" ht="24" customHeight="1">
      <c r="F3491" s="1018">
        <v>3.15</v>
      </c>
      <c r="G3491" s="585" t="s">
        <v>140</v>
      </c>
      <c r="H3491" s="573" t="s">
        <v>2748</v>
      </c>
      <c r="I3491" s="575">
        <f>K1167</f>
        <v>157.19</v>
      </c>
      <c r="J3491" s="578" t="s">
        <v>140</v>
      </c>
      <c r="K3491" s="575">
        <f t="shared" si="314"/>
        <v>495.14849999999996</v>
      </c>
    </row>
    <row r="3492" spans="6:15" ht="24" customHeight="1">
      <c r="G3492" s="585"/>
      <c r="H3492" s="573" t="s">
        <v>2749</v>
      </c>
      <c r="I3492" s="1455" t="s">
        <v>129</v>
      </c>
      <c r="J3492" s="1455"/>
      <c r="K3492" s="575">
        <f>R3199</f>
        <v>279.66000000000003</v>
      </c>
    </row>
    <row r="3493" spans="6:15" ht="24" customHeight="1">
      <c r="K3493" s="1019" t="s">
        <v>155</v>
      </c>
    </row>
    <row r="3494" spans="6:15" ht="24" customHeight="1">
      <c r="H3494" s="577" t="s">
        <v>2750</v>
      </c>
      <c r="I3494" s="619"/>
      <c r="J3494" s="630"/>
      <c r="K3494" s="619">
        <f>SUM(K3477:K3493)</f>
        <v>14698.381419999998</v>
      </c>
    </row>
    <row r="3495" spans="6:15" ht="24" customHeight="1">
      <c r="K3495" s="1019" t="s">
        <v>155</v>
      </c>
    </row>
    <row r="3497" spans="6:15" ht="24" customHeight="1">
      <c r="J3497" s="580"/>
    </row>
    <row r="3498" spans="6:15" ht="24" customHeight="1">
      <c r="G3498" s="578" t="s">
        <v>2751</v>
      </c>
      <c r="J3498" s="580"/>
    </row>
    <row r="3499" spans="6:15" ht="24" customHeight="1">
      <c r="J3499" s="580"/>
    </row>
    <row r="3500" spans="6:15" ht="24" customHeight="1">
      <c r="F3500" s="674">
        <v>1.8</v>
      </c>
      <c r="G3500" s="576" t="s">
        <v>126</v>
      </c>
      <c r="H3500" s="575" t="s">
        <v>2752</v>
      </c>
      <c r="I3500" s="575">
        <v>451.25</v>
      </c>
      <c r="J3500" s="580" t="s">
        <v>126</v>
      </c>
      <c r="K3500" s="661">
        <f>I3500*F3500</f>
        <v>812.25</v>
      </c>
    </row>
    <row r="3501" spans="6:15" ht="24" customHeight="1">
      <c r="J3501" s="580"/>
      <c r="K3501" s="661"/>
    </row>
    <row r="3502" spans="6:15" ht="24" customHeight="1">
      <c r="F3502" s="674">
        <v>1.2</v>
      </c>
      <c r="G3502" s="576" t="s">
        <v>126</v>
      </c>
      <c r="H3502" s="575" t="s">
        <v>2753</v>
      </c>
      <c r="I3502" s="575">
        <v>842.15</v>
      </c>
      <c r="J3502" s="580" t="s">
        <v>126</v>
      </c>
      <c r="K3502" s="661">
        <f t="shared" ref="K3502:K3510" si="315">I3502*F3502</f>
        <v>1010.5799999999999</v>
      </c>
    </row>
    <row r="3503" spans="6:15" ht="24" customHeight="1">
      <c r="J3503" s="580"/>
      <c r="K3503" s="661"/>
    </row>
    <row r="3504" spans="6:15" ht="24" customHeight="1">
      <c r="F3504" s="674">
        <v>0.6</v>
      </c>
      <c r="G3504" s="576" t="s">
        <v>126</v>
      </c>
      <c r="H3504" s="575" t="s">
        <v>2754</v>
      </c>
      <c r="I3504" s="575">
        <f>AC16</f>
        <v>1322.8</v>
      </c>
      <c r="J3504" s="580" t="s">
        <v>126</v>
      </c>
      <c r="K3504" s="661">
        <f t="shared" si="315"/>
        <v>793.68</v>
      </c>
      <c r="O3504" s="619" t="s">
        <v>2755</v>
      </c>
    </row>
    <row r="3505" spans="6:18" ht="24" customHeight="1">
      <c r="J3505" s="580"/>
      <c r="K3505" s="661"/>
    </row>
    <row r="3506" spans="6:18" ht="24" customHeight="1">
      <c r="F3506" s="674">
        <v>3</v>
      </c>
      <c r="G3506" s="576" t="s">
        <v>126</v>
      </c>
      <c r="H3506" s="575" t="s">
        <v>2756</v>
      </c>
      <c r="I3506" s="575">
        <f>R3519</f>
        <v>1598.7</v>
      </c>
      <c r="J3506" s="580" t="s">
        <v>126</v>
      </c>
      <c r="K3506" s="661">
        <f t="shared" si="315"/>
        <v>4796.1000000000004</v>
      </c>
    </row>
    <row r="3507" spans="6:18" ht="24" customHeight="1">
      <c r="F3507" s="674"/>
      <c r="J3507" s="580"/>
      <c r="K3507" s="661"/>
      <c r="M3507" s="575">
        <f>(1.08/8)</f>
        <v>0.13500000000000001</v>
      </c>
      <c r="N3507" s="575" t="s">
        <v>126</v>
      </c>
      <c r="O3507" s="575" t="s">
        <v>146</v>
      </c>
      <c r="P3507" s="575">
        <f>P3515</f>
        <v>502</v>
      </c>
      <c r="Q3507" s="575" t="s">
        <v>126</v>
      </c>
      <c r="R3507" s="575">
        <f>P3507*M3507</f>
        <v>67.77000000000001</v>
      </c>
    </row>
    <row r="3508" spans="6:18" ht="24" customHeight="1">
      <c r="F3508" s="674">
        <v>3</v>
      </c>
      <c r="G3508" s="576" t="s">
        <v>126</v>
      </c>
      <c r="H3508" s="575" t="s">
        <v>2757</v>
      </c>
      <c r="I3508" s="575">
        <f>R3521</f>
        <v>20.27</v>
      </c>
      <c r="J3508" s="580" t="s">
        <v>126</v>
      </c>
      <c r="K3508" s="661">
        <f t="shared" si="315"/>
        <v>60.81</v>
      </c>
    </row>
    <row r="3509" spans="6:18" ht="24" customHeight="1">
      <c r="F3509" s="674"/>
      <c r="J3509" s="580"/>
      <c r="K3509" s="661"/>
      <c r="O3509" s="661" t="s">
        <v>2758</v>
      </c>
      <c r="R3509" s="575">
        <f>R3507</f>
        <v>67.77000000000001</v>
      </c>
    </row>
    <row r="3510" spans="6:18" ht="24" customHeight="1">
      <c r="F3510" s="674">
        <v>3</v>
      </c>
      <c r="G3510" s="576" t="s">
        <v>126</v>
      </c>
      <c r="H3510" s="575" t="s">
        <v>2759</v>
      </c>
      <c r="I3510" s="575">
        <v>31.65</v>
      </c>
      <c r="J3510" s="580" t="s">
        <v>126</v>
      </c>
      <c r="K3510" s="661">
        <f t="shared" si="315"/>
        <v>94.949999999999989</v>
      </c>
      <c r="O3510" s="661" t="s">
        <v>2760</v>
      </c>
      <c r="R3510" s="575">
        <f>R3509/0.75</f>
        <v>90.360000000000014</v>
      </c>
    </row>
    <row r="3511" spans="6:18" ht="24" customHeight="1">
      <c r="J3511" s="580"/>
      <c r="K3511" s="661"/>
    </row>
    <row r="3512" spans="6:18" ht="24" customHeight="1">
      <c r="H3512" s="575" t="s">
        <v>2761</v>
      </c>
      <c r="J3512" s="580" t="s">
        <v>129</v>
      </c>
      <c r="K3512" s="661">
        <v>0.3</v>
      </c>
      <c r="O3512" s="619" t="s">
        <v>2762</v>
      </c>
    </row>
    <row r="3513" spans="6:18" ht="24" customHeight="1">
      <c r="J3513" s="580"/>
      <c r="K3513" s="661"/>
    </row>
    <row r="3514" spans="6:18" ht="24" customHeight="1">
      <c r="H3514" s="661" t="s">
        <v>2763</v>
      </c>
      <c r="J3514" s="580"/>
      <c r="K3514" s="764">
        <f>SUM(K3500:K3513)</f>
        <v>7568.670000000001</v>
      </c>
      <c r="M3514" s="575">
        <v>1.8</v>
      </c>
      <c r="N3514" s="575" t="s">
        <v>240</v>
      </c>
      <c r="O3514" s="575" t="s">
        <v>2764</v>
      </c>
      <c r="P3514" s="575">
        <f>AE10</f>
        <v>718</v>
      </c>
      <c r="Q3514" s="575" t="s">
        <v>227</v>
      </c>
      <c r="R3514" s="575">
        <f>P3514*M3514</f>
        <v>1292.4000000000001</v>
      </c>
    </row>
    <row r="3515" spans="6:18" ht="24" customHeight="1">
      <c r="H3515" s="661" t="s">
        <v>2765</v>
      </c>
      <c r="J3515" s="580"/>
      <c r="K3515" s="619">
        <f>K3514/F3506</f>
        <v>2522.8900000000003</v>
      </c>
      <c r="M3515" s="575">
        <v>17.7</v>
      </c>
      <c r="N3515" s="575" t="s">
        <v>240</v>
      </c>
      <c r="O3515" s="575" t="s">
        <v>2766</v>
      </c>
      <c r="P3515" s="575">
        <f>AE11</f>
        <v>502</v>
      </c>
      <c r="Q3515" s="575" t="s">
        <v>227</v>
      </c>
      <c r="R3515" s="575">
        <f>P3515*M3515</f>
        <v>8885.4</v>
      </c>
    </row>
    <row r="3516" spans="6:18" ht="24" customHeight="1">
      <c r="J3516" s="580"/>
      <c r="K3516" s="1019" t="s">
        <v>155</v>
      </c>
      <c r="M3516" s="575">
        <v>14.1</v>
      </c>
      <c r="N3516" s="575" t="s">
        <v>240</v>
      </c>
      <c r="O3516" s="575" t="s">
        <v>2767</v>
      </c>
      <c r="P3516" s="575">
        <f>AE12</f>
        <v>412</v>
      </c>
      <c r="Q3516" s="575" t="s">
        <v>227</v>
      </c>
      <c r="R3516" s="575">
        <f>P3516*M3516</f>
        <v>5809.2</v>
      </c>
    </row>
    <row r="3518" spans="6:18" ht="24" customHeight="1">
      <c r="O3518" s="661" t="s">
        <v>2768</v>
      </c>
      <c r="R3518" s="575">
        <f>SUM(R3514:R3517)</f>
        <v>15987</v>
      </c>
    </row>
    <row r="3519" spans="6:18" ht="24" customHeight="1">
      <c r="O3519" s="661" t="s">
        <v>2760</v>
      </c>
      <c r="R3519" s="575">
        <f>R3518/10</f>
        <v>1598.7</v>
      </c>
    </row>
    <row r="3520" spans="6:18" ht="24" customHeight="1">
      <c r="F3520" s="1020"/>
      <c r="G3520" s="1021"/>
      <c r="H3520" s="1020" t="s">
        <v>2769</v>
      </c>
      <c r="I3520" s="1020"/>
      <c r="J3520" s="1022"/>
      <c r="O3520" s="661"/>
    </row>
    <row r="3521" spans="6:32" ht="24" customHeight="1">
      <c r="H3521" s="1023" t="s">
        <v>2770</v>
      </c>
      <c r="I3521" s="1020">
        <v>2.56</v>
      </c>
      <c r="O3521" s="619" t="s">
        <v>2771</v>
      </c>
      <c r="R3521" s="619">
        <v>20.27</v>
      </c>
    </row>
    <row r="3522" spans="6:32" ht="24" customHeight="1">
      <c r="F3522" s="1020">
        <f>I3521</f>
        <v>2.56</v>
      </c>
      <c r="G3522" s="1021" t="s">
        <v>140</v>
      </c>
      <c r="H3522" s="1020" t="s">
        <v>2772</v>
      </c>
      <c r="I3522" s="1024">
        <v>2211</v>
      </c>
      <c r="J3522" s="1021" t="s">
        <v>140</v>
      </c>
      <c r="K3522" s="1020">
        <f>I3522*F3522</f>
        <v>5660.16</v>
      </c>
    </row>
    <row r="3523" spans="6:32" ht="24" customHeight="1">
      <c r="F3523" s="1020">
        <f>F3522</f>
        <v>2.56</v>
      </c>
      <c r="G3523" s="1021" t="s">
        <v>140</v>
      </c>
      <c r="H3523" s="1020" t="s">
        <v>2773</v>
      </c>
      <c r="I3523" s="1024">
        <v>248</v>
      </c>
      <c r="J3523" s="1021" t="s">
        <v>140</v>
      </c>
      <c r="K3523" s="1020">
        <f t="shared" ref="K3523:K3531" si="316">I3523*F3523</f>
        <v>634.88</v>
      </c>
    </row>
    <row r="3524" spans="6:32" ht="24" customHeight="1">
      <c r="F3524" s="1020">
        <v>4</v>
      </c>
      <c r="G3524" s="1021" t="s">
        <v>1</v>
      </c>
      <c r="H3524" s="1020" t="s">
        <v>2774</v>
      </c>
      <c r="I3524" s="1020">
        <f>P3228</f>
        <v>50.9</v>
      </c>
      <c r="J3524" s="1021" t="s">
        <v>1</v>
      </c>
      <c r="K3524" s="1020">
        <f t="shared" si="316"/>
        <v>203.6</v>
      </c>
      <c r="M3524" s="1020"/>
      <c r="N3524" s="1021"/>
      <c r="O3524" s="1025" t="s">
        <v>2775</v>
      </c>
      <c r="P3524" s="1020"/>
      <c r="Q3524" s="1022"/>
    </row>
    <row r="3525" spans="6:32" ht="24" customHeight="1">
      <c r="F3525" s="1020">
        <v>6</v>
      </c>
      <c r="G3525" s="1021" t="s">
        <v>1</v>
      </c>
      <c r="H3525" s="1020" t="s">
        <v>2776</v>
      </c>
      <c r="I3525" s="1020">
        <f>P3229</f>
        <v>79.099999999999994</v>
      </c>
      <c r="J3525" s="1021" t="s">
        <v>1</v>
      </c>
      <c r="K3525" s="1020">
        <f t="shared" si="316"/>
        <v>474.59999999999997</v>
      </c>
      <c r="N3525" s="576"/>
      <c r="O3525" s="1026" t="s">
        <v>2777</v>
      </c>
      <c r="P3525" s="1026">
        <f>1.4*2.325</f>
        <v>3.2549999999999999</v>
      </c>
      <c r="Q3525" s="578"/>
    </row>
    <row r="3526" spans="6:32" ht="24" customHeight="1">
      <c r="F3526" s="1020">
        <v>3</v>
      </c>
      <c r="G3526" s="1021" t="s">
        <v>1</v>
      </c>
      <c r="H3526" s="1020" t="s">
        <v>2778</v>
      </c>
      <c r="I3526" s="1020">
        <f>C284</f>
        <v>57.2</v>
      </c>
      <c r="J3526" s="1021" t="s">
        <v>1</v>
      </c>
      <c r="K3526" s="1020">
        <f t="shared" si="316"/>
        <v>171.60000000000002</v>
      </c>
      <c r="M3526" s="1020">
        <f>P3525</f>
        <v>3.2549999999999999</v>
      </c>
      <c r="N3526" s="1021" t="s">
        <v>140</v>
      </c>
      <c r="O3526" s="1020" t="s">
        <v>2779</v>
      </c>
      <c r="P3526" s="1020">
        <f>I3522</f>
        <v>2211</v>
      </c>
      <c r="Q3526" s="1021" t="s">
        <v>140</v>
      </c>
      <c r="R3526" s="1020">
        <f t="shared" ref="R3526:R3534" si="317">P3526*M3526</f>
        <v>7196.8049999999994</v>
      </c>
    </row>
    <row r="3527" spans="6:32" ht="24" customHeight="1">
      <c r="F3527" s="1020">
        <v>1</v>
      </c>
      <c r="G3527" s="1021" t="s">
        <v>1</v>
      </c>
      <c r="H3527" s="1020" t="s">
        <v>2780</v>
      </c>
      <c r="I3527" s="1020">
        <f>C286</f>
        <v>159.69999999999999</v>
      </c>
      <c r="J3527" s="1021" t="s">
        <v>1</v>
      </c>
      <c r="K3527" s="1020">
        <f t="shared" si="316"/>
        <v>159.69999999999999</v>
      </c>
      <c r="M3527" s="1020">
        <f>M3526</f>
        <v>3.2549999999999999</v>
      </c>
      <c r="N3527" s="1021" t="s">
        <v>140</v>
      </c>
      <c r="O3527" s="1020" t="s">
        <v>2781</v>
      </c>
      <c r="P3527" s="1020">
        <f t="shared" ref="P3527:P3534" si="318">I3523</f>
        <v>248</v>
      </c>
      <c r="Q3527" s="1021" t="s">
        <v>140</v>
      </c>
      <c r="R3527" s="1020">
        <f t="shared" si="317"/>
        <v>807.24</v>
      </c>
    </row>
    <row r="3528" spans="6:32" ht="24" customHeight="1">
      <c r="F3528" s="1020">
        <v>162</v>
      </c>
      <c r="G3528" s="1021" t="s">
        <v>1</v>
      </c>
      <c r="H3528" s="1020" t="s">
        <v>2782</v>
      </c>
      <c r="I3528" s="1020">
        <f>P3448</f>
        <v>2.37</v>
      </c>
      <c r="J3528" s="1021" t="s">
        <v>1</v>
      </c>
      <c r="K3528" s="1020">
        <f t="shared" si="316"/>
        <v>383.94</v>
      </c>
      <c r="M3528" s="1020">
        <v>4</v>
      </c>
      <c r="N3528" s="1021" t="s">
        <v>1</v>
      </c>
      <c r="O3528" s="1020" t="s">
        <v>2783</v>
      </c>
      <c r="P3528" s="1020">
        <f t="shared" si="318"/>
        <v>50.9</v>
      </c>
      <c r="Q3528" s="1021" t="s">
        <v>1</v>
      </c>
      <c r="R3528" s="1020">
        <f t="shared" si="317"/>
        <v>203.6</v>
      </c>
    </row>
    <row r="3529" spans="6:32" ht="24" customHeight="1">
      <c r="F3529" s="1020">
        <v>2</v>
      </c>
      <c r="G3529" s="1021" t="s">
        <v>1</v>
      </c>
      <c r="H3529" s="1020" t="s">
        <v>2784</v>
      </c>
      <c r="I3529" s="1020">
        <f>P3197</f>
        <v>22.7</v>
      </c>
      <c r="J3529" s="1021" t="s">
        <v>1</v>
      </c>
      <c r="K3529" s="1020">
        <f t="shared" si="316"/>
        <v>45.4</v>
      </c>
      <c r="M3529" s="1020">
        <v>10</v>
      </c>
      <c r="N3529" s="1021" t="s">
        <v>1</v>
      </c>
      <c r="O3529" s="1020" t="s">
        <v>2785</v>
      </c>
      <c r="P3529" s="1020">
        <f t="shared" si="318"/>
        <v>79.099999999999994</v>
      </c>
      <c r="Q3529" s="1021" t="s">
        <v>1</v>
      </c>
      <c r="R3529" s="1020">
        <f t="shared" si="317"/>
        <v>791</v>
      </c>
    </row>
    <row r="3530" spans="6:32" ht="24" customHeight="1">
      <c r="F3530" s="1020">
        <v>2</v>
      </c>
      <c r="G3530" s="1021" t="s">
        <v>1</v>
      </c>
      <c r="H3530" s="1020" t="s">
        <v>2786</v>
      </c>
      <c r="I3530" s="1020">
        <f>P3403</f>
        <v>43.8</v>
      </c>
      <c r="J3530" s="1021" t="s">
        <v>1</v>
      </c>
      <c r="K3530" s="1020">
        <f t="shared" si="316"/>
        <v>87.6</v>
      </c>
      <c r="M3530" s="1020">
        <v>3</v>
      </c>
      <c r="N3530" s="1021" t="s">
        <v>1</v>
      </c>
      <c r="O3530" s="1020" t="s">
        <v>2787</v>
      </c>
      <c r="P3530" s="1020">
        <f t="shared" si="318"/>
        <v>57.2</v>
      </c>
      <c r="Q3530" s="1021" t="s">
        <v>1</v>
      </c>
      <c r="R3530" s="1020">
        <f t="shared" si="317"/>
        <v>171.60000000000002</v>
      </c>
    </row>
    <row r="3531" spans="6:32" ht="24" customHeight="1">
      <c r="F3531" s="1027">
        <v>0.41099999999999998</v>
      </c>
      <c r="G3531" s="1021" t="s">
        <v>140</v>
      </c>
      <c r="H3531" s="1020" t="s">
        <v>2788</v>
      </c>
      <c r="I3531" s="1020">
        <f>I1136</f>
        <v>157.19</v>
      </c>
      <c r="J3531" s="1021" t="s">
        <v>140</v>
      </c>
      <c r="K3531" s="1020">
        <f t="shared" si="316"/>
        <v>64.60508999999999</v>
      </c>
      <c r="M3531" s="1020">
        <v>1</v>
      </c>
      <c r="N3531" s="1021" t="s">
        <v>1</v>
      </c>
      <c r="O3531" s="1020" t="s">
        <v>2745</v>
      </c>
      <c r="P3531" s="1020">
        <f t="shared" si="318"/>
        <v>159.69999999999999</v>
      </c>
      <c r="Q3531" s="1021" t="s">
        <v>1</v>
      </c>
      <c r="R3531" s="1020">
        <f t="shared" si="317"/>
        <v>159.69999999999999</v>
      </c>
    </row>
    <row r="3532" spans="6:32" ht="24" customHeight="1">
      <c r="F3532" s="1020"/>
      <c r="G3532" s="1021"/>
      <c r="H3532" s="1020" t="s">
        <v>2789</v>
      </c>
      <c r="I3532" s="1020"/>
      <c r="J3532" s="1022"/>
      <c r="K3532" s="1020">
        <f>SUM(K3522:K3531)</f>
        <v>7886.0850900000005</v>
      </c>
      <c r="M3532" s="1020">
        <v>162</v>
      </c>
      <c r="N3532" s="1021" t="s">
        <v>1</v>
      </c>
      <c r="O3532" s="1020" t="s">
        <v>2782</v>
      </c>
      <c r="P3532" s="1020">
        <f t="shared" si="318"/>
        <v>2.37</v>
      </c>
      <c r="Q3532" s="1021" t="s">
        <v>1</v>
      </c>
      <c r="R3532" s="1020">
        <f t="shared" si="317"/>
        <v>383.94</v>
      </c>
    </row>
    <row r="3533" spans="6:32" ht="24" customHeight="1">
      <c r="F3533" s="1020"/>
      <c r="G3533" s="1021"/>
      <c r="H3533" s="1020" t="s">
        <v>169</v>
      </c>
      <c r="I3533" s="1020"/>
      <c r="J3533" s="1022"/>
      <c r="K3533" s="1020">
        <f>K3532/F3523</f>
        <v>3080.5019882812503</v>
      </c>
      <c r="M3533" s="1020">
        <v>2</v>
      </c>
      <c r="N3533" s="1021" t="s">
        <v>1</v>
      </c>
      <c r="O3533" s="1020" t="s">
        <v>2790</v>
      </c>
      <c r="P3533" s="1020">
        <f t="shared" si="318"/>
        <v>22.7</v>
      </c>
      <c r="Q3533" s="1021" t="s">
        <v>1</v>
      </c>
      <c r="R3533" s="1020">
        <f t="shared" si="317"/>
        <v>45.4</v>
      </c>
    </row>
    <row r="3534" spans="6:32" ht="24" customHeight="1">
      <c r="H3534" s="1020"/>
      <c r="K3534" s="1020"/>
      <c r="M3534" s="1020">
        <v>2</v>
      </c>
      <c r="N3534" s="1021" t="s">
        <v>1</v>
      </c>
      <c r="O3534" s="1020" t="s">
        <v>2786</v>
      </c>
      <c r="P3534" s="1020">
        <f t="shared" si="318"/>
        <v>43.8</v>
      </c>
      <c r="Q3534" s="1021" t="s">
        <v>1</v>
      </c>
      <c r="R3534" s="1020">
        <f t="shared" si="317"/>
        <v>87.6</v>
      </c>
    </row>
    <row r="3535" spans="6:32" ht="24" customHeight="1">
      <c r="M3535" s="1027">
        <v>0</v>
      </c>
      <c r="N3535" s="1021" t="s">
        <v>140</v>
      </c>
      <c r="O3535" s="1020" t="s">
        <v>2788</v>
      </c>
      <c r="P3535" s="1020">
        <f>I3531</f>
        <v>157.19</v>
      </c>
      <c r="Q3535" s="1021" t="s">
        <v>140</v>
      </c>
      <c r="R3535" s="1020">
        <f>P3535*M3535</f>
        <v>0</v>
      </c>
    </row>
    <row r="3536" spans="6:32" ht="24" customHeight="1">
      <c r="F3536" s="1020"/>
      <c r="G3536" s="1021"/>
      <c r="H3536" s="1020" t="s">
        <v>2791</v>
      </c>
      <c r="I3536" s="1020"/>
      <c r="J3536" s="1022"/>
      <c r="M3536" s="1020"/>
      <c r="N3536" s="1021"/>
      <c r="O3536" s="1020" t="s">
        <v>2792</v>
      </c>
      <c r="P3536" s="1020"/>
      <c r="Q3536" s="1022"/>
      <c r="R3536" s="1020">
        <f>SUM(R3526:R3535)</f>
        <v>9846.8850000000002</v>
      </c>
      <c r="S3536" s="1020"/>
      <c r="T3536" s="1021"/>
      <c r="U3536" s="1020" t="s">
        <v>2793</v>
      </c>
      <c r="V3536" s="1020"/>
      <c r="W3536" s="1022"/>
      <c r="AB3536" s="1020"/>
      <c r="AC3536" s="1021"/>
      <c r="AD3536" s="1020" t="s">
        <v>2794</v>
      </c>
      <c r="AE3536" s="1020"/>
      <c r="AF3536" s="1022"/>
    </row>
    <row r="3537" spans="6:33" ht="24" customHeight="1">
      <c r="H3537" s="1020" t="s">
        <v>2795</v>
      </c>
      <c r="I3537" s="575">
        <f>0.9*2.025</f>
        <v>1.8225</v>
      </c>
      <c r="M3537" s="1020"/>
      <c r="N3537" s="1021"/>
      <c r="O3537" s="1020" t="s">
        <v>169</v>
      </c>
      <c r="P3537" s="1020"/>
      <c r="Q3537" s="1022"/>
      <c r="R3537" s="1020">
        <f>R3536/M3527</f>
        <v>3025.1566820276498</v>
      </c>
      <c r="S3537" s="575"/>
      <c r="T3537" s="576"/>
      <c r="U3537" s="1020" t="s">
        <v>2796</v>
      </c>
      <c r="V3537" s="575">
        <f>0.9*2.325</f>
        <v>2.0925000000000002</v>
      </c>
      <c r="W3537" s="578"/>
      <c r="AC3537" s="576"/>
      <c r="AD3537" s="1020" t="s">
        <v>2795</v>
      </c>
      <c r="AE3537" s="575">
        <f>0.8*2.025</f>
        <v>1.62</v>
      </c>
      <c r="AF3537" s="578"/>
    </row>
    <row r="3538" spans="6:33" ht="24" customHeight="1">
      <c r="F3538" s="1020">
        <f>I3537</f>
        <v>1.8225</v>
      </c>
      <c r="G3538" s="1021" t="s">
        <v>140</v>
      </c>
      <c r="H3538" s="1020" t="s">
        <v>2797</v>
      </c>
      <c r="I3538" s="1024">
        <v>2211</v>
      </c>
      <c r="J3538" s="1021" t="s">
        <v>140</v>
      </c>
      <c r="K3538" s="1020">
        <f>I3538*F3538</f>
        <v>4029.5475000000001</v>
      </c>
      <c r="Q3538" s="1021"/>
      <c r="R3538" s="1025"/>
      <c r="S3538" s="1020">
        <f>V3537</f>
        <v>2.0925000000000002</v>
      </c>
      <c r="T3538" s="1021" t="s">
        <v>140</v>
      </c>
      <c r="U3538" s="1020" t="s">
        <v>2797</v>
      </c>
      <c r="V3538" s="1020">
        <f>I3538</f>
        <v>2211</v>
      </c>
      <c r="W3538" s="1021" t="s">
        <v>140</v>
      </c>
      <c r="X3538" s="1020">
        <f>V3538*S3538</f>
        <v>4626.5175000000008</v>
      </c>
      <c r="AB3538" s="1020">
        <f>AE3537</f>
        <v>1.62</v>
      </c>
      <c r="AC3538" s="1021" t="s">
        <v>140</v>
      </c>
      <c r="AD3538" s="1020" t="s">
        <v>2798</v>
      </c>
      <c r="AE3538" s="1024">
        <f>I3522</f>
        <v>2211</v>
      </c>
      <c r="AF3538" s="1021" t="s">
        <v>140</v>
      </c>
      <c r="AG3538" s="1020">
        <f>AE3538*AB3538</f>
        <v>3581.82</v>
      </c>
    </row>
    <row r="3539" spans="6:33" ht="24" customHeight="1">
      <c r="F3539" s="1020">
        <f>I3537</f>
        <v>1.8225</v>
      </c>
      <c r="G3539" s="1021" t="s">
        <v>140</v>
      </c>
      <c r="H3539" s="1020" t="s">
        <v>2799</v>
      </c>
      <c r="I3539" s="1024">
        <v>161</v>
      </c>
      <c r="J3539" s="1021" t="s">
        <v>140</v>
      </c>
      <c r="K3539" s="1020">
        <f t="shared" ref="K3539:K3546" si="319">I3539*F3539</f>
        <v>293.42250000000001</v>
      </c>
      <c r="S3539" s="1020">
        <f>V3537</f>
        <v>2.0925000000000002</v>
      </c>
      <c r="T3539" s="1021" t="s">
        <v>140</v>
      </c>
      <c r="U3539" s="1020" t="s">
        <v>2800</v>
      </c>
      <c r="V3539" s="1020">
        <f t="shared" ref="V3539:V3547" si="320">I3539</f>
        <v>161</v>
      </c>
      <c r="W3539" s="1021" t="s">
        <v>140</v>
      </c>
      <c r="X3539" s="1020">
        <f t="shared" ref="X3539:X3546" si="321">V3539*S3539</f>
        <v>336.89250000000004</v>
      </c>
      <c r="AB3539" s="1020">
        <f>AE3537</f>
        <v>1.62</v>
      </c>
      <c r="AC3539" s="1021" t="s">
        <v>140</v>
      </c>
      <c r="AD3539" s="1020" t="s">
        <v>2801</v>
      </c>
      <c r="AE3539" s="1024">
        <f>I3539</f>
        <v>161</v>
      </c>
      <c r="AF3539" s="1021" t="s">
        <v>140</v>
      </c>
      <c r="AG3539" s="1020">
        <f t="shared" ref="AG3539:AG3546" si="322">AE3539*AB3539</f>
        <v>260.82</v>
      </c>
    </row>
    <row r="3540" spans="6:33" ht="24" customHeight="1">
      <c r="F3540" s="1020">
        <v>2</v>
      </c>
      <c r="G3540" s="1021" t="s">
        <v>1</v>
      </c>
      <c r="H3540" s="1020" t="s">
        <v>2783</v>
      </c>
      <c r="I3540" s="1020">
        <f t="shared" ref="I3540:I3546" si="323">I3524</f>
        <v>50.9</v>
      </c>
      <c r="J3540" s="1021" t="s">
        <v>1</v>
      </c>
      <c r="K3540" s="1020">
        <f t="shared" si="319"/>
        <v>101.8</v>
      </c>
      <c r="M3540" s="1020"/>
      <c r="N3540" s="1021"/>
      <c r="O3540" s="1020" t="s">
        <v>2802</v>
      </c>
      <c r="P3540" s="1020"/>
      <c r="Q3540" s="1022"/>
      <c r="S3540" s="1020">
        <v>2</v>
      </c>
      <c r="T3540" s="1021" t="s">
        <v>1</v>
      </c>
      <c r="U3540" s="1020" t="s">
        <v>2783</v>
      </c>
      <c r="V3540" s="1020">
        <f t="shared" si="320"/>
        <v>50.9</v>
      </c>
      <c r="W3540" s="1021" t="s">
        <v>1</v>
      </c>
      <c r="X3540" s="1020">
        <f t="shared" si="321"/>
        <v>101.8</v>
      </c>
      <c r="AB3540" s="1020">
        <v>2</v>
      </c>
      <c r="AC3540" s="1021" t="s">
        <v>1</v>
      </c>
      <c r="AD3540" s="1020" t="s">
        <v>2783</v>
      </c>
      <c r="AE3540" s="1024">
        <f t="shared" ref="AE3540:AE3547" si="324">I3540</f>
        <v>50.9</v>
      </c>
      <c r="AF3540" s="1021" t="s">
        <v>1</v>
      </c>
      <c r="AG3540" s="1020">
        <f t="shared" si="322"/>
        <v>101.8</v>
      </c>
    </row>
    <row r="3541" spans="6:33" ht="24" customHeight="1">
      <c r="F3541" s="1020">
        <v>5</v>
      </c>
      <c r="G3541" s="1021" t="s">
        <v>1</v>
      </c>
      <c r="H3541" s="1020" t="s">
        <v>2785</v>
      </c>
      <c r="I3541" s="1020">
        <f t="shared" si="323"/>
        <v>79.099999999999994</v>
      </c>
      <c r="J3541" s="1021" t="s">
        <v>1</v>
      </c>
      <c r="K3541" s="1020">
        <f t="shared" si="319"/>
        <v>395.5</v>
      </c>
      <c r="N3541" s="576"/>
      <c r="O3541" s="1026" t="s">
        <v>2803</v>
      </c>
      <c r="P3541" s="1026">
        <f>1.1*2.325</f>
        <v>2.5575000000000006</v>
      </c>
      <c r="Q3541" s="578"/>
      <c r="S3541" s="1020">
        <v>6</v>
      </c>
      <c r="T3541" s="1021" t="s">
        <v>1</v>
      </c>
      <c r="U3541" s="1020" t="s">
        <v>2785</v>
      </c>
      <c r="V3541" s="1020">
        <f t="shared" si="320"/>
        <v>79.099999999999994</v>
      </c>
      <c r="W3541" s="1021" t="s">
        <v>1</v>
      </c>
      <c r="X3541" s="1020">
        <f t="shared" si="321"/>
        <v>474.59999999999997</v>
      </c>
      <c r="AB3541" s="1020">
        <v>5</v>
      </c>
      <c r="AC3541" s="1021" t="s">
        <v>1</v>
      </c>
      <c r="AD3541" s="1020" t="s">
        <v>2785</v>
      </c>
      <c r="AE3541" s="1024">
        <f t="shared" si="324"/>
        <v>79.099999999999994</v>
      </c>
      <c r="AF3541" s="1021" t="s">
        <v>1</v>
      </c>
      <c r="AG3541" s="1020">
        <f t="shared" si="322"/>
        <v>395.5</v>
      </c>
    </row>
    <row r="3542" spans="6:33" ht="24" customHeight="1">
      <c r="F3542" s="1020">
        <v>2</v>
      </c>
      <c r="G3542" s="1021" t="s">
        <v>1</v>
      </c>
      <c r="H3542" s="1020" t="s">
        <v>2787</v>
      </c>
      <c r="I3542" s="1020">
        <f t="shared" si="323"/>
        <v>57.2</v>
      </c>
      <c r="J3542" s="1021" t="s">
        <v>1</v>
      </c>
      <c r="K3542" s="1020">
        <f t="shared" si="319"/>
        <v>114.4</v>
      </c>
      <c r="M3542" s="1020">
        <f>P3541</f>
        <v>2.5575000000000006</v>
      </c>
      <c r="N3542" s="1021" t="s">
        <v>140</v>
      </c>
      <c r="O3542" s="1020" t="s">
        <v>2797</v>
      </c>
      <c r="P3542" s="1020">
        <f>I3538</f>
        <v>2211</v>
      </c>
      <c r="Q3542" s="1021" t="s">
        <v>140</v>
      </c>
      <c r="R3542" s="1020">
        <f>P3542*M3542</f>
        <v>5654.6325000000015</v>
      </c>
      <c r="S3542" s="1020">
        <v>2</v>
      </c>
      <c r="T3542" s="1021" t="s">
        <v>1</v>
      </c>
      <c r="U3542" s="1020" t="s">
        <v>2787</v>
      </c>
      <c r="V3542" s="1020">
        <f t="shared" si="320"/>
        <v>57.2</v>
      </c>
      <c r="W3542" s="1021" t="s">
        <v>1</v>
      </c>
      <c r="X3542" s="1020">
        <f t="shared" si="321"/>
        <v>114.4</v>
      </c>
      <c r="AB3542" s="1020">
        <v>2</v>
      </c>
      <c r="AC3542" s="1021" t="s">
        <v>1</v>
      </c>
      <c r="AD3542" s="1020" t="s">
        <v>2787</v>
      </c>
      <c r="AE3542" s="1024">
        <f t="shared" si="324"/>
        <v>57.2</v>
      </c>
      <c r="AF3542" s="1021" t="s">
        <v>1</v>
      </c>
      <c r="AG3542" s="1020">
        <f t="shared" si="322"/>
        <v>114.4</v>
      </c>
    </row>
    <row r="3543" spans="6:33" ht="24" customHeight="1">
      <c r="F3543" s="1020">
        <v>1</v>
      </c>
      <c r="G3543" s="1021" t="s">
        <v>1</v>
      </c>
      <c r="H3543" s="1020" t="s">
        <v>2745</v>
      </c>
      <c r="I3543" s="1020">
        <f t="shared" si="323"/>
        <v>159.69999999999999</v>
      </c>
      <c r="J3543" s="1021" t="s">
        <v>1</v>
      </c>
      <c r="K3543" s="1020">
        <f t="shared" si="319"/>
        <v>159.69999999999999</v>
      </c>
      <c r="M3543" s="1020">
        <f>P3541</f>
        <v>2.5575000000000006</v>
      </c>
      <c r="N3543" s="1021" t="s">
        <v>140</v>
      </c>
      <c r="O3543" s="1020" t="s">
        <v>2804</v>
      </c>
      <c r="P3543" s="1020">
        <v>122</v>
      </c>
      <c r="Q3543" s="1021" t="s">
        <v>140</v>
      </c>
      <c r="R3543" s="1020">
        <f t="shared" ref="R3543:R3551" si="325">P3543*M3543</f>
        <v>312.01500000000004</v>
      </c>
      <c r="S3543" s="1020">
        <v>1</v>
      </c>
      <c r="T3543" s="1021" t="s">
        <v>1</v>
      </c>
      <c r="U3543" s="1020" t="s">
        <v>2745</v>
      </c>
      <c r="V3543" s="1020">
        <f t="shared" si="320"/>
        <v>159.69999999999999</v>
      </c>
      <c r="W3543" s="1021" t="s">
        <v>1</v>
      </c>
      <c r="X3543" s="1020">
        <f t="shared" si="321"/>
        <v>159.69999999999999</v>
      </c>
      <c r="AB3543" s="1020">
        <v>1</v>
      </c>
      <c r="AC3543" s="1021" t="s">
        <v>1</v>
      </c>
      <c r="AD3543" s="1020" t="s">
        <v>2745</v>
      </c>
      <c r="AE3543" s="1024">
        <f t="shared" si="324"/>
        <v>159.69999999999999</v>
      </c>
      <c r="AF3543" s="1021" t="s">
        <v>1</v>
      </c>
      <c r="AG3543" s="1020">
        <f t="shared" si="322"/>
        <v>159.69999999999999</v>
      </c>
    </row>
    <row r="3544" spans="6:33" ht="24" customHeight="1">
      <c r="F3544" s="1020">
        <v>92</v>
      </c>
      <c r="G3544" s="1021" t="s">
        <v>1</v>
      </c>
      <c r="H3544" s="1020" t="s">
        <v>2782</v>
      </c>
      <c r="I3544" s="1020">
        <f t="shared" si="323"/>
        <v>2.37</v>
      </c>
      <c r="J3544" s="1021" t="s">
        <v>1</v>
      </c>
      <c r="K3544" s="1020">
        <f t="shared" si="319"/>
        <v>218.04000000000002</v>
      </c>
      <c r="M3544" s="1020">
        <v>2</v>
      </c>
      <c r="N3544" s="1021" t="s">
        <v>1</v>
      </c>
      <c r="O3544" s="1020" t="s">
        <v>2783</v>
      </c>
      <c r="P3544" s="1020">
        <f t="shared" ref="P3544:P3550" si="326">P3528</f>
        <v>50.9</v>
      </c>
      <c r="Q3544" s="1021" t="s">
        <v>1</v>
      </c>
      <c r="R3544" s="1020">
        <f t="shared" si="325"/>
        <v>101.8</v>
      </c>
      <c r="S3544" s="1020">
        <v>92</v>
      </c>
      <c r="T3544" s="1021" t="s">
        <v>1</v>
      </c>
      <c r="U3544" s="1020" t="s">
        <v>2782</v>
      </c>
      <c r="V3544" s="1020">
        <f t="shared" si="320"/>
        <v>2.37</v>
      </c>
      <c r="W3544" s="1021" t="s">
        <v>1</v>
      </c>
      <c r="X3544" s="1020">
        <f t="shared" si="321"/>
        <v>218.04000000000002</v>
      </c>
      <c r="AB3544" s="1020">
        <v>92</v>
      </c>
      <c r="AC3544" s="1021" t="s">
        <v>1</v>
      </c>
      <c r="AD3544" s="1020" t="s">
        <v>2782</v>
      </c>
      <c r="AE3544" s="1024">
        <f t="shared" si="324"/>
        <v>2.37</v>
      </c>
      <c r="AF3544" s="1021" t="s">
        <v>1</v>
      </c>
      <c r="AG3544" s="1020">
        <f t="shared" si="322"/>
        <v>218.04000000000002</v>
      </c>
    </row>
    <row r="3545" spans="6:33" ht="24" customHeight="1">
      <c r="F3545" s="1020">
        <v>1</v>
      </c>
      <c r="G3545" s="1021" t="s">
        <v>1</v>
      </c>
      <c r="H3545" s="1020" t="s">
        <v>2790</v>
      </c>
      <c r="I3545" s="1020">
        <f t="shared" si="323"/>
        <v>22.7</v>
      </c>
      <c r="J3545" s="1021" t="s">
        <v>1</v>
      </c>
      <c r="K3545" s="1020">
        <f t="shared" si="319"/>
        <v>22.7</v>
      </c>
      <c r="M3545" s="1020">
        <v>5</v>
      </c>
      <c r="N3545" s="1021" t="s">
        <v>1</v>
      </c>
      <c r="O3545" s="1020" t="s">
        <v>2785</v>
      </c>
      <c r="P3545" s="1020">
        <f t="shared" si="326"/>
        <v>79.099999999999994</v>
      </c>
      <c r="Q3545" s="1021" t="s">
        <v>1</v>
      </c>
      <c r="R3545" s="1020">
        <f t="shared" si="325"/>
        <v>395.5</v>
      </c>
      <c r="S3545" s="1020">
        <v>1</v>
      </c>
      <c r="T3545" s="1021" t="s">
        <v>1</v>
      </c>
      <c r="U3545" s="1020" t="s">
        <v>2790</v>
      </c>
      <c r="V3545" s="1020">
        <f t="shared" si="320"/>
        <v>22.7</v>
      </c>
      <c r="W3545" s="1021" t="s">
        <v>1</v>
      </c>
      <c r="X3545" s="1020">
        <f t="shared" si="321"/>
        <v>22.7</v>
      </c>
      <c r="AB3545" s="1020">
        <v>1</v>
      </c>
      <c r="AC3545" s="1021" t="s">
        <v>1</v>
      </c>
      <c r="AD3545" s="1020" t="s">
        <v>2790</v>
      </c>
      <c r="AE3545" s="1024">
        <f t="shared" si="324"/>
        <v>22.7</v>
      </c>
      <c r="AF3545" s="1021" t="s">
        <v>1</v>
      </c>
      <c r="AG3545" s="1020">
        <f t="shared" si="322"/>
        <v>22.7</v>
      </c>
    </row>
    <row r="3546" spans="6:33" ht="24" customHeight="1">
      <c r="F3546" s="1020">
        <v>1</v>
      </c>
      <c r="G3546" s="1021" t="s">
        <v>1</v>
      </c>
      <c r="H3546" s="1020" t="s">
        <v>2786</v>
      </c>
      <c r="I3546" s="1020">
        <f t="shared" si="323"/>
        <v>43.8</v>
      </c>
      <c r="J3546" s="1021" t="s">
        <v>1</v>
      </c>
      <c r="K3546" s="1020">
        <f t="shared" si="319"/>
        <v>43.8</v>
      </c>
      <c r="M3546" s="1020">
        <v>2</v>
      </c>
      <c r="N3546" s="1021" t="s">
        <v>1</v>
      </c>
      <c r="O3546" s="1020" t="s">
        <v>2787</v>
      </c>
      <c r="P3546" s="1020">
        <f t="shared" si="326"/>
        <v>57.2</v>
      </c>
      <c r="Q3546" s="1021" t="s">
        <v>1</v>
      </c>
      <c r="R3546" s="1020">
        <f t="shared" si="325"/>
        <v>114.4</v>
      </c>
      <c r="S3546" s="1020">
        <v>1</v>
      </c>
      <c r="T3546" s="1021" t="s">
        <v>1</v>
      </c>
      <c r="U3546" s="1020" t="s">
        <v>2786</v>
      </c>
      <c r="V3546" s="1020">
        <f t="shared" si="320"/>
        <v>43.8</v>
      </c>
      <c r="W3546" s="1021" t="s">
        <v>1</v>
      </c>
      <c r="X3546" s="1020">
        <f t="shared" si="321"/>
        <v>43.8</v>
      </c>
      <c r="AB3546" s="1020">
        <v>1</v>
      </c>
      <c r="AC3546" s="1021" t="s">
        <v>1</v>
      </c>
      <c r="AD3546" s="1020" t="s">
        <v>2786</v>
      </c>
      <c r="AE3546" s="1024">
        <f t="shared" si="324"/>
        <v>43.8</v>
      </c>
      <c r="AF3546" s="1021" t="s">
        <v>1</v>
      </c>
      <c r="AG3546" s="1020">
        <f t="shared" si="322"/>
        <v>43.8</v>
      </c>
    </row>
    <row r="3547" spans="6:33" ht="24" customHeight="1">
      <c r="F3547" s="1028">
        <v>0.35</v>
      </c>
      <c r="G3547" s="1029" t="s">
        <v>140</v>
      </c>
      <c r="H3547" s="1024" t="s">
        <v>2805</v>
      </c>
      <c r="I3547" s="1024">
        <f>K1540</f>
        <v>197.58330000000001</v>
      </c>
      <c r="J3547" s="1029" t="s">
        <v>140</v>
      </c>
      <c r="K3547" s="1024"/>
      <c r="M3547" s="1020">
        <v>1</v>
      </c>
      <c r="N3547" s="1021" t="s">
        <v>1</v>
      </c>
      <c r="O3547" s="1020" t="s">
        <v>2745</v>
      </c>
      <c r="P3547" s="1020">
        <f t="shared" si="326"/>
        <v>159.69999999999999</v>
      </c>
      <c r="Q3547" s="1021" t="s">
        <v>1</v>
      </c>
      <c r="R3547" s="1020">
        <f t="shared" si="325"/>
        <v>159.69999999999999</v>
      </c>
      <c r="S3547" s="1028">
        <v>0.39</v>
      </c>
      <c r="T3547" s="1029" t="s">
        <v>140</v>
      </c>
      <c r="U3547" s="1024" t="s">
        <v>2805</v>
      </c>
      <c r="V3547" s="1020">
        <f t="shared" si="320"/>
        <v>197.58330000000001</v>
      </c>
      <c r="W3547" s="1029" t="s">
        <v>140</v>
      </c>
      <c r="X3547" s="1024"/>
      <c r="AB3547" s="1028">
        <v>0.35</v>
      </c>
      <c r="AC3547" s="1029" t="s">
        <v>140</v>
      </c>
      <c r="AD3547" s="1024" t="s">
        <v>2805</v>
      </c>
      <c r="AE3547" s="1024">
        <f t="shared" si="324"/>
        <v>197.58330000000001</v>
      </c>
      <c r="AF3547" s="1029" t="s">
        <v>140</v>
      </c>
      <c r="AG3547" s="1020"/>
    </row>
    <row r="3548" spans="6:33" ht="24" customHeight="1">
      <c r="F3548" s="1020"/>
      <c r="G3548" s="1021"/>
      <c r="H3548" s="1020" t="s">
        <v>2806</v>
      </c>
      <c r="I3548" s="1020"/>
      <c r="J3548" s="1022"/>
      <c r="K3548" s="1020">
        <f>SUM(K3538:K3547)</f>
        <v>5378.91</v>
      </c>
      <c r="M3548" s="1020">
        <v>92</v>
      </c>
      <c r="N3548" s="1021" t="s">
        <v>1</v>
      </c>
      <c r="O3548" s="1020" t="s">
        <v>2782</v>
      </c>
      <c r="P3548" s="1020">
        <f t="shared" si="326"/>
        <v>2.37</v>
      </c>
      <c r="Q3548" s="1021" t="s">
        <v>1</v>
      </c>
      <c r="R3548" s="1020">
        <f t="shared" si="325"/>
        <v>218.04000000000002</v>
      </c>
      <c r="S3548" s="1020"/>
      <c r="T3548" s="1021"/>
      <c r="U3548" s="1020" t="s">
        <v>2807</v>
      </c>
      <c r="V3548" s="1020"/>
      <c r="W3548" s="1022"/>
      <c r="X3548" s="1020">
        <f>SUM(X3538:X3547)</f>
        <v>6098.4500000000007</v>
      </c>
      <c r="AB3548" s="1020"/>
      <c r="AC3548" s="1021"/>
      <c r="AD3548" s="1020" t="s">
        <v>2808</v>
      </c>
      <c r="AE3548" s="1020"/>
      <c r="AF3548" s="1022"/>
      <c r="AG3548" s="1020">
        <f>SUM(AG3538:AG3547)</f>
        <v>4898.58</v>
      </c>
    </row>
    <row r="3549" spans="6:33" ht="24" customHeight="1">
      <c r="F3549" s="1020"/>
      <c r="G3549" s="1021"/>
      <c r="H3549" s="1020" t="s">
        <v>169</v>
      </c>
      <c r="I3549" s="1020"/>
      <c r="J3549" s="1022"/>
      <c r="K3549" s="1020">
        <f>K3548/F3539</f>
        <v>2951.3909465020574</v>
      </c>
      <c r="M3549" s="1020">
        <v>1</v>
      </c>
      <c r="N3549" s="1021" t="s">
        <v>1</v>
      </c>
      <c r="O3549" s="1020" t="s">
        <v>2790</v>
      </c>
      <c r="P3549" s="1020">
        <f t="shared" si="326"/>
        <v>22.7</v>
      </c>
      <c r="Q3549" s="1021" t="s">
        <v>1</v>
      </c>
      <c r="R3549" s="1020">
        <f t="shared" si="325"/>
        <v>22.7</v>
      </c>
      <c r="S3549" s="1020"/>
      <c r="T3549" s="1021"/>
      <c r="U3549" s="1020" t="s">
        <v>169</v>
      </c>
      <c r="V3549" s="1020"/>
      <c r="W3549" s="1022"/>
      <c r="X3549" s="1020">
        <f>X3548/S3539</f>
        <v>2914.432497013142</v>
      </c>
      <c r="AB3549" s="1020"/>
      <c r="AC3549" s="1021"/>
      <c r="AD3549" s="1020" t="s">
        <v>169</v>
      </c>
      <c r="AE3549" s="1020"/>
      <c r="AF3549" s="1022"/>
      <c r="AG3549" s="1020">
        <f>AG3548/AB3539</f>
        <v>3023.8148148148148</v>
      </c>
    </row>
    <row r="3550" spans="6:33" ht="24" customHeight="1">
      <c r="M3550" s="1020">
        <v>1</v>
      </c>
      <c r="N3550" s="1021" t="s">
        <v>1</v>
      </c>
      <c r="O3550" s="1020" t="s">
        <v>2786</v>
      </c>
      <c r="P3550" s="1020">
        <f t="shared" si="326"/>
        <v>43.8</v>
      </c>
      <c r="Q3550" s="1021" t="s">
        <v>1</v>
      </c>
      <c r="R3550" s="1020">
        <f t="shared" si="325"/>
        <v>43.8</v>
      </c>
      <c r="AC3550" s="576"/>
      <c r="AF3550" s="578"/>
    </row>
    <row r="3551" spans="6:33" ht="24" customHeight="1">
      <c r="M3551" s="1027"/>
      <c r="N3551" s="1021" t="s">
        <v>140</v>
      </c>
      <c r="O3551" s="1020" t="s">
        <v>2788</v>
      </c>
      <c r="P3551" s="1020">
        <f>P3535</f>
        <v>157.19</v>
      </c>
      <c r="Q3551" s="1021" t="s">
        <v>140</v>
      </c>
      <c r="R3551" s="1020">
        <f t="shared" si="325"/>
        <v>0</v>
      </c>
    </row>
    <row r="3552" spans="6:33" ht="24" customHeight="1">
      <c r="F3552" s="620"/>
      <c r="G3552" s="585" t="s">
        <v>122</v>
      </c>
      <c r="H3552" s="573" t="s">
        <v>2022</v>
      </c>
      <c r="M3552" s="1020"/>
      <c r="N3552" s="1021"/>
      <c r="O3552" s="1020" t="s">
        <v>2809</v>
      </c>
      <c r="P3552" s="1020"/>
      <c r="Q3552" s="1022"/>
      <c r="R3552" s="1020">
        <f>SUM(R3542:R3551)</f>
        <v>7022.5875000000015</v>
      </c>
      <c r="S3552" s="1020"/>
      <c r="T3552" s="1021"/>
      <c r="U3552" s="1020" t="s">
        <v>2810</v>
      </c>
      <c r="V3552" s="1020"/>
      <c r="W3552" s="1022"/>
    </row>
    <row r="3553" spans="6:24" ht="24" customHeight="1">
      <c r="H3553" s="577" t="s">
        <v>2811</v>
      </c>
      <c r="M3553" s="1020"/>
      <c r="N3553" s="1021"/>
      <c r="O3553" s="1020" t="s">
        <v>169</v>
      </c>
      <c r="P3553" s="1020"/>
      <c r="Q3553" s="1022"/>
      <c r="R3553" s="1020">
        <f>R3552/M3543</f>
        <v>2745.8797653958945</v>
      </c>
      <c r="S3553" s="575"/>
      <c r="T3553" s="576"/>
      <c r="U3553" s="1020" t="s">
        <v>2812</v>
      </c>
      <c r="V3553" s="575">
        <f>1.4*2.025</f>
        <v>2.8349999999999995</v>
      </c>
      <c r="W3553" s="578"/>
    </row>
    <row r="3554" spans="6:24" ht="24" customHeight="1">
      <c r="H3554" s="573" t="s">
        <v>2024</v>
      </c>
      <c r="N3554" s="576"/>
      <c r="Q3554" s="578"/>
      <c r="S3554" s="1020">
        <f>V3553</f>
        <v>2.8349999999999995</v>
      </c>
      <c r="T3554" s="1021" t="s">
        <v>140</v>
      </c>
      <c r="U3554" s="1020" t="s">
        <v>2797</v>
      </c>
      <c r="V3554" s="1020">
        <f>P3526</f>
        <v>2211</v>
      </c>
      <c r="W3554" s="1021" t="s">
        <v>140</v>
      </c>
      <c r="X3554" s="1020">
        <f>V3554*S3554</f>
        <v>6268.1849999999986</v>
      </c>
    </row>
    <row r="3555" spans="6:24" ht="24" customHeight="1">
      <c r="H3555" s="573" t="s">
        <v>2025</v>
      </c>
      <c r="S3555" s="1020">
        <f>V3553</f>
        <v>2.8349999999999995</v>
      </c>
      <c r="T3555" s="1021" t="s">
        <v>140</v>
      </c>
      <c r="U3555" s="1020" t="s">
        <v>2800</v>
      </c>
      <c r="V3555" s="1020">
        <f>P3527</f>
        <v>248</v>
      </c>
      <c r="W3555" s="1021" t="s">
        <v>140</v>
      </c>
      <c r="X3555" s="1020">
        <f t="shared" ref="X3555:X3563" si="327">V3555*S3555</f>
        <v>703.07999999999993</v>
      </c>
    </row>
    <row r="3556" spans="6:24" ht="46.5" customHeight="1">
      <c r="H3556" s="582" t="s">
        <v>117</v>
      </c>
      <c r="S3556" s="1020">
        <v>4</v>
      </c>
      <c r="T3556" s="1021" t="s">
        <v>1</v>
      </c>
      <c r="U3556" s="1020" t="s">
        <v>2783</v>
      </c>
      <c r="V3556" s="1020">
        <f t="shared" ref="V3556:V3563" si="328">V3540</f>
        <v>50.9</v>
      </c>
      <c r="W3556" s="1021" t="s">
        <v>1</v>
      </c>
      <c r="X3556" s="1020">
        <f t="shared" si="327"/>
        <v>203.6</v>
      </c>
    </row>
    <row r="3557" spans="6:24" ht="33.75" customHeight="1">
      <c r="F3557" s="824">
        <v>1</v>
      </c>
      <c r="G3557" s="824" t="s">
        <v>209</v>
      </c>
      <c r="H3557" s="633" t="s">
        <v>2813</v>
      </c>
      <c r="I3557" s="1030">
        <v>1640</v>
      </c>
      <c r="J3557" s="826" t="s">
        <v>209</v>
      </c>
      <c r="K3557" s="824">
        <f>(F3557*I3557)</f>
        <v>1640</v>
      </c>
      <c r="S3557" s="1020">
        <v>10</v>
      </c>
      <c r="T3557" s="1021" t="s">
        <v>1</v>
      </c>
      <c r="U3557" s="1020" t="s">
        <v>2785</v>
      </c>
      <c r="V3557" s="1020">
        <f t="shared" si="328"/>
        <v>79.099999999999994</v>
      </c>
      <c r="W3557" s="1021" t="s">
        <v>1</v>
      </c>
      <c r="X3557" s="1020">
        <f t="shared" si="327"/>
        <v>791</v>
      </c>
    </row>
    <row r="3558" spans="6:24" ht="24" customHeight="1">
      <c r="F3558" s="587"/>
      <c r="G3558" s="585"/>
      <c r="H3558" s="606"/>
      <c r="I3558" s="587"/>
      <c r="J3558" s="573"/>
      <c r="K3558" s="587"/>
      <c r="S3558" s="1020">
        <v>3</v>
      </c>
      <c r="T3558" s="1021" t="s">
        <v>1</v>
      </c>
      <c r="U3558" s="1020" t="s">
        <v>2787</v>
      </c>
      <c r="V3558" s="1020">
        <f t="shared" si="328"/>
        <v>57.2</v>
      </c>
      <c r="W3558" s="1021" t="s">
        <v>1</v>
      </c>
      <c r="X3558" s="1020">
        <f t="shared" si="327"/>
        <v>171.60000000000002</v>
      </c>
    </row>
    <row r="3559" spans="6:24" ht="24" customHeight="1">
      <c r="F3559" s="587"/>
      <c r="G3559" s="585"/>
      <c r="H3559" s="606"/>
      <c r="I3559" s="587"/>
      <c r="J3559" s="574"/>
      <c r="K3559" s="587"/>
      <c r="S3559" s="1020">
        <v>1</v>
      </c>
      <c r="T3559" s="1021" t="s">
        <v>1</v>
      </c>
      <c r="U3559" s="1020" t="s">
        <v>2745</v>
      </c>
      <c r="V3559" s="1020">
        <f t="shared" si="328"/>
        <v>159.69999999999999</v>
      </c>
      <c r="W3559" s="1021" t="s">
        <v>1</v>
      </c>
      <c r="X3559" s="1020">
        <f t="shared" si="327"/>
        <v>159.69999999999999</v>
      </c>
    </row>
    <row r="3560" spans="6:24" ht="24" customHeight="1">
      <c r="F3560" s="827">
        <v>1</v>
      </c>
      <c r="G3560" s="827" t="s">
        <v>209</v>
      </c>
      <c r="H3560" s="606" t="s">
        <v>2814</v>
      </c>
      <c r="I3560" s="840">
        <f>I1939</f>
        <v>-167</v>
      </c>
      <c r="J3560" s="606" t="s">
        <v>209</v>
      </c>
      <c r="K3560" s="827">
        <f>(F3560*I3560)</f>
        <v>-167</v>
      </c>
      <c r="S3560" s="1020">
        <v>162</v>
      </c>
      <c r="T3560" s="1021" t="s">
        <v>1</v>
      </c>
      <c r="U3560" s="1020" t="s">
        <v>2782</v>
      </c>
      <c r="V3560" s="1020">
        <f t="shared" si="328"/>
        <v>2.37</v>
      </c>
      <c r="W3560" s="1021" t="s">
        <v>1</v>
      </c>
      <c r="X3560" s="1020">
        <f t="shared" si="327"/>
        <v>383.94</v>
      </c>
    </row>
    <row r="3561" spans="6:24" ht="24" customHeight="1">
      <c r="F3561" s="629"/>
      <c r="G3561" s="821"/>
      <c r="H3561" s="606"/>
      <c r="I3561" s="629"/>
      <c r="J3561" s="648"/>
      <c r="K3561" s="629"/>
      <c r="S3561" s="1020">
        <v>2</v>
      </c>
      <c r="T3561" s="1021" t="s">
        <v>1</v>
      </c>
      <c r="U3561" s="1020" t="s">
        <v>2790</v>
      </c>
      <c r="V3561" s="1020">
        <f t="shared" si="328"/>
        <v>22.7</v>
      </c>
      <c r="W3561" s="1021" t="s">
        <v>1</v>
      </c>
      <c r="X3561" s="1020">
        <f t="shared" si="327"/>
        <v>45.4</v>
      </c>
    </row>
    <row r="3562" spans="6:24" ht="24" customHeight="1">
      <c r="F3562" s="629">
        <v>1</v>
      </c>
      <c r="G3562" s="821" t="s">
        <v>209</v>
      </c>
      <c r="H3562" s="606" t="s">
        <v>2028</v>
      </c>
      <c r="I3562" s="1031">
        <v>250</v>
      </c>
      <c r="J3562" s="606" t="s">
        <v>209</v>
      </c>
      <c r="K3562" s="1032">
        <f>(F3562*I3562)</f>
        <v>250</v>
      </c>
      <c r="S3562" s="1020">
        <v>2</v>
      </c>
      <c r="T3562" s="1021" t="s">
        <v>1</v>
      </c>
      <c r="U3562" s="1020" t="s">
        <v>2786</v>
      </c>
      <c r="V3562" s="1020">
        <f t="shared" si="328"/>
        <v>43.8</v>
      </c>
      <c r="W3562" s="1021" t="s">
        <v>1</v>
      </c>
      <c r="X3562" s="1020">
        <f t="shared" si="327"/>
        <v>87.6</v>
      </c>
    </row>
    <row r="3563" spans="6:24" ht="24" customHeight="1">
      <c r="F3563" s="587"/>
      <c r="G3563" s="585"/>
      <c r="H3563" s="573"/>
      <c r="I3563" s="587"/>
      <c r="J3563" s="573"/>
      <c r="K3563" s="587"/>
      <c r="S3563" s="1028">
        <v>0.65</v>
      </c>
      <c r="T3563" s="1029" t="s">
        <v>140</v>
      </c>
      <c r="U3563" s="1024" t="s">
        <v>2805</v>
      </c>
      <c r="V3563" s="1020">
        <f t="shared" si="328"/>
        <v>197.58330000000001</v>
      </c>
      <c r="W3563" s="1029" t="s">
        <v>140</v>
      </c>
      <c r="X3563" s="1024">
        <f t="shared" si="327"/>
        <v>128.42914500000001</v>
      </c>
    </row>
    <row r="3564" spans="6:24" ht="24" customHeight="1">
      <c r="F3564" s="587">
        <v>0.5</v>
      </c>
      <c r="G3564" s="585" t="s">
        <v>209</v>
      </c>
      <c r="H3564" s="573" t="s">
        <v>210</v>
      </c>
      <c r="I3564" s="587">
        <f>I1943</f>
        <v>667</v>
      </c>
      <c r="J3564" s="573" t="s">
        <v>209</v>
      </c>
      <c r="K3564" s="587">
        <f>(F3564*I3564)</f>
        <v>333.5</v>
      </c>
      <c r="S3564" s="1020"/>
      <c r="T3564" s="1021"/>
      <c r="U3564" s="1020" t="s">
        <v>2815</v>
      </c>
      <c r="V3564" s="1020"/>
      <c r="W3564" s="1022"/>
      <c r="X3564" s="1020">
        <f>SUM(X3554:X3563)</f>
        <v>8942.5341449999996</v>
      </c>
    </row>
    <row r="3565" spans="6:24" ht="24" customHeight="1">
      <c r="F3565" s="587">
        <v>1</v>
      </c>
      <c r="G3565" s="585" t="s">
        <v>209</v>
      </c>
      <c r="H3565" s="573" t="s">
        <v>146</v>
      </c>
      <c r="I3565" s="587">
        <f>I1944</f>
        <v>502</v>
      </c>
      <c r="J3565" s="573" t="s">
        <v>209</v>
      </c>
      <c r="K3565" s="587">
        <f>(F3565*I3565)</f>
        <v>502</v>
      </c>
      <c r="S3565" s="1020"/>
      <c r="T3565" s="1021"/>
      <c r="U3565" s="1020" t="s">
        <v>169</v>
      </c>
      <c r="V3565" s="1020"/>
      <c r="W3565" s="1022"/>
      <c r="X3565" s="1020">
        <f>X3564/S3555</f>
        <v>3154.3330317460322</v>
      </c>
    </row>
    <row r="3566" spans="6:24" ht="24" customHeight="1">
      <c r="F3566" s="587">
        <v>0.5</v>
      </c>
      <c r="G3566" s="585" t="s">
        <v>209</v>
      </c>
      <c r="H3566" s="573" t="s">
        <v>144</v>
      </c>
      <c r="I3566" s="587">
        <f>I1945</f>
        <v>769</v>
      </c>
      <c r="J3566" s="573" t="s">
        <v>209</v>
      </c>
      <c r="K3566" s="587">
        <f>(F3566*I3566)</f>
        <v>384.5</v>
      </c>
    </row>
    <row r="3567" spans="6:24" ht="24" customHeight="1">
      <c r="G3567" s="585" t="s">
        <v>129</v>
      </c>
      <c r="H3567" s="573" t="s">
        <v>2029</v>
      </c>
      <c r="J3567" s="573" t="s">
        <v>129</v>
      </c>
      <c r="K3567" s="587">
        <v>0.82</v>
      </c>
    </row>
    <row r="3568" spans="6:24" ht="24" customHeight="1">
      <c r="K3568" s="582" t="s">
        <v>117</v>
      </c>
      <c r="S3568" s="1020"/>
      <c r="T3568" s="1021"/>
      <c r="U3568" s="1020" t="s">
        <v>2816</v>
      </c>
      <c r="V3568" s="1020"/>
      <c r="W3568" s="1022"/>
    </row>
    <row r="3569" spans="6:24" ht="24" customHeight="1">
      <c r="H3569" s="573" t="s">
        <v>991</v>
      </c>
      <c r="K3569" s="586">
        <f>SUM(K3557:K3567)</f>
        <v>2943.82</v>
      </c>
      <c r="S3569" s="575"/>
      <c r="T3569" s="576"/>
      <c r="U3569" s="1020" t="s">
        <v>2817</v>
      </c>
      <c r="V3569" s="575">
        <f>1.4*2.325</f>
        <v>3.2549999999999999</v>
      </c>
      <c r="W3569" s="578"/>
    </row>
    <row r="3570" spans="6:24" ht="24" customHeight="1">
      <c r="K3570" s="582" t="s">
        <v>117</v>
      </c>
      <c r="S3570" s="1020">
        <f>V3569</f>
        <v>3.2549999999999999</v>
      </c>
      <c r="T3570" s="1021" t="s">
        <v>140</v>
      </c>
      <c r="U3570" s="1020" t="s">
        <v>2797</v>
      </c>
      <c r="V3570" s="1020">
        <f>V3554</f>
        <v>2211</v>
      </c>
      <c r="W3570" s="1021" t="s">
        <v>140</v>
      </c>
      <c r="X3570" s="1020">
        <f>V3570*S3570</f>
        <v>7196.8049999999994</v>
      </c>
    </row>
    <row r="3571" spans="6:24" ht="24" customHeight="1">
      <c r="G3571" s="575"/>
      <c r="I3571" s="579"/>
      <c r="J3571" s="575"/>
      <c r="S3571" s="1020">
        <f>V3569</f>
        <v>3.2549999999999999</v>
      </c>
      <c r="T3571" s="1021" t="s">
        <v>140</v>
      </c>
      <c r="U3571" s="1020" t="s">
        <v>2800</v>
      </c>
      <c r="V3571" s="1020">
        <f t="shared" ref="V3571:V3579" si="329">V3555</f>
        <v>248</v>
      </c>
      <c r="W3571" s="1021" t="s">
        <v>140</v>
      </c>
      <c r="X3571" s="1020">
        <f t="shared" ref="X3571:X3579" si="330">V3571*S3571</f>
        <v>807.24</v>
      </c>
    </row>
    <row r="3572" spans="6:24" ht="35.1" customHeight="1">
      <c r="G3572" s="575"/>
      <c r="H3572" s="1033" t="s">
        <v>2818</v>
      </c>
      <c r="I3572" s="579"/>
      <c r="J3572" s="575"/>
      <c r="S3572" s="1020">
        <v>4</v>
      </c>
      <c r="T3572" s="1021" t="s">
        <v>1</v>
      </c>
      <c r="U3572" s="1020" t="s">
        <v>2783</v>
      </c>
      <c r="V3572" s="1020">
        <f t="shared" si="329"/>
        <v>50.9</v>
      </c>
      <c r="W3572" s="1021" t="s">
        <v>1</v>
      </c>
      <c r="X3572" s="1020">
        <f t="shared" si="330"/>
        <v>203.6</v>
      </c>
    </row>
    <row r="3573" spans="6:24" ht="35.1" customHeight="1">
      <c r="F3573" s="575">
        <v>70</v>
      </c>
      <c r="G3573" s="576" t="s">
        <v>231</v>
      </c>
      <c r="H3573" s="682" t="s">
        <v>2819</v>
      </c>
      <c r="I3573" s="686">
        <f>P1353</f>
        <v>33</v>
      </c>
      <c r="J3573" s="578" t="s">
        <v>2820</v>
      </c>
      <c r="K3573" s="575">
        <f>I3573*F3573</f>
        <v>2310</v>
      </c>
      <c r="S3573" s="1020">
        <v>12</v>
      </c>
      <c r="T3573" s="1021" t="s">
        <v>1</v>
      </c>
      <c r="U3573" s="1020" t="s">
        <v>2785</v>
      </c>
      <c r="V3573" s="1020">
        <f t="shared" si="329"/>
        <v>79.099999999999994</v>
      </c>
      <c r="W3573" s="1021" t="s">
        <v>1</v>
      </c>
      <c r="X3573" s="1020">
        <f t="shared" si="330"/>
        <v>949.19999999999993</v>
      </c>
    </row>
    <row r="3574" spans="6:24" ht="35.1" customHeight="1">
      <c r="F3574" s="575">
        <v>0.3</v>
      </c>
      <c r="G3574" s="576" t="s">
        <v>642</v>
      </c>
      <c r="H3574" s="682" t="s">
        <v>2821</v>
      </c>
      <c r="I3574" s="686">
        <f>P1355</f>
        <v>17600</v>
      </c>
      <c r="J3574" s="578" t="s">
        <v>2822</v>
      </c>
      <c r="K3574" s="575">
        <f>I3574*F3574</f>
        <v>5280</v>
      </c>
      <c r="S3574" s="1020">
        <v>3</v>
      </c>
      <c r="T3574" s="1021" t="s">
        <v>1</v>
      </c>
      <c r="U3574" s="1020" t="s">
        <v>2787</v>
      </c>
      <c r="V3574" s="1020">
        <f t="shared" si="329"/>
        <v>57.2</v>
      </c>
      <c r="W3574" s="1021" t="s">
        <v>1</v>
      </c>
      <c r="X3574" s="1020">
        <f t="shared" si="330"/>
        <v>171.60000000000002</v>
      </c>
    </row>
    <row r="3575" spans="6:24" ht="35.1" customHeight="1">
      <c r="H3575" s="575" t="s">
        <v>2823</v>
      </c>
      <c r="K3575" s="575">
        <f>SUM(K3573:K3574)</f>
        <v>7590</v>
      </c>
      <c r="S3575" s="1020">
        <v>1</v>
      </c>
      <c r="T3575" s="1021" t="s">
        <v>1</v>
      </c>
      <c r="U3575" s="1020" t="s">
        <v>2745</v>
      </c>
      <c r="V3575" s="1020">
        <f t="shared" si="329"/>
        <v>159.69999999999999</v>
      </c>
      <c r="W3575" s="1021" t="s">
        <v>1</v>
      </c>
      <c r="X3575" s="1020">
        <f t="shared" si="330"/>
        <v>159.69999999999999</v>
      </c>
    </row>
    <row r="3576" spans="6:24" ht="35.1" customHeight="1">
      <c r="H3576" s="619" t="s">
        <v>2824</v>
      </c>
      <c r="I3576" s="619"/>
      <c r="J3576" s="630"/>
      <c r="K3576" s="619">
        <f>K3575/10</f>
        <v>759</v>
      </c>
      <c r="S3576" s="1020">
        <v>162</v>
      </c>
      <c r="T3576" s="1021" t="s">
        <v>1</v>
      </c>
      <c r="U3576" s="1020" t="s">
        <v>2782</v>
      </c>
      <c r="V3576" s="1020">
        <f t="shared" si="329"/>
        <v>2.37</v>
      </c>
      <c r="W3576" s="1021" t="s">
        <v>1</v>
      </c>
      <c r="X3576" s="1020">
        <f t="shared" si="330"/>
        <v>383.94</v>
      </c>
    </row>
    <row r="3577" spans="6:24" ht="35.1" customHeight="1">
      <c r="F3577" s="575">
        <v>1</v>
      </c>
      <c r="G3577" s="576" t="s">
        <v>2825</v>
      </c>
      <c r="H3577" s="575" t="s">
        <v>2826</v>
      </c>
      <c r="I3577" s="575">
        <f>K3576</f>
        <v>759</v>
      </c>
      <c r="J3577" s="578" t="s">
        <v>2825</v>
      </c>
      <c r="K3577" s="575">
        <f>I3577*F3577</f>
        <v>759</v>
      </c>
      <c r="S3577" s="1020">
        <v>2</v>
      </c>
      <c r="T3577" s="1021" t="s">
        <v>1</v>
      </c>
      <c r="U3577" s="1020" t="s">
        <v>2790</v>
      </c>
      <c r="V3577" s="1020">
        <f t="shared" si="329"/>
        <v>22.7</v>
      </c>
      <c r="W3577" s="1021" t="s">
        <v>1</v>
      </c>
      <c r="X3577" s="1020">
        <f t="shared" si="330"/>
        <v>45.4</v>
      </c>
    </row>
    <row r="3578" spans="6:24" ht="35.1" customHeight="1">
      <c r="F3578" s="575">
        <v>2</v>
      </c>
      <c r="G3578" s="576" t="s">
        <v>240</v>
      </c>
      <c r="H3578" s="682" t="s">
        <v>2243</v>
      </c>
      <c r="I3578" s="686">
        <f>I2349</f>
        <v>502</v>
      </c>
      <c r="J3578" s="578" t="s">
        <v>227</v>
      </c>
      <c r="K3578" s="575">
        <f>I3578*F3578</f>
        <v>1004</v>
      </c>
      <c r="S3578" s="1020">
        <v>2</v>
      </c>
      <c r="T3578" s="1021" t="s">
        <v>1</v>
      </c>
      <c r="U3578" s="1020" t="s">
        <v>2786</v>
      </c>
      <c r="V3578" s="1020">
        <f t="shared" si="329"/>
        <v>43.8</v>
      </c>
      <c r="W3578" s="1021" t="s">
        <v>1</v>
      </c>
      <c r="X3578" s="1020">
        <f t="shared" si="330"/>
        <v>87.6</v>
      </c>
    </row>
    <row r="3579" spans="6:24" ht="35.1" customHeight="1">
      <c r="H3579" s="575" t="s">
        <v>2827</v>
      </c>
      <c r="K3579" s="575">
        <v>10.3</v>
      </c>
      <c r="S3579" s="1028">
        <v>0.73</v>
      </c>
      <c r="T3579" s="1029" t="s">
        <v>140</v>
      </c>
      <c r="U3579" s="1024" t="s">
        <v>2805</v>
      </c>
      <c r="V3579" s="1020">
        <f t="shared" si="329"/>
        <v>197.58330000000001</v>
      </c>
      <c r="W3579" s="1029" t="s">
        <v>140</v>
      </c>
      <c r="X3579" s="1024">
        <f t="shared" si="330"/>
        <v>144.23580899999999</v>
      </c>
    </row>
    <row r="3580" spans="6:24" ht="35.1" customHeight="1">
      <c r="H3580" s="575" t="s">
        <v>2828</v>
      </c>
      <c r="K3580" s="575">
        <f>SUM(K3577:K3579)</f>
        <v>1773.3</v>
      </c>
      <c r="S3580" s="1020"/>
      <c r="T3580" s="1021"/>
      <c r="U3580" s="1020" t="s">
        <v>2792</v>
      </c>
      <c r="V3580" s="1020"/>
      <c r="W3580" s="1022"/>
      <c r="X3580" s="1020">
        <f>SUM(X3570:X3579)</f>
        <v>10149.320809000001</v>
      </c>
    </row>
    <row r="3581" spans="6:24" s="619" customFormat="1" ht="35.1" customHeight="1">
      <c r="G3581" s="646"/>
      <c r="H3581" s="619" t="s">
        <v>2829</v>
      </c>
      <c r="J3581" s="630"/>
      <c r="K3581" s="619">
        <f>K3580/6</f>
        <v>295.55</v>
      </c>
      <c r="S3581" s="1020"/>
      <c r="T3581" s="1021"/>
      <c r="U3581" s="1020" t="s">
        <v>169</v>
      </c>
      <c r="V3581" s="1020"/>
      <c r="W3581" s="1022"/>
      <c r="X3581" s="1020">
        <f>X3580/S3571</f>
        <v>3118.0709090629803</v>
      </c>
    </row>
    <row r="3582" spans="6:24" ht="35.1" customHeight="1">
      <c r="H3582" s="619" t="s">
        <v>2830</v>
      </c>
    </row>
    <row r="3583" spans="6:24" ht="35.1" customHeight="1">
      <c r="F3583" s="575">
        <v>49</v>
      </c>
      <c r="G3583" s="576" t="s">
        <v>2831</v>
      </c>
      <c r="H3583" s="575" t="s">
        <v>2832</v>
      </c>
      <c r="I3583" s="575">
        <f>I3573</f>
        <v>33</v>
      </c>
      <c r="J3583" s="578" t="s">
        <v>2820</v>
      </c>
      <c r="K3583" s="575">
        <f>F3583*I3583</f>
        <v>1617</v>
      </c>
      <c r="S3583" s="1020"/>
      <c r="T3583" s="1021"/>
      <c r="U3583" s="1020" t="s">
        <v>2833</v>
      </c>
      <c r="V3583" s="1020"/>
      <c r="W3583" s="1022"/>
    </row>
    <row r="3584" spans="6:24" ht="35.1" customHeight="1">
      <c r="F3584" s="575">
        <v>0.3</v>
      </c>
      <c r="G3584" s="576" t="s">
        <v>642</v>
      </c>
      <c r="H3584" s="575" t="s">
        <v>2834</v>
      </c>
      <c r="I3584" s="575">
        <f>I3574</f>
        <v>17600</v>
      </c>
      <c r="J3584" s="578" t="s">
        <v>642</v>
      </c>
      <c r="K3584" s="575">
        <f>F3584*I3584</f>
        <v>5280</v>
      </c>
      <c r="S3584" s="575"/>
      <c r="T3584" s="576"/>
      <c r="U3584" s="1023" t="s">
        <v>2835</v>
      </c>
      <c r="V3584" s="1020">
        <f>1.7*2.325</f>
        <v>3.9525000000000001</v>
      </c>
      <c r="W3584" s="578"/>
    </row>
    <row r="3585" spans="6:24" ht="35.1" customHeight="1">
      <c r="H3585" s="619" t="s">
        <v>2836</v>
      </c>
      <c r="K3585" s="619">
        <f>SUM(K3583:K3584)</f>
        <v>6897</v>
      </c>
      <c r="S3585" s="1020">
        <f>V3584</f>
        <v>3.9525000000000001</v>
      </c>
      <c r="T3585" s="1021" t="s">
        <v>140</v>
      </c>
      <c r="U3585" s="1020" t="s">
        <v>2797</v>
      </c>
      <c r="V3585" s="1020">
        <f>V3570</f>
        <v>2211</v>
      </c>
      <c r="W3585" s="1021" t="s">
        <v>140</v>
      </c>
      <c r="X3585" s="1020">
        <f>V3585*S3585</f>
        <v>8738.9775000000009</v>
      </c>
    </row>
    <row r="3586" spans="6:24" ht="35.1" customHeight="1">
      <c r="H3586" s="619" t="s">
        <v>2824</v>
      </c>
      <c r="K3586" s="619">
        <f>K3585/10</f>
        <v>689.7</v>
      </c>
      <c r="S3586" s="1020">
        <f>S3585</f>
        <v>3.9525000000000001</v>
      </c>
      <c r="T3586" s="1021" t="s">
        <v>140</v>
      </c>
      <c r="U3586" s="1020" t="s">
        <v>2800</v>
      </c>
      <c r="V3586" s="1020">
        <f t="shared" ref="V3586:V3593" si="331">V3571</f>
        <v>248</v>
      </c>
      <c r="W3586" s="1021" t="s">
        <v>140</v>
      </c>
      <c r="X3586" s="1020">
        <f t="shared" ref="X3586:X3594" si="332">V3586*S3586</f>
        <v>980.22</v>
      </c>
    </row>
    <row r="3587" spans="6:24" ht="35.1" customHeight="1">
      <c r="F3587" s="575">
        <v>2</v>
      </c>
      <c r="G3587" s="576" t="s">
        <v>188</v>
      </c>
      <c r="H3587" s="686" t="s">
        <v>2243</v>
      </c>
      <c r="I3587" s="575">
        <f>I3578</f>
        <v>502</v>
      </c>
      <c r="J3587" s="578" t="s">
        <v>188</v>
      </c>
      <c r="K3587" s="575">
        <f>F3587*I3587</f>
        <v>1004</v>
      </c>
      <c r="S3587" s="1020">
        <v>4</v>
      </c>
      <c r="T3587" s="1021" t="s">
        <v>1</v>
      </c>
      <c r="U3587" s="1020" t="s">
        <v>2783</v>
      </c>
      <c r="V3587" s="1020">
        <f t="shared" si="331"/>
        <v>50.9</v>
      </c>
      <c r="W3587" s="1021" t="s">
        <v>1</v>
      </c>
      <c r="X3587" s="1020">
        <f t="shared" si="332"/>
        <v>203.6</v>
      </c>
    </row>
    <row r="3588" spans="6:24" ht="35.1" customHeight="1">
      <c r="H3588" s="686" t="s">
        <v>2837</v>
      </c>
      <c r="K3588" s="575">
        <v>4.3499999999999996</v>
      </c>
      <c r="S3588" s="1020">
        <v>10</v>
      </c>
      <c r="T3588" s="1021" t="s">
        <v>1</v>
      </c>
      <c r="U3588" s="1020" t="s">
        <v>2785</v>
      </c>
      <c r="V3588" s="1020">
        <f t="shared" si="331"/>
        <v>79.099999999999994</v>
      </c>
      <c r="W3588" s="1021" t="s">
        <v>1</v>
      </c>
      <c r="X3588" s="1020">
        <f t="shared" si="332"/>
        <v>791</v>
      </c>
    </row>
    <row r="3589" spans="6:24" ht="35.1" customHeight="1">
      <c r="H3589" s="686" t="s">
        <v>2838</v>
      </c>
      <c r="K3589" s="575">
        <f>SUM(K3586:K3588)</f>
        <v>1698.05</v>
      </c>
      <c r="S3589" s="1020">
        <v>3</v>
      </c>
      <c r="T3589" s="1021" t="s">
        <v>1</v>
      </c>
      <c r="U3589" s="1020" t="s">
        <v>2787</v>
      </c>
      <c r="V3589" s="1020">
        <f t="shared" si="331"/>
        <v>57.2</v>
      </c>
      <c r="W3589" s="1021" t="s">
        <v>1</v>
      </c>
      <c r="X3589" s="1020">
        <f t="shared" si="332"/>
        <v>171.60000000000002</v>
      </c>
    </row>
    <row r="3590" spans="6:24" ht="35.1" customHeight="1">
      <c r="H3590" s="619" t="s">
        <v>2839</v>
      </c>
      <c r="I3590" s="619"/>
      <c r="J3590" s="630"/>
      <c r="K3590" s="619">
        <f>K3589/6</f>
        <v>283.00833333333333</v>
      </c>
      <c r="S3590" s="1020">
        <v>1</v>
      </c>
      <c r="T3590" s="1021" t="s">
        <v>1</v>
      </c>
      <c r="U3590" s="1020" t="s">
        <v>2745</v>
      </c>
      <c r="V3590" s="1020">
        <f t="shared" si="331"/>
        <v>159.69999999999999</v>
      </c>
      <c r="W3590" s="1021" t="s">
        <v>1</v>
      </c>
      <c r="X3590" s="1020">
        <f t="shared" si="332"/>
        <v>159.69999999999999</v>
      </c>
    </row>
    <row r="3591" spans="6:24" s="619" customFormat="1" ht="35.1" customHeight="1">
      <c r="G3591" s="646"/>
      <c r="H3591" s="686" t="s">
        <v>2840</v>
      </c>
      <c r="I3591" s="686"/>
      <c r="J3591" s="718"/>
      <c r="K3591" s="686">
        <f>K3581</f>
        <v>295.55</v>
      </c>
      <c r="S3591" s="1020">
        <v>118</v>
      </c>
      <c r="T3591" s="1021" t="s">
        <v>1</v>
      </c>
      <c r="U3591" s="1020" t="s">
        <v>2782</v>
      </c>
      <c r="V3591" s="1020">
        <f t="shared" si="331"/>
        <v>2.37</v>
      </c>
      <c r="W3591" s="1021" t="s">
        <v>1</v>
      </c>
      <c r="X3591" s="1020">
        <f t="shared" si="332"/>
        <v>279.66000000000003</v>
      </c>
    </row>
    <row r="3592" spans="6:24" s="619" customFormat="1" ht="35.1" customHeight="1">
      <c r="G3592" s="646"/>
      <c r="H3592" s="686" t="s">
        <v>2841</v>
      </c>
      <c r="I3592" s="686">
        <f>K3591</f>
        <v>295.55</v>
      </c>
      <c r="J3592" s="718">
        <f>K3590</f>
        <v>283.00833333333333</v>
      </c>
      <c r="K3592" s="686">
        <f>SUM(I3592:J3592)</f>
        <v>578.55833333333339</v>
      </c>
      <c r="S3592" s="1020">
        <v>2</v>
      </c>
      <c r="T3592" s="1021" t="s">
        <v>1</v>
      </c>
      <c r="U3592" s="1020" t="s">
        <v>2790</v>
      </c>
      <c r="V3592" s="1020">
        <f t="shared" si="331"/>
        <v>22.7</v>
      </c>
      <c r="W3592" s="1021" t="s">
        <v>1</v>
      </c>
      <c r="X3592" s="1020">
        <f t="shared" si="332"/>
        <v>45.4</v>
      </c>
    </row>
    <row r="3593" spans="6:24" s="619" customFormat="1" ht="35.1" customHeight="1">
      <c r="G3593" s="646"/>
      <c r="H3593" s="686" t="s">
        <v>2842</v>
      </c>
      <c r="I3593" s="686">
        <f>K3592</f>
        <v>578.55833333333339</v>
      </c>
      <c r="J3593" s="718">
        <f>J3592</f>
        <v>283.00833333333333</v>
      </c>
      <c r="K3593" s="686">
        <f>SUM(I3593:J3593)</f>
        <v>861.56666666666672</v>
      </c>
      <c r="S3593" s="1020">
        <v>2</v>
      </c>
      <c r="T3593" s="1021" t="s">
        <v>1</v>
      </c>
      <c r="U3593" s="1020" t="s">
        <v>2786</v>
      </c>
      <c r="V3593" s="1020">
        <f t="shared" si="331"/>
        <v>43.8</v>
      </c>
      <c r="W3593" s="1021" t="s">
        <v>1</v>
      </c>
      <c r="X3593" s="1020">
        <f t="shared" si="332"/>
        <v>87.6</v>
      </c>
    </row>
    <row r="3594" spans="6:24" s="619" customFormat="1" ht="35.1" customHeight="1">
      <c r="G3594" s="646"/>
      <c r="H3594" s="686" t="s">
        <v>2843</v>
      </c>
      <c r="I3594" s="686">
        <f>K3593</f>
        <v>861.56666666666672</v>
      </c>
      <c r="J3594" s="718">
        <f>J3593</f>
        <v>283.00833333333333</v>
      </c>
      <c r="K3594" s="686">
        <f>SUM(I3594:J3594)</f>
        <v>1144.575</v>
      </c>
      <c r="S3594" s="1027"/>
      <c r="T3594" s="1021"/>
      <c r="U3594" s="1020"/>
      <c r="V3594" s="1020"/>
      <c r="W3594" s="1021" t="s">
        <v>140</v>
      </c>
      <c r="X3594" s="1020">
        <f t="shared" si="332"/>
        <v>0</v>
      </c>
    </row>
    <row r="3595" spans="6:24" s="619" customFormat="1" ht="35.1" customHeight="1">
      <c r="G3595" s="646"/>
      <c r="H3595" s="686" t="s">
        <v>2844</v>
      </c>
      <c r="I3595" s="686">
        <f>K3594</f>
        <v>1144.575</v>
      </c>
      <c r="J3595" s="718">
        <f>J3594</f>
        <v>283.00833333333333</v>
      </c>
      <c r="K3595" s="686">
        <f>SUM(I3595:J3595)</f>
        <v>1427.5833333333335</v>
      </c>
      <c r="S3595" s="1020"/>
      <c r="T3595" s="1021"/>
      <c r="U3595" s="1020" t="s">
        <v>2845</v>
      </c>
      <c r="V3595" s="1020"/>
      <c r="W3595" s="1022"/>
      <c r="X3595" s="1020">
        <f>SUM(X3585:X3594)</f>
        <v>11457.757500000002</v>
      </c>
    </row>
    <row r="3596" spans="6:24" ht="24" customHeight="1">
      <c r="S3596" s="1020"/>
      <c r="T3596" s="1021"/>
      <c r="U3596" s="1020" t="s">
        <v>169</v>
      </c>
      <c r="V3596" s="1020"/>
      <c r="W3596" s="1022"/>
      <c r="X3596" s="1020">
        <f>X3595/S3586</f>
        <v>2898.8633776091083</v>
      </c>
    </row>
    <row r="3597" spans="6:24" ht="24" customHeight="1">
      <c r="F3597" s="574"/>
      <c r="G3597" s="585" t="s">
        <v>122</v>
      </c>
      <c r="H3597" s="577" t="s">
        <v>2846</v>
      </c>
      <c r="L3597" s="578"/>
      <c r="S3597" s="575"/>
      <c r="T3597" s="576"/>
      <c r="U3597" s="1020"/>
      <c r="W3597" s="578"/>
      <c r="X3597" s="1020"/>
    </row>
    <row r="3598" spans="6:24" ht="24" customHeight="1">
      <c r="H3598" s="577" t="s">
        <v>2847</v>
      </c>
      <c r="L3598" s="573"/>
    </row>
    <row r="3599" spans="6:24" ht="24" customHeight="1">
      <c r="H3599" s="582" t="s">
        <v>117</v>
      </c>
      <c r="L3599" s="573"/>
    </row>
    <row r="3600" spans="6:24" ht="24" customHeight="1">
      <c r="F3600" s="708">
        <v>7.0699999999999999E-2</v>
      </c>
      <c r="G3600" s="585" t="s">
        <v>642</v>
      </c>
      <c r="H3600" s="573" t="s">
        <v>1548</v>
      </c>
      <c r="I3600" s="587">
        <f>I2814</f>
        <v>99400</v>
      </c>
      <c r="J3600" s="573" t="s">
        <v>126</v>
      </c>
      <c r="K3600" s="587">
        <f t="shared" ref="K3600:K3608" si="333">(F3600*I3600)</f>
        <v>7027.58</v>
      </c>
      <c r="L3600" s="573"/>
      <c r="S3600" s="1020"/>
      <c r="T3600" s="1021"/>
      <c r="U3600" s="1020" t="s">
        <v>2848</v>
      </c>
      <c r="V3600" s="1020"/>
      <c r="W3600" s="1022"/>
    </row>
    <row r="3601" spans="6:24" ht="24" customHeight="1">
      <c r="F3601" s="708">
        <v>5.16</v>
      </c>
      <c r="G3601" s="585" t="s">
        <v>140</v>
      </c>
      <c r="H3601" s="573" t="s">
        <v>2849</v>
      </c>
      <c r="I3601" s="587">
        <v>537</v>
      </c>
      <c r="J3601" s="573" t="s">
        <v>126</v>
      </c>
      <c r="K3601" s="587">
        <f t="shared" si="333"/>
        <v>2770.92</v>
      </c>
      <c r="L3601" s="573"/>
      <c r="S3601" s="575"/>
      <c r="T3601" s="576"/>
      <c r="U3601" s="1023" t="s">
        <v>2850</v>
      </c>
      <c r="V3601" s="1020">
        <f>1.7*2.025</f>
        <v>3.4424999999999999</v>
      </c>
      <c r="W3601" s="578"/>
    </row>
    <row r="3602" spans="6:24" ht="24" customHeight="1">
      <c r="F3602" s="708">
        <v>3.6659999999999999</v>
      </c>
      <c r="G3602" s="585" t="s">
        <v>140</v>
      </c>
      <c r="H3602" s="573" t="s">
        <v>2851</v>
      </c>
      <c r="I3602" s="615">
        <f>P1395</f>
        <v>208.8</v>
      </c>
      <c r="J3602" s="573" t="s">
        <v>140</v>
      </c>
      <c r="K3602" s="587">
        <f t="shared" si="333"/>
        <v>765.46080000000006</v>
      </c>
      <c r="L3602" s="573"/>
      <c r="S3602" s="1020">
        <f>V3601</f>
        <v>3.4424999999999999</v>
      </c>
      <c r="T3602" s="1021" t="s">
        <v>140</v>
      </c>
      <c r="U3602" s="1020" t="s">
        <v>2797</v>
      </c>
      <c r="V3602" s="1020">
        <f>V3585</f>
        <v>2211</v>
      </c>
      <c r="W3602" s="1021" t="s">
        <v>140</v>
      </c>
      <c r="X3602" s="1020">
        <f>V3602*S3602</f>
        <v>7611.3674999999994</v>
      </c>
    </row>
    <row r="3603" spans="6:24" ht="24" customHeight="1">
      <c r="F3603" s="587">
        <v>22.66</v>
      </c>
      <c r="G3603" s="585" t="s">
        <v>231</v>
      </c>
      <c r="H3603" s="573" t="s">
        <v>2852</v>
      </c>
      <c r="I3603" s="587">
        <v>14.4</v>
      </c>
      <c r="J3603" s="585" t="s">
        <v>231</v>
      </c>
      <c r="K3603" s="587">
        <f t="shared" si="333"/>
        <v>326.30400000000003</v>
      </c>
      <c r="L3603" s="573"/>
      <c r="S3603" s="1020">
        <f>S3602</f>
        <v>3.4424999999999999</v>
      </c>
      <c r="T3603" s="1021" t="s">
        <v>140</v>
      </c>
      <c r="U3603" s="1020" t="s">
        <v>2800</v>
      </c>
      <c r="V3603" s="1020">
        <f t="shared" ref="V3603:V3610" si="334">V3586</f>
        <v>248</v>
      </c>
      <c r="W3603" s="1021" t="s">
        <v>140</v>
      </c>
      <c r="X3603" s="1020">
        <f t="shared" ref="X3603:X3611" si="335">V3603*S3603</f>
        <v>853.74</v>
      </c>
    </row>
    <row r="3604" spans="6:24" ht="24" customHeight="1">
      <c r="F3604" s="587">
        <v>15</v>
      </c>
      <c r="G3604" s="585" t="s">
        <v>209</v>
      </c>
      <c r="H3604" s="573" t="s">
        <v>1506</v>
      </c>
      <c r="I3604" s="587">
        <v>69.849999999999994</v>
      </c>
      <c r="J3604" s="573" t="s">
        <v>209</v>
      </c>
      <c r="K3604" s="587">
        <f>(F3603*I3604)</f>
        <v>1582.8009999999999</v>
      </c>
      <c r="L3604" s="573"/>
      <c r="S3604" s="1020">
        <v>4</v>
      </c>
      <c r="T3604" s="1021" t="s">
        <v>1</v>
      </c>
      <c r="U3604" s="1020" t="s">
        <v>2783</v>
      </c>
      <c r="V3604" s="1020">
        <f t="shared" si="334"/>
        <v>50.9</v>
      </c>
      <c r="W3604" s="1021" t="s">
        <v>1</v>
      </c>
      <c r="X3604" s="1020">
        <f t="shared" si="335"/>
        <v>203.6</v>
      </c>
    </row>
    <row r="3605" spans="6:24" ht="24" customHeight="1">
      <c r="F3605" s="587">
        <v>10</v>
      </c>
      <c r="G3605" s="585" t="s">
        <v>209</v>
      </c>
      <c r="H3605" s="573" t="s">
        <v>2853</v>
      </c>
      <c r="I3605" s="587">
        <v>64.05</v>
      </c>
      <c r="J3605" s="573" t="s">
        <v>209</v>
      </c>
      <c r="K3605" s="587">
        <f>(F3604*I3605)</f>
        <v>960.75</v>
      </c>
      <c r="L3605" s="573"/>
      <c r="S3605" s="1020">
        <v>10</v>
      </c>
      <c r="T3605" s="1021" t="s">
        <v>1</v>
      </c>
      <c r="U3605" s="1020" t="s">
        <v>2785</v>
      </c>
      <c r="V3605" s="1020">
        <f t="shared" si="334"/>
        <v>79.099999999999994</v>
      </c>
      <c r="W3605" s="1021" t="s">
        <v>1</v>
      </c>
      <c r="X3605" s="1020">
        <f t="shared" si="335"/>
        <v>791</v>
      </c>
    </row>
    <row r="3606" spans="6:24" ht="24" customHeight="1">
      <c r="F3606" s="587">
        <v>5</v>
      </c>
      <c r="G3606" s="585" t="s">
        <v>209</v>
      </c>
      <c r="H3606" s="573" t="s">
        <v>2854</v>
      </c>
      <c r="I3606" s="587">
        <v>50.6</v>
      </c>
      <c r="J3606" s="573" t="s">
        <v>209</v>
      </c>
      <c r="K3606" s="587">
        <f>(F3607*I3606)</f>
        <v>253</v>
      </c>
      <c r="L3606" s="578"/>
      <c r="S3606" s="1020">
        <v>3</v>
      </c>
      <c r="T3606" s="1021" t="s">
        <v>1</v>
      </c>
      <c r="U3606" s="1020" t="s">
        <v>2787</v>
      </c>
      <c r="V3606" s="1020">
        <f t="shared" si="334"/>
        <v>57.2</v>
      </c>
      <c r="W3606" s="1021" t="s">
        <v>1</v>
      </c>
      <c r="X3606" s="1020">
        <f t="shared" si="335"/>
        <v>171.60000000000002</v>
      </c>
    </row>
    <row r="3607" spans="6:24" ht="24" customHeight="1">
      <c r="F3607" s="587">
        <v>5</v>
      </c>
      <c r="G3607" s="585" t="s">
        <v>209</v>
      </c>
      <c r="H3607" s="573" t="s">
        <v>1554</v>
      </c>
      <c r="I3607" s="587">
        <v>7.3</v>
      </c>
      <c r="J3607" s="573" t="s">
        <v>209</v>
      </c>
      <c r="K3607" s="587">
        <f>(F3605*I3607)</f>
        <v>73</v>
      </c>
      <c r="L3607" s="578"/>
      <c r="S3607" s="1020">
        <v>1</v>
      </c>
      <c r="T3607" s="1021" t="s">
        <v>1</v>
      </c>
      <c r="U3607" s="1020" t="s">
        <v>2745</v>
      </c>
      <c r="V3607" s="1020">
        <f t="shared" si="334"/>
        <v>159.69999999999999</v>
      </c>
      <c r="W3607" s="1021" t="s">
        <v>1</v>
      </c>
      <c r="X3607" s="1020">
        <f t="shared" si="335"/>
        <v>159.69999999999999</v>
      </c>
    </row>
    <row r="3608" spans="6:24" ht="24" customHeight="1">
      <c r="F3608" s="587">
        <v>10</v>
      </c>
      <c r="H3608" s="573" t="s">
        <v>1508</v>
      </c>
      <c r="I3608" s="587">
        <f>I3430</f>
        <v>2.37</v>
      </c>
      <c r="J3608" s="573" t="s">
        <v>209</v>
      </c>
      <c r="K3608" s="587">
        <f t="shared" si="333"/>
        <v>23.700000000000003</v>
      </c>
      <c r="L3608" s="578"/>
      <c r="S3608" s="1020">
        <v>118</v>
      </c>
      <c r="T3608" s="1021" t="s">
        <v>1</v>
      </c>
      <c r="U3608" s="1020" t="s">
        <v>2782</v>
      </c>
      <c r="V3608" s="1020">
        <f t="shared" si="334"/>
        <v>2.37</v>
      </c>
      <c r="W3608" s="1021" t="s">
        <v>1</v>
      </c>
      <c r="X3608" s="1020">
        <f t="shared" si="335"/>
        <v>279.66000000000003</v>
      </c>
    </row>
    <row r="3609" spans="6:24" ht="24" customHeight="1">
      <c r="K3609" s="582" t="s">
        <v>117</v>
      </c>
      <c r="L3609" s="578"/>
      <c r="S3609" s="1020">
        <v>2</v>
      </c>
      <c r="T3609" s="1021" t="s">
        <v>1</v>
      </c>
      <c r="U3609" s="1020" t="s">
        <v>2790</v>
      </c>
      <c r="V3609" s="1020">
        <f t="shared" si="334"/>
        <v>22.7</v>
      </c>
      <c r="W3609" s="1021" t="s">
        <v>1</v>
      </c>
      <c r="X3609" s="1020">
        <f t="shared" si="335"/>
        <v>45.4</v>
      </c>
    </row>
    <row r="3610" spans="6:24" ht="24" customHeight="1">
      <c r="H3610" s="574" t="s">
        <v>2855</v>
      </c>
      <c r="K3610" s="587">
        <f>SUM(K3596:K3608)</f>
        <v>13783.515800000001</v>
      </c>
      <c r="L3610" s="578"/>
      <c r="S3610" s="1020">
        <v>2</v>
      </c>
      <c r="T3610" s="1021" t="s">
        <v>1</v>
      </c>
      <c r="U3610" s="1020" t="s">
        <v>2786</v>
      </c>
      <c r="V3610" s="1020">
        <f t="shared" si="334"/>
        <v>43.8</v>
      </c>
      <c r="W3610" s="1021" t="s">
        <v>1</v>
      </c>
      <c r="X3610" s="1020">
        <f t="shared" si="335"/>
        <v>87.6</v>
      </c>
    </row>
    <row r="3611" spans="6:24" ht="24" customHeight="1">
      <c r="K3611" s="582" t="s">
        <v>117</v>
      </c>
      <c r="L3611" s="578"/>
      <c r="S3611" s="1027"/>
      <c r="T3611" s="1021"/>
      <c r="U3611" s="1020"/>
      <c r="V3611" s="1020"/>
      <c r="W3611" s="1021" t="s">
        <v>140</v>
      </c>
      <c r="X3611" s="1020">
        <f t="shared" si="335"/>
        <v>0</v>
      </c>
    </row>
    <row r="3612" spans="6:24" ht="24" customHeight="1">
      <c r="H3612" s="589" t="s">
        <v>154</v>
      </c>
      <c r="I3612" s="573" t="s">
        <v>115</v>
      </c>
      <c r="K3612" s="586">
        <f>K3610/F3601</f>
        <v>2671.2239922480621</v>
      </c>
      <c r="S3612" s="1020"/>
      <c r="T3612" s="1021"/>
      <c r="U3612" s="1020" t="s">
        <v>2856</v>
      </c>
      <c r="V3612" s="1020"/>
      <c r="W3612" s="1022"/>
      <c r="X3612" s="1020">
        <f>SUM(X3602:X3611)</f>
        <v>10203.667500000001</v>
      </c>
    </row>
    <row r="3613" spans="6:24" ht="24" customHeight="1">
      <c r="K3613" s="582" t="s">
        <v>155</v>
      </c>
      <c r="S3613" s="1020"/>
      <c r="T3613" s="1021"/>
      <c r="U3613" s="1020" t="s">
        <v>169</v>
      </c>
      <c r="V3613" s="1020"/>
      <c r="W3613" s="1022"/>
      <c r="X3613" s="1020">
        <f>X3612/S3603</f>
        <v>2964.0283224400878</v>
      </c>
    </row>
    <row r="3614" spans="6:24" ht="24" customHeight="1">
      <c r="F3614" s="574" t="s">
        <v>1562</v>
      </c>
      <c r="G3614" s="585" t="s">
        <v>122</v>
      </c>
      <c r="H3614" s="573" t="s">
        <v>2857</v>
      </c>
      <c r="S3614" s="575"/>
    </row>
    <row r="3615" spans="6:24" ht="24" customHeight="1">
      <c r="H3615" s="573" t="s">
        <v>2858</v>
      </c>
      <c r="S3615" s="1020"/>
      <c r="T3615" s="1021"/>
      <c r="U3615" s="1020" t="s">
        <v>2859</v>
      </c>
      <c r="V3615" s="1020"/>
      <c r="W3615" s="1022"/>
    </row>
    <row r="3616" spans="6:24" ht="18.75" customHeight="1">
      <c r="H3616" s="582" t="s">
        <v>117</v>
      </c>
      <c r="S3616" s="575"/>
      <c r="T3616" s="576"/>
      <c r="U3616" s="1023" t="s">
        <v>2860</v>
      </c>
      <c r="W3616" s="578">
        <f>1.1*2.025</f>
        <v>2.2275</v>
      </c>
    </row>
    <row r="3617" spans="6:24" ht="18.75" customHeight="1">
      <c r="H3617" s="760" t="s">
        <v>2861</v>
      </c>
      <c r="I3617" s="911" t="s">
        <v>155</v>
      </c>
      <c r="J3617" s="994">
        <f>0.65*0.65</f>
        <v>0.42250000000000004</v>
      </c>
      <c r="K3617" s="907" t="s">
        <v>174</v>
      </c>
      <c r="S3617" s="1020">
        <f>W3616</f>
        <v>2.2275</v>
      </c>
      <c r="T3617" s="1021" t="s">
        <v>140</v>
      </c>
      <c r="U3617" s="1020" t="s">
        <v>2797</v>
      </c>
      <c r="V3617" s="1020">
        <f>V3538</f>
        <v>2211</v>
      </c>
      <c r="W3617" s="1021" t="s">
        <v>140</v>
      </c>
      <c r="X3617" s="1020">
        <f>V3617*S3617</f>
        <v>4925.0025000000005</v>
      </c>
    </row>
    <row r="3618" spans="6:24" ht="18.75" customHeight="1">
      <c r="H3618" s="760"/>
      <c r="I3618" s="911"/>
      <c r="J3618" s="993"/>
      <c r="K3618" s="907"/>
      <c r="S3618" s="1020">
        <f>S3617</f>
        <v>2.2275</v>
      </c>
      <c r="T3618" s="1021" t="s">
        <v>140</v>
      </c>
      <c r="U3618" s="1020" t="s">
        <v>2800</v>
      </c>
      <c r="V3618" s="1020">
        <f>P3543</f>
        <v>122</v>
      </c>
      <c r="W3618" s="1021" t="s">
        <v>140</v>
      </c>
      <c r="X3618" s="1020">
        <f>V3618*S3618</f>
        <v>271.755</v>
      </c>
    </row>
    <row r="3619" spans="6:24" ht="18.75" customHeight="1">
      <c r="H3619" s="760" t="s">
        <v>2862</v>
      </c>
      <c r="I3619" s="911" t="s">
        <v>155</v>
      </c>
      <c r="J3619" s="994">
        <v>5.1999999999999998E-2</v>
      </c>
      <c r="K3619" s="907" t="s">
        <v>429</v>
      </c>
      <c r="S3619" s="1020">
        <v>2</v>
      </c>
      <c r="T3619" s="1021" t="s">
        <v>1</v>
      </c>
      <c r="U3619" s="1020" t="s">
        <v>2783</v>
      </c>
      <c r="V3619" s="1020">
        <f t="shared" ref="V3619:V3625" si="336">V3604</f>
        <v>50.9</v>
      </c>
      <c r="W3619" s="1021" t="s">
        <v>1</v>
      </c>
      <c r="X3619" s="1020">
        <f>V3618*S3619</f>
        <v>244</v>
      </c>
    </row>
    <row r="3620" spans="6:24" ht="18.75" customHeight="1">
      <c r="H3620" s="760" t="s">
        <v>2636</v>
      </c>
      <c r="J3620" s="995"/>
      <c r="K3620" s="907"/>
      <c r="S3620" s="1020">
        <v>5</v>
      </c>
      <c r="T3620" s="1021" t="s">
        <v>1</v>
      </c>
      <c r="U3620" s="1020" t="s">
        <v>2785</v>
      </c>
      <c r="V3620" s="1020">
        <f t="shared" si="336"/>
        <v>79.099999999999994</v>
      </c>
      <c r="W3620" s="1021" t="s">
        <v>1</v>
      </c>
      <c r="X3620" s="1020">
        <f>V3619*S3620</f>
        <v>254.5</v>
      </c>
    </row>
    <row r="3621" spans="6:24" ht="18.75" customHeight="1">
      <c r="H3621" s="760" t="s">
        <v>2863</v>
      </c>
      <c r="I3621" s="911" t="s">
        <v>155</v>
      </c>
      <c r="J3621" s="996">
        <v>1.772E-2</v>
      </c>
      <c r="K3621" s="907"/>
      <c r="S3621" s="1020">
        <v>2</v>
      </c>
      <c r="T3621" s="1021" t="s">
        <v>1</v>
      </c>
      <c r="U3621" s="1020" t="s">
        <v>2787</v>
      </c>
      <c r="V3621" s="1020">
        <f t="shared" si="336"/>
        <v>57.2</v>
      </c>
      <c r="W3621" s="1021" t="s">
        <v>1</v>
      </c>
      <c r="X3621" s="1020">
        <f>V3620*S3621</f>
        <v>158.19999999999999</v>
      </c>
    </row>
    <row r="3622" spans="6:24" ht="18.75" customHeight="1">
      <c r="H3622" s="582"/>
      <c r="S3622" s="1020">
        <v>1</v>
      </c>
      <c r="T3622" s="1021" t="s">
        <v>1</v>
      </c>
      <c r="U3622" s="1020" t="s">
        <v>2745</v>
      </c>
      <c r="V3622" s="1020">
        <f t="shared" si="336"/>
        <v>159.69999999999999</v>
      </c>
      <c r="W3622" s="1021" t="s">
        <v>1</v>
      </c>
      <c r="X3622" s="1020">
        <f>V3621*S3622</f>
        <v>57.2</v>
      </c>
    </row>
    <row r="3623" spans="6:24" ht="24" customHeight="1">
      <c r="F3623" s="708">
        <v>5.3E-3</v>
      </c>
      <c r="G3623" s="585" t="s">
        <v>642</v>
      </c>
      <c r="H3623" s="573" t="s">
        <v>1548</v>
      </c>
      <c r="I3623" s="587">
        <f>C2604</f>
        <v>0</v>
      </c>
      <c r="J3623" s="573" t="s">
        <v>126</v>
      </c>
      <c r="K3623" s="587">
        <f t="shared" ref="K3623:K3629" si="337">(F3623*I3623)</f>
        <v>0</v>
      </c>
      <c r="S3623" s="1020">
        <v>92</v>
      </c>
      <c r="T3623" s="1021" t="s">
        <v>1</v>
      </c>
      <c r="U3623" s="1020" t="s">
        <v>2782</v>
      </c>
      <c r="V3623" s="1020">
        <f t="shared" si="336"/>
        <v>2.37</v>
      </c>
      <c r="W3623" s="1021" t="s">
        <v>1</v>
      </c>
      <c r="X3623" s="1020">
        <f>V3623*S3623</f>
        <v>218.04000000000002</v>
      </c>
    </row>
    <row r="3624" spans="6:24" ht="24" customHeight="1">
      <c r="F3624" s="708">
        <v>0.27450000000000002</v>
      </c>
      <c r="G3624" s="585" t="s">
        <v>140</v>
      </c>
      <c r="H3624" s="573" t="str">
        <f>H3602</f>
        <v>4 mm thicj frosted glass</v>
      </c>
      <c r="I3624" s="587">
        <f>I3602</f>
        <v>208.8</v>
      </c>
      <c r="J3624" s="573" t="s">
        <v>126</v>
      </c>
      <c r="K3624" s="587">
        <f t="shared" si="337"/>
        <v>57.315600000000011</v>
      </c>
      <c r="S3624" s="1020">
        <v>1</v>
      </c>
      <c r="T3624" s="1021" t="s">
        <v>1</v>
      </c>
      <c r="U3624" s="1020" t="s">
        <v>2790</v>
      </c>
      <c r="V3624" s="1020">
        <f t="shared" si="336"/>
        <v>22.7</v>
      </c>
      <c r="W3624" s="1021" t="s">
        <v>1</v>
      </c>
      <c r="X3624" s="1020">
        <f>V3623*S3624</f>
        <v>2.37</v>
      </c>
    </row>
    <row r="3625" spans="6:24" ht="24" customHeight="1">
      <c r="F3625" s="708">
        <v>0.4</v>
      </c>
      <c r="G3625" s="585" t="s">
        <v>140</v>
      </c>
      <c r="H3625" s="573" t="s">
        <v>624</v>
      </c>
      <c r="I3625" s="587">
        <f>D2547</f>
        <v>0</v>
      </c>
      <c r="J3625" s="573" t="s">
        <v>140</v>
      </c>
      <c r="K3625" s="587">
        <f t="shared" si="337"/>
        <v>0</v>
      </c>
      <c r="S3625" s="1020">
        <v>1</v>
      </c>
      <c r="T3625" s="1021" t="s">
        <v>1</v>
      </c>
      <c r="U3625" s="1020" t="s">
        <v>2786</v>
      </c>
      <c r="V3625" s="1020">
        <f t="shared" si="336"/>
        <v>43.8</v>
      </c>
      <c r="W3625" s="1021" t="s">
        <v>1</v>
      </c>
      <c r="X3625" s="1020">
        <f>V3624*S3625</f>
        <v>22.7</v>
      </c>
    </row>
    <row r="3626" spans="6:24" ht="24" customHeight="1">
      <c r="F3626" s="587">
        <v>2</v>
      </c>
      <c r="G3626" s="585" t="s">
        <v>1565</v>
      </c>
      <c r="H3626" s="573" t="s">
        <v>1566</v>
      </c>
      <c r="I3626" s="587">
        <f>C2820</f>
        <v>0</v>
      </c>
      <c r="J3626" s="573" t="s">
        <v>1565</v>
      </c>
      <c r="K3626" s="587">
        <f t="shared" si="337"/>
        <v>0</v>
      </c>
      <c r="S3626" s="1027"/>
      <c r="T3626" s="1021" t="s">
        <v>140</v>
      </c>
      <c r="U3626" s="1020"/>
      <c r="W3626" s="1021" t="s">
        <v>140</v>
      </c>
      <c r="X3626" s="1020">
        <f>V3625*S3626</f>
        <v>0</v>
      </c>
    </row>
    <row r="3627" spans="6:24" ht="24" customHeight="1">
      <c r="F3627" s="587">
        <v>1</v>
      </c>
      <c r="G3627" s="585" t="s">
        <v>209</v>
      </c>
      <c r="H3627" s="573" t="s">
        <v>1567</v>
      </c>
      <c r="I3627" s="587">
        <f>C2808</f>
        <v>0</v>
      </c>
      <c r="J3627" s="573" t="s">
        <v>209</v>
      </c>
      <c r="K3627" s="587">
        <f t="shared" si="337"/>
        <v>0</v>
      </c>
      <c r="S3627" s="1020"/>
      <c r="T3627" s="1021"/>
      <c r="U3627" s="1020" t="s">
        <v>2789</v>
      </c>
      <c r="V3627" s="1020"/>
      <c r="W3627" s="1022"/>
      <c r="X3627" s="1020">
        <f>SUM(X3617:X3626)</f>
        <v>6153.7674999999999</v>
      </c>
    </row>
    <row r="3628" spans="6:24" ht="24" customHeight="1">
      <c r="F3628" s="587">
        <v>1</v>
      </c>
      <c r="G3628" s="585" t="s">
        <v>209</v>
      </c>
      <c r="H3628" s="573" t="s">
        <v>1568</v>
      </c>
      <c r="I3628" s="587">
        <f>C2806</f>
        <v>0</v>
      </c>
      <c r="J3628" s="573" t="s">
        <v>209</v>
      </c>
      <c r="K3628" s="587">
        <f t="shared" si="337"/>
        <v>0</v>
      </c>
      <c r="S3628" s="1020"/>
      <c r="T3628" s="1021"/>
      <c r="U3628" s="1020" t="s">
        <v>169</v>
      </c>
      <c r="V3628" s="1020"/>
      <c r="W3628" s="1022"/>
      <c r="X3628" s="1020">
        <f>X3627/S3618</f>
        <v>2762.6341189674522</v>
      </c>
    </row>
    <row r="3629" spans="6:24" ht="24" customHeight="1">
      <c r="F3629" s="587">
        <v>10</v>
      </c>
      <c r="H3629" s="573" t="s">
        <v>1508</v>
      </c>
      <c r="I3629" s="587">
        <f>I3608</f>
        <v>2.37</v>
      </c>
      <c r="J3629" s="573" t="s">
        <v>209</v>
      </c>
      <c r="K3629" s="587">
        <f t="shared" si="337"/>
        <v>23.700000000000003</v>
      </c>
    </row>
    <row r="3630" spans="6:24" ht="24" customHeight="1">
      <c r="K3630" s="582" t="s">
        <v>117</v>
      </c>
      <c r="S3630" s="575"/>
      <c r="U3630" s="577" t="s">
        <v>1569</v>
      </c>
    </row>
    <row r="3631" spans="6:24" ht="24" customHeight="1">
      <c r="H3631" s="574" t="s">
        <v>1570</v>
      </c>
      <c r="K3631" s="587">
        <f>SUM(K3613:K3629)</f>
        <v>81.015600000000006</v>
      </c>
      <c r="S3631" s="575"/>
      <c r="U3631" s="862" t="s">
        <v>2864</v>
      </c>
    </row>
    <row r="3632" spans="6:24" ht="24" customHeight="1">
      <c r="K3632" s="582" t="s">
        <v>117</v>
      </c>
      <c r="S3632" s="575"/>
    </row>
    <row r="3633" spans="6:24" ht="24" customHeight="1">
      <c r="H3633" s="589" t="s">
        <v>154</v>
      </c>
      <c r="I3633" s="573" t="s">
        <v>115</v>
      </c>
      <c r="K3633" s="586">
        <f>K3631/F3625</f>
        <v>202.53900000000002</v>
      </c>
      <c r="S3633" s="575"/>
    </row>
    <row r="3634" spans="6:24" ht="24" customHeight="1">
      <c r="F3634" s="573" t="s">
        <v>115</v>
      </c>
      <c r="S3634" s="716">
        <v>2.2800000000000001E-2</v>
      </c>
      <c r="T3634" s="717" t="s">
        <v>126</v>
      </c>
      <c r="U3634" s="686" t="s">
        <v>1571</v>
      </c>
      <c r="V3634" s="686">
        <v>111600</v>
      </c>
      <c r="W3634" s="718" t="s">
        <v>126</v>
      </c>
      <c r="X3634" s="686">
        <f>V3634*S3634</f>
        <v>2544.48</v>
      </c>
    </row>
    <row r="3635" spans="6:24" ht="24" customHeight="1">
      <c r="K3635" s="582" t="s">
        <v>155</v>
      </c>
      <c r="S3635" s="716">
        <v>3.5400000000000001E-2</v>
      </c>
      <c r="T3635" s="717" t="s">
        <v>126</v>
      </c>
      <c r="U3635" s="686" t="s">
        <v>1572</v>
      </c>
      <c r="V3635" s="686">
        <v>99400</v>
      </c>
      <c r="W3635" s="718" t="s">
        <v>126</v>
      </c>
      <c r="X3635" s="686">
        <f t="shared" ref="X3635:X3644" si="338">V3635*S3635</f>
        <v>3518.76</v>
      </c>
    </row>
    <row r="3636" spans="6:24" ht="24" customHeight="1">
      <c r="F3636" s="575">
        <v>45</v>
      </c>
      <c r="H3636" s="1456" t="s">
        <v>2865</v>
      </c>
      <c r="I3636" s="1456"/>
      <c r="J3636" s="1456"/>
      <c r="S3636" s="719">
        <v>3.2300000000000002E-2</v>
      </c>
      <c r="T3636" s="717" t="s">
        <v>126</v>
      </c>
      <c r="U3636" s="686" t="s">
        <v>1573</v>
      </c>
      <c r="V3636" s="686">
        <v>107000</v>
      </c>
      <c r="W3636" s="718" t="s">
        <v>126</v>
      </c>
      <c r="X3636" s="686">
        <f t="shared" si="338"/>
        <v>3456.1000000000004</v>
      </c>
    </row>
    <row r="3637" spans="6:24" ht="24" customHeight="1">
      <c r="H3637" s="1456"/>
      <c r="I3637" s="1456"/>
      <c r="J3637" s="1456"/>
      <c r="S3637" s="720">
        <v>2.835</v>
      </c>
      <c r="T3637" s="717" t="s">
        <v>140</v>
      </c>
      <c r="U3637" s="686" t="s">
        <v>1574</v>
      </c>
      <c r="V3637" s="686">
        <v>1155</v>
      </c>
      <c r="W3637" s="718" t="s">
        <v>140</v>
      </c>
      <c r="X3637" s="686">
        <f t="shared" si="338"/>
        <v>3274.4250000000002</v>
      </c>
    </row>
    <row r="3638" spans="6:24" ht="24" customHeight="1">
      <c r="S3638" s="686">
        <v>2</v>
      </c>
      <c r="T3638" s="717" t="s">
        <v>1576</v>
      </c>
      <c r="U3638" s="575" t="s">
        <v>2401</v>
      </c>
      <c r="V3638" s="881">
        <v>450</v>
      </c>
      <c r="W3638" s="718" t="s">
        <v>227</v>
      </c>
      <c r="X3638" s="686">
        <f t="shared" si="338"/>
        <v>900</v>
      </c>
    </row>
    <row r="3639" spans="6:24" ht="33" customHeight="1">
      <c r="F3639" s="587">
        <v>0.15</v>
      </c>
      <c r="G3639" s="576" t="s">
        <v>126</v>
      </c>
      <c r="H3639" s="731" t="s">
        <v>2866</v>
      </c>
      <c r="I3639" s="618">
        <v>2525.42</v>
      </c>
      <c r="J3639" s="578" t="s">
        <v>126</v>
      </c>
      <c r="K3639" s="575">
        <f t="shared" ref="K3639:K3644" si="339">I3639*F3639</f>
        <v>378.81299999999999</v>
      </c>
      <c r="L3639" s="575">
        <f>89.4/0.0354</f>
        <v>2525.4237288135596</v>
      </c>
      <c r="S3639" s="686">
        <v>6</v>
      </c>
      <c r="T3639" s="717" t="s">
        <v>1576</v>
      </c>
      <c r="U3639" s="575" t="s">
        <v>2402</v>
      </c>
      <c r="V3639" s="881">
        <v>79</v>
      </c>
      <c r="W3639" s="718" t="s">
        <v>227</v>
      </c>
      <c r="X3639" s="686">
        <f t="shared" si="338"/>
        <v>474</v>
      </c>
    </row>
    <row r="3640" spans="6:24" ht="24" customHeight="1">
      <c r="F3640" s="652">
        <v>7.1999999999999995E-2</v>
      </c>
      <c r="G3640" s="576" t="s">
        <v>124</v>
      </c>
      <c r="H3640" s="575" t="s">
        <v>125</v>
      </c>
      <c r="I3640" s="575">
        <f>I1645</f>
        <v>5800</v>
      </c>
      <c r="J3640" s="578" t="s">
        <v>124</v>
      </c>
      <c r="K3640" s="575">
        <f t="shared" si="339"/>
        <v>417.59999999999997</v>
      </c>
      <c r="S3640" s="686">
        <v>4</v>
      </c>
      <c r="T3640" s="717" t="s">
        <v>1576</v>
      </c>
      <c r="U3640" s="575" t="s">
        <v>2403</v>
      </c>
      <c r="V3640" s="881">
        <v>130</v>
      </c>
      <c r="W3640" s="718" t="s">
        <v>227</v>
      </c>
      <c r="X3640" s="686">
        <f t="shared" si="338"/>
        <v>520</v>
      </c>
    </row>
    <row r="3641" spans="6:24" ht="24" customHeight="1">
      <c r="F3641" s="587">
        <v>1.6</v>
      </c>
      <c r="G3641" s="576" t="s">
        <v>1</v>
      </c>
      <c r="H3641" s="575" t="s">
        <v>144</v>
      </c>
      <c r="I3641" s="575">
        <f>I1646</f>
        <v>769</v>
      </c>
      <c r="J3641" s="578" t="s">
        <v>1</v>
      </c>
      <c r="K3641" s="575">
        <f t="shared" si="339"/>
        <v>1230.4000000000001</v>
      </c>
      <c r="S3641" s="686">
        <v>1</v>
      </c>
      <c r="T3641" s="717" t="s">
        <v>1576</v>
      </c>
      <c r="U3641" s="575" t="s">
        <v>2404</v>
      </c>
      <c r="V3641" s="881">
        <v>985</v>
      </c>
      <c r="W3641" s="718" t="s">
        <v>227</v>
      </c>
      <c r="X3641" s="686">
        <f t="shared" si="338"/>
        <v>985</v>
      </c>
    </row>
    <row r="3642" spans="6:24" ht="24" customHeight="1">
      <c r="F3642" s="587">
        <v>0.5</v>
      </c>
      <c r="G3642" s="576" t="s">
        <v>1</v>
      </c>
      <c r="H3642" s="575" t="s">
        <v>146</v>
      </c>
      <c r="I3642" s="575">
        <f>I1647</f>
        <v>502</v>
      </c>
      <c r="J3642" s="578" t="s">
        <v>1</v>
      </c>
      <c r="K3642" s="575">
        <f t="shared" si="339"/>
        <v>251</v>
      </c>
      <c r="S3642" s="686">
        <v>2</v>
      </c>
      <c r="T3642" s="717" t="s">
        <v>1576</v>
      </c>
      <c r="U3642" s="575" t="s">
        <v>2405</v>
      </c>
      <c r="V3642" s="881">
        <v>24.2</v>
      </c>
      <c r="W3642" s="718" t="s">
        <v>227</v>
      </c>
      <c r="X3642" s="686">
        <f t="shared" si="338"/>
        <v>48.4</v>
      </c>
    </row>
    <row r="3643" spans="6:24" ht="24" customHeight="1">
      <c r="F3643" s="587">
        <v>1.1000000000000001</v>
      </c>
      <c r="G3643" s="576" t="s">
        <v>1</v>
      </c>
      <c r="H3643" s="575" t="s">
        <v>147</v>
      </c>
      <c r="I3643" s="575">
        <f>I1648</f>
        <v>412</v>
      </c>
      <c r="J3643" s="578" t="s">
        <v>1</v>
      </c>
      <c r="K3643" s="575">
        <f t="shared" si="339"/>
        <v>453.20000000000005</v>
      </c>
      <c r="S3643" s="686">
        <v>2</v>
      </c>
      <c r="T3643" s="717" t="s">
        <v>1576</v>
      </c>
      <c r="U3643" s="686" t="s">
        <v>630</v>
      </c>
      <c r="V3643" s="686">
        <v>48.9</v>
      </c>
      <c r="W3643" s="718" t="s">
        <v>227</v>
      </c>
      <c r="X3643" s="686">
        <f t="shared" si="338"/>
        <v>97.8</v>
      </c>
    </row>
    <row r="3644" spans="6:24" ht="24" customHeight="1">
      <c r="F3644" s="587">
        <v>14.5</v>
      </c>
      <c r="G3644" s="576" t="s">
        <v>1962</v>
      </c>
      <c r="H3644" s="575" t="s">
        <v>2867</v>
      </c>
      <c r="I3644" s="575">
        <f>I3747</f>
        <v>24.5</v>
      </c>
      <c r="J3644" s="578" t="s">
        <v>1962</v>
      </c>
      <c r="K3644" s="575">
        <f t="shared" si="339"/>
        <v>355.25</v>
      </c>
      <c r="S3644" s="686">
        <v>118</v>
      </c>
      <c r="T3644" s="646"/>
      <c r="U3644" s="686" t="s">
        <v>1508</v>
      </c>
      <c r="V3644" s="686">
        <v>2.4</v>
      </c>
      <c r="W3644" s="718"/>
      <c r="X3644" s="686">
        <f t="shared" si="338"/>
        <v>283.2</v>
      </c>
    </row>
    <row r="3645" spans="6:24" ht="24" customHeight="1">
      <c r="G3645" s="576" t="s">
        <v>166</v>
      </c>
      <c r="H3645" s="575" t="s">
        <v>130</v>
      </c>
      <c r="J3645" s="578" t="s">
        <v>166</v>
      </c>
      <c r="K3645" s="575">
        <v>7</v>
      </c>
      <c r="S3645" s="575"/>
      <c r="V3645" s="575" t="s">
        <v>2221</v>
      </c>
      <c r="W3645" s="718"/>
      <c r="X3645" s="619">
        <f>SUM(X3634:X3644)</f>
        <v>16102.164999999999</v>
      </c>
    </row>
    <row r="3646" spans="6:24" ht="24" customHeight="1">
      <c r="S3646" s="686"/>
      <c r="T3646" s="646"/>
      <c r="U3646" s="619"/>
      <c r="V3646" s="686"/>
      <c r="W3646" s="718"/>
      <c r="X3646" s="721" t="s">
        <v>1586</v>
      </c>
    </row>
    <row r="3647" spans="6:24" ht="24" customHeight="1">
      <c r="H3647" s="575" t="s">
        <v>153</v>
      </c>
      <c r="K3647" s="575">
        <f>SUM(K3639:K3646)</f>
        <v>3093.2629999999999</v>
      </c>
      <c r="S3647" s="686"/>
      <c r="T3647" s="646"/>
      <c r="U3647" s="619" t="s">
        <v>1589</v>
      </c>
      <c r="V3647" s="686"/>
      <c r="W3647" s="718"/>
      <c r="X3647" s="619">
        <f>X3645/2.835</f>
        <v>5679.7760141093468</v>
      </c>
    </row>
    <row r="3648" spans="6:24" ht="24" customHeight="1">
      <c r="H3648" s="575" t="s">
        <v>154</v>
      </c>
      <c r="K3648" s="575">
        <f>K3647/10</f>
        <v>309.3263</v>
      </c>
      <c r="S3648" s="686"/>
      <c r="T3648" s="646"/>
      <c r="W3648" s="578"/>
      <c r="X3648" s="622" t="s">
        <v>1586</v>
      </c>
    </row>
    <row r="3649" spans="6:25" ht="24" customHeight="1">
      <c r="S3649" s="575"/>
    </row>
    <row r="3650" spans="6:25" ht="24" customHeight="1">
      <c r="K3650" s="575" t="s">
        <v>155</v>
      </c>
      <c r="S3650" s="1034" t="s">
        <v>2868</v>
      </c>
      <c r="T3650" s="1034"/>
      <c r="U3650" s="1034"/>
      <c r="V3650" s="1034"/>
      <c r="W3650" s="1035"/>
      <c r="X3650" s="1035"/>
      <c r="Y3650" s="771"/>
    </row>
    <row r="3651" spans="6:25" ht="24" customHeight="1">
      <c r="S3651" s="773"/>
      <c r="T3651" s="774"/>
      <c r="U3651" s="775"/>
      <c r="V3651" s="776"/>
      <c r="W3651" s="774"/>
      <c r="X3651" s="776"/>
      <c r="Y3651" s="771"/>
    </row>
    <row r="3652" spans="6:25" ht="24" customHeight="1">
      <c r="G3652" s="575"/>
      <c r="H3652" s="589" t="s">
        <v>2869</v>
      </c>
      <c r="J3652" s="575"/>
      <c r="S3652" s="773"/>
      <c r="T3652" s="774"/>
      <c r="U3652" s="777"/>
      <c r="V3652" s="776"/>
      <c r="W3652" s="774"/>
      <c r="X3652" s="776"/>
      <c r="Y3652" s="771"/>
    </row>
    <row r="3653" spans="6:25" ht="24" customHeight="1">
      <c r="G3653" s="575"/>
      <c r="H3653" s="582" t="s">
        <v>117</v>
      </c>
      <c r="J3653" s="575"/>
      <c r="S3653" s="773">
        <v>29.06</v>
      </c>
      <c r="T3653" s="774" t="s">
        <v>654</v>
      </c>
      <c r="U3653" s="1036" t="s">
        <v>2870</v>
      </c>
      <c r="V3653" s="776">
        <f>I3781</f>
        <v>287</v>
      </c>
      <c r="W3653" s="774" t="s">
        <v>654</v>
      </c>
      <c r="X3653" s="776">
        <f>V3653*S3653</f>
        <v>8340.2199999999993</v>
      </c>
      <c r="Y3653" s="771"/>
    </row>
    <row r="3654" spans="6:25" ht="24" customHeight="1">
      <c r="G3654" s="573" t="s">
        <v>122</v>
      </c>
      <c r="H3654" s="577" t="s">
        <v>2871</v>
      </c>
      <c r="J3654" s="575"/>
      <c r="S3654" s="1037">
        <v>9.24</v>
      </c>
      <c r="T3654" s="774" t="s">
        <v>231</v>
      </c>
      <c r="U3654" s="777" t="s">
        <v>2872</v>
      </c>
      <c r="V3654" s="776">
        <v>35.5</v>
      </c>
      <c r="W3654" s="774" t="s">
        <v>231</v>
      </c>
      <c r="X3654" s="776">
        <v>501.66</v>
      </c>
      <c r="Y3654" s="771"/>
    </row>
    <row r="3655" spans="6:25" ht="24" customHeight="1">
      <c r="G3655" s="575"/>
      <c r="H3655" s="577" t="s">
        <v>2873</v>
      </c>
      <c r="J3655" s="575"/>
      <c r="S3655" s="773">
        <v>1.49</v>
      </c>
      <c r="T3655" s="774" t="s">
        <v>110</v>
      </c>
      <c r="U3655" s="777" t="s">
        <v>2874</v>
      </c>
      <c r="V3655" s="776">
        <v>336</v>
      </c>
      <c r="W3655" s="774" t="s">
        <v>110</v>
      </c>
      <c r="X3655" s="776">
        <f t="shared" ref="X3655:X3664" si="340">V3655*S3655</f>
        <v>500.64</v>
      </c>
      <c r="Y3655" s="771"/>
    </row>
    <row r="3656" spans="6:25" ht="24" customHeight="1">
      <c r="G3656" s="575"/>
      <c r="H3656" s="577" t="s">
        <v>809</v>
      </c>
      <c r="J3656" s="575"/>
      <c r="S3656" s="773">
        <v>0.75</v>
      </c>
      <c r="T3656" s="774" t="s">
        <v>110</v>
      </c>
      <c r="U3656" s="777" t="s">
        <v>2875</v>
      </c>
      <c r="V3656" s="776">
        <v>695</v>
      </c>
      <c r="W3656" s="774" t="s">
        <v>1</v>
      </c>
      <c r="X3656" s="776">
        <f t="shared" si="340"/>
        <v>521.25</v>
      </c>
      <c r="Y3656" s="771"/>
    </row>
    <row r="3657" spans="6:25" ht="24" customHeight="1">
      <c r="G3657" s="575"/>
      <c r="H3657" s="582" t="s">
        <v>117</v>
      </c>
      <c r="J3657" s="575"/>
      <c r="S3657" s="773">
        <v>2</v>
      </c>
      <c r="T3657" s="774" t="s">
        <v>2876</v>
      </c>
      <c r="U3657" s="777" t="s">
        <v>2877</v>
      </c>
      <c r="V3657" s="776">
        <v>11.1</v>
      </c>
      <c r="W3657" s="774" t="s">
        <v>2876</v>
      </c>
      <c r="X3657" s="776">
        <f t="shared" si="340"/>
        <v>22.2</v>
      </c>
      <c r="Y3657" s="771"/>
    </row>
    <row r="3658" spans="6:25" ht="24" customHeight="1">
      <c r="G3658" s="573" t="s">
        <v>810</v>
      </c>
      <c r="H3658" s="1038" t="s">
        <v>2878</v>
      </c>
      <c r="J3658" s="575"/>
      <c r="S3658" s="773">
        <v>7.08</v>
      </c>
      <c r="T3658" s="774" t="s">
        <v>227</v>
      </c>
      <c r="U3658" s="777" t="s">
        <v>2879</v>
      </c>
      <c r="V3658" s="776">
        <v>7.2</v>
      </c>
      <c r="W3658" s="774" t="s">
        <v>1</v>
      </c>
      <c r="X3658" s="776">
        <f t="shared" si="340"/>
        <v>50.975999999999999</v>
      </c>
      <c r="Y3658" s="771"/>
    </row>
    <row r="3659" spans="6:25" ht="24" customHeight="1">
      <c r="G3659" s="575"/>
      <c r="H3659" s="582" t="s">
        <v>117</v>
      </c>
      <c r="J3659" s="575"/>
      <c r="S3659" s="773">
        <v>2.1</v>
      </c>
      <c r="T3659" s="774" t="s">
        <v>174</v>
      </c>
      <c r="U3659" s="777" t="s">
        <v>1824</v>
      </c>
      <c r="V3659" s="771">
        <f>X3675</f>
        <v>1540</v>
      </c>
      <c r="W3659" s="774" t="s">
        <v>174</v>
      </c>
      <c r="X3659" s="776">
        <f t="shared" si="340"/>
        <v>3234</v>
      </c>
      <c r="Y3659" s="771"/>
    </row>
    <row r="3660" spans="6:25" ht="24" customHeight="1">
      <c r="F3660" s="587">
        <v>18.899999999999999</v>
      </c>
      <c r="G3660" s="573" t="s">
        <v>126</v>
      </c>
      <c r="H3660" s="573" t="s">
        <v>814</v>
      </c>
      <c r="I3660" s="587">
        <f>P431</f>
        <v>168</v>
      </c>
      <c r="J3660" s="573" t="s">
        <v>126</v>
      </c>
      <c r="K3660" s="587">
        <f>(F3660*I3660)</f>
        <v>3175.2</v>
      </c>
      <c r="S3660" s="619">
        <v>1</v>
      </c>
      <c r="T3660" s="646" t="s">
        <v>1576</v>
      </c>
      <c r="U3660" s="619" t="s">
        <v>2880</v>
      </c>
      <c r="V3660" s="619">
        <v>43.8</v>
      </c>
      <c r="W3660" s="630" t="s">
        <v>227</v>
      </c>
      <c r="X3660" s="619">
        <f t="shared" si="340"/>
        <v>43.8</v>
      </c>
      <c r="Y3660" s="771"/>
    </row>
    <row r="3661" spans="6:25" ht="24" customHeight="1">
      <c r="F3661" s="587">
        <v>18.63</v>
      </c>
      <c r="G3661" s="573" t="s">
        <v>126</v>
      </c>
      <c r="H3661" s="573" t="s">
        <v>815</v>
      </c>
      <c r="I3661" s="587">
        <f>AE28</f>
        <v>29.3</v>
      </c>
      <c r="J3661" s="573" t="s">
        <v>126</v>
      </c>
      <c r="K3661" s="587">
        <f>(F3661*I3661)</f>
        <v>545.85900000000004</v>
      </c>
      <c r="S3661" s="619">
        <v>1</v>
      </c>
      <c r="T3661" s="646" t="s">
        <v>1576</v>
      </c>
      <c r="U3661" s="619" t="s">
        <v>2881</v>
      </c>
      <c r="V3661" s="619">
        <v>890</v>
      </c>
      <c r="W3661" s="630" t="s">
        <v>227</v>
      </c>
      <c r="X3661" s="619">
        <f t="shared" si="340"/>
        <v>890</v>
      </c>
      <c r="Y3661" s="771"/>
    </row>
    <row r="3662" spans="6:25" ht="45.75" customHeight="1">
      <c r="F3662" s="587">
        <v>30</v>
      </c>
      <c r="G3662" s="573" t="s">
        <v>203</v>
      </c>
      <c r="H3662" s="631" t="s">
        <v>2882</v>
      </c>
      <c r="I3662" s="586">
        <v>201</v>
      </c>
      <c r="J3662" s="573" t="s">
        <v>203</v>
      </c>
      <c r="K3662" s="587">
        <f>(F3662*I3662)</f>
        <v>6030</v>
      </c>
      <c r="S3662" s="1039">
        <v>45</v>
      </c>
      <c r="T3662" s="1040" t="s">
        <v>1576</v>
      </c>
      <c r="U3662" s="1039" t="s">
        <v>2883</v>
      </c>
      <c r="V3662" s="1041">
        <v>1.45</v>
      </c>
      <c r="W3662" s="1042" t="s">
        <v>164</v>
      </c>
      <c r="X3662" s="776">
        <f t="shared" si="340"/>
        <v>65.25</v>
      </c>
      <c r="Y3662" s="771"/>
    </row>
    <row r="3663" spans="6:25" ht="24" customHeight="1">
      <c r="G3663" s="575"/>
      <c r="J3663" s="575"/>
      <c r="S3663" s="1039">
        <v>2</v>
      </c>
      <c r="T3663" s="1040" t="s">
        <v>1576</v>
      </c>
      <c r="U3663" s="1039" t="s">
        <v>2884</v>
      </c>
      <c r="V3663" s="1041">
        <v>108.7</v>
      </c>
      <c r="W3663" s="630" t="s">
        <v>227</v>
      </c>
      <c r="X3663" s="776">
        <f t="shared" si="340"/>
        <v>217.4</v>
      </c>
      <c r="Y3663" s="771"/>
    </row>
    <row r="3664" spans="6:25" ht="24" customHeight="1">
      <c r="F3664" s="587">
        <v>30</v>
      </c>
      <c r="G3664" s="573" t="s">
        <v>203</v>
      </c>
      <c r="H3664" s="573" t="s">
        <v>816</v>
      </c>
      <c r="I3664" s="587">
        <v>15.58</v>
      </c>
      <c r="J3664" s="573" t="s">
        <v>203</v>
      </c>
      <c r="K3664" s="587">
        <f>(F3664*I3664)</f>
        <v>467.4</v>
      </c>
      <c r="S3664" s="1039">
        <v>2</v>
      </c>
      <c r="T3664" s="1040" t="s">
        <v>1576</v>
      </c>
      <c r="U3664" s="1039" t="s">
        <v>2885</v>
      </c>
      <c r="V3664" s="1041">
        <v>54</v>
      </c>
      <c r="W3664" s="630" t="s">
        <v>227</v>
      </c>
      <c r="X3664" s="776">
        <f t="shared" si="340"/>
        <v>108</v>
      </c>
      <c r="Y3664" s="771"/>
    </row>
    <row r="3665" spans="6:25" ht="24" customHeight="1">
      <c r="G3665" s="575"/>
      <c r="H3665" s="573" t="s">
        <v>817</v>
      </c>
      <c r="J3665" s="575"/>
      <c r="S3665" s="575"/>
      <c r="X3665" s="579"/>
      <c r="Y3665" s="771"/>
    </row>
    <row r="3666" spans="6:25" ht="24" customHeight="1">
      <c r="G3666" s="575"/>
      <c r="H3666" s="573" t="s">
        <v>818</v>
      </c>
      <c r="J3666" s="575"/>
      <c r="S3666" s="773"/>
      <c r="T3666" s="774"/>
      <c r="U3666" s="777"/>
      <c r="V3666" s="771"/>
      <c r="W3666" s="778"/>
      <c r="X3666" s="776"/>
      <c r="Y3666" s="771"/>
    </row>
    <row r="3667" spans="6:25" ht="24" customHeight="1">
      <c r="G3667" s="575"/>
      <c r="H3667" s="573" t="s">
        <v>819</v>
      </c>
      <c r="J3667" s="575"/>
      <c r="S3667" s="773"/>
      <c r="T3667" s="774"/>
      <c r="U3667" s="573" t="s">
        <v>2886</v>
      </c>
      <c r="W3667" s="774"/>
      <c r="X3667" s="776">
        <f>SUM(X3653:X3666)</f>
        <v>14495.395999999999</v>
      </c>
      <c r="Y3667" s="771"/>
    </row>
    <row r="3668" spans="6:25" ht="24" customHeight="1">
      <c r="G3668" s="575"/>
      <c r="H3668" s="573" t="s">
        <v>2887</v>
      </c>
      <c r="J3668" s="575"/>
      <c r="S3668" s="773"/>
      <c r="T3668" s="774"/>
      <c r="U3668" s="573" t="s">
        <v>154</v>
      </c>
      <c r="W3668" s="1035"/>
      <c r="X3668" s="780">
        <f>X3667/2.1</f>
        <v>6902.5695238095232</v>
      </c>
      <c r="Y3668" s="782" t="s">
        <v>227</v>
      </c>
    </row>
    <row r="3669" spans="6:25" ht="24.75" customHeight="1">
      <c r="G3669" s="575"/>
      <c r="H3669" s="573"/>
      <c r="J3669" s="575"/>
      <c r="S3669" s="771"/>
      <c r="T3669" s="771"/>
      <c r="U3669" s="783"/>
      <c r="V3669" s="771"/>
      <c r="W3669" s="771"/>
      <c r="X3669" s="771"/>
      <c r="Y3669" s="771"/>
    </row>
    <row r="3670" spans="6:25" ht="30" customHeight="1">
      <c r="F3670" s="587">
        <v>5</v>
      </c>
      <c r="G3670" s="573" t="s">
        <v>1</v>
      </c>
      <c r="H3670" s="633" t="s">
        <v>2888</v>
      </c>
      <c r="I3670" s="593">
        <v>35.6</v>
      </c>
      <c r="J3670" s="573" t="s">
        <v>1</v>
      </c>
      <c r="K3670" s="587">
        <f>(F3670*I3670)</f>
        <v>178</v>
      </c>
      <c r="S3670" s="776">
        <v>1</v>
      </c>
      <c r="T3670" s="774" t="s">
        <v>209</v>
      </c>
      <c r="U3670" s="777" t="s">
        <v>1827</v>
      </c>
      <c r="V3670" s="776">
        <f>AE17</f>
        <v>679</v>
      </c>
      <c r="W3670" s="777" t="s">
        <v>209</v>
      </c>
      <c r="X3670" s="776">
        <f>V3670*S3670</f>
        <v>679</v>
      </c>
      <c r="Y3670" s="771"/>
    </row>
    <row r="3671" spans="6:25" ht="24" customHeight="1">
      <c r="F3671" s="587">
        <v>1</v>
      </c>
      <c r="G3671" s="573" t="s">
        <v>129</v>
      </c>
      <c r="H3671" s="573" t="s">
        <v>828</v>
      </c>
      <c r="I3671" s="587">
        <v>12.1</v>
      </c>
      <c r="J3671" s="573" t="s">
        <v>129</v>
      </c>
      <c r="K3671" s="587">
        <f>(F3671*I3671)</f>
        <v>12.1</v>
      </c>
      <c r="S3671" s="776">
        <v>1</v>
      </c>
      <c r="T3671" s="774" t="s">
        <v>209</v>
      </c>
      <c r="U3671" s="777" t="s">
        <v>1828</v>
      </c>
      <c r="V3671" s="776">
        <f>AE11</f>
        <v>502</v>
      </c>
      <c r="W3671" s="777" t="s">
        <v>209</v>
      </c>
      <c r="X3671" s="776">
        <f>V3671*S3671</f>
        <v>502</v>
      </c>
      <c r="Y3671" s="771"/>
    </row>
    <row r="3672" spans="6:25" ht="24" customHeight="1">
      <c r="F3672" s="587"/>
      <c r="G3672" s="573" t="s">
        <v>129</v>
      </c>
      <c r="H3672" s="573" t="s">
        <v>130</v>
      </c>
      <c r="J3672" s="573" t="s">
        <v>129</v>
      </c>
      <c r="K3672" s="587">
        <v>17.100000000000001</v>
      </c>
      <c r="S3672" s="776">
        <v>0.5</v>
      </c>
      <c r="T3672" s="774" t="s">
        <v>209</v>
      </c>
      <c r="U3672" s="777" t="s">
        <v>1829</v>
      </c>
      <c r="V3672" s="776">
        <f>AE20</f>
        <v>718</v>
      </c>
      <c r="W3672" s="777" t="s">
        <v>209</v>
      </c>
      <c r="X3672" s="776">
        <f>V3672*S3672</f>
        <v>359</v>
      </c>
      <c r="Y3672" s="771"/>
    </row>
    <row r="3673" spans="6:25" ht="24" customHeight="1">
      <c r="G3673" s="575"/>
      <c r="J3673" s="575"/>
      <c r="S3673" s="771"/>
      <c r="T3673" s="774" t="s">
        <v>129</v>
      </c>
      <c r="U3673" s="777"/>
      <c r="V3673" s="776"/>
      <c r="W3673" s="777" t="s">
        <v>129</v>
      </c>
      <c r="X3673" s="776"/>
      <c r="Y3673" s="771"/>
    </row>
    <row r="3674" spans="6:25" ht="24" customHeight="1">
      <c r="G3674" s="575"/>
      <c r="J3674" s="575"/>
      <c r="K3674" s="582" t="s">
        <v>117</v>
      </c>
      <c r="S3674" s="771"/>
      <c r="T3674" s="779"/>
      <c r="U3674" s="771"/>
      <c r="V3674" s="771"/>
      <c r="W3674" s="784"/>
      <c r="X3674" s="785" t="s">
        <v>117</v>
      </c>
      <c r="Y3674" s="771"/>
    </row>
    <row r="3675" spans="6:25" ht="24" customHeight="1">
      <c r="G3675" s="575"/>
      <c r="H3675" s="573" t="s">
        <v>830</v>
      </c>
      <c r="J3675" s="575"/>
      <c r="K3675" s="587">
        <f>SUM(K3660:K3672)</f>
        <v>10425.659</v>
      </c>
      <c r="S3675" s="771"/>
      <c r="T3675" s="779"/>
      <c r="U3675" s="777" t="s">
        <v>1830</v>
      </c>
      <c r="V3675" s="771"/>
      <c r="W3675" s="784"/>
      <c r="X3675" s="780">
        <f>SUM(X3670:X3674)</f>
        <v>1540</v>
      </c>
      <c r="Y3675" s="771"/>
    </row>
    <row r="3676" spans="6:25" ht="24" customHeight="1">
      <c r="G3676" s="575"/>
      <c r="J3676" s="575"/>
      <c r="K3676" s="582" t="s">
        <v>117</v>
      </c>
      <c r="S3676" s="771"/>
      <c r="T3676" s="779"/>
      <c r="U3676" s="771"/>
      <c r="V3676" s="771"/>
      <c r="W3676" s="784"/>
      <c r="X3676" s="785" t="s">
        <v>117</v>
      </c>
      <c r="Y3676" s="771"/>
    </row>
    <row r="3677" spans="6:25" ht="24" customHeight="1">
      <c r="G3677" s="575"/>
      <c r="H3677" s="573" t="s">
        <v>216</v>
      </c>
      <c r="J3677" s="575"/>
      <c r="K3677" s="586">
        <f>(K3675/30)</f>
        <v>347.52196666666663</v>
      </c>
      <c r="S3677" s="575"/>
    </row>
    <row r="3678" spans="6:25" ht="24" customHeight="1">
      <c r="G3678" s="575"/>
      <c r="J3678" s="575"/>
      <c r="K3678" s="582" t="s">
        <v>117</v>
      </c>
      <c r="S3678" s="575"/>
    </row>
    <row r="3679" spans="6:25" ht="24" customHeight="1">
      <c r="G3679" s="573" t="s">
        <v>2</v>
      </c>
      <c r="H3679" s="1038" t="s">
        <v>2889</v>
      </c>
      <c r="J3679" s="575"/>
      <c r="S3679" s="1043"/>
      <c r="T3679" s="1043"/>
      <c r="U3679" s="1043"/>
      <c r="V3679" s="1043"/>
      <c r="W3679" s="1043"/>
      <c r="X3679" s="1043"/>
    </row>
    <row r="3680" spans="6:25" ht="24" customHeight="1">
      <c r="G3680" s="575"/>
      <c r="H3680" s="582" t="s">
        <v>117</v>
      </c>
      <c r="J3680" s="575"/>
      <c r="S3680" s="1457" t="s">
        <v>2890</v>
      </c>
      <c r="T3680" s="1457"/>
      <c r="U3680" s="1457"/>
      <c r="V3680" s="1457"/>
      <c r="W3680" s="1035"/>
      <c r="X3680" s="1035"/>
    </row>
    <row r="3681" spans="6:25" ht="24" customHeight="1">
      <c r="F3681" s="587">
        <f>F3660</f>
        <v>18.899999999999999</v>
      </c>
      <c r="G3681" s="573" t="s">
        <v>126</v>
      </c>
      <c r="H3681" s="573" t="str">
        <f>H3660</f>
        <v>E.W EXCLUDING REFILLING</v>
      </c>
      <c r="I3681" s="587">
        <f>I3660</f>
        <v>168</v>
      </c>
      <c r="J3681" s="573" t="s">
        <v>126</v>
      </c>
      <c r="K3681" s="587">
        <f>(F3681*I3681)</f>
        <v>3175.2</v>
      </c>
      <c r="S3681" s="773"/>
      <c r="T3681" s="774"/>
      <c r="U3681" s="775"/>
      <c r="V3681" s="776"/>
      <c r="W3681" s="774"/>
      <c r="X3681" s="776"/>
    </row>
    <row r="3682" spans="6:25" ht="24" customHeight="1">
      <c r="F3682" s="587">
        <v>18.3</v>
      </c>
      <c r="G3682" s="573" t="s">
        <v>126</v>
      </c>
      <c r="H3682" s="573" t="str">
        <f>H3661</f>
        <v>REFILLING CHARGE</v>
      </c>
      <c r="I3682" s="587">
        <f>I3661</f>
        <v>29.3</v>
      </c>
      <c r="J3682" s="573" t="s">
        <v>126</v>
      </c>
      <c r="K3682" s="587">
        <f>(F3682*I3682)</f>
        <v>536.19000000000005</v>
      </c>
      <c r="S3682" s="773"/>
      <c r="T3682" s="774"/>
      <c r="U3682" s="777"/>
      <c r="V3682" s="776"/>
      <c r="W3682" s="774"/>
      <c r="X3682" s="776"/>
    </row>
    <row r="3683" spans="6:25" ht="39" customHeight="1">
      <c r="F3683" s="587">
        <f>F3662</f>
        <v>30</v>
      </c>
      <c r="G3683" s="573" t="s">
        <v>203</v>
      </c>
      <c r="H3683" s="631" t="s">
        <v>2891</v>
      </c>
      <c r="I3683" s="586">
        <v>422</v>
      </c>
      <c r="J3683" s="573" t="s">
        <v>203</v>
      </c>
      <c r="K3683" s="587">
        <f>(F3683*I3683)</f>
        <v>12660</v>
      </c>
      <c r="S3683" s="773">
        <v>29.06</v>
      </c>
      <c r="T3683" s="774" t="s">
        <v>654</v>
      </c>
      <c r="U3683" s="1036" t="s">
        <v>2870</v>
      </c>
      <c r="V3683" s="776">
        <f>V3653</f>
        <v>287</v>
      </c>
      <c r="W3683" s="774" t="s">
        <v>654</v>
      </c>
      <c r="X3683" s="776">
        <f>V3683*S3683</f>
        <v>8340.2199999999993</v>
      </c>
    </row>
    <row r="3684" spans="6:25" ht="24" customHeight="1">
      <c r="F3684" s="587"/>
      <c r="G3684" s="575"/>
      <c r="H3684" s="573"/>
      <c r="I3684" s="587"/>
      <c r="J3684" s="575"/>
      <c r="K3684" s="587"/>
      <c r="S3684" s="1037">
        <v>9.24</v>
      </c>
      <c r="T3684" s="774" t="s">
        <v>231</v>
      </c>
      <c r="U3684" s="777" t="s">
        <v>2892</v>
      </c>
      <c r="V3684" s="776">
        <f t="shared" ref="V3684:V3694" si="341">V3654</f>
        <v>35.5</v>
      </c>
      <c r="W3684" s="774" t="s">
        <v>231</v>
      </c>
      <c r="X3684" s="776">
        <f t="shared" ref="X3684:X3694" si="342">V3684*S3684</f>
        <v>328.02</v>
      </c>
    </row>
    <row r="3685" spans="6:25" ht="24" customHeight="1">
      <c r="F3685" s="587">
        <f>F3664</f>
        <v>30</v>
      </c>
      <c r="G3685" s="575"/>
      <c r="H3685" s="573" t="str">
        <f>H3664</f>
        <v>CONVEYING,LOWERING  ANDLAYING</v>
      </c>
      <c r="I3685" s="587">
        <v>21.97</v>
      </c>
      <c r="J3685" s="573" t="s">
        <v>203</v>
      </c>
      <c r="K3685" s="587">
        <f>(F3685*I3685)</f>
        <v>659.09999999999991</v>
      </c>
      <c r="S3685" s="773">
        <v>1.49</v>
      </c>
      <c r="T3685" s="774" t="s">
        <v>110</v>
      </c>
      <c r="U3685" s="777" t="s">
        <v>2874</v>
      </c>
      <c r="V3685" s="776">
        <f t="shared" si="341"/>
        <v>336</v>
      </c>
      <c r="W3685" s="774" t="s">
        <v>110</v>
      </c>
      <c r="X3685" s="776">
        <f t="shared" si="342"/>
        <v>500.64</v>
      </c>
    </row>
    <row r="3686" spans="6:25" ht="24" customHeight="1">
      <c r="F3686" s="587"/>
      <c r="G3686" s="575"/>
      <c r="H3686" s="573" t="str">
        <f>H3665</f>
        <v>TO PROPER GRADEAND</v>
      </c>
      <c r="I3686" s="587"/>
      <c r="J3686" s="575"/>
      <c r="S3686" s="773">
        <v>0.75</v>
      </c>
      <c r="T3686" s="774" t="s">
        <v>110</v>
      </c>
      <c r="U3686" s="777" t="s">
        <v>2875</v>
      </c>
      <c r="V3686" s="776">
        <f t="shared" si="341"/>
        <v>695</v>
      </c>
      <c r="W3686" s="774" t="s">
        <v>1</v>
      </c>
      <c r="X3686" s="776">
        <f t="shared" si="342"/>
        <v>521.25</v>
      </c>
    </row>
    <row r="3687" spans="6:25" ht="24" customHeight="1">
      <c r="F3687" s="587"/>
      <c r="G3687" s="575"/>
      <c r="H3687" s="573" t="str">
        <f>H3666</f>
        <v>ALIGNMENT,JOINTING</v>
      </c>
      <c r="I3687" s="587"/>
      <c r="J3687" s="575"/>
      <c r="S3687" s="1044">
        <v>2</v>
      </c>
      <c r="T3687" s="774" t="s">
        <v>2876</v>
      </c>
      <c r="U3687" s="777" t="s">
        <v>2877</v>
      </c>
      <c r="V3687" s="776">
        <f t="shared" si="341"/>
        <v>11.1</v>
      </c>
      <c r="W3687" s="774" t="s">
        <v>2876</v>
      </c>
      <c r="X3687" s="776">
        <f t="shared" si="342"/>
        <v>22.2</v>
      </c>
    </row>
    <row r="3688" spans="6:25" ht="24" customHeight="1">
      <c r="F3688" s="587"/>
      <c r="G3688" s="573"/>
      <c r="H3688" s="573" t="str">
        <f>H3667</f>
        <v>ETC BUT EXCLUDING  COST OF</v>
      </c>
      <c r="I3688" s="587"/>
      <c r="J3688" s="573"/>
      <c r="K3688" s="587"/>
      <c r="S3688" s="773">
        <v>7.08</v>
      </c>
      <c r="T3688" s="774" t="s">
        <v>227</v>
      </c>
      <c r="U3688" s="777" t="s">
        <v>2879</v>
      </c>
      <c r="V3688" s="776">
        <v>7.2</v>
      </c>
      <c r="W3688" s="774" t="s">
        <v>1</v>
      </c>
      <c r="X3688" s="776">
        <f t="shared" si="342"/>
        <v>50.975999999999999</v>
      </c>
    </row>
    <row r="3689" spans="6:25" ht="24" customHeight="1">
      <c r="F3689" s="587"/>
      <c r="G3689" s="573"/>
      <c r="H3689" s="573" t="str">
        <f>H3668</f>
        <v>JOINTING MATERIALS. (TWAD SR 17-18 11-b)</v>
      </c>
      <c r="I3689" s="587"/>
      <c r="J3689" s="573"/>
      <c r="K3689" s="587"/>
      <c r="S3689" s="773">
        <v>2.1</v>
      </c>
      <c r="T3689" s="774" t="s">
        <v>174</v>
      </c>
      <c r="U3689" s="777" t="s">
        <v>1824</v>
      </c>
      <c r="V3689" s="776">
        <f t="shared" si="341"/>
        <v>1540</v>
      </c>
      <c r="W3689" s="774" t="s">
        <v>174</v>
      </c>
      <c r="X3689" s="776">
        <f t="shared" si="342"/>
        <v>3234</v>
      </c>
    </row>
    <row r="3690" spans="6:25" ht="24" customHeight="1">
      <c r="F3690" s="587"/>
      <c r="G3690" s="573"/>
      <c r="H3690" s="573"/>
      <c r="I3690" s="587"/>
      <c r="J3690" s="573"/>
      <c r="K3690" s="587"/>
      <c r="S3690" s="1045">
        <v>1</v>
      </c>
      <c r="T3690" s="1046" t="s">
        <v>1576</v>
      </c>
      <c r="U3690" s="619" t="s">
        <v>2880</v>
      </c>
      <c r="V3690" s="776">
        <f t="shared" si="341"/>
        <v>43.8</v>
      </c>
      <c r="W3690" s="1047" t="s">
        <v>227</v>
      </c>
      <c r="X3690" s="776">
        <f t="shared" si="342"/>
        <v>43.8</v>
      </c>
    </row>
    <row r="3691" spans="6:25" ht="24" customHeight="1">
      <c r="F3691" s="587">
        <f>F3670</f>
        <v>5</v>
      </c>
      <c r="G3691" s="573" t="s">
        <v>129</v>
      </c>
      <c r="H3691" s="573" t="str">
        <f>H3670</f>
        <v>CUTTING CHARGES ( P-32/141)</v>
      </c>
      <c r="I3691" s="593">
        <f>I3670</f>
        <v>35.6</v>
      </c>
      <c r="J3691" s="573" t="s">
        <v>1</v>
      </c>
      <c r="K3691" s="587">
        <f>(F3691*I3691)</f>
        <v>178</v>
      </c>
      <c r="S3691" s="1045">
        <v>1</v>
      </c>
      <c r="T3691" s="1046" t="s">
        <v>1576</v>
      </c>
      <c r="U3691" s="619" t="s">
        <v>2881</v>
      </c>
      <c r="V3691" s="776">
        <f t="shared" si="341"/>
        <v>890</v>
      </c>
      <c r="W3691" s="1047" t="s">
        <v>227</v>
      </c>
      <c r="X3691" s="776">
        <f t="shared" si="342"/>
        <v>890</v>
      </c>
    </row>
    <row r="3692" spans="6:25" ht="24" customHeight="1">
      <c r="F3692" s="587">
        <f>F3671</f>
        <v>1</v>
      </c>
      <c r="G3692" s="575"/>
      <c r="H3692" s="573" t="str">
        <f>H3671</f>
        <v>COST OF JOINTING  MATERIALS</v>
      </c>
      <c r="I3692" s="587">
        <f>I3671</f>
        <v>12.1</v>
      </c>
      <c r="J3692" s="573" t="s">
        <v>129</v>
      </c>
      <c r="K3692" s="587">
        <f>(F3692*I3692)</f>
        <v>12.1</v>
      </c>
      <c r="S3692" s="1039">
        <v>6</v>
      </c>
      <c r="T3692" s="1040" t="s">
        <v>1576</v>
      </c>
      <c r="U3692" s="1039" t="s">
        <v>2893</v>
      </c>
      <c r="V3692" s="776">
        <f t="shared" si="341"/>
        <v>1.45</v>
      </c>
      <c r="W3692" s="1042" t="s">
        <v>164</v>
      </c>
      <c r="X3692" s="776">
        <f t="shared" si="342"/>
        <v>8.6999999999999993</v>
      </c>
    </row>
    <row r="3693" spans="6:25" ht="24" customHeight="1">
      <c r="G3693" s="575"/>
      <c r="H3693" s="573" t="str">
        <f>H3672</f>
        <v>SUNDRIES</v>
      </c>
      <c r="J3693" s="573" t="s">
        <v>129</v>
      </c>
      <c r="K3693" s="587">
        <v>24.3</v>
      </c>
      <c r="S3693" s="1039">
        <v>2</v>
      </c>
      <c r="T3693" s="1040" t="s">
        <v>1576</v>
      </c>
      <c r="U3693" s="1039" t="s">
        <v>2894</v>
      </c>
      <c r="V3693" s="776">
        <f t="shared" si="341"/>
        <v>108.7</v>
      </c>
      <c r="W3693" s="1047" t="s">
        <v>227</v>
      </c>
      <c r="X3693" s="776">
        <f t="shared" si="342"/>
        <v>217.4</v>
      </c>
    </row>
    <row r="3694" spans="6:25" ht="24" customHeight="1">
      <c r="G3694" s="575"/>
      <c r="J3694" s="575"/>
      <c r="K3694" s="587"/>
      <c r="S3694" s="1039">
        <v>2</v>
      </c>
      <c r="T3694" s="1040" t="s">
        <v>1576</v>
      </c>
      <c r="U3694" s="1039" t="s">
        <v>2885</v>
      </c>
      <c r="V3694" s="776">
        <f t="shared" si="341"/>
        <v>54</v>
      </c>
      <c r="W3694" s="1047" t="s">
        <v>227</v>
      </c>
      <c r="X3694" s="776">
        <f t="shared" si="342"/>
        <v>108</v>
      </c>
    </row>
    <row r="3695" spans="6:25" ht="24" customHeight="1">
      <c r="G3695" s="575"/>
      <c r="H3695" s="573" t="s">
        <v>830</v>
      </c>
      <c r="J3695" s="575"/>
      <c r="K3695" s="587">
        <f>SUM(K3681:K3694)</f>
        <v>17244.889999999996</v>
      </c>
      <c r="S3695" s="768"/>
      <c r="T3695" s="768"/>
      <c r="U3695" s="573" t="s">
        <v>2895</v>
      </c>
      <c r="W3695" s="774"/>
      <c r="X3695" s="776">
        <f>SUM(X3683:X3694)</f>
        <v>14265.206</v>
      </c>
      <c r="Y3695" s="771"/>
    </row>
    <row r="3696" spans="6:25" ht="24" customHeight="1">
      <c r="G3696" s="575"/>
      <c r="J3696" s="575"/>
      <c r="K3696" s="582" t="s">
        <v>117</v>
      </c>
      <c r="S3696" s="1043"/>
      <c r="T3696" s="1043"/>
      <c r="U3696" s="573" t="s">
        <v>154</v>
      </c>
      <c r="W3696" s="1035"/>
      <c r="X3696" s="780">
        <f>X3695/2.1</f>
        <v>6792.9552380952382</v>
      </c>
      <c r="Y3696" s="782"/>
    </row>
    <row r="3697" spans="6:26" ht="24" customHeight="1">
      <c r="G3697" s="575"/>
      <c r="H3697" s="573" t="s">
        <v>216</v>
      </c>
      <c r="J3697" s="575"/>
      <c r="K3697" s="586">
        <f>(K3695/30)</f>
        <v>574.82966666666653</v>
      </c>
      <c r="S3697" s="1043"/>
      <c r="T3697" s="1043"/>
      <c r="U3697" s="1043"/>
      <c r="V3697" s="1043"/>
      <c r="W3697" s="1043"/>
      <c r="X3697" s="1043"/>
    </row>
    <row r="3698" spans="6:26" ht="24" customHeight="1">
      <c r="G3698" s="575"/>
      <c r="J3698" s="575"/>
      <c r="S3698" s="575"/>
      <c r="U3698" s="619" t="s">
        <v>2896</v>
      </c>
    </row>
    <row r="3699" spans="6:26" ht="240.75" customHeight="1">
      <c r="S3699" s="1034"/>
      <c r="T3699" s="1034"/>
      <c r="U3699" s="1048" t="s">
        <v>2897</v>
      </c>
      <c r="V3699" s="1048"/>
      <c r="W3699" s="1048"/>
      <c r="X3699" s="1048"/>
      <c r="Y3699" s="1048"/>
      <c r="Z3699" s="1048"/>
    </row>
    <row r="3700" spans="6:26" ht="25.5" customHeight="1">
      <c r="S3700" s="1034"/>
      <c r="T3700" s="1034"/>
      <c r="U3700" s="1048"/>
      <c r="V3700" s="1048"/>
      <c r="W3700" s="1048"/>
      <c r="X3700" s="1048"/>
      <c r="Y3700" s="1048"/>
      <c r="Z3700" s="1048"/>
    </row>
    <row r="3701" spans="6:26" ht="24" customHeight="1">
      <c r="F3701" s="1043"/>
      <c r="G3701" s="1043"/>
      <c r="H3701" s="1043"/>
      <c r="I3701" s="1043"/>
      <c r="J3701" s="1043"/>
      <c r="K3701" s="1043"/>
      <c r="L3701" s="1043"/>
      <c r="M3701" s="1043"/>
      <c r="N3701" s="1043"/>
      <c r="S3701" s="773">
        <v>17.440000000000001</v>
      </c>
      <c r="T3701" s="774" t="s">
        <v>654</v>
      </c>
      <c r="U3701" s="1036" t="s">
        <v>2898</v>
      </c>
      <c r="V3701" s="776">
        <f>V3683</f>
        <v>287</v>
      </c>
      <c r="W3701" s="774" t="s">
        <v>654</v>
      </c>
      <c r="X3701" s="776">
        <f>V3701*S3701</f>
        <v>5005.2800000000007</v>
      </c>
      <c r="Y3701" s="771"/>
    </row>
    <row r="3702" spans="6:26" ht="24" customHeight="1">
      <c r="F3702" s="1043"/>
      <c r="G3702" s="1043"/>
      <c r="H3702" s="1049" t="s">
        <v>2899</v>
      </c>
      <c r="I3702" s="1049"/>
      <c r="J3702" s="1049"/>
      <c r="K3702" s="1049"/>
      <c r="L3702" s="1043"/>
      <c r="M3702" s="1043"/>
      <c r="N3702" s="1043"/>
      <c r="S3702" s="1037">
        <v>13.56</v>
      </c>
      <c r="T3702" s="774" t="s">
        <v>231</v>
      </c>
      <c r="U3702" s="777" t="s">
        <v>2892</v>
      </c>
      <c r="V3702" s="776">
        <v>33.89</v>
      </c>
      <c r="W3702" s="774" t="s">
        <v>231</v>
      </c>
      <c r="X3702" s="776">
        <v>501.66</v>
      </c>
      <c r="Y3702" s="771"/>
    </row>
    <row r="3703" spans="6:26" ht="24" customHeight="1">
      <c r="F3703" s="1043">
        <v>11</v>
      </c>
      <c r="G3703" s="1050" t="s">
        <v>174</v>
      </c>
      <c r="H3703" s="1043" t="s">
        <v>2900</v>
      </c>
      <c r="I3703" s="1051">
        <v>378</v>
      </c>
      <c r="J3703" s="1050" t="s">
        <v>174</v>
      </c>
      <c r="K3703" s="904">
        <f>I3703*F3703</f>
        <v>4158</v>
      </c>
      <c r="L3703" s="1043"/>
      <c r="M3703" s="1043"/>
      <c r="N3703" s="1043"/>
      <c r="S3703" s="773">
        <v>2.62</v>
      </c>
      <c r="T3703" s="774" t="s">
        <v>110</v>
      </c>
      <c r="U3703" s="777" t="s">
        <v>2901</v>
      </c>
      <c r="V3703" s="776">
        <v>258.52</v>
      </c>
      <c r="W3703" s="774" t="s">
        <v>110</v>
      </c>
      <c r="X3703" s="776">
        <f>V3703*S3703</f>
        <v>677.32240000000002</v>
      </c>
      <c r="Y3703" s="771"/>
    </row>
    <row r="3704" spans="6:26" ht="24" customHeight="1">
      <c r="F3704" s="1043">
        <v>2.2000000000000002</v>
      </c>
      <c r="G3704" s="1043" t="s">
        <v>227</v>
      </c>
      <c r="H3704" s="1043" t="s">
        <v>2902</v>
      </c>
      <c r="I3704" s="768">
        <f>AE17</f>
        <v>679</v>
      </c>
      <c r="J3704" s="1043" t="s">
        <v>227</v>
      </c>
      <c r="K3704" s="904">
        <f>I3704*F3704</f>
        <v>1493.8000000000002</v>
      </c>
      <c r="L3704" s="1043"/>
      <c r="M3704" s="1043"/>
      <c r="N3704" s="1043"/>
      <c r="S3704" s="773">
        <v>8</v>
      </c>
      <c r="T3704" s="774" t="s">
        <v>240</v>
      </c>
      <c r="U3704" s="777" t="s">
        <v>2903</v>
      </c>
      <c r="V3704" s="776">
        <v>13.1</v>
      </c>
      <c r="W3704" s="774" t="s">
        <v>240</v>
      </c>
      <c r="X3704" s="776">
        <f>V3704*S3704</f>
        <v>104.8</v>
      </c>
      <c r="Y3704" s="771"/>
    </row>
    <row r="3705" spans="6:26" ht="24" customHeight="1">
      <c r="F3705" s="1043">
        <v>1.1000000000000001</v>
      </c>
      <c r="G3705" s="1043" t="s">
        <v>227</v>
      </c>
      <c r="H3705" s="1043" t="s">
        <v>2904</v>
      </c>
      <c r="I3705" s="768">
        <f>AE19</f>
        <v>752</v>
      </c>
      <c r="J3705" s="1043" t="s">
        <v>227</v>
      </c>
      <c r="K3705" s="904">
        <f>I3705*F3705</f>
        <v>827.2</v>
      </c>
      <c r="L3705" s="1043"/>
      <c r="M3705" s="1043"/>
      <c r="N3705" s="1043"/>
      <c r="S3705" s="773">
        <v>3</v>
      </c>
      <c r="T3705" s="774" t="s">
        <v>240</v>
      </c>
      <c r="U3705" s="777" t="s">
        <v>2905</v>
      </c>
      <c r="V3705" s="776">
        <v>62.8</v>
      </c>
      <c r="W3705" s="774" t="s">
        <v>2876</v>
      </c>
      <c r="X3705" s="776">
        <f>V3705*S3705</f>
        <v>188.39999999999998</v>
      </c>
      <c r="Y3705" s="771"/>
    </row>
    <row r="3706" spans="6:26" ht="24" customHeight="1">
      <c r="F3706" s="1043">
        <v>3.2</v>
      </c>
      <c r="G3706" s="1043" t="s">
        <v>227</v>
      </c>
      <c r="H3706" s="1052" t="s">
        <v>2906</v>
      </c>
      <c r="I3706" s="768">
        <f>AE11</f>
        <v>502</v>
      </c>
      <c r="J3706" s="1043" t="s">
        <v>227</v>
      </c>
      <c r="K3706" s="904">
        <f>I3706*F3706</f>
        <v>1606.4</v>
      </c>
      <c r="L3706" s="1043"/>
      <c r="M3706" s="1043"/>
      <c r="N3706" s="1043"/>
      <c r="S3706" s="773">
        <v>4</v>
      </c>
      <c r="T3706" s="774" t="s">
        <v>240</v>
      </c>
      <c r="U3706" s="777" t="s">
        <v>2907</v>
      </c>
      <c r="V3706" s="776">
        <v>29.5</v>
      </c>
      <c r="W3706" s="774" t="s">
        <v>1</v>
      </c>
      <c r="X3706" s="776">
        <f>V3706*S3706</f>
        <v>118</v>
      </c>
      <c r="Y3706" s="771"/>
    </row>
    <row r="3707" spans="6:26" ht="24" customHeight="1">
      <c r="F3707" s="1043"/>
      <c r="G3707" s="1043" t="s">
        <v>2908</v>
      </c>
      <c r="H3707" s="1043" t="s">
        <v>2909</v>
      </c>
      <c r="I3707" s="1043" t="s">
        <v>2908</v>
      </c>
      <c r="J3707" s="1043"/>
      <c r="K3707" s="1043">
        <v>107.11</v>
      </c>
      <c r="L3707" s="1043"/>
      <c r="M3707" s="1043"/>
      <c r="N3707" s="1043"/>
      <c r="S3707" s="773">
        <v>2.4300000000000002</v>
      </c>
      <c r="T3707" s="774" t="s">
        <v>174</v>
      </c>
      <c r="U3707" s="777" t="s">
        <v>1824</v>
      </c>
      <c r="V3707" s="771">
        <f>X3675</f>
        <v>1540</v>
      </c>
      <c r="W3707" s="774" t="s">
        <v>174</v>
      </c>
      <c r="X3707" s="776">
        <f>V3707*S3707</f>
        <v>3742.2000000000003</v>
      </c>
      <c r="Y3707" s="771"/>
    </row>
    <row r="3708" spans="6:26" ht="24" customHeight="1">
      <c r="F3708" s="1043"/>
      <c r="G3708" s="1043"/>
      <c r="H3708" s="1043" t="s">
        <v>2910</v>
      </c>
      <c r="I3708" s="1043"/>
      <c r="J3708" s="1043"/>
      <c r="K3708" s="904">
        <f>SUM(K3703:K3707)</f>
        <v>8192.51</v>
      </c>
      <c r="L3708" s="1043"/>
      <c r="M3708" s="1043"/>
      <c r="N3708" s="1043"/>
      <c r="S3708" s="619"/>
      <c r="T3708" s="646" t="s">
        <v>166</v>
      </c>
      <c r="U3708" s="619" t="s">
        <v>2911</v>
      </c>
      <c r="V3708" s="619"/>
      <c r="W3708" s="630" t="s">
        <v>166</v>
      </c>
      <c r="X3708" s="619">
        <v>130</v>
      </c>
      <c r="Y3708" s="771"/>
    </row>
    <row r="3709" spans="6:26" ht="24" customHeight="1">
      <c r="F3709" s="1043"/>
      <c r="G3709" s="1043"/>
      <c r="H3709" s="1043" t="s">
        <v>2912</v>
      </c>
      <c r="I3709" s="1043"/>
      <c r="J3709" s="1043"/>
      <c r="K3709" s="1053">
        <f>K3708/10</f>
        <v>819.25099999999998</v>
      </c>
      <c r="L3709" s="1043"/>
      <c r="M3709" s="1043"/>
      <c r="N3709" s="1043">
        <f>L3709</f>
        <v>0</v>
      </c>
      <c r="S3709" s="619"/>
      <c r="T3709" s="646"/>
      <c r="U3709" s="619"/>
      <c r="V3709" s="619"/>
      <c r="W3709" s="630"/>
      <c r="X3709" s="619">
        <f>SUM(X3701:X3708)</f>
        <v>10467.662400000001</v>
      </c>
      <c r="Y3709" s="771"/>
    </row>
    <row r="3710" spans="6:26" ht="24" customHeight="1">
      <c r="F3710" s="1043"/>
      <c r="G3710" s="1043"/>
      <c r="H3710" s="1043"/>
      <c r="I3710" s="1043"/>
      <c r="J3710" s="1043"/>
      <c r="K3710" s="1043"/>
      <c r="L3710" s="1043"/>
      <c r="M3710" s="1043"/>
      <c r="N3710" s="1043"/>
      <c r="X3710" s="619">
        <f>X3709/S3707</f>
        <v>4307.68</v>
      </c>
      <c r="Y3710" s="771" t="s">
        <v>174</v>
      </c>
    </row>
    <row r="3711" spans="6:26" ht="24" customHeight="1">
      <c r="F3711" s="1451" t="s">
        <v>2913</v>
      </c>
      <c r="G3711" s="1451"/>
      <c r="H3711" s="1451"/>
      <c r="I3711" s="1451"/>
      <c r="J3711" s="1451"/>
      <c r="K3711" s="1451"/>
      <c r="L3711" s="1451"/>
      <c r="M3711" s="1451"/>
      <c r="N3711" s="1043"/>
      <c r="W3711" s="575" t="s">
        <v>2914</v>
      </c>
      <c r="X3711" s="575">
        <v>3584</v>
      </c>
      <c r="Y3711" s="771"/>
    </row>
    <row r="3712" spans="6:26" ht="36.75" customHeight="1">
      <c r="F3712" s="1054"/>
      <c r="G3712" s="1054"/>
      <c r="H3712" s="1055" t="s">
        <v>2915</v>
      </c>
      <c r="I3712" s="1055"/>
      <c r="J3712" s="1055"/>
      <c r="K3712" s="1055"/>
      <c r="L3712" s="1054"/>
      <c r="M3712" s="1451"/>
      <c r="N3712" s="1043"/>
      <c r="S3712" s="575"/>
      <c r="U3712" s="619" t="s">
        <v>2916</v>
      </c>
      <c r="Y3712" s="771"/>
    </row>
    <row r="3713" spans="6:25" ht="81" customHeight="1">
      <c r="F3713" s="1056">
        <v>36</v>
      </c>
      <c r="G3713" s="1054" t="s">
        <v>231</v>
      </c>
      <c r="H3713" s="1057" t="s">
        <v>2917</v>
      </c>
      <c r="I3713" s="1058">
        <v>34.6</v>
      </c>
      <c r="J3713" s="1059" t="str">
        <f>G3713</f>
        <v>Rmt</v>
      </c>
      <c r="K3713" s="1056">
        <f>I3713*F3713</f>
        <v>1245.6000000000001</v>
      </c>
      <c r="L3713" s="1054"/>
      <c r="M3713" s="1451"/>
      <c r="N3713" s="1043"/>
      <c r="S3713" s="1034"/>
      <c r="T3713" s="1034"/>
      <c r="U3713" s="1048" t="s">
        <v>2918</v>
      </c>
      <c r="V3713" s="1048"/>
      <c r="W3713" s="1048"/>
      <c r="X3713" s="1048"/>
      <c r="Y3713" s="771"/>
    </row>
    <row r="3714" spans="6:25" ht="36.75" customHeight="1">
      <c r="F3714" s="1056">
        <v>9</v>
      </c>
      <c r="G3714" s="1059" t="s">
        <v>174</v>
      </c>
      <c r="H3714" s="1060" t="s">
        <v>2919</v>
      </c>
      <c r="I3714" s="1056">
        <v>350</v>
      </c>
      <c r="J3714" s="1059" t="str">
        <f>G3714</f>
        <v>Sqm</v>
      </c>
      <c r="K3714" s="1056">
        <f>I3714*F3714</f>
        <v>3150</v>
      </c>
      <c r="L3714" s="1054"/>
      <c r="M3714" s="1451"/>
      <c r="N3714" s="1043"/>
      <c r="S3714" s="1034"/>
      <c r="T3714" s="1034"/>
      <c r="U3714" s="1048"/>
      <c r="V3714" s="1048"/>
      <c r="W3714" s="1048"/>
      <c r="X3714" s="1048"/>
      <c r="Y3714" s="771"/>
    </row>
    <row r="3715" spans="6:25" ht="36.75" customHeight="1">
      <c r="F3715" s="1056">
        <v>9</v>
      </c>
      <c r="G3715" s="1059" t="s">
        <v>174</v>
      </c>
      <c r="H3715" s="1060" t="s">
        <v>2920</v>
      </c>
      <c r="I3715" s="1056">
        <v>860.8</v>
      </c>
      <c r="J3715" s="1059" t="str">
        <f>G3715</f>
        <v>Sqm</v>
      </c>
      <c r="K3715" s="1056">
        <f>I3715*F3715</f>
        <v>7747.2</v>
      </c>
      <c r="L3715" s="1054"/>
      <c r="M3715" s="1451"/>
      <c r="N3715" s="1043"/>
      <c r="S3715" s="773">
        <v>14.43</v>
      </c>
      <c r="T3715" s="774" t="s">
        <v>654</v>
      </c>
      <c r="U3715" s="1036" t="s">
        <v>2870</v>
      </c>
      <c r="V3715" s="776">
        <f>V3701</f>
        <v>287</v>
      </c>
      <c r="W3715" s="774" t="s">
        <v>654</v>
      </c>
      <c r="X3715" s="776">
        <f>V3715*S3715</f>
        <v>4141.41</v>
      </c>
      <c r="Y3715" s="771"/>
    </row>
    <row r="3716" spans="6:25" ht="36.75" customHeight="1">
      <c r="F3716" s="1056">
        <v>9</v>
      </c>
      <c r="G3716" s="1059" t="s">
        <v>174</v>
      </c>
      <c r="H3716" s="1057" t="s">
        <v>2921</v>
      </c>
      <c r="I3716" s="1056">
        <f>R2416</f>
        <v>1204.6823633156966</v>
      </c>
      <c r="J3716" s="1059" t="str">
        <f>G3716</f>
        <v>Sqm</v>
      </c>
      <c r="K3716" s="1056">
        <f>I3716*F3716</f>
        <v>10842.14126984127</v>
      </c>
      <c r="L3716" s="1054"/>
      <c r="M3716" s="1451"/>
      <c r="N3716" s="1043"/>
      <c r="S3716" s="1037">
        <v>10.433999999999999</v>
      </c>
      <c r="T3716" s="774" t="s">
        <v>231</v>
      </c>
      <c r="U3716" s="777" t="s">
        <v>2892</v>
      </c>
      <c r="V3716" s="776">
        <f t="shared" ref="V3716:V3721" si="343">V3702</f>
        <v>33.89</v>
      </c>
      <c r="W3716" s="774" t="s">
        <v>231</v>
      </c>
      <c r="X3716" s="776">
        <v>501.66</v>
      </c>
      <c r="Y3716" s="771"/>
    </row>
    <row r="3717" spans="6:25" ht="36.75" customHeight="1">
      <c r="F3717" s="1056">
        <v>9</v>
      </c>
      <c r="G3717" s="1059" t="s">
        <v>174</v>
      </c>
      <c r="H3717" s="1054" t="s">
        <v>2922</v>
      </c>
      <c r="I3717" s="1056">
        <f>K3725</f>
        <v>1387</v>
      </c>
      <c r="J3717" s="1059" t="str">
        <f>G3717</f>
        <v>Sqm</v>
      </c>
      <c r="K3717" s="1056">
        <f>I3717*F3717</f>
        <v>12483</v>
      </c>
      <c r="L3717" s="1054"/>
      <c r="M3717" s="1451"/>
      <c r="N3717" s="1043"/>
      <c r="S3717" s="773">
        <v>2.16</v>
      </c>
      <c r="T3717" s="774" t="s">
        <v>110</v>
      </c>
      <c r="U3717" s="777" t="s">
        <v>2901</v>
      </c>
      <c r="V3717" s="776">
        <f t="shared" si="343"/>
        <v>258.52</v>
      </c>
      <c r="W3717" s="774" t="s">
        <v>110</v>
      </c>
      <c r="X3717" s="776">
        <f>V3717*S3717</f>
        <v>558.40319999999997</v>
      </c>
      <c r="Y3717" s="771"/>
    </row>
    <row r="3718" spans="6:25" ht="36.75" customHeight="1">
      <c r="F3718" s="1054"/>
      <c r="G3718" s="1054"/>
      <c r="H3718" s="1054"/>
      <c r="I3718" s="1054"/>
      <c r="J3718" s="1054"/>
      <c r="K3718" s="1056">
        <f>SUM(K3713:K3717)</f>
        <v>35467.941269841271</v>
      </c>
      <c r="L3718" s="1054"/>
      <c r="M3718" s="1451"/>
      <c r="N3718" s="1043"/>
      <c r="S3718" s="773">
        <v>6</v>
      </c>
      <c r="T3718" s="774" t="s">
        <v>240</v>
      </c>
      <c r="U3718" s="777" t="s">
        <v>2923</v>
      </c>
      <c r="V3718" s="776">
        <f t="shared" si="343"/>
        <v>13.1</v>
      </c>
      <c r="W3718" s="774" t="s">
        <v>240</v>
      </c>
      <c r="X3718" s="776">
        <f>V3718*S3718</f>
        <v>78.599999999999994</v>
      </c>
      <c r="Y3718" s="782"/>
    </row>
    <row r="3719" spans="6:25" ht="36.75" customHeight="1">
      <c r="F3719" s="1054"/>
      <c r="G3719" s="1054"/>
      <c r="H3719" s="1054" t="s">
        <v>2924</v>
      </c>
      <c r="I3719" s="1054"/>
      <c r="J3719" s="1059"/>
      <c r="K3719" s="1056">
        <f>K3718/9</f>
        <v>3940.8823633156967</v>
      </c>
      <c r="L3719" s="1054"/>
      <c r="M3719" s="1451"/>
      <c r="N3719" s="1043"/>
      <c r="S3719" s="773">
        <v>2</v>
      </c>
      <c r="T3719" s="774" t="s">
        <v>240</v>
      </c>
      <c r="U3719" s="777" t="s">
        <v>2925</v>
      </c>
      <c r="V3719" s="776">
        <f t="shared" si="343"/>
        <v>62.8</v>
      </c>
      <c r="W3719" s="774" t="s">
        <v>2876</v>
      </c>
      <c r="X3719" s="776">
        <f>V3719*S3719</f>
        <v>125.6</v>
      </c>
      <c r="Y3719" s="771"/>
    </row>
    <row r="3720" spans="6:25" ht="24" customHeight="1">
      <c r="F3720" s="1054"/>
      <c r="G3720" s="1054"/>
      <c r="H3720" s="1061" t="s">
        <v>2926</v>
      </c>
      <c r="I3720" s="1055" t="s">
        <v>2927</v>
      </c>
      <c r="J3720" s="1054"/>
      <c r="K3720" s="1062">
        <v>3282</v>
      </c>
      <c r="L3720" s="1054"/>
      <c r="M3720" s="1055"/>
      <c r="N3720" s="1043"/>
      <c r="S3720" s="773">
        <v>3</v>
      </c>
      <c r="T3720" s="774" t="s">
        <v>240</v>
      </c>
      <c r="U3720" s="777" t="s">
        <v>2928</v>
      </c>
      <c r="V3720" s="776">
        <f t="shared" si="343"/>
        <v>29.5</v>
      </c>
      <c r="W3720" s="774" t="s">
        <v>1</v>
      </c>
      <c r="X3720" s="776">
        <f>V3720*S3720</f>
        <v>88.5</v>
      </c>
      <c r="Y3720" s="771"/>
    </row>
    <row r="3721" spans="6:25" ht="24" customHeight="1">
      <c r="F3721" s="1054"/>
      <c r="G3721" s="1054"/>
      <c r="H3721" s="1054" t="s">
        <v>2929</v>
      </c>
      <c r="I3721" s="1054"/>
      <c r="J3721" s="1054"/>
      <c r="K3721" s="1054"/>
      <c r="L3721" s="1054"/>
      <c r="M3721" s="1451"/>
      <c r="N3721" s="1043"/>
      <c r="S3721" s="773">
        <v>1.823</v>
      </c>
      <c r="T3721" s="774" t="s">
        <v>174</v>
      </c>
      <c r="U3721" s="777" t="s">
        <v>1824</v>
      </c>
      <c r="V3721" s="776">
        <f t="shared" si="343"/>
        <v>1540</v>
      </c>
      <c r="W3721" s="774" t="s">
        <v>174</v>
      </c>
      <c r="X3721" s="776">
        <f>V3721*S3721</f>
        <v>2807.42</v>
      </c>
      <c r="Y3721" s="771"/>
    </row>
    <row r="3722" spans="6:25" ht="24" customHeight="1">
      <c r="F3722" s="1056">
        <v>1</v>
      </c>
      <c r="G3722" s="1059" t="s">
        <v>188</v>
      </c>
      <c r="H3722" s="1056" t="s">
        <v>2930</v>
      </c>
      <c r="I3722" s="1056">
        <f>AE17</f>
        <v>679</v>
      </c>
      <c r="J3722" s="1059" t="s">
        <v>188</v>
      </c>
      <c r="K3722" s="1054">
        <f>I3722*F3722</f>
        <v>679</v>
      </c>
      <c r="L3722" s="1054"/>
      <c r="M3722" s="1451"/>
      <c r="N3722" s="1043"/>
      <c r="S3722" s="619"/>
      <c r="T3722" s="646" t="s">
        <v>166</v>
      </c>
      <c r="U3722" s="619" t="s">
        <v>2911</v>
      </c>
      <c r="V3722" s="619"/>
      <c r="W3722" s="630" t="s">
        <v>166</v>
      </c>
      <c r="X3722" s="619">
        <v>110</v>
      </c>
      <c r="Y3722" s="771"/>
    </row>
    <row r="3723" spans="6:25" ht="24" customHeight="1">
      <c r="F3723" s="1056">
        <v>1</v>
      </c>
      <c r="G3723" s="1059" t="s">
        <v>188</v>
      </c>
      <c r="H3723" s="1057" t="s">
        <v>146</v>
      </c>
      <c r="I3723" s="1056">
        <f>AE11</f>
        <v>502</v>
      </c>
      <c r="J3723" s="1059" t="s">
        <v>188</v>
      </c>
      <c r="K3723" s="1054">
        <f>I3723*F3723</f>
        <v>502</v>
      </c>
      <c r="L3723" s="1054"/>
      <c r="M3723" s="1451"/>
      <c r="N3723" s="1043"/>
      <c r="S3723" s="619"/>
      <c r="T3723" s="646"/>
      <c r="U3723" s="619"/>
      <c r="V3723" s="619"/>
      <c r="W3723" s="630"/>
      <c r="X3723" s="619">
        <f>SUM(X3715:X3722)</f>
        <v>8411.5931999999993</v>
      </c>
      <c r="Y3723" s="771"/>
    </row>
    <row r="3724" spans="6:25" ht="24" customHeight="1">
      <c r="F3724" s="1056">
        <v>0.5</v>
      </c>
      <c r="G3724" s="1059" t="s">
        <v>188</v>
      </c>
      <c r="H3724" s="1057" t="s">
        <v>147</v>
      </c>
      <c r="I3724" s="1056">
        <f>AE12</f>
        <v>412</v>
      </c>
      <c r="J3724" s="1059" t="s">
        <v>188</v>
      </c>
      <c r="K3724" s="1054">
        <f>I3724*F3724</f>
        <v>206</v>
      </c>
      <c r="L3724" s="1054"/>
      <c r="M3724" s="1451"/>
      <c r="N3724" s="1043"/>
      <c r="X3724" s="619">
        <f>X3723/S3721</f>
        <v>4614.1487657707075</v>
      </c>
      <c r="Y3724" s="771"/>
    </row>
    <row r="3725" spans="6:25" ht="24" customHeight="1">
      <c r="F3725" s="1054"/>
      <c r="G3725" s="1054"/>
      <c r="H3725" s="1054"/>
      <c r="I3725" s="1054"/>
      <c r="J3725" s="1054"/>
      <c r="K3725" s="1054">
        <f>SUM(K3722:K3724)</f>
        <v>1387</v>
      </c>
      <c r="L3725" s="1054"/>
      <c r="M3725" s="1451"/>
      <c r="N3725" s="1043"/>
      <c r="X3725" s="575">
        <v>3873</v>
      </c>
      <c r="Y3725" s="771"/>
    </row>
    <row r="3726" spans="6:25" ht="24" customHeight="1">
      <c r="F3726" s="1054"/>
      <c r="G3726" s="1054"/>
      <c r="H3726" s="1054"/>
      <c r="I3726" s="1054"/>
      <c r="J3726" s="1054"/>
      <c r="K3726" s="1054"/>
      <c r="L3726" s="1054"/>
      <c r="M3726" s="1451"/>
      <c r="N3726" s="1043"/>
      <c r="S3726" s="771"/>
      <c r="T3726" s="779"/>
      <c r="U3726" s="771"/>
      <c r="V3726" s="771"/>
      <c r="W3726" s="784"/>
      <c r="X3726" s="785"/>
      <c r="Y3726" s="771"/>
    </row>
    <row r="3727" spans="6:25" ht="24" customHeight="1">
      <c r="F3727" s="1043"/>
      <c r="G3727" s="1043"/>
      <c r="H3727" s="1043"/>
      <c r="I3727" s="1043"/>
      <c r="J3727" s="1043"/>
      <c r="K3727" s="1043"/>
      <c r="L3727" s="1043"/>
      <c r="M3727" s="1043"/>
      <c r="N3727" s="1043"/>
      <c r="S3727" s="575"/>
    </row>
    <row r="3728" spans="6:25" ht="24" customHeight="1">
      <c r="F3728" s="768"/>
      <c r="G3728" s="768"/>
      <c r="H3728" s="685"/>
      <c r="I3728" s="768"/>
      <c r="J3728" s="768"/>
      <c r="K3728" s="1043"/>
      <c r="L3728" s="1043"/>
      <c r="M3728" s="1043"/>
      <c r="N3728" s="1043"/>
    </row>
    <row r="3729" spans="6:14" ht="24" customHeight="1">
      <c r="F3729" s="1043"/>
      <c r="G3729" s="1043"/>
      <c r="H3729" s="1063" t="s">
        <v>2931</v>
      </c>
      <c r="I3729" s="1049"/>
      <c r="J3729" s="1043"/>
      <c r="K3729" s="1043"/>
      <c r="L3729" s="1043"/>
      <c r="M3729" s="1043"/>
      <c r="N3729" s="1043"/>
    </row>
    <row r="3730" spans="6:14" ht="24" customHeight="1">
      <c r="F3730" s="1043"/>
      <c r="G3730" s="1043"/>
      <c r="H3730" s="1043"/>
      <c r="I3730" s="1043"/>
      <c r="J3730" s="1043"/>
      <c r="K3730" s="1043"/>
      <c r="L3730" s="1043"/>
      <c r="M3730" s="1043"/>
      <c r="N3730" s="1043"/>
    </row>
    <row r="3731" spans="6:14" ht="24" customHeight="1">
      <c r="F3731" s="1051"/>
      <c r="G3731" s="1050"/>
      <c r="H3731" s="1064" t="s">
        <v>2932</v>
      </c>
      <c r="I3731" s="1051"/>
      <c r="J3731" s="1051"/>
      <c r="K3731" s="1043"/>
      <c r="L3731" s="1043"/>
      <c r="M3731" s="1043"/>
      <c r="N3731" s="1043"/>
    </row>
    <row r="3732" spans="6:14" ht="24" customHeight="1">
      <c r="F3732" s="1051"/>
      <c r="G3732" s="1050"/>
      <c r="H3732" s="1052"/>
      <c r="I3732" s="1051"/>
      <c r="J3732" s="1051"/>
      <c r="K3732" s="1043"/>
      <c r="L3732" s="1043"/>
      <c r="M3732" s="1043"/>
      <c r="N3732" s="1043"/>
    </row>
    <row r="3733" spans="6:14" ht="24" customHeight="1">
      <c r="F3733" s="1043"/>
      <c r="G3733" s="1043"/>
      <c r="H3733" s="921" t="s">
        <v>162</v>
      </c>
      <c r="I3733" s="1051"/>
      <c r="J3733" s="1043"/>
      <c r="K3733" s="1043"/>
      <c r="L3733" s="1043"/>
      <c r="M3733" s="1043"/>
      <c r="N3733" s="1043"/>
    </row>
    <row r="3734" spans="6:14" ht="24" customHeight="1">
      <c r="F3734" s="1051">
        <v>5</v>
      </c>
      <c r="G3734" s="1050" t="s">
        <v>148</v>
      </c>
      <c r="H3734" s="1051" t="s">
        <v>163</v>
      </c>
      <c r="I3734" s="1051">
        <v>27.3</v>
      </c>
      <c r="J3734" s="1050" t="s">
        <v>148</v>
      </c>
      <c r="K3734" s="1050">
        <f>I3734*F3734</f>
        <v>136.5</v>
      </c>
      <c r="L3734" s="1043"/>
      <c r="M3734" s="1043"/>
      <c r="N3734" s="1043"/>
    </row>
    <row r="3735" spans="6:14" ht="24" customHeight="1">
      <c r="F3735" s="1051">
        <v>1</v>
      </c>
      <c r="G3735" s="1050" t="s">
        <v>164</v>
      </c>
      <c r="H3735" s="1051" t="s">
        <v>165</v>
      </c>
      <c r="I3735" s="1051">
        <f>AE13</f>
        <v>615</v>
      </c>
      <c r="J3735" s="1050" t="s">
        <v>164</v>
      </c>
      <c r="K3735" s="1050">
        <f>I3735*F3735</f>
        <v>615</v>
      </c>
      <c r="L3735" s="1043"/>
      <c r="M3735" s="1043"/>
      <c r="N3735" s="1043"/>
    </row>
    <row r="3736" spans="6:14" ht="24" customHeight="1">
      <c r="F3736" s="1051"/>
      <c r="G3736" s="1065" t="s">
        <v>166</v>
      </c>
      <c r="H3736" s="1052" t="s">
        <v>167</v>
      </c>
      <c r="I3736" s="1043"/>
      <c r="J3736" s="1065" t="s">
        <v>166</v>
      </c>
      <c r="K3736" s="1050">
        <v>0.8</v>
      </c>
      <c r="L3736" s="1043"/>
      <c r="M3736" s="1043"/>
      <c r="N3736" s="1043"/>
    </row>
    <row r="3737" spans="6:14" ht="24" customHeight="1">
      <c r="F3737" s="1043"/>
      <c r="G3737" s="1043"/>
      <c r="H3737" s="1052" t="s">
        <v>168</v>
      </c>
      <c r="I3737" s="1043"/>
      <c r="J3737" s="1043"/>
      <c r="K3737" s="1066">
        <f>SUM(K3734:K3736)</f>
        <v>752.3</v>
      </c>
      <c r="L3737" s="1043"/>
      <c r="M3737" s="1043"/>
      <c r="N3737" s="1043"/>
    </row>
    <row r="3738" spans="6:14" ht="24" customHeight="1">
      <c r="F3738" s="1043"/>
      <c r="G3738" s="1043"/>
      <c r="H3738" s="1052" t="s">
        <v>169</v>
      </c>
      <c r="I3738" s="1043"/>
      <c r="J3738" s="1043"/>
      <c r="K3738" s="1067">
        <f>K3737/10</f>
        <v>75.22999999999999</v>
      </c>
      <c r="L3738" s="1043"/>
      <c r="M3738" s="1043"/>
      <c r="N3738" s="1043"/>
    </row>
    <row r="3741" spans="6:14" ht="24" customHeight="1">
      <c r="F3741" s="1043"/>
      <c r="G3741" s="1043"/>
      <c r="H3741" s="1043"/>
      <c r="I3741" s="1043"/>
      <c r="J3741" s="1043"/>
      <c r="K3741" s="1043"/>
      <c r="L3741" s="1043"/>
      <c r="M3741" s="1043"/>
      <c r="N3741" s="1043"/>
    </row>
    <row r="3742" spans="6:14" ht="24" customHeight="1">
      <c r="F3742" s="1051"/>
      <c r="G3742" s="1050"/>
      <c r="H3742" s="1064" t="s">
        <v>2933</v>
      </c>
      <c r="I3742" s="1051"/>
      <c r="J3742" s="1051"/>
      <c r="K3742" s="1043"/>
      <c r="L3742" s="1043"/>
      <c r="M3742" s="1043"/>
      <c r="N3742" s="1043"/>
    </row>
    <row r="3743" spans="6:14" ht="24" customHeight="1">
      <c r="F3743" s="1051" t="s">
        <v>3</v>
      </c>
      <c r="G3743" s="1050" t="s">
        <v>2876</v>
      </c>
      <c r="H3743" s="1052"/>
      <c r="I3743" s="1051" t="s">
        <v>10</v>
      </c>
      <c r="J3743" s="1050" t="s">
        <v>2876</v>
      </c>
      <c r="K3743" s="1050" t="s">
        <v>6</v>
      </c>
      <c r="L3743" s="1043"/>
      <c r="M3743" s="1043"/>
      <c r="N3743" s="1043"/>
    </row>
    <row r="3744" spans="6:14" ht="24" customHeight="1">
      <c r="F3744" s="1051"/>
      <c r="G3744" s="1050"/>
      <c r="H3744" s="1052"/>
      <c r="I3744" s="1051"/>
      <c r="J3744" s="1051"/>
      <c r="K3744" s="1043"/>
      <c r="L3744" s="1043"/>
      <c r="M3744" s="1043"/>
      <c r="N3744" s="1043"/>
    </row>
    <row r="3745" spans="6:14" ht="40.5" customHeight="1">
      <c r="F3745" s="1051">
        <v>0.15</v>
      </c>
      <c r="G3745" s="1050" t="s">
        <v>429</v>
      </c>
      <c r="H3745" s="1068" t="s">
        <v>2934</v>
      </c>
      <c r="I3745" s="1069">
        <f>I3639</f>
        <v>2525.42</v>
      </c>
      <c r="J3745" s="1050" t="s">
        <v>429</v>
      </c>
      <c r="K3745" s="1051">
        <f t="shared" ref="K3745:K3750" si="344">I3745*F3745</f>
        <v>378.81299999999999</v>
      </c>
      <c r="L3745" s="1043"/>
      <c r="M3745" s="1043"/>
      <c r="N3745" s="1043"/>
    </row>
    <row r="3746" spans="6:14" ht="24" customHeight="1">
      <c r="F3746" s="1070">
        <v>7.1999999999999995E-2</v>
      </c>
      <c r="G3746" s="1050" t="s">
        <v>1123</v>
      </c>
      <c r="H3746" s="1052" t="s">
        <v>1124</v>
      </c>
      <c r="I3746" s="1051">
        <f>I9</f>
        <v>5800</v>
      </c>
      <c r="J3746" s="1050" t="s">
        <v>1123</v>
      </c>
      <c r="K3746" s="1051">
        <f t="shared" si="344"/>
        <v>417.59999999999997</v>
      </c>
      <c r="L3746" s="1043"/>
      <c r="M3746" s="1043"/>
      <c r="N3746" s="1043"/>
    </row>
    <row r="3747" spans="6:14" ht="24" customHeight="1">
      <c r="F3747" s="1051">
        <v>14.5</v>
      </c>
      <c r="G3747" s="1050" t="s">
        <v>654</v>
      </c>
      <c r="H3747" s="921" t="s">
        <v>2935</v>
      </c>
      <c r="I3747" s="1069">
        <f>P2433</f>
        <v>24.5</v>
      </c>
      <c r="J3747" s="1050" t="s">
        <v>654</v>
      </c>
      <c r="K3747" s="1051">
        <f t="shared" si="344"/>
        <v>355.25</v>
      </c>
      <c r="L3747" s="1043"/>
      <c r="M3747" s="1043"/>
      <c r="N3747" s="1043"/>
    </row>
    <row r="3748" spans="6:14" ht="24" customHeight="1">
      <c r="F3748" s="1051">
        <v>1.6</v>
      </c>
      <c r="G3748" s="1050" t="s">
        <v>188</v>
      </c>
      <c r="H3748" s="1051" t="s">
        <v>2936</v>
      </c>
      <c r="I3748" s="1051">
        <f>AE9</f>
        <v>769</v>
      </c>
      <c r="J3748" s="1050" t="s">
        <v>188</v>
      </c>
      <c r="K3748" s="1051">
        <f t="shared" si="344"/>
        <v>1230.4000000000001</v>
      </c>
      <c r="L3748" s="1043"/>
      <c r="M3748" s="1043"/>
      <c r="N3748" s="1043"/>
    </row>
    <row r="3749" spans="6:14" ht="24" customHeight="1">
      <c r="F3749" s="1051">
        <v>0.5</v>
      </c>
      <c r="G3749" s="1050" t="s">
        <v>188</v>
      </c>
      <c r="H3749" s="1052" t="s">
        <v>146</v>
      </c>
      <c r="I3749" s="1051">
        <f>AE11</f>
        <v>502</v>
      </c>
      <c r="J3749" s="1050" t="s">
        <v>188</v>
      </c>
      <c r="K3749" s="1051">
        <f t="shared" si="344"/>
        <v>251</v>
      </c>
      <c r="L3749" s="1043"/>
      <c r="M3749" s="1043"/>
      <c r="N3749" s="1043"/>
    </row>
    <row r="3750" spans="6:14" ht="24" customHeight="1">
      <c r="F3750" s="1051">
        <v>1.1000000000000001</v>
      </c>
      <c r="G3750" s="1050" t="s">
        <v>188</v>
      </c>
      <c r="H3750" s="1052" t="s">
        <v>147</v>
      </c>
      <c r="I3750" s="1051">
        <v>280</v>
      </c>
      <c r="J3750" s="1050" t="s">
        <v>188</v>
      </c>
      <c r="K3750" s="1051">
        <f t="shared" si="344"/>
        <v>308</v>
      </c>
      <c r="L3750" s="1043"/>
      <c r="M3750" s="1043"/>
      <c r="N3750" s="1043"/>
    </row>
    <row r="3751" spans="6:14" ht="24" customHeight="1">
      <c r="F3751" s="1051"/>
      <c r="G3751" s="1050"/>
      <c r="H3751" s="1052" t="s">
        <v>167</v>
      </c>
      <c r="I3751" s="1071" t="s">
        <v>166</v>
      </c>
      <c r="J3751" s="1050"/>
      <c r="K3751" s="1051">
        <v>52.63</v>
      </c>
      <c r="L3751" s="1043"/>
      <c r="M3751" s="1043"/>
      <c r="N3751" s="1043"/>
    </row>
    <row r="3752" spans="6:14" ht="24" customHeight="1">
      <c r="F3752" s="1051"/>
      <c r="G3752" s="1050"/>
      <c r="H3752" s="1052" t="s">
        <v>168</v>
      </c>
      <c r="I3752" s="1043"/>
      <c r="J3752" s="1043"/>
      <c r="K3752" s="1051">
        <f>SUM(K3745:K3751)</f>
        <v>2993.6930000000002</v>
      </c>
      <c r="L3752" s="1043"/>
      <c r="M3752" s="1043"/>
      <c r="N3752" s="1043"/>
    </row>
    <row r="3753" spans="6:14" ht="24" customHeight="1">
      <c r="F3753" s="1043"/>
      <c r="G3753" s="1043"/>
      <c r="H3753" s="1052" t="s">
        <v>169</v>
      </c>
      <c r="I3753" s="1043"/>
      <c r="J3753" s="1043"/>
      <c r="K3753" s="1072">
        <f>K3752/10</f>
        <v>299.36930000000001</v>
      </c>
      <c r="L3753" s="1043"/>
      <c r="M3753" s="1043"/>
      <c r="N3753" s="1043"/>
    </row>
    <row r="3754" spans="6:14" ht="24" customHeight="1">
      <c r="F3754" s="1043"/>
      <c r="G3754" s="1043"/>
      <c r="H3754" s="1043"/>
      <c r="I3754" s="1043"/>
      <c r="J3754" s="1043"/>
      <c r="K3754" s="1043"/>
      <c r="L3754" s="1043"/>
      <c r="M3754" s="1043"/>
      <c r="N3754" s="1043"/>
    </row>
    <row r="3755" spans="6:14" ht="24" customHeight="1">
      <c r="F3755" s="607"/>
      <c r="G3755" s="585" t="s">
        <v>122</v>
      </c>
      <c r="I3755" s="1073"/>
      <c r="J3755" s="1074"/>
      <c r="K3755" s="768"/>
      <c r="L3755" s="768"/>
    </row>
    <row r="3756" spans="6:14" ht="24" customHeight="1">
      <c r="F3756" s="768"/>
      <c r="G3756" s="1075"/>
      <c r="H3756" s="573"/>
      <c r="I3756" s="768"/>
      <c r="J3756" s="1076"/>
      <c r="K3756" s="768"/>
      <c r="L3756" s="768"/>
    </row>
    <row r="3757" spans="6:14" ht="24" customHeight="1">
      <c r="F3757" s="768"/>
      <c r="G3757" s="1075"/>
      <c r="H3757" s="1077" t="s">
        <v>2937</v>
      </c>
      <c r="I3757" s="768"/>
      <c r="J3757" s="1076"/>
      <c r="K3757" s="768"/>
      <c r="L3757" s="768"/>
    </row>
    <row r="3758" spans="6:14" ht="24" customHeight="1">
      <c r="F3758" s="768"/>
      <c r="G3758" s="1075"/>
      <c r="H3758" s="582" t="s">
        <v>117</v>
      </c>
      <c r="I3758" s="768"/>
      <c r="J3758" s="1076"/>
      <c r="K3758" s="768"/>
      <c r="L3758" s="768"/>
    </row>
    <row r="3759" spans="6:14" ht="24" customHeight="1">
      <c r="F3759" s="587">
        <v>21.55</v>
      </c>
      <c r="G3759" s="585" t="s">
        <v>148</v>
      </c>
      <c r="H3759" s="573" t="s">
        <v>2938</v>
      </c>
      <c r="I3759" s="587">
        <f>I3735</f>
        <v>615</v>
      </c>
      <c r="J3759" s="585" t="s">
        <v>148</v>
      </c>
      <c r="K3759" s="587">
        <f>I3759*F3759</f>
        <v>13253.25</v>
      </c>
      <c r="L3759" s="768"/>
    </row>
    <row r="3760" spans="6:14" ht="24" customHeight="1">
      <c r="F3760" s="587"/>
      <c r="G3760" s="585"/>
      <c r="H3760" s="573" t="s">
        <v>2939</v>
      </c>
      <c r="I3760" s="587"/>
      <c r="J3760" s="585"/>
      <c r="K3760" s="587">
        <f>K3759*10/100</f>
        <v>1325.325</v>
      </c>
      <c r="L3760" s="768"/>
    </row>
    <row r="3761" spans="6:12" ht="24" customHeight="1">
      <c r="F3761" s="587">
        <v>3.7</v>
      </c>
      <c r="G3761" s="585" t="s">
        <v>148</v>
      </c>
      <c r="H3761" s="573" t="s">
        <v>2940</v>
      </c>
      <c r="I3761" s="587">
        <f>Y32</f>
        <v>45000</v>
      </c>
      <c r="J3761" s="585" t="s">
        <v>1123</v>
      </c>
      <c r="K3761" s="587">
        <f>I3761*F3761/10000</f>
        <v>16.649999999999999</v>
      </c>
      <c r="L3761" s="768"/>
    </row>
    <row r="3762" spans="6:12" ht="24" customHeight="1">
      <c r="F3762" s="1043"/>
      <c r="G3762" s="1043"/>
      <c r="H3762" s="573" t="s">
        <v>2941</v>
      </c>
      <c r="I3762" s="587"/>
      <c r="J3762" s="573"/>
      <c r="K3762" s="587">
        <f>K3761*5/100</f>
        <v>0.83250000000000002</v>
      </c>
      <c r="L3762" s="768"/>
    </row>
    <row r="3763" spans="6:12" ht="24" customHeight="1">
      <c r="F3763" s="587">
        <v>18</v>
      </c>
      <c r="G3763" s="585" t="s">
        <v>1576</v>
      </c>
      <c r="H3763" s="573" t="s">
        <v>2942</v>
      </c>
      <c r="I3763" s="587">
        <v>15</v>
      </c>
      <c r="J3763" s="585" t="s">
        <v>240</v>
      </c>
      <c r="K3763" s="587">
        <f>I3763*F3763</f>
        <v>270</v>
      </c>
      <c r="L3763" s="768"/>
    </row>
    <row r="3764" spans="6:12" ht="24" customHeight="1">
      <c r="F3764" s="587"/>
      <c r="G3764" s="585"/>
      <c r="H3764" s="573" t="s">
        <v>2943</v>
      </c>
      <c r="I3764" s="587"/>
      <c r="J3764" s="573"/>
      <c r="K3764" s="587">
        <f>K3763*10/100</f>
        <v>27</v>
      </c>
      <c r="L3764" s="768"/>
    </row>
    <row r="3765" spans="6:12" ht="24" customHeight="1">
      <c r="F3765" s="587">
        <v>28</v>
      </c>
      <c r="G3765" s="585" t="s">
        <v>1576</v>
      </c>
      <c r="H3765" s="573" t="s">
        <v>2944</v>
      </c>
      <c r="I3765" s="587">
        <v>1</v>
      </c>
      <c r="J3765" s="585" t="s">
        <v>1576</v>
      </c>
      <c r="K3765" s="587">
        <f>I3765*F3765</f>
        <v>28</v>
      </c>
      <c r="L3765" s="768"/>
    </row>
    <row r="3766" spans="6:12" ht="33" customHeight="1">
      <c r="F3766" s="587">
        <v>28</v>
      </c>
      <c r="G3766" s="585" t="s">
        <v>1576</v>
      </c>
      <c r="H3766" s="573" t="s">
        <v>2945</v>
      </c>
      <c r="I3766" s="587">
        <v>2</v>
      </c>
      <c r="J3766" s="585" t="s">
        <v>1576</v>
      </c>
      <c r="K3766" s="587">
        <f>I3766*F3766</f>
        <v>56</v>
      </c>
      <c r="L3766" s="768"/>
    </row>
    <row r="3767" spans="6:12" ht="36" customHeight="1">
      <c r="F3767" s="587">
        <v>4</v>
      </c>
      <c r="G3767" s="585" t="s">
        <v>1576</v>
      </c>
      <c r="H3767" s="1078" t="s">
        <v>2946</v>
      </c>
      <c r="I3767" s="587">
        <f>AE17</f>
        <v>679</v>
      </c>
      <c r="J3767" s="585" t="s">
        <v>1576</v>
      </c>
      <c r="K3767" s="587">
        <f>I3767*F3767</f>
        <v>2716</v>
      </c>
      <c r="L3767" s="768"/>
    </row>
    <row r="3768" spans="6:12" ht="24" customHeight="1">
      <c r="F3768" s="587">
        <v>2</v>
      </c>
      <c r="G3768" s="585" t="s">
        <v>1576</v>
      </c>
      <c r="H3768" s="1079" t="s">
        <v>2947</v>
      </c>
      <c r="I3768" s="587">
        <f>AE19</f>
        <v>752</v>
      </c>
      <c r="J3768" s="585" t="s">
        <v>1576</v>
      </c>
      <c r="K3768" s="587">
        <f>I3768*F3768</f>
        <v>1504</v>
      </c>
      <c r="L3768" s="768"/>
    </row>
    <row r="3769" spans="6:12" ht="24" customHeight="1">
      <c r="F3769" s="587">
        <v>6</v>
      </c>
      <c r="G3769" s="585" t="s">
        <v>1576</v>
      </c>
      <c r="H3769" s="1079" t="s">
        <v>2948</v>
      </c>
      <c r="I3769" s="587">
        <f>AE11</f>
        <v>502</v>
      </c>
      <c r="J3769" s="585" t="s">
        <v>1576</v>
      </c>
      <c r="K3769" s="587">
        <f>I3769*F3769</f>
        <v>3012</v>
      </c>
      <c r="L3769" s="768"/>
    </row>
    <row r="3770" spans="6:12" ht="24" customHeight="1">
      <c r="F3770" s="587"/>
      <c r="G3770" s="585" t="s">
        <v>129</v>
      </c>
      <c r="H3770" s="573" t="s">
        <v>167</v>
      </c>
      <c r="I3770" s="573" t="s">
        <v>115</v>
      </c>
      <c r="J3770" s="573" t="s">
        <v>129</v>
      </c>
      <c r="K3770" s="587">
        <v>5.38</v>
      </c>
      <c r="L3770" s="768"/>
    </row>
    <row r="3771" spans="6:12" ht="24" customHeight="1">
      <c r="F3771" s="587"/>
      <c r="G3771" s="585"/>
      <c r="H3771" s="573"/>
      <c r="I3771" s="587"/>
      <c r="J3771" s="585"/>
      <c r="K3771" s="587"/>
      <c r="L3771" s="768"/>
    </row>
    <row r="3772" spans="6:12" ht="24" customHeight="1">
      <c r="F3772" s="768"/>
      <c r="G3772" s="1075"/>
      <c r="H3772" s="573" t="s">
        <v>2949</v>
      </c>
      <c r="I3772" s="768"/>
      <c r="J3772" s="1076"/>
      <c r="K3772" s="587">
        <f>SUM(K3759:K3771)</f>
        <v>22214.437500000004</v>
      </c>
      <c r="L3772" s="768"/>
    </row>
    <row r="3773" spans="6:12" ht="24" customHeight="1">
      <c r="F3773" s="768"/>
      <c r="G3773" s="1075"/>
      <c r="H3773" s="768"/>
      <c r="I3773" s="768"/>
      <c r="J3773" s="1076"/>
      <c r="K3773" s="582" t="s">
        <v>117</v>
      </c>
      <c r="L3773" s="768"/>
    </row>
    <row r="3774" spans="6:12" ht="24" customHeight="1">
      <c r="F3774" s="768"/>
      <c r="G3774" s="1075"/>
      <c r="H3774" s="584" t="s">
        <v>2950</v>
      </c>
      <c r="I3774" s="1045"/>
      <c r="J3774" s="1080" t="s">
        <v>2433</v>
      </c>
      <c r="K3774" s="586">
        <f>K3772/18</f>
        <v>1234.135416666667</v>
      </c>
      <c r="L3774" s="768"/>
    </row>
    <row r="3775" spans="6:12" ht="24" customHeight="1">
      <c r="F3775" s="768"/>
      <c r="G3775" s="1075"/>
      <c r="H3775" s="584"/>
      <c r="I3775" s="1045"/>
      <c r="J3775" s="1080"/>
      <c r="K3775" s="582" t="s">
        <v>117</v>
      </c>
      <c r="L3775" s="768"/>
    </row>
    <row r="3776" spans="6:12" ht="24" customHeight="1">
      <c r="F3776" s="768"/>
      <c r="G3776" s="1075"/>
      <c r="H3776" s="584"/>
      <c r="I3776" s="1045"/>
      <c r="J3776" s="1080"/>
      <c r="K3776" s="586"/>
      <c r="L3776" s="768"/>
    </row>
    <row r="3777" spans="6:12" ht="24" customHeight="1">
      <c r="F3777" s="1043"/>
      <c r="G3777" s="1043"/>
      <c r="H3777" s="1081" t="s">
        <v>2951</v>
      </c>
      <c r="I3777" s="1043"/>
      <c r="J3777" s="1043"/>
      <c r="K3777" s="1043"/>
      <c r="L3777" s="1043"/>
    </row>
    <row r="3778" spans="6:12" ht="24" customHeight="1">
      <c r="F3778" s="768"/>
      <c r="G3778" s="1034" t="s">
        <v>2952</v>
      </c>
      <c r="H3778" s="1034"/>
      <c r="I3778" s="1034"/>
      <c r="J3778" s="1034"/>
      <c r="K3778" s="1035"/>
      <c r="L3778" s="1035"/>
    </row>
    <row r="3779" spans="6:12" ht="24" customHeight="1">
      <c r="F3779" s="768"/>
      <c r="G3779" s="773"/>
      <c r="H3779" s="774"/>
      <c r="I3779" s="775"/>
      <c r="J3779" s="776"/>
      <c r="K3779" s="774"/>
      <c r="L3779" s="776"/>
    </row>
    <row r="3780" spans="6:12" ht="24" customHeight="1">
      <c r="F3780" s="768"/>
      <c r="G3780" s="773"/>
      <c r="H3780" s="774"/>
      <c r="I3780" s="777"/>
      <c r="J3780" s="776"/>
      <c r="K3780" s="774"/>
      <c r="L3780" s="776"/>
    </row>
    <row r="3781" spans="6:12" ht="24" customHeight="1">
      <c r="F3781" s="773">
        <v>38.86</v>
      </c>
      <c r="G3781" s="774" t="s">
        <v>654</v>
      </c>
      <c r="H3781" s="777" t="s">
        <v>2953</v>
      </c>
      <c r="I3781" s="776">
        <f>AB1350</f>
        <v>287</v>
      </c>
      <c r="J3781" s="774" t="s">
        <v>654</v>
      </c>
      <c r="K3781" s="776">
        <f t="shared" ref="K3781:K3788" si="345">I3781*F3781</f>
        <v>11152.82</v>
      </c>
      <c r="L3781" s="771"/>
    </row>
    <row r="3782" spans="6:12" ht="24" customHeight="1">
      <c r="F3782" s="773">
        <v>2.4300000000000002</v>
      </c>
      <c r="G3782" s="1082" t="s">
        <v>110</v>
      </c>
      <c r="H3782" s="1083" t="s">
        <v>2874</v>
      </c>
      <c r="I3782" s="776">
        <v>336</v>
      </c>
      <c r="J3782" s="774" t="s">
        <v>110</v>
      </c>
      <c r="K3782" s="776">
        <f t="shared" si="345"/>
        <v>816.48</v>
      </c>
      <c r="L3782" s="771"/>
    </row>
    <row r="3783" spans="6:12" ht="24" customHeight="1">
      <c r="F3783" s="773">
        <v>4.8499999999999996</v>
      </c>
      <c r="G3783" s="1082" t="s">
        <v>110</v>
      </c>
      <c r="H3783" s="1083" t="s">
        <v>2875</v>
      </c>
      <c r="I3783" s="776">
        <v>695</v>
      </c>
      <c r="J3783" s="774" t="s">
        <v>1</v>
      </c>
      <c r="K3783" s="776">
        <f t="shared" si="345"/>
        <v>3370.7499999999995</v>
      </c>
      <c r="L3783" s="771"/>
    </row>
    <row r="3784" spans="6:12" ht="24" customHeight="1">
      <c r="F3784" s="1037">
        <v>34.65</v>
      </c>
      <c r="G3784" s="1082" t="s">
        <v>231</v>
      </c>
      <c r="H3784" s="1083" t="s">
        <v>2892</v>
      </c>
      <c r="I3784" s="776">
        <v>35.5</v>
      </c>
      <c r="J3784" s="774" t="s">
        <v>231</v>
      </c>
      <c r="K3784" s="776">
        <f t="shared" si="345"/>
        <v>1230.075</v>
      </c>
      <c r="L3784" s="771"/>
    </row>
    <row r="3785" spans="6:12" ht="24" customHeight="1">
      <c r="F3785" s="1039">
        <v>144</v>
      </c>
      <c r="G3785" s="1084" t="s">
        <v>1576</v>
      </c>
      <c r="H3785" s="1085" t="s">
        <v>2954</v>
      </c>
      <c r="I3785" s="1041">
        <v>2.25</v>
      </c>
      <c r="J3785" s="1042" t="s">
        <v>164</v>
      </c>
      <c r="K3785" s="776">
        <f t="shared" si="345"/>
        <v>324</v>
      </c>
      <c r="L3785" s="771"/>
    </row>
    <row r="3786" spans="6:12" ht="24" customHeight="1">
      <c r="F3786" s="1039">
        <v>12</v>
      </c>
      <c r="G3786" s="1084" t="s">
        <v>1576</v>
      </c>
      <c r="H3786" s="1085" t="s">
        <v>2955</v>
      </c>
      <c r="I3786" s="1041">
        <v>4.55</v>
      </c>
      <c r="J3786" s="1042" t="s">
        <v>164</v>
      </c>
      <c r="K3786" s="776">
        <f t="shared" si="345"/>
        <v>54.599999999999994</v>
      </c>
      <c r="L3786" s="771"/>
    </row>
    <row r="3787" spans="6:12" ht="24" customHeight="1">
      <c r="F3787" s="1039">
        <v>12</v>
      </c>
      <c r="G3787" s="1084" t="s">
        <v>1576</v>
      </c>
      <c r="H3787" s="1085" t="s">
        <v>2956</v>
      </c>
      <c r="I3787" s="1041">
        <v>1</v>
      </c>
      <c r="J3787" s="1042" t="s">
        <v>164</v>
      </c>
      <c r="K3787" s="776">
        <f t="shared" si="345"/>
        <v>12</v>
      </c>
      <c r="L3787" s="771"/>
    </row>
    <row r="3788" spans="6:12" ht="24" customHeight="1">
      <c r="F3788" s="773">
        <v>2</v>
      </c>
      <c r="G3788" s="1082" t="s">
        <v>2876</v>
      </c>
      <c r="H3788" s="1083" t="s">
        <v>2957</v>
      </c>
      <c r="I3788" s="776">
        <v>11.1</v>
      </c>
      <c r="J3788" s="774" t="s">
        <v>2876</v>
      </c>
      <c r="K3788" s="776">
        <f t="shared" si="345"/>
        <v>22.2</v>
      </c>
      <c r="L3788" s="771"/>
    </row>
    <row r="3789" spans="6:12" ht="24" customHeight="1">
      <c r="F3789" s="773">
        <v>6.6150000000000002</v>
      </c>
      <c r="G3789" s="1082" t="s">
        <v>174</v>
      </c>
      <c r="H3789" s="1083" t="s">
        <v>1824</v>
      </c>
      <c r="I3789" s="771">
        <f>K3799</f>
        <v>1540</v>
      </c>
      <c r="J3789" s="774" t="s">
        <v>174</v>
      </c>
      <c r="K3789" s="776">
        <f>1059.95*6.615</f>
        <v>7011.5692500000005</v>
      </c>
      <c r="L3789" s="771"/>
    </row>
    <row r="3790" spans="6:12" ht="24" customHeight="1">
      <c r="F3790" s="773"/>
      <c r="G3790" s="1082"/>
      <c r="H3790" s="1083"/>
      <c r="I3790" s="771"/>
      <c r="J3790" s="778"/>
      <c r="K3790" s="776"/>
      <c r="L3790" s="771"/>
    </row>
    <row r="3791" spans="6:12" ht="24" customHeight="1">
      <c r="F3791" s="773"/>
      <c r="G3791" s="1082"/>
      <c r="H3791" s="654" t="s">
        <v>2958</v>
      </c>
      <c r="I3791" s="768"/>
      <c r="J3791" s="774"/>
      <c r="K3791" s="776">
        <f>SUM(K3781:K3790)</f>
        <v>23994.49425</v>
      </c>
      <c r="L3791" s="771"/>
    </row>
    <row r="3792" spans="6:12" ht="24" customHeight="1">
      <c r="F3792" s="773"/>
      <c r="G3792" s="1082"/>
      <c r="H3792" s="654" t="s">
        <v>154</v>
      </c>
      <c r="I3792" s="768"/>
      <c r="J3792" s="1035"/>
      <c r="K3792" s="780">
        <f>K3791/6.615</f>
        <v>3627.2856009070292</v>
      </c>
      <c r="L3792" s="782" t="s">
        <v>227</v>
      </c>
    </row>
    <row r="3793" spans="6:12" ht="24" customHeight="1">
      <c r="F3793" s="771"/>
      <c r="G3793" s="1086"/>
      <c r="H3793" s="1087"/>
      <c r="I3793" s="771"/>
      <c r="J3793" s="771"/>
      <c r="K3793" s="771"/>
      <c r="L3793" s="771"/>
    </row>
    <row r="3794" spans="6:12" ht="24" customHeight="1">
      <c r="F3794" s="776">
        <v>1</v>
      </c>
      <c r="G3794" s="774" t="s">
        <v>209</v>
      </c>
      <c r="H3794" s="777" t="s">
        <v>1827</v>
      </c>
      <c r="I3794" s="776">
        <f>AE17</f>
        <v>679</v>
      </c>
      <c r="J3794" s="777" t="s">
        <v>209</v>
      </c>
      <c r="K3794" s="776">
        <f>I3794*F3794</f>
        <v>679</v>
      </c>
      <c r="L3794" s="771"/>
    </row>
    <row r="3795" spans="6:12" ht="24" customHeight="1">
      <c r="F3795" s="776">
        <v>1</v>
      </c>
      <c r="G3795" s="774" t="s">
        <v>209</v>
      </c>
      <c r="H3795" s="777" t="s">
        <v>1828</v>
      </c>
      <c r="I3795" s="776">
        <f>AE11</f>
        <v>502</v>
      </c>
      <c r="J3795" s="777" t="s">
        <v>209</v>
      </c>
      <c r="K3795" s="776">
        <f>I3795*F3795</f>
        <v>502</v>
      </c>
      <c r="L3795" s="771"/>
    </row>
    <row r="3796" spans="6:12" ht="24" customHeight="1">
      <c r="F3796" s="776">
        <v>0.5</v>
      </c>
      <c r="G3796" s="774" t="s">
        <v>209</v>
      </c>
      <c r="H3796" s="777" t="s">
        <v>1829</v>
      </c>
      <c r="I3796" s="776">
        <f>AE20</f>
        <v>718</v>
      </c>
      <c r="J3796" s="777" t="s">
        <v>209</v>
      </c>
      <c r="K3796" s="776">
        <f>I3796*F3796</f>
        <v>359</v>
      </c>
      <c r="L3796" s="771"/>
    </row>
    <row r="3797" spans="6:12" ht="24" customHeight="1">
      <c r="F3797" s="771"/>
      <c r="G3797" s="774" t="s">
        <v>129</v>
      </c>
      <c r="H3797" s="777"/>
      <c r="I3797" s="776"/>
      <c r="J3797" s="777" t="s">
        <v>129</v>
      </c>
      <c r="K3797" s="776"/>
      <c r="L3797" s="771"/>
    </row>
    <row r="3798" spans="6:12" ht="24" customHeight="1">
      <c r="F3798" s="768"/>
      <c r="G3798" s="771"/>
      <c r="H3798" s="779"/>
      <c r="I3798" s="771"/>
      <c r="J3798" s="771"/>
      <c r="K3798" s="785" t="s">
        <v>117</v>
      </c>
      <c r="L3798" s="1043"/>
    </row>
    <row r="3799" spans="6:12" ht="24" customHeight="1">
      <c r="F3799" s="768"/>
      <c r="G3799" s="771"/>
      <c r="H3799" s="779"/>
      <c r="I3799" s="777" t="s">
        <v>1830</v>
      </c>
      <c r="J3799" s="771"/>
      <c r="K3799" s="780">
        <f>SUM(K3794:K3798)</f>
        <v>1540</v>
      </c>
      <c r="L3799" s="1043"/>
    </row>
    <row r="3800" spans="6:12" ht="24" customHeight="1">
      <c r="F3800" s="768"/>
      <c r="G3800" s="771"/>
      <c r="H3800" s="779"/>
      <c r="I3800" s="771"/>
      <c r="J3800" s="771"/>
      <c r="K3800" s="785" t="s">
        <v>117</v>
      </c>
      <c r="L3800" s="1043"/>
    </row>
    <row r="3801" spans="6:12" ht="24" customHeight="1">
      <c r="F3801" s="768"/>
      <c r="G3801" s="768"/>
      <c r="H3801" s="768"/>
      <c r="I3801" s="768"/>
      <c r="J3801" s="768"/>
      <c r="K3801" s="579"/>
      <c r="L3801" s="768"/>
    </row>
    <row r="3802" spans="6:12" ht="24" customHeight="1">
      <c r="F3802" s="620"/>
      <c r="G3802" s="585" t="s">
        <v>122</v>
      </c>
      <c r="H3802" s="573" t="s">
        <v>1672</v>
      </c>
    </row>
    <row r="3803" spans="6:12" ht="24" customHeight="1">
      <c r="H3803" s="573"/>
    </row>
    <row r="3804" spans="6:12" ht="24" customHeight="1">
      <c r="H3804" s="582" t="s">
        <v>117</v>
      </c>
    </row>
    <row r="3805" spans="6:12" ht="24" customHeight="1">
      <c r="F3805" s="587">
        <v>1.86</v>
      </c>
      <c r="G3805" s="585" t="s">
        <v>140</v>
      </c>
      <c r="H3805" s="573" t="s">
        <v>1673</v>
      </c>
      <c r="I3805" s="629">
        <v>699.4</v>
      </c>
      <c r="J3805" s="573" t="s">
        <v>140</v>
      </c>
      <c r="K3805" s="587">
        <f>(F3805*I3805)</f>
        <v>1300.884</v>
      </c>
    </row>
    <row r="3806" spans="6:12" ht="24" customHeight="1">
      <c r="F3806" s="587">
        <v>0.4</v>
      </c>
      <c r="G3806" s="585" t="s">
        <v>148</v>
      </c>
      <c r="H3806" s="573" t="s">
        <v>1641</v>
      </c>
      <c r="I3806" s="754">
        <f>I3462</f>
        <v>36.1</v>
      </c>
      <c r="J3806" s="573" t="s">
        <v>148</v>
      </c>
      <c r="K3806" s="587">
        <f>(F3806*I3806)</f>
        <v>14.440000000000001</v>
      </c>
    </row>
    <row r="3807" spans="6:12" ht="24" customHeight="1">
      <c r="F3807" s="587">
        <v>0.02</v>
      </c>
      <c r="G3807" s="585" t="s">
        <v>126</v>
      </c>
      <c r="H3807" s="573" t="s">
        <v>1664</v>
      </c>
      <c r="I3807" s="587">
        <f>K23</f>
        <v>5585.8</v>
      </c>
      <c r="J3807" s="573" t="s">
        <v>126</v>
      </c>
      <c r="K3807" s="587">
        <f>(F3807*I3807)</f>
        <v>111.71600000000001</v>
      </c>
    </row>
    <row r="3808" spans="6:12" ht="24" customHeight="1">
      <c r="F3808" s="587">
        <v>1</v>
      </c>
      <c r="G3808" s="585" t="s">
        <v>1</v>
      </c>
      <c r="H3808" s="573" t="s">
        <v>144</v>
      </c>
      <c r="I3808" s="587">
        <f>I3748</f>
        <v>769</v>
      </c>
      <c r="J3808" s="573" t="s">
        <v>1</v>
      </c>
      <c r="K3808" s="587">
        <f>(F3808*I3808)</f>
        <v>769</v>
      </c>
    </row>
    <row r="3809" spans="6:11" ht="24" customHeight="1">
      <c r="F3809" s="587">
        <v>1</v>
      </c>
      <c r="G3809" s="585" t="s">
        <v>1</v>
      </c>
      <c r="H3809" s="573" t="s">
        <v>1666</v>
      </c>
      <c r="I3809" s="587">
        <f>I3795</f>
        <v>502</v>
      </c>
      <c r="J3809" s="573" t="s">
        <v>1</v>
      </c>
      <c r="K3809" s="587">
        <f>(F3809*I3809)</f>
        <v>502</v>
      </c>
    </row>
    <row r="3810" spans="6:11" ht="24" customHeight="1">
      <c r="G3810" s="585" t="s">
        <v>129</v>
      </c>
      <c r="H3810" s="573" t="s">
        <v>130</v>
      </c>
      <c r="J3810" s="573" t="s">
        <v>129</v>
      </c>
      <c r="K3810" s="587"/>
    </row>
    <row r="3811" spans="6:11" ht="24" customHeight="1">
      <c r="K3811" s="582" t="s">
        <v>117</v>
      </c>
    </row>
    <row r="3812" spans="6:11" ht="24" customHeight="1">
      <c r="H3812" s="573" t="s">
        <v>1669</v>
      </c>
      <c r="K3812" s="587">
        <f>SUM(K3805:K3810)</f>
        <v>2698.04</v>
      </c>
    </row>
    <row r="3813" spans="6:11" ht="24" customHeight="1">
      <c r="K3813" s="582" t="s">
        <v>117</v>
      </c>
    </row>
    <row r="3814" spans="6:11" ht="24" customHeight="1">
      <c r="H3814" s="589" t="s">
        <v>154</v>
      </c>
      <c r="K3814" s="586">
        <f>(K3812/1.86)</f>
        <v>1450.5591397849462</v>
      </c>
    </row>
    <row r="3815" spans="6:11" ht="24" customHeight="1">
      <c r="K3815" s="582" t="s">
        <v>155</v>
      </c>
    </row>
    <row r="3817" spans="6:11" ht="24" customHeight="1">
      <c r="F3817" s="620"/>
      <c r="G3817" s="585" t="s">
        <v>122</v>
      </c>
      <c r="H3817" s="573" t="s">
        <v>1670</v>
      </c>
    </row>
    <row r="3818" spans="6:11" ht="24" customHeight="1">
      <c r="H3818" s="573"/>
    </row>
    <row r="3819" spans="6:11" ht="24" customHeight="1">
      <c r="H3819" s="573"/>
    </row>
    <row r="3820" spans="6:11" ht="24" customHeight="1">
      <c r="H3820" s="582" t="s">
        <v>117</v>
      </c>
      <c r="I3820" s="582" t="s">
        <v>117</v>
      </c>
    </row>
    <row r="3821" spans="6:11" ht="36" customHeight="1">
      <c r="F3821" s="587">
        <v>10</v>
      </c>
      <c r="G3821" s="585" t="s">
        <v>140</v>
      </c>
      <c r="H3821" s="637" t="s">
        <v>1671</v>
      </c>
      <c r="I3821" s="629">
        <v>538.21</v>
      </c>
      <c r="J3821" s="573" t="s">
        <v>140</v>
      </c>
      <c r="K3821" s="587">
        <f>(F3821*I3821)</f>
        <v>5382.1</v>
      </c>
    </row>
    <row r="3822" spans="6:11" ht="32.25" customHeight="1">
      <c r="F3822" s="587">
        <v>0.21</v>
      </c>
      <c r="G3822" s="585" t="s">
        <v>126</v>
      </c>
      <c r="H3822" s="573" t="s">
        <v>142</v>
      </c>
      <c r="I3822" s="629">
        <f>I3455</f>
        <v>4193.8</v>
      </c>
      <c r="J3822" s="573" t="s">
        <v>126</v>
      </c>
      <c r="K3822" s="587">
        <f>(F3822*I3822)</f>
        <v>880.69799999999998</v>
      </c>
    </row>
    <row r="3823" spans="6:11" ht="24" customHeight="1">
      <c r="H3823" s="573" t="s">
        <v>160</v>
      </c>
      <c r="I3823" s="629"/>
      <c r="K3823" s="573" t="s">
        <v>115</v>
      </c>
    </row>
    <row r="3824" spans="6:11" ht="24" customHeight="1">
      <c r="F3824" s="587">
        <v>1.1000000000000001</v>
      </c>
      <c r="G3824" s="585" t="s">
        <v>1</v>
      </c>
      <c r="H3824" s="573" t="s">
        <v>144</v>
      </c>
      <c r="I3824" s="629">
        <f>I3457</f>
        <v>769</v>
      </c>
      <c r="J3824" s="573" t="s">
        <v>1</v>
      </c>
      <c r="K3824" s="587">
        <f>(F3824*I3824)</f>
        <v>845.90000000000009</v>
      </c>
    </row>
    <row r="3825" spans="5:11" ht="24" customHeight="1">
      <c r="F3825" s="587">
        <v>1.1000000000000001</v>
      </c>
      <c r="G3825" s="585" t="s">
        <v>1</v>
      </c>
      <c r="H3825" s="573" t="s">
        <v>145</v>
      </c>
      <c r="I3825" s="629">
        <f t="shared" ref="I3825:I3832" si="346">I3458</f>
        <v>718</v>
      </c>
      <c r="J3825" s="573" t="s">
        <v>1</v>
      </c>
      <c r="K3825" s="587">
        <f>(F3825*I3825)</f>
        <v>789.80000000000007</v>
      </c>
    </row>
    <row r="3826" spans="5:11" ht="24" customHeight="1">
      <c r="F3826" s="587">
        <v>2.2000000000000002</v>
      </c>
      <c r="G3826" s="585" t="s">
        <v>1</v>
      </c>
      <c r="H3826" s="573" t="s">
        <v>146</v>
      </c>
      <c r="I3826" s="629">
        <f t="shared" si="346"/>
        <v>502</v>
      </c>
      <c r="J3826" s="573" t="s">
        <v>1</v>
      </c>
      <c r="K3826" s="587">
        <f>(F3826*I3826)</f>
        <v>1104.4000000000001</v>
      </c>
    </row>
    <row r="3827" spans="5:11" ht="24" customHeight="1">
      <c r="F3827" s="587">
        <v>2.2000000000000002</v>
      </c>
      <c r="G3827" s="585" t="s">
        <v>1</v>
      </c>
      <c r="H3827" s="573" t="s">
        <v>147</v>
      </c>
      <c r="I3827" s="629">
        <f t="shared" si="346"/>
        <v>412</v>
      </c>
      <c r="J3827" s="573" t="s">
        <v>1</v>
      </c>
      <c r="K3827" s="587">
        <f>(F3827*I3827)</f>
        <v>906.40000000000009</v>
      </c>
    </row>
    <row r="3828" spans="5:11" ht="24" customHeight="1">
      <c r="F3828" s="617">
        <v>20</v>
      </c>
      <c r="G3828" s="585" t="s">
        <v>148</v>
      </c>
      <c r="H3828" s="573" t="s">
        <v>125</v>
      </c>
      <c r="I3828" s="629">
        <f t="shared" si="346"/>
        <v>5800</v>
      </c>
      <c r="J3828" s="573" t="s">
        <v>124</v>
      </c>
      <c r="K3828" s="587">
        <f>(F3828*I3828)/1000</f>
        <v>116</v>
      </c>
    </row>
    <row r="3829" spans="5:11" ht="24" customHeight="1">
      <c r="F3829" s="617">
        <v>2</v>
      </c>
      <c r="G3829" s="585" t="s">
        <v>148</v>
      </c>
      <c r="H3829" s="573" t="s">
        <v>1641</v>
      </c>
      <c r="I3829" s="629">
        <f t="shared" si="346"/>
        <v>36.1</v>
      </c>
      <c r="J3829" s="573" t="s">
        <v>148</v>
      </c>
      <c r="K3829" s="587">
        <f>(F3829*I3829)</f>
        <v>72.2</v>
      </c>
    </row>
    <row r="3830" spans="5:11" ht="24" customHeight="1">
      <c r="F3830" s="587">
        <v>1.6</v>
      </c>
      <c r="G3830" s="585" t="s">
        <v>1</v>
      </c>
      <c r="H3830" s="573" t="s">
        <v>145</v>
      </c>
      <c r="I3830" s="629">
        <f t="shared" si="346"/>
        <v>718</v>
      </c>
      <c r="J3830" s="573" t="s">
        <v>1</v>
      </c>
      <c r="K3830" s="587">
        <f>(F3830*I3830)</f>
        <v>1148.8</v>
      </c>
    </row>
    <row r="3831" spans="5:11" ht="24" customHeight="1">
      <c r="F3831" s="587">
        <v>0.5</v>
      </c>
      <c r="G3831" s="585" t="s">
        <v>1</v>
      </c>
      <c r="H3831" s="573" t="s">
        <v>146</v>
      </c>
      <c r="I3831" s="629">
        <f t="shared" si="346"/>
        <v>502</v>
      </c>
      <c r="J3831" s="573" t="s">
        <v>1</v>
      </c>
      <c r="K3831" s="587">
        <f>(F3831*I3831)</f>
        <v>251</v>
      </c>
    </row>
    <row r="3832" spans="5:11" ht="24" customHeight="1">
      <c r="F3832" s="587">
        <v>1.1000000000000001</v>
      </c>
      <c r="G3832" s="585" t="s">
        <v>1</v>
      </c>
      <c r="H3832" s="573" t="s">
        <v>147</v>
      </c>
      <c r="I3832" s="629">
        <f t="shared" si="346"/>
        <v>412</v>
      </c>
      <c r="J3832" s="573" t="s">
        <v>1</v>
      </c>
      <c r="K3832" s="587">
        <f>(F3832*I3832)</f>
        <v>453.20000000000005</v>
      </c>
    </row>
    <row r="3833" spans="5:11" ht="24" customHeight="1">
      <c r="G3833" s="585" t="s">
        <v>129</v>
      </c>
      <c r="H3833" s="573" t="s">
        <v>130</v>
      </c>
      <c r="J3833" s="573" t="s">
        <v>129</v>
      </c>
      <c r="K3833" s="587">
        <v>0</v>
      </c>
    </row>
    <row r="3834" spans="5:11" ht="24" customHeight="1">
      <c r="K3834" s="582" t="s">
        <v>117</v>
      </c>
    </row>
    <row r="3835" spans="5:11" ht="24" customHeight="1">
      <c r="H3835" s="573" t="s">
        <v>153</v>
      </c>
      <c r="K3835" s="587">
        <f>SUM(K3821:K3833)</f>
        <v>11950.498000000001</v>
      </c>
    </row>
    <row r="3836" spans="5:11" ht="24" customHeight="1">
      <c r="K3836" s="582" t="s">
        <v>117</v>
      </c>
    </row>
    <row r="3837" spans="5:11" ht="24" customHeight="1">
      <c r="F3837" s="579"/>
      <c r="G3837" s="575"/>
      <c r="H3837" s="589" t="s">
        <v>154</v>
      </c>
      <c r="K3837" s="586">
        <f>(K3835/10)</f>
        <v>1195.0498000000002</v>
      </c>
    </row>
    <row r="3838" spans="5:11" ht="24" customHeight="1">
      <c r="F3838" s="579"/>
      <c r="G3838" s="575"/>
      <c r="K3838" s="582" t="s">
        <v>155</v>
      </c>
    </row>
    <row r="3840" spans="5:11" ht="24" customHeight="1">
      <c r="E3840" s="686"/>
      <c r="F3840" s="717"/>
      <c r="G3840" s="619" t="s">
        <v>2959</v>
      </c>
      <c r="H3840" s="686"/>
      <c r="I3840" s="718">
        <f>1.2*0.8</f>
        <v>0.96</v>
      </c>
      <c r="J3840" s="686"/>
      <c r="K3840" s="579"/>
    </row>
    <row r="3841" spans="5:11" ht="24" customHeight="1">
      <c r="E3841" s="686"/>
      <c r="F3841" s="717"/>
      <c r="G3841" s="686"/>
      <c r="H3841" s="686"/>
      <c r="I3841" s="718"/>
      <c r="J3841" s="686"/>
      <c r="K3841" s="579"/>
    </row>
    <row r="3842" spans="5:11" ht="24" customHeight="1">
      <c r="E3842" s="578" t="s">
        <v>2960</v>
      </c>
      <c r="F3842" s="718"/>
      <c r="G3842" s="718"/>
      <c r="H3842" s="720">
        <f>4*3.9</f>
        <v>15.6</v>
      </c>
      <c r="I3842" s="718" t="s">
        <v>1962</v>
      </c>
      <c r="J3842" s="718"/>
      <c r="K3842" s="579"/>
    </row>
    <row r="3843" spans="5:11" ht="24" customHeight="1">
      <c r="E3843" s="575" t="s">
        <v>2961</v>
      </c>
      <c r="F3843" s="717"/>
      <c r="G3843" s="686"/>
      <c r="H3843" s="686">
        <f>11*0.8*3.14</f>
        <v>27.632000000000005</v>
      </c>
      <c r="I3843" s="718" t="s">
        <v>1962</v>
      </c>
      <c r="J3843" s="718"/>
      <c r="K3843" s="579"/>
    </row>
    <row r="3844" spans="5:11" ht="24" customHeight="1">
      <c r="E3844" s="575" t="s">
        <v>2962</v>
      </c>
      <c r="F3844" s="717"/>
      <c r="G3844" s="686"/>
      <c r="H3844" s="686">
        <f>2*1.2*1.2</f>
        <v>2.88</v>
      </c>
      <c r="I3844" s="718" t="s">
        <v>1962</v>
      </c>
      <c r="J3844" s="718"/>
      <c r="K3844" s="579"/>
    </row>
    <row r="3845" spans="5:11" ht="24" customHeight="1">
      <c r="E3845" s="575" t="s">
        <v>2963</v>
      </c>
      <c r="F3845" s="717"/>
      <c r="G3845" s="686"/>
      <c r="H3845" s="686">
        <f>3*0.8*1.2</f>
        <v>2.8800000000000003</v>
      </c>
      <c r="I3845" s="718" t="s">
        <v>1962</v>
      </c>
      <c r="J3845" s="718"/>
      <c r="K3845" s="579"/>
    </row>
    <row r="3846" spans="5:11" ht="24" customHeight="1">
      <c r="E3846" s="575" t="s">
        <v>2964</v>
      </c>
      <c r="F3846" s="717"/>
      <c r="G3846" s="686"/>
      <c r="H3846" s="686">
        <v>5</v>
      </c>
      <c r="I3846" s="718"/>
      <c r="J3846" s="718"/>
      <c r="K3846" s="579"/>
    </row>
    <row r="3847" spans="5:11" ht="24" customHeight="1">
      <c r="E3847" s="686"/>
      <c r="F3847" s="717"/>
      <c r="G3847" s="686"/>
      <c r="H3847" s="721" t="s">
        <v>2327</v>
      </c>
      <c r="I3847" s="718"/>
      <c r="J3847" s="718"/>
      <c r="K3847" s="579"/>
    </row>
    <row r="3848" spans="5:11" ht="24" customHeight="1">
      <c r="E3848" s="686"/>
      <c r="F3848" s="717"/>
      <c r="G3848" s="686"/>
      <c r="H3848" s="716">
        <f>SUM(H3842:H3846)</f>
        <v>53.992000000000012</v>
      </c>
      <c r="I3848" s="718" t="s">
        <v>1962</v>
      </c>
      <c r="J3848" s="718">
        <f>H3848-51.7</f>
        <v>2.2920000000000087</v>
      </c>
      <c r="K3848" s="579"/>
    </row>
    <row r="3849" spans="5:11" ht="24" customHeight="1">
      <c r="E3849" s="686"/>
      <c r="F3849" s="717"/>
      <c r="G3849" s="686"/>
      <c r="H3849" s="721" t="s">
        <v>2327</v>
      </c>
      <c r="I3849" s="718"/>
      <c r="J3849" s="686"/>
      <c r="K3849" s="579"/>
    </row>
    <row r="3850" spans="5:11" ht="24" customHeight="1">
      <c r="E3850" s="686"/>
      <c r="F3850" s="717"/>
      <c r="G3850" s="686"/>
      <c r="H3850" s="686"/>
      <c r="I3850" s="718"/>
      <c r="J3850" s="686"/>
      <c r="K3850" s="579"/>
    </row>
    <row r="3851" spans="5:11" ht="24" customHeight="1">
      <c r="E3851" s="686"/>
      <c r="F3851" s="717"/>
      <c r="G3851" s="686"/>
      <c r="H3851" s="686"/>
      <c r="I3851" s="718"/>
      <c r="J3851" s="686"/>
      <c r="K3851" s="579"/>
    </row>
    <row r="3852" spans="5:11" ht="24" customHeight="1">
      <c r="E3852" s="720">
        <f>H3848</f>
        <v>53.992000000000012</v>
      </c>
      <c r="F3852" s="717" t="s">
        <v>148</v>
      </c>
      <c r="G3852" s="686" t="s">
        <v>2317</v>
      </c>
      <c r="H3852" s="686">
        <f>I2607</f>
        <v>54.5</v>
      </c>
      <c r="I3852" s="718" t="s">
        <v>148</v>
      </c>
      <c r="J3852" s="686">
        <f>H3852*E3852</f>
        <v>2942.5640000000008</v>
      </c>
      <c r="K3852" s="579"/>
    </row>
    <row r="3853" spans="5:11" ht="24" customHeight="1">
      <c r="E3853" s="720">
        <v>0.96</v>
      </c>
      <c r="F3853" s="717" t="s">
        <v>174</v>
      </c>
      <c r="G3853" s="686" t="s">
        <v>2318</v>
      </c>
      <c r="H3853" s="686">
        <f>I2608</f>
        <v>295</v>
      </c>
      <c r="I3853" s="718" t="s">
        <v>174</v>
      </c>
      <c r="J3853" s="686">
        <f>H3853*E3853</f>
        <v>283.2</v>
      </c>
      <c r="K3853" s="579"/>
    </row>
    <row r="3854" spans="5:11" ht="24" customHeight="1">
      <c r="E3854" s="720">
        <v>0.96</v>
      </c>
      <c r="F3854" s="717" t="s">
        <v>174</v>
      </c>
      <c r="G3854" s="686" t="s">
        <v>2337</v>
      </c>
      <c r="H3854" s="686">
        <f>I2609</f>
        <v>31.65</v>
      </c>
      <c r="I3854" s="718" t="s">
        <v>174</v>
      </c>
      <c r="J3854" s="686">
        <f>H3854*E3854</f>
        <v>30.383999999999997</v>
      </c>
      <c r="K3854" s="579"/>
    </row>
    <row r="3855" spans="5:11" ht="24" customHeight="1">
      <c r="E3855" s="686"/>
      <c r="F3855" s="717"/>
      <c r="G3855" s="686" t="s">
        <v>2338</v>
      </c>
      <c r="H3855" s="686">
        <f>I2610</f>
        <v>266.81</v>
      </c>
      <c r="I3855" s="718" t="s">
        <v>129</v>
      </c>
      <c r="J3855" s="686">
        <f>H3855</f>
        <v>266.81</v>
      </c>
      <c r="K3855" s="579"/>
    </row>
    <row r="3856" spans="5:11" ht="24" customHeight="1">
      <c r="E3856" s="686"/>
      <c r="F3856" s="717"/>
      <c r="G3856" s="686"/>
      <c r="H3856" s="686"/>
      <c r="I3856" s="718"/>
      <c r="J3856" s="721" t="s">
        <v>1586</v>
      </c>
      <c r="K3856" s="579"/>
    </row>
    <row r="3857" spans="5:11" ht="24" customHeight="1">
      <c r="E3857" s="686"/>
      <c r="F3857" s="717"/>
      <c r="G3857" s="619" t="s">
        <v>2321</v>
      </c>
      <c r="H3857" s="686"/>
      <c r="I3857" s="718"/>
      <c r="J3857" s="619">
        <f>SUM(J3852:J3856)</f>
        <v>3522.9580000000005</v>
      </c>
      <c r="K3857" s="579"/>
    </row>
    <row r="3858" spans="5:11" ht="24" customHeight="1">
      <c r="E3858" s="686"/>
      <c r="F3858" s="717"/>
      <c r="G3858" s="686"/>
      <c r="H3858" s="686"/>
      <c r="I3858" s="718"/>
      <c r="J3858" s="721" t="s">
        <v>1586</v>
      </c>
      <c r="K3858" s="579"/>
    </row>
    <row r="3859" spans="5:11" ht="24" customHeight="1">
      <c r="E3859" s="686"/>
      <c r="F3859" s="717"/>
      <c r="G3859" s="764" t="s">
        <v>2328</v>
      </c>
      <c r="H3859" s="686"/>
      <c r="I3859" s="718"/>
      <c r="J3859" s="619">
        <f>J3857/E3853</f>
        <v>3669.7479166666672</v>
      </c>
      <c r="K3859" s="579"/>
    </row>
    <row r="3860" spans="5:11" ht="24" customHeight="1">
      <c r="G3860" s="575"/>
      <c r="J3860" s="575"/>
      <c r="K3860" s="579"/>
    </row>
    <row r="3861" spans="5:11" ht="24" customHeight="1">
      <c r="E3861" s="686"/>
      <c r="F3861" s="717"/>
      <c r="G3861" s="619" t="s">
        <v>2965</v>
      </c>
      <c r="H3861" s="686"/>
      <c r="I3861" s="718">
        <f>1*0.8</f>
        <v>0.8</v>
      </c>
      <c r="J3861" s="686"/>
      <c r="K3861" s="579"/>
    </row>
    <row r="3862" spans="5:11" ht="24" customHeight="1">
      <c r="E3862" s="686"/>
      <c r="F3862" s="717"/>
      <c r="G3862" s="686"/>
      <c r="H3862" s="686"/>
      <c r="I3862" s="718"/>
      <c r="J3862" s="686"/>
      <c r="K3862" s="579"/>
    </row>
    <row r="3863" spans="5:11" ht="24" customHeight="1">
      <c r="E3863" s="578" t="s">
        <v>2966</v>
      </c>
      <c r="F3863" s="718"/>
      <c r="G3863" s="718"/>
      <c r="H3863" s="720">
        <f>3.6*3.9</f>
        <v>14.04</v>
      </c>
      <c r="I3863" s="718" t="s">
        <v>1962</v>
      </c>
      <c r="J3863" s="718"/>
      <c r="K3863" s="579"/>
    </row>
    <row r="3864" spans="5:11" ht="24" customHeight="1">
      <c r="E3864" s="575" t="s">
        <v>2967</v>
      </c>
      <c r="F3864" s="717"/>
      <c r="G3864" s="686"/>
      <c r="H3864" s="686">
        <f>9*0.8*3.14</f>
        <v>22.608000000000001</v>
      </c>
      <c r="I3864" s="718" t="s">
        <v>1962</v>
      </c>
      <c r="J3864" s="718"/>
      <c r="K3864" s="579"/>
    </row>
    <row r="3865" spans="5:11" ht="24" customHeight="1">
      <c r="E3865" s="575" t="s">
        <v>2968</v>
      </c>
      <c r="F3865" s="717"/>
      <c r="G3865" s="686"/>
      <c r="H3865" s="686">
        <f>2*1*1.2</f>
        <v>2.4</v>
      </c>
      <c r="I3865" s="718" t="s">
        <v>1962</v>
      </c>
      <c r="J3865" s="718"/>
      <c r="K3865" s="579"/>
    </row>
    <row r="3866" spans="5:11" ht="24" customHeight="1">
      <c r="E3866" s="575" t="s">
        <v>2963</v>
      </c>
      <c r="F3866" s="717"/>
      <c r="G3866" s="686"/>
      <c r="H3866" s="686">
        <f>3*0.8*1.2</f>
        <v>2.8800000000000003</v>
      </c>
      <c r="I3866" s="718" t="s">
        <v>1962</v>
      </c>
      <c r="J3866" s="718"/>
      <c r="K3866" s="579"/>
    </row>
    <row r="3867" spans="5:11" ht="24" customHeight="1">
      <c r="E3867" s="575" t="s">
        <v>2964</v>
      </c>
      <c r="F3867" s="717"/>
      <c r="G3867" s="686"/>
      <c r="H3867" s="686">
        <v>5</v>
      </c>
      <c r="I3867" s="718"/>
      <c r="J3867" s="718"/>
      <c r="K3867" s="579"/>
    </row>
    <row r="3868" spans="5:11" ht="24" customHeight="1">
      <c r="E3868" s="686"/>
      <c r="F3868" s="717"/>
      <c r="G3868" s="686"/>
      <c r="H3868" s="721" t="s">
        <v>2327</v>
      </c>
      <c r="I3868" s="718"/>
      <c r="J3868" s="718"/>
      <c r="K3868" s="579"/>
    </row>
    <row r="3869" spans="5:11" ht="24" customHeight="1">
      <c r="E3869" s="686"/>
      <c r="F3869" s="717"/>
      <c r="G3869" s="686"/>
      <c r="H3869" s="716">
        <f>SUM(H3863:H3867)</f>
        <v>46.927999999999997</v>
      </c>
      <c r="I3869" s="718" t="s">
        <v>1962</v>
      </c>
      <c r="J3869" s="718"/>
      <c r="K3869" s="579"/>
    </row>
    <row r="3870" spans="5:11" ht="24" customHeight="1">
      <c r="E3870" s="686"/>
      <c r="F3870" s="717"/>
      <c r="G3870" s="686"/>
      <c r="H3870" s="721" t="s">
        <v>2327</v>
      </c>
      <c r="I3870" s="718"/>
      <c r="J3870" s="686"/>
      <c r="K3870" s="579"/>
    </row>
    <row r="3871" spans="5:11" ht="24" customHeight="1">
      <c r="E3871" s="686"/>
      <c r="F3871" s="717"/>
      <c r="G3871" s="686"/>
      <c r="H3871" s="686"/>
      <c r="I3871" s="718"/>
      <c r="J3871" s="686"/>
      <c r="K3871" s="579"/>
    </row>
    <row r="3872" spans="5:11" ht="24" customHeight="1">
      <c r="E3872" s="686"/>
      <c r="F3872" s="717"/>
      <c r="G3872" s="686"/>
      <c r="H3872" s="686"/>
      <c r="I3872" s="718"/>
      <c r="J3872" s="686"/>
      <c r="K3872" s="579"/>
    </row>
    <row r="3873" spans="5:11" ht="24" customHeight="1">
      <c r="E3873" s="720">
        <f>H3869</f>
        <v>46.927999999999997</v>
      </c>
      <c r="F3873" s="717" t="s">
        <v>148</v>
      </c>
      <c r="G3873" s="686" t="s">
        <v>2317</v>
      </c>
      <c r="H3873" s="686">
        <f>H3852</f>
        <v>54.5</v>
      </c>
      <c r="I3873" s="718" t="s">
        <v>148</v>
      </c>
      <c r="J3873" s="686">
        <f>H3873*E3873</f>
        <v>2557.576</v>
      </c>
      <c r="K3873" s="579"/>
    </row>
    <row r="3874" spans="5:11" ht="24" customHeight="1">
      <c r="E3874" s="686">
        <v>0.8</v>
      </c>
      <c r="F3874" s="717" t="s">
        <v>174</v>
      </c>
      <c r="G3874" s="686" t="s">
        <v>2318</v>
      </c>
      <c r="H3874" s="686">
        <f>H3853</f>
        <v>295</v>
      </c>
      <c r="I3874" s="718" t="s">
        <v>174</v>
      </c>
      <c r="J3874" s="686">
        <f>H3874*E3874</f>
        <v>236</v>
      </c>
      <c r="K3874" s="579"/>
    </row>
    <row r="3875" spans="5:11" ht="24" customHeight="1">
      <c r="E3875" s="686">
        <v>0.8</v>
      </c>
      <c r="F3875" s="717" t="s">
        <v>174</v>
      </c>
      <c r="G3875" s="686" t="s">
        <v>2337</v>
      </c>
      <c r="H3875" s="686">
        <f>H3854</f>
        <v>31.65</v>
      </c>
      <c r="I3875" s="718" t="s">
        <v>174</v>
      </c>
      <c r="J3875" s="686">
        <f>H3875*E3875</f>
        <v>25.32</v>
      </c>
      <c r="K3875" s="579"/>
    </row>
    <row r="3876" spans="5:11" ht="24" customHeight="1">
      <c r="E3876" s="686"/>
      <c r="F3876" s="717"/>
      <c r="G3876" s="686" t="s">
        <v>2338</v>
      </c>
      <c r="H3876" s="686">
        <f>H3855</f>
        <v>266.81</v>
      </c>
      <c r="I3876" s="718" t="s">
        <v>129</v>
      </c>
      <c r="J3876" s="686">
        <v>47.1</v>
      </c>
      <c r="K3876" s="579"/>
    </row>
    <row r="3877" spans="5:11" ht="24" customHeight="1">
      <c r="E3877" s="686"/>
      <c r="F3877" s="717"/>
      <c r="G3877" s="686"/>
      <c r="H3877" s="686"/>
      <c r="I3877" s="718"/>
      <c r="J3877" s="721" t="s">
        <v>1586</v>
      </c>
      <c r="K3877" s="579"/>
    </row>
    <row r="3878" spans="5:11" ht="24" customHeight="1">
      <c r="E3878" s="686"/>
      <c r="F3878" s="717"/>
      <c r="G3878" s="619" t="s">
        <v>2321</v>
      </c>
      <c r="H3878" s="686"/>
      <c r="I3878" s="718"/>
      <c r="J3878" s="619">
        <f>SUM(J3873:J3877)</f>
        <v>2865.9960000000001</v>
      </c>
      <c r="K3878" s="579"/>
    </row>
    <row r="3879" spans="5:11" ht="24" customHeight="1">
      <c r="E3879" s="686"/>
      <c r="F3879" s="717"/>
      <c r="G3879" s="686"/>
      <c r="H3879" s="686"/>
      <c r="I3879" s="718"/>
      <c r="J3879" s="721" t="s">
        <v>1586</v>
      </c>
      <c r="K3879" s="579"/>
    </row>
    <row r="3880" spans="5:11" ht="24" customHeight="1">
      <c r="E3880" s="686"/>
      <c r="F3880" s="717"/>
      <c r="G3880" s="764" t="s">
        <v>2328</v>
      </c>
      <c r="H3880" s="686"/>
      <c r="I3880" s="718"/>
      <c r="J3880" s="619">
        <f>J3878/E3874</f>
        <v>3582.4949999999999</v>
      </c>
      <c r="K3880" s="579"/>
    </row>
    <row r="3881" spans="5:11" ht="24" customHeight="1">
      <c r="E3881" s="686" t="s">
        <v>2314</v>
      </c>
      <c r="F3881" s="717"/>
      <c r="G3881" s="686"/>
      <c r="H3881" s="686">
        <v>3.24</v>
      </c>
      <c r="I3881" s="718" t="s">
        <v>1962</v>
      </c>
      <c r="J3881" s="686"/>
      <c r="K3881" s="579"/>
    </row>
    <row r="3882" spans="5:11" ht="24" customHeight="1">
      <c r="E3882" s="686" t="s">
        <v>2315</v>
      </c>
      <c r="F3882" s="717"/>
      <c r="G3882" s="686"/>
      <c r="H3882" s="686">
        <v>2.16</v>
      </c>
      <c r="I3882" s="718" t="s">
        <v>1962</v>
      </c>
      <c r="J3882" s="686"/>
      <c r="K3882" s="579"/>
    </row>
    <row r="3883" spans="5:11" ht="24" customHeight="1">
      <c r="E3883" s="686"/>
      <c r="F3883" s="717"/>
      <c r="G3883" s="686"/>
      <c r="H3883" s="686"/>
      <c r="I3883" s="718"/>
      <c r="J3883" s="686"/>
      <c r="K3883" s="579"/>
    </row>
    <row r="3884" spans="5:11" ht="24" customHeight="1">
      <c r="E3884" s="686"/>
      <c r="F3884" s="717"/>
      <c r="G3884" s="686"/>
      <c r="H3884" s="721" t="s">
        <v>1586</v>
      </c>
      <c r="I3884" s="718"/>
      <c r="J3884" s="686"/>
      <c r="K3884" s="579"/>
    </row>
    <row r="3885" spans="5:11" ht="24" customHeight="1">
      <c r="E3885" s="686"/>
      <c r="F3885" s="717"/>
      <c r="G3885" s="686"/>
      <c r="H3885" s="686">
        <f>SUM(H3879:H3883)</f>
        <v>5.4</v>
      </c>
      <c r="I3885" s="718"/>
      <c r="J3885" s="686"/>
      <c r="K3885" s="579"/>
    </row>
    <row r="3886" spans="5:11" ht="24" customHeight="1">
      <c r="E3886" s="686"/>
      <c r="F3886" s="717"/>
      <c r="G3886" s="686"/>
      <c r="H3886" s="686" t="s">
        <v>2316</v>
      </c>
      <c r="I3886" s="718"/>
      <c r="J3886" s="686"/>
      <c r="K3886" s="579"/>
    </row>
    <row r="3887" spans="5:11" ht="24" customHeight="1">
      <c r="E3887" s="686"/>
      <c r="F3887" s="717"/>
      <c r="G3887" s="686"/>
      <c r="H3887" s="686"/>
      <c r="I3887" s="718"/>
      <c r="J3887" s="686"/>
      <c r="K3887" s="579"/>
    </row>
    <row r="3888" spans="5:11" ht="24" customHeight="1">
      <c r="E3888" s="686"/>
      <c r="F3888" s="717"/>
      <c r="G3888" s="686"/>
      <c r="H3888" s="686"/>
      <c r="I3888" s="718"/>
      <c r="J3888" s="686"/>
      <c r="K3888" s="579"/>
    </row>
    <row r="3889" spans="5:11" ht="24" customHeight="1">
      <c r="E3889" s="686">
        <v>42.81</v>
      </c>
      <c r="F3889" s="717" t="s">
        <v>148</v>
      </c>
      <c r="G3889" s="686" t="s">
        <v>2317</v>
      </c>
      <c r="H3889" s="686">
        <f>C3888</f>
        <v>0</v>
      </c>
      <c r="I3889" s="718" t="s">
        <v>148</v>
      </c>
      <c r="J3889" s="686">
        <f>H3889*E3889</f>
        <v>0</v>
      </c>
      <c r="K3889" s="579"/>
    </row>
    <row r="3890" spans="5:11" ht="24" customHeight="1">
      <c r="E3890" s="686">
        <v>0.77</v>
      </c>
      <c r="F3890" s="717" t="s">
        <v>174</v>
      </c>
      <c r="G3890" s="686" t="s">
        <v>2367</v>
      </c>
      <c r="H3890" s="686">
        <f>C3889</f>
        <v>0</v>
      </c>
      <c r="I3890" s="718" t="s">
        <v>174</v>
      </c>
      <c r="J3890" s="686">
        <f>H3890*E3890</f>
        <v>0</v>
      </c>
      <c r="K3890" s="579"/>
    </row>
    <row r="3891" spans="5:11" ht="24" customHeight="1">
      <c r="E3891" s="686">
        <v>0.77</v>
      </c>
      <c r="F3891" s="717" t="s">
        <v>174</v>
      </c>
      <c r="G3891" s="1088" t="s">
        <v>2319</v>
      </c>
      <c r="H3891" s="684">
        <f>C3890</f>
        <v>0</v>
      </c>
      <c r="I3891" s="718" t="s">
        <v>174</v>
      </c>
      <c r="J3891" s="686">
        <f>H3891*E3891</f>
        <v>0</v>
      </c>
      <c r="K3891" s="579"/>
    </row>
    <row r="3892" spans="5:11" ht="24" customHeight="1">
      <c r="E3892" s="686"/>
      <c r="F3892" s="717"/>
      <c r="G3892" s="686" t="s">
        <v>2320</v>
      </c>
      <c r="H3892" s="686">
        <f>46.62+0.48</f>
        <v>47.099999999999994</v>
      </c>
      <c r="I3892" s="718" t="s">
        <v>129</v>
      </c>
      <c r="J3892" s="686">
        <f>H3892</f>
        <v>47.099999999999994</v>
      </c>
      <c r="K3892" s="579"/>
    </row>
    <row r="3893" spans="5:11" ht="24" customHeight="1">
      <c r="E3893" s="686"/>
      <c r="F3893" s="717"/>
      <c r="G3893" s="686"/>
      <c r="H3893" s="686"/>
      <c r="I3893" s="718"/>
      <c r="J3893" s="721" t="s">
        <v>1586</v>
      </c>
      <c r="K3893" s="579"/>
    </row>
    <row r="3894" spans="5:11" ht="24" customHeight="1">
      <c r="E3894" s="686"/>
      <c r="F3894" s="717"/>
      <c r="G3894" s="619" t="s">
        <v>2321</v>
      </c>
      <c r="H3894" s="686"/>
      <c r="I3894" s="718"/>
      <c r="J3894" s="619">
        <f>SUM(J3889:J3892)</f>
        <v>47.099999999999994</v>
      </c>
      <c r="K3894" s="579"/>
    </row>
    <row r="3895" spans="5:11" ht="24" customHeight="1">
      <c r="E3895" s="686"/>
      <c r="F3895" s="717"/>
      <c r="G3895" s="686"/>
      <c r="H3895" s="686"/>
      <c r="I3895" s="718"/>
      <c r="J3895" s="721" t="s">
        <v>1586</v>
      </c>
      <c r="K3895" s="579"/>
    </row>
    <row r="3896" spans="5:11" ht="24" customHeight="1">
      <c r="F3896" s="576"/>
      <c r="G3896" s="1089">
        <f>1.285*0.6</f>
        <v>0.77099999999999991</v>
      </c>
      <c r="I3896" s="578"/>
      <c r="J3896" s="575">
        <f>J3894/G3896</f>
        <v>61.089494163424128</v>
      </c>
      <c r="K3896" s="579"/>
    </row>
    <row r="3897" spans="5:11" ht="24" customHeight="1">
      <c r="E3897" s="686">
        <f>C3890</f>
        <v>0</v>
      </c>
      <c r="G3897" s="578">
        <f>E3897*D3856</f>
        <v>0</v>
      </c>
      <c r="J3897" s="575"/>
      <c r="K3897" s="579"/>
    </row>
    <row r="3898" spans="5:11" ht="24" customHeight="1">
      <c r="E3898" s="686"/>
      <c r="G3898" s="578">
        <v>0.8</v>
      </c>
      <c r="J3898" s="575"/>
      <c r="K3898" s="579"/>
    </row>
    <row r="3899" spans="5:11" ht="24" customHeight="1">
      <c r="G3899" s="578">
        <f>SUM(G3895:G3898)</f>
        <v>1.571</v>
      </c>
      <c r="J3899" s="575"/>
      <c r="K3899" s="579"/>
    </row>
    <row r="3900" spans="5:11" ht="24" customHeight="1">
      <c r="G3900" s="578">
        <f>G3899/0.77</f>
        <v>2.04025974025974</v>
      </c>
      <c r="J3900" s="575"/>
      <c r="K3900" s="579"/>
    </row>
    <row r="3901" spans="5:11" ht="24" customHeight="1">
      <c r="G3901" s="575"/>
      <c r="H3901" s="619" t="s">
        <v>2969</v>
      </c>
      <c r="J3901" s="575"/>
      <c r="K3901" s="579"/>
    </row>
    <row r="3902" spans="5:11" ht="24" customHeight="1">
      <c r="F3902" s="574" t="s">
        <v>1409</v>
      </c>
      <c r="G3902" s="585" t="s">
        <v>122</v>
      </c>
      <c r="H3902" s="573" t="s">
        <v>1410</v>
      </c>
    </row>
    <row r="3903" spans="5:11" ht="24" customHeight="1">
      <c r="H3903" s="573" t="s">
        <v>1411</v>
      </c>
    </row>
    <row r="3904" spans="5:11" ht="24" customHeight="1">
      <c r="H3904" s="573" t="s">
        <v>1412</v>
      </c>
    </row>
    <row r="3905" spans="6:11" ht="24" customHeight="1">
      <c r="H3905" s="573" t="s">
        <v>1413</v>
      </c>
    </row>
    <row r="3906" spans="6:11" ht="24" customHeight="1">
      <c r="H3906" s="573" t="s">
        <v>1414</v>
      </c>
    </row>
    <row r="3907" spans="6:11" ht="24" customHeight="1">
      <c r="H3907" s="573" t="s">
        <v>1415</v>
      </c>
    </row>
    <row r="3908" spans="6:11" ht="24" customHeight="1">
      <c r="H3908" s="573" t="s">
        <v>1416</v>
      </c>
    </row>
    <row r="3909" spans="6:11" ht="24" customHeight="1">
      <c r="H3909" s="573" t="s">
        <v>1417</v>
      </c>
    </row>
    <row r="3910" spans="6:11" ht="24" customHeight="1">
      <c r="H3910" s="573" t="s">
        <v>1418</v>
      </c>
    </row>
    <row r="3911" spans="6:11" ht="24" customHeight="1">
      <c r="H3911" s="573" t="s">
        <v>1420</v>
      </c>
    </row>
    <row r="3912" spans="6:11" ht="24" customHeight="1">
      <c r="H3912" s="573" t="s">
        <v>1422</v>
      </c>
    </row>
    <row r="3913" spans="6:11" ht="24" customHeight="1">
      <c r="H3913" s="573" t="s">
        <v>1423</v>
      </c>
    </row>
    <row r="3914" spans="6:11" ht="24" customHeight="1">
      <c r="H3914" s="573" t="s">
        <v>1425</v>
      </c>
    </row>
    <row r="3915" spans="6:11" ht="24" customHeight="1">
      <c r="H3915" s="573" t="s">
        <v>1427</v>
      </c>
    </row>
    <row r="3918" spans="6:11" ht="24" customHeight="1">
      <c r="G3918" s="585" t="s">
        <v>1258</v>
      </c>
      <c r="H3918" s="574" t="s">
        <v>1431</v>
      </c>
    </row>
    <row r="3919" spans="6:11" ht="24" customHeight="1">
      <c r="H3919" s="574" t="s">
        <v>1434</v>
      </c>
    </row>
    <row r="3920" spans="6:11" ht="24" customHeight="1">
      <c r="F3920" s="651">
        <v>3.8100000000000002E-2</v>
      </c>
      <c r="G3920" s="585" t="s">
        <v>126</v>
      </c>
      <c r="H3920" s="573" t="s">
        <v>1424</v>
      </c>
      <c r="I3920" s="587">
        <f>K821</f>
        <v>7414.7209999999986</v>
      </c>
      <c r="J3920" s="573" t="s">
        <v>126</v>
      </c>
      <c r="K3920" s="587">
        <f>F3920*I3920</f>
        <v>282.50087009999999</v>
      </c>
    </row>
    <row r="3921" spans="6:11" ht="24" customHeight="1">
      <c r="F3921" s="699">
        <v>5.01</v>
      </c>
      <c r="G3921" s="585" t="s">
        <v>148</v>
      </c>
      <c r="H3921" s="573" t="s">
        <v>1426</v>
      </c>
      <c r="I3921" s="587">
        <f>K1608</f>
        <v>68782.5</v>
      </c>
      <c r="J3921" s="573" t="s">
        <v>124</v>
      </c>
      <c r="K3921" s="587">
        <f>F3921*I3921/1000</f>
        <v>344.600325</v>
      </c>
    </row>
    <row r="3922" spans="6:11" ht="24" customHeight="1">
      <c r="F3922" s="587">
        <v>3</v>
      </c>
      <c r="G3922" s="585" t="s">
        <v>209</v>
      </c>
      <c r="H3922" s="573" t="s">
        <v>1428</v>
      </c>
      <c r="I3922" s="649">
        <v>14.8</v>
      </c>
      <c r="J3922" s="573" t="s">
        <v>209</v>
      </c>
      <c r="K3922" s="587">
        <f t="shared" ref="K3922:K3929" si="347">F3922*I3922</f>
        <v>44.400000000000006</v>
      </c>
    </row>
    <row r="3923" spans="6:11" ht="24" customHeight="1">
      <c r="F3923" s="587">
        <v>12</v>
      </c>
      <c r="G3923" s="585" t="s">
        <v>209</v>
      </c>
      <c r="H3923" s="573" t="s">
        <v>1429</v>
      </c>
      <c r="I3923" s="649">
        <v>2</v>
      </c>
      <c r="J3923" s="573" t="s">
        <v>209</v>
      </c>
      <c r="K3923" s="587">
        <f t="shared" si="347"/>
        <v>24</v>
      </c>
    </row>
    <row r="3924" spans="6:11" ht="24" customHeight="1">
      <c r="F3924" s="587">
        <v>2</v>
      </c>
      <c r="G3924" s="585" t="s">
        <v>209</v>
      </c>
      <c r="H3924" s="573" t="s">
        <v>1430</v>
      </c>
      <c r="I3924" s="649">
        <v>4.9000000000000004</v>
      </c>
      <c r="J3924" s="573" t="s">
        <v>209</v>
      </c>
      <c r="K3924" s="587">
        <f t="shared" si="347"/>
        <v>9.8000000000000007</v>
      </c>
    </row>
    <row r="3925" spans="6:11" ht="24" customHeight="1">
      <c r="F3925" s="587">
        <v>6</v>
      </c>
      <c r="G3925" s="585" t="s">
        <v>209</v>
      </c>
      <c r="H3925" s="573" t="s">
        <v>1432</v>
      </c>
      <c r="I3925" s="649">
        <v>4.45</v>
      </c>
      <c r="J3925" s="573" t="s">
        <v>209</v>
      </c>
      <c r="K3925" s="587">
        <f t="shared" si="347"/>
        <v>26.700000000000003</v>
      </c>
    </row>
    <row r="3926" spans="6:11" ht="24" customHeight="1">
      <c r="F3926" s="587">
        <v>1</v>
      </c>
      <c r="G3926" s="585" t="s">
        <v>209</v>
      </c>
      <c r="H3926" s="573" t="s">
        <v>1435</v>
      </c>
      <c r="I3926" s="587">
        <f>I865</f>
        <v>769</v>
      </c>
      <c r="J3926" s="573" t="s">
        <v>209</v>
      </c>
      <c r="K3926" s="587">
        <f t="shared" si="347"/>
        <v>769</v>
      </c>
    </row>
    <row r="3927" spans="6:11" ht="24" customHeight="1">
      <c r="F3927" s="587">
        <v>1</v>
      </c>
      <c r="G3927" s="585" t="s">
        <v>209</v>
      </c>
      <c r="H3927" s="573" t="s">
        <v>1436</v>
      </c>
      <c r="I3927" s="587">
        <f>I866</f>
        <v>502</v>
      </c>
      <c r="J3927" s="573" t="s">
        <v>209</v>
      </c>
      <c r="K3927" s="587">
        <f t="shared" si="347"/>
        <v>502</v>
      </c>
    </row>
    <row r="3928" spans="6:11" ht="24" customHeight="1">
      <c r="F3928" s="587">
        <v>1</v>
      </c>
      <c r="G3928" s="585" t="s">
        <v>209</v>
      </c>
      <c r="H3928" s="573" t="s">
        <v>1437</v>
      </c>
      <c r="I3928" s="649">
        <v>25</v>
      </c>
      <c r="J3928" s="573" t="s">
        <v>209</v>
      </c>
      <c r="K3928" s="587">
        <f t="shared" si="347"/>
        <v>25</v>
      </c>
    </row>
    <row r="3929" spans="6:11" ht="24" customHeight="1">
      <c r="F3929" s="587">
        <v>0.5</v>
      </c>
      <c r="G3929" s="585" t="s">
        <v>209</v>
      </c>
      <c r="H3929" s="573" t="s">
        <v>1438</v>
      </c>
      <c r="I3929" s="587">
        <f>I868</f>
        <v>412</v>
      </c>
      <c r="J3929" s="573" t="s">
        <v>209</v>
      </c>
      <c r="K3929" s="587">
        <f t="shared" si="347"/>
        <v>206</v>
      </c>
    </row>
    <row r="3930" spans="6:11" ht="24" customHeight="1">
      <c r="G3930" s="585" t="s">
        <v>129</v>
      </c>
      <c r="H3930" s="573" t="s">
        <v>1439</v>
      </c>
      <c r="J3930" s="573" t="s">
        <v>129</v>
      </c>
      <c r="K3930" s="587">
        <v>1.1299999999999999</v>
      </c>
    </row>
    <row r="3931" spans="6:11" ht="24" customHeight="1">
      <c r="K3931" s="582" t="s">
        <v>117</v>
      </c>
    </row>
    <row r="3932" spans="6:11" ht="24" customHeight="1">
      <c r="H3932" s="589" t="s">
        <v>1440</v>
      </c>
      <c r="K3932" s="586">
        <f>SUM(K3920:K3930)</f>
        <v>2235.1311951000002</v>
      </c>
    </row>
    <row r="3933" spans="6:11" ht="24" customHeight="1">
      <c r="K3933" s="582" t="s">
        <v>117</v>
      </c>
    </row>
    <row r="3936" spans="6:11" ht="24" customHeight="1">
      <c r="G3936" s="585" t="s">
        <v>1196</v>
      </c>
      <c r="H3936" s="574" t="s">
        <v>1443</v>
      </c>
    </row>
    <row r="3937" spans="6:12" ht="24" customHeight="1">
      <c r="H3937" s="574" t="s">
        <v>1434</v>
      </c>
    </row>
    <row r="3938" spans="6:12" ht="46.5" customHeight="1">
      <c r="F3938" s="651">
        <v>3.6799999999999999E-2</v>
      </c>
      <c r="G3938" s="585" t="s">
        <v>126</v>
      </c>
      <c r="H3938" s="633" t="s">
        <v>2970</v>
      </c>
      <c r="I3938" s="587">
        <f t="shared" ref="I3938:I3945" si="348">I3920</f>
        <v>7414.7209999999986</v>
      </c>
      <c r="J3938" s="573" t="s">
        <v>126</v>
      </c>
      <c r="K3938" s="587">
        <f>F3938*I3938</f>
        <v>272.86173279999997</v>
      </c>
    </row>
    <row r="3939" spans="6:12" ht="24" customHeight="1">
      <c r="F3939" s="587">
        <v>4.87</v>
      </c>
      <c r="G3939" s="585" t="s">
        <v>148</v>
      </c>
      <c r="H3939" s="573" t="s">
        <v>1426</v>
      </c>
      <c r="I3939" s="587">
        <f t="shared" si="348"/>
        <v>68782.5</v>
      </c>
      <c r="J3939" s="573" t="s">
        <v>124</v>
      </c>
      <c r="K3939" s="587">
        <f>F3939*I3939/1000</f>
        <v>334.970775</v>
      </c>
    </row>
    <row r="3940" spans="6:12" ht="24" customHeight="1">
      <c r="F3940" s="587">
        <v>3</v>
      </c>
      <c r="G3940" s="585" t="s">
        <v>209</v>
      </c>
      <c r="H3940" s="573" t="s">
        <v>1428</v>
      </c>
      <c r="I3940" s="696">
        <f t="shared" si="348"/>
        <v>14.8</v>
      </c>
      <c r="J3940" s="573" t="s">
        <v>209</v>
      </c>
      <c r="K3940" s="587">
        <f t="shared" ref="K3940:K3947" si="349">F3940*I3940</f>
        <v>44.400000000000006</v>
      </c>
    </row>
    <row r="3941" spans="6:12" ht="24" customHeight="1">
      <c r="F3941" s="587">
        <v>12</v>
      </c>
      <c r="G3941" s="585" t="s">
        <v>209</v>
      </c>
      <c r="H3941" s="573" t="s">
        <v>1429</v>
      </c>
      <c r="I3941" s="696">
        <f t="shared" si="348"/>
        <v>2</v>
      </c>
      <c r="J3941" s="573" t="s">
        <v>209</v>
      </c>
      <c r="K3941" s="587">
        <f t="shared" si="349"/>
        <v>24</v>
      </c>
    </row>
    <row r="3942" spans="6:12" ht="24" customHeight="1">
      <c r="F3942" s="587">
        <v>2</v>
      </c>
      <c r="G3942" s="585" t="s">
        <v>209</v>
      </c>
      <c r="H3942" s="573" t="s">
        <v>1430</v>
      </c>
      <c r="I3942" s="696">
        <f t="shared" si="348"/>
        <v>4.9000000000000004</v>
      </c>
      <c r="J3942" s="573" t="s">
        <v>209</v>
      </c>
      <c r="K3942" s="587">
        <f t="shared" si="349"/>
        <v>9.8000000000000007</v>
      </c>
    </row>
    <row r="3943" spans="6:12" ht="24" customHeight="1">
      <c r="F3943" s="587">
        <v>6</v>
      </c>
      <c r="G3943" s="585" t="s">
        <v>209</v>
      </c>
      <c r="H3943" s="573" t="s">
        <v>1432</v>
      </c>
      <c r="I3943" s="696">
        <f t="shared" si="348"/>
        <v>4.45</v>
      </c>
      <c r="J3943" s="573" t="s">
        <v>209</v>
      </c>
      <c r="K3943" s="587">
        <f t="shared" si="349"/>
        <v>26.700000000000003</v>
      </c>
    </row>
    <row r="3944" spans="6:12" ht="24" customHeight="1">
      <c r="F3944" s="587">
        <v>1</v>
      </c>
      <c r="G3944" s="585" t="s">
        <v>209</v>
      </c>
      <c r="H3944" s="573" t="s">
        <v>1435</v>
      </c>
      <c r="I3944" s="587">
        <f t="shared" si="348"/>
        <v>769</v>
      </c>
      <c r="J3944" s="573" t="s">
        <v>209</v>
      </c>
      <c r="K3944" s="587">
        <f t="shared" si="349"/>
        <v>769</v>
      </c>
    </row>
    <row r="3945" spans="6:12" ht="24" customHeight="1">
      <c r="F3945" s="587">
        <v>1</v>
      </c>
      <c r="G3945" s="585" t="s">
        <v>209</v>
      </c>
      <c r="H3945" s="573" t="s">
        <v>1436</v>
      </c>
      <c r="I3945" s="587">
        <f t="shared" si="348"/>
        <v>502</v>
      </c>
      <c r="J3945" s="573" t="s">
        <v>209</v>
      </c>
      <c r="K3945" s="587">
        <f t="shared" si="349"/>
        <v>502</v>
      </c>
    </row>
    <row r="3946" spans="6:12" ht="24" customHeight="1">
      <c r="F3946" s="587">
        <v>1</v>
      </c>
      <c r="G3946" s="585" t="s">
        <v>209</v>
      </c>
      <c r="H3946" s="573" t="s">
        <v>1437</v>
      </c>
      <c r="I3946" s="700">
        <v>25</v>
      </c>
      <c r="J3946" s="573" t="s">
        <v>209</v>
      </c>
      <c r="K3946" s="587">
        <f t="shared" si="349"/>
        <v>25</v>
      </c>
    </row>
    <row r="3947" spans="6:12" ht="24" customHeight="1">
      <c r="F3947" s="587">
        <v>0.5</v>
      </c>
      <c r="G3947" s="585" t="s">
        <v>209</v>
      </c>
      <c r="H3947" s="573" t="s">
        <v>1438</v>
      </c>
      <c r="I3947" s="587">
        <f>I3929</f>
        <v>412</v>
      </c>
      <c r="J3947" s="573" t="s">
        <v>209</v>
      </c>
      <c r="K3947" s="587">
        <f t="shared" si="349"/>
        <v>206</v>
      </c>
    </row>
    <row r="3948" spans="6:12" ht="24" customHeight="1">
      <c r="G3948" s="585" t="s">
        <v>129</v>
      </c>
      <c r="H3948" s="573" t="s">
        <v>1439</v>
      </c>
      <c r="J3948" s="573" t="s">
        <v>129</v>
      </c>
      <c r="K3948" s="587">
        <f>1.9+0.08</f>
        <v>1.98</v>
      </c>
    </row>
    <row r="3949" spans="6:12" ht="24" customHeight="1">
      <c r="K3949" s="582" t="s">
        <v>117</v>
      </c>
    </row>
    <row r="3950" spans="6:12" ht="24" customHeight="1">
      <c r="H3950" s="589" t="s">
        <v>1440</v>
      </c>
      <c r="K3950" s="586">
        <f>SUM(K3938:K3948)</f>
        <v>2216.7125077999999</v>
      </c>
      <c r="L3950" s="575">
        <f>K3950-1729</f>
        <v>487.71250779999991</v>
      </c>
    </row>
    <row r="3951" spans="6:12" ht="24" customHeight="1">
      <c r="K3951" s="582" t="s">
        <v>117</v>
      </c>
    </row>
    <row r="3952" spans="6:12" ht="24" customHeight="1">
      <c r="F3952" s="574"/>
      <c r="G3952" s="585" t="s">
        <v>1225</v>
      </c>
      <c r="H3952" s="574" t="s">
        <v>1450</v>
      </c>
    </row>
    <row r="3953" spans="6:11" ht="24" customHeight="1">
      <c r="H3953" s="574" t="s">
        <v>1434</v>
      </c>
    </row>
    <row r="3954" spans="6:11" ht="24" customHeight="1">
      <c r="F3954" s="651">
        <v>3.5299999999999998E-2</v>
      </c>
      <c r="G3954" s="585" t="s">
        <v>126</v>
      </c>
      <c r="H3954" s="573" t="s">
        <v>1424</v>
      </c>
      <c r="I3954" s="587">
        <f t="shared" ref="I3954:I3959" si="350">I3938</f>
        <v>7414.7209999999986</v>
      </c>
      <c r="J3954" s="573" t="s">
        <v>126</v>
      </c>
      <c r="K3954" s="587">
        <f>F3954*I3954</f>
        <v>261.73965129999993</v>
      </c>
    </row>
    <row r="3955" spans="6:11" ht="24" customHeight="1">
      <c r="F3955" s="587">
        <v>4.59</v>
      </c>
      <c r="G3955" s="585" t="s">
        <v>148</v>
      </c>
      <c r="H3955" s="573" t="s">
        <v>1426</v>
      </c>
      <c r="I3955" s="587">
        <f t="shared" si="350"/>
        <v>68782.5</v>
      </c>
      <c r="J3955" s="573" t="s">
        <v>124</v>
      </c>
      <c r="K3955" s="587">
        <f>F3955*I3955/1000</f>
        <v>315.71167500000001</v>
      </c>
    </row>
    <row r="3956" spans="6:11" ht="24" customHeight="1">
      <c r="F3956" s="587">
        <v>3</v>
      </c>
      <c r="G3956" s="585" t="s">
        <v>209</v>
      </c>
      <c r="H3956" s="573" t="s">
        <v>1428</v>
      </c>
      <c r="I3956" s="696">
        <f t="shared" si="350"/>
        <v>14.8</v>
      </c>
      <c r="J3956" s="573" t="s">
        <v>209</v>
      </c>
      <c r="K3956" s="587">
        <f t="shared" ref="K3956:K3963" si="351">F3956*I3956</f>
        <v>44.400000000000006</v>
      </c>
    </row>
    <row r="3957" spans="6:11" ht="24" customHeight="1">
      <c r="F3957" s="587">
        <v>12</v>
      </c>
      <c r="G3957" s="585" t="s">
        <v>209</v>
      </c>
      <c r="H3957" s="573" t="s">
        <v>1429</v>
      </c>
      <c r="I3957" s="696">
        <f t="shared" si="350"/>
        <v>2</v>
      </c>
      <c r="J3957" s="573" t="s">
        <v>209</v>
      </c>
      <c r="K3957" s="587">
        <f t="shared" si="351"/>
        <v>24</v>
      </c>
    </row>
    <row r="3958" spans="6:11" ht="24" customHeight="1">
      <c r="F3958" s="587">
        <v>2</v>
      </c>
      <c r="G3958" s="585" t="s">
        <v>209</v>
      </c>
      <c r="H3958" s="587" t="str">
        <f>H3942</f>
        <v>TOWER BOLT RECEIVER</v>
      </c>
      <c r="I3958" s="696">
        <f t="shared" si="350"/>
        <v>4.9000000000000004</v>
      </c>
      <c r="J3958" s="573" t="s">
        <v>209</v>
      </c>
      <c r="K3958" s="587">
        <f t="shared" si="351"/>
        <v>9.8000000000000007</v>
      </c>
    </row>
    <row r="3959" spans="6:11" ht="24" customHeight="1">
      <c r="F3959" s="587">
        <v>6</v>
      </c>
      <c r="G3959" s="585" t="s">
        <v>209</v>
      </c>
      <c r="H3959" s="573" t="s">
        <v>1432</v>
      </c>
      <c r="I3959" s="696">
        <f t="shared" si="350"/>
        <v>4.45</v>
      </c>
      <c r="J3959" s="573" t="s">
        <v>209</v>
      </c>
      <c r="K3959" s="587">
        <f t="shared" si="351"/>
        <v>26.700000000000003</v>
      </c>
    </row>
    <row r="3960" spans="6:11" ht="24" customHeight="1">
      <c r="F3960" s="587">
        <v>1</v>
      </c>
      <c r="G3960" s="585" t="s">
        <v>209</v>
      </c>
      <c r="H3960" s="573" t="s">
        <v>1435</v>
      </c>
      <c r="I3960" s="587">
        <f>I3944</f>
        <v>769</v>
      </c>
      <c r="J3960" s="573" t="s">
        <v>209</v>
      </c>
      <c r="K3960" s="587">
        <f t="shared" si="351"/>
        <v>769</v>
      </c>
    </row>
    <row r="3961" spans="6:11" ht="24" customHeight="1">
      <c r="F3961" s="587">
        <v>1</v>
      </c>
      <c r="G3961" s="585" t="s">
        <v>209</v>
      </c>
      <c r="H3961" s="573" t="s">
        <v>1436</v>
      </c>
      <c r="I3961" s="587">
        <f>I3945</f>
        <v>502</v>
      </c>
      <c r="J3961" s="573" t="s">
        <v>209</v>
      </c>
      <c r="K3961" s="587">
        <f t="shared" si="351"/>
        <v>502</v>
      </c>
    </row>
    <row r="3962" spans="6:11" ht="24" customHeight="1">
      <c r="F3962" s="587">
        <v>1</v>
      </c>
      <c r="G3962" s="585" t="s">
        <v>209</v>
      </c>
      <c r="H3962" s="587" t="str">
        <f>H3946</f>
        <v>MOULDING CHARGES</v>
      </c>
      <c r="I3962" s="587">
        <f>I3946</f>
        <v>25</v>
      </c>
      <c r="J3962" s="573" t="s">
        <v>209</v>
      </c>
      <c r="K3962" s="587">
        <f t="shared" si="351"/>
        <v>25</v>
      </c>
    </row>
    <row r="3963" spans="6:11" ht="24" customHeight="1">
      <c r="F3963" s="587">
        <v>0.5</v>
      </c>
      <c r="G3963" s="585" t="s">
        <v>209</v>
      </c>
      <c r="H3963" s="573" t="s">
        <v>1438</v>
      </c>
      <c r="I3963" s="587">
        <f>I3947</f>
        <v>412</v>
      </c>
      <c r="J3963" s="573" t="s">
        <v>209</v>
      </c>
      <c r="K3963" s="587">
        <f t="shared" si="351"/>
        <v>206</v>
      </c>
    </row>
    <row r="3964" spans="6:11" ht="24" customHeight="1">
      <c r="G3964" s="585" t="s">
        <v>129</v>
      </c>
      <c r="H3964" s="573" t="s">
        <v>1439</v>
      </c>
      <c r="I3964" s="587">
        <f>I3948</f>
        <v>0</v>
      </c>
      <c r="J3964" s="573" t="s">
        <v>129</v>
      </c>
      <c r="K3964" s="587">
        <v>1.39</v>
      </c>
    </row>
    <row r="3965" spans="6:11" ht="24" customHeight="1">
      <c r="K3965" s="582" t="s">
        <v>117</v>
      </c>
    </row>
    <row r="3966" spans="6:11" ht="24" customHeight="1">
      <c r="H3966" s="589" t="s">
        <v>1440</v>
      </c>
      <c r="K3966" s="586">
        <f>SUM(K3954:K3964)</f>
        <v>2185.7413262999999</v>
      </c>
    </row>
    <row r="3967" spans="6:11" ht="24" customHeight="1">
      <c r="K3967" s="582" t="s">
        <v>117</v>
      </c>
    </row>
    <row r="3969" spans="6:11" ht="24" customHeight="1">
      <c r="G3969" s="575"/>
      <c r="H3969" s="574" t="s">
        <v>1421</v>
      </c>
      <c r="J3969" s="575"/>
      <c r="K3969" s="582"/>
    </row>
    <row r="3970" spans="6:11" ht="24" customHeight="1">
      <c r="G3970" s="575"/>
      <c r="J3970" s="575"/>
      <c r="K3970" s="582"/>
    </row>
    <row r="3971" spans="6:11" ht="24" customHeight="1">
      <c r="F3971" s="651">
        <v>6.5000000000000002E-2</v>
      </c>
      <c r="G3971" s="585" t="s">
        <v>126</v>
      </c>
      <c r="H3971" s="573" t="s">
        <v>1424</v>
      </c>
      <c r="I3971" s="587">
        <f>I3954</f>
        <v>7414.7209999999986</v>
      </c>
      <c r="J3971" s="573" t="s">
        <v>126</v>
      </c>
      <c r="K3971" s="587">
        <f>I3971*F3971</f>
        <v>481.95686499999994</v>
      </c>
    </row>
    <row r="3972" spans="6:11" ht="24" customHeight="1">
      <c r="F3972" s="698">
        <v>8.4499999999999993</v>
      </c>
      <c r="G3972" s="585" t="s">
        <v>148</v>
      </c>
      <c r="H3972" s="573" t="s">
        <v>1426</v>
      </c>
      <c r="I3972" s="587">
        <f t="shared" ref="I3972:I3981" si="352">I3955</f>
        <v>68782.5</v>
      </c>
      <c r="J3972" s="573" t="s">
        <v>124</v>
      </c>
      <c r="K3972" s="587">
        <f>I3972*F3972/1000</f>
        <v>581.21212500000001</v>
      </c>
    </row>
    <row r="3973" spans="6:11" ht="24" customHeight="1">
      <c r="F3973" s="587">
        <v>3</v>
      </c>
      <c r="G3973" s="585" t="s">
        <v>209</v>
      </c>
      <c r="H3973" s="573" t="s">
        <v>1428</v>
      </c>
      <c r="I3973" s="587">
        <f t="shared" si="352"/>
        <v>14.8</v>
      </c>
      <c r="J3973" s="573" t="s">
        <v>209</v>
      </c>
      <c r="K3973" s="587">
        <f t="shared" ref="K3973:K3980" si="353">I3973*F3973</f>
        <v>44.400000000000006</v>
      </c>
    </row>
    <row r="3974" spans="6:11" ht="24" customHeight="1">
      <c r="F3974" s="587">
        <v>12</v>
      </c>
      <c r="G3974" s="585" t="s">
        <v>209</v>
      </c>
      <c r="H3974" s="573" t="s">
        <v>1429</v>
      </c>
      <c r="I3974" s="587">
        <f t="shared" si="352"/>
        <v>2</v>
      </c>
      <c r="J3974" s="573" t="s">
        <v>209</v>
      </c>
      <c r="K3974" s="587">
        <f t="shared" si="353"/>
        <v>24</v>
      </c>
    </row>
    <row r="3975" spans="6:11" ht="24" customHeight="1">
      <c r="F3975" s="587">
        <v>2</v>
      </c>
      <c r="G3975" s="585" t="s">
        <v>209</v>
      </c>
      <c r="H3975" s="573" t="s">
        <v>1430</v>
      </c>
      <c r="I3975" s="587">
        <f t="shared" si="352"/>
        <v>4.9000000000000004</v>
      </c>
      <c r="J3975" s="573" t="s">
        <v>209</v>
      </c>
      <c r="K3975" s="587">
        <f t="shared" si="353"/>
        <v>9.8000000000000007</v>
      </c>
    </row>
    <row r="3976" spans="6:11" ht="24" customHeight="1">
      <c r="F3976" s="587">
        <v>6</v>
      </c>
      <c r="G3976" s="585" t="s">
        <v>209</v>
      </c>
      <c r="H3976" s="573" t="s">
        <v>1432</v>
      </c>
      <c r="I3976" s="587">
        <f t="shared" si="352"/>
        <v>4.45</v>
      </c>
      <c r="J3976" s="573" t="s">
        <v>209</v>
      </c>
      <c r="K3976" s="587">
        <f t="shared" si="353"/>
        <v>26.700000000000003</v>
      </c>
    </row>
    <row r="3977" spans="6:11" ht="24" customHeight="1">
      <c r="F3977" s="587">
        <v>1</v>
      </c>
      <c r="G3977" s="585" t="s">
        <v>209</v>
      </c>
      <c r="H3977" s="573" t="s">
        <v>1435</v>
      </c>
      <c r="I3977" s="587">
        <f t="shared" si="352"/>
        <v>769</v>
      </c>
      <c r="J3977" s="573" t="s">
        <v>209</v>
      </c>
      <c r="K3977" s="587">
        <f t="shared" si="353"/>
        <v>769</v>
      </c>
    </row>
    <row r="3978" spans="6:11" ht="24" customHeight="1">
      <c r="F3978" s="587">
        <v>1</v>
      </c>
      <c r="G3978" s="585" t="s">
        <v>209</v>
      </c>
      <c r="H3978" s="573" t="s">
        <v>1436</v>
      </c>
      <c r="I3978" s="587">
        <f t="shared" si="352"/>
        <v>502</v>
      </c>
      <c r="J3978" s="573" t="s">
        <v>209</v>
      </c>
      <c r="K3978" s="587">
        <f t="shared" si="353"/>
        <v>502</v>
      </c>
    </row>
    <row r="3979" spans="6:11" ht="24" customHeight="1">
      <c r="F3979" s="587">
        <v>1</v>
      </c>
      <c r="G3979" s="585" t="s">
        <v>209</v>
      </c>
      <c r="H3979" s="573" t="s">
        <v>1437</v>
      </c>
      <c r="I3979" s="587">
        <f t="shared" si="352"/>
        <v>25</v>
      </c>
      <c r="J3979" s="573" t="s">
        <v>209</v>
      </c>
      <c r="K3979" s="587">
        <f t="shared" si="353"/>
        <v>25</v>
      </c>
    </row>
    <row r="3980" spans="6:11" ht="24" customHeight="1">
      <c r="F3980" s="587">
        <v>0.5</v>
      </c>
      <c r="G3980" s="585" t="s">
        <v>209</v>
      </c>
      <c r="H3980" s="573" t="s">
        <v>1438</v>
      </c>
      <c r="I3980" s="587">
        <f t="shared" si="352"/>
        <v>412</v>
      </c>
      <c r="J3980" s="573" t="s">
        <v>209</v>
      </c>
      <c r="K3980" s="587">
        <f t="shared" si="353"/>
        <v>206</v>
      </c>
    </row>
    <row r="3981" spans="6:11" ht="24" customHeight="1">
      <c r="G3981" s="585" t="s">
        <v>129</v>
      </c>
      <c r="H3981" s="573" t="s">
        <v>1439</v>
      </c>
      <c r="I3981" s="587">
        <f t="shared" si="352"/>
        <v>0</v>
      </c>
      <c r="J3981" s="573" t="s">
        <v>129</v>
      </c>
      <c r="K3981" s="587">
        <v>2.1</v>
      </c>
    </row>
    <row r="3982" spans="6:11" ht="24" customHeight="1">
      <c r="K3982" s="582" t="s">
        <v>117</v>
      </c>
    </row>
    <row r="3983" spans="6:11" ht="24" customHeight="1">
      <c r="H3983" s="589" t="s">
        <v>1440</v>
      </c>
      <c r="K3983" s="645">
        <f>SUM(K3971:K3981)</f>
        <v>2672.1689899999997</v>
      </c>
    </row>
    <row r="3984" spans="6:11" ht="24" customHeight="1">
      <c r="K3984" s="582" t="s">
        <v>117</v>
      </c>
    </row>
    <row r="3985" spans="6:11" ht="24" customHeight="1">
      <c r="F3985" s="1452" t="s">
        <v>2971</v>
      </c>
      <c r="G3985" s="1452"/>
      <c r="H3985" s="1452"/>
      <c r="I3985" s="767"/>
      <c r="J3985" s="767"/>
    </row>
    <row r="3986" spans="6:11" ht="24" customHeight="1">
      <c r="F3986" s="579"/>
      <c r="H3986" s="729" t="s">
        <v>2972</v>
      </c>
    </row>
    <row r="3987" spans="6:11" ht="24" customHeight="1">
      <c r="F3987" s="617">
        <v>4.88</v>
      </c>
      <c r="G3987" s="585" t="s">
        <v>654</v>
      </c>
      <c r="H3987" s="573" t="s">
        <v>1711</v>
      </c>
      <c r="I3987" s="587">
        <f>AB1350</f>
        <v>287</v>
      </c>
      <c r="J3987" s="585" t="s">
        <v>654</v>
      </c>
      <c r="K3987" s="587">
        <f t="shared" ref="K3987:K3996" si="354">I3987*F3987</f>
        <v>1400.56</v>
      </c>
    </row>
    <row r="3988" spans="6:11" ht="24" customHeight="1">
      <c r="F3988" s="617">
        <v>7.76</v>
      </c>
      <c r="G3988" s="585" t="s">
        <v>654</v>
      </c>
      <c r="H3988" s="573" t="s">
        <v>1711</v>
      </c>
      <c r="I3988" s="587">
        <f>I3987</f>
        <v>287</v>
      </c>
      <c r="J3988" s="585" t="s">
        <v>654</v>
      </c>
      <c r="K3988" s="587">
        <f t="shared" si="354"/>
        <v>2227.12</v>
      </c>
    </row>
    <row r="3989" spans="6:11" ht="24" customHeight="1">
      <c r="F3989" s="617">
        <v>3.03</v>
      </c>
      <c r="G3989" s="585" t="s">
        <v>654</v>
      </c>
      <c r="H3989" s="573" t="s">
        <v>1711</v>
      </c>
      <c r="I3989" s="587">
        <f>I3988</f>
        <v>287</v>
      </c>
      <c r="J3989" s="585" t="s">
        <v>654</v>
      </c>
      <c r="K3989" s="587">
        <f t="shared" si="354"/>
        <v>869.6099999999999</v>
      </c>
    </row>
    <row r="3990" spans="6:11" ht="24" customHeight="1">
      <c r="F3990" s="617">
        <v>1.45</v>
      </c>
      <c r="G3990" s="585" t="s">
        <v>654</v>
      </c>
      <c r="H3990" s="573" t="s">
        <v>1711</v>
      </c>
      <c r="I3990" s="587">
        <f>I3989</f>
        <v>287</v>
      </c>
      <c r="J3990" s="585" t="s">
        <v>654</v>
      </c>
      <c r="K3990" s="587">
        <f t="shared" si="354"/>
        <v>416.15</v>
      </c>
    </row>
    <row r="3991" spans="6:11" ht="24" customHeight="1">
      <c r="F3991" s="617">
        <v>2.4300000000000002</v>
      </c>
      <c r="G3991" s="585" t="s">
        <v>110</v>
      </c>
      <c r="H3991" s="573" t="s">
        <v>1717</v>
      </c>
      <c r="I3991" s="587">
        <f>AB1354</f>
        <v>208.8</v>
      </c>
      <c r="J3991" s="585" t="s">
        <v>110</v>
      </c>
      <c r="K3991" s="587">
        <f t="shared" si="354"/>
        <v>507.38400000000007</v>
      </c>
    </row>
    <row r="3992" spans="6:11" ht="24" customHeight="1">
      <c r="F3992" s="617">
        <v>11.7</v>
      </c>
      <c r="G3992" s="585" t="s">
        <v>231</v>
      </c>
      <c r="H3992" s="573" t="s">
        <v>1720</v>
      </c>
      <c r="I3992" s="587">
        <f>AB1355</f>
        <v>28.6</v>
      </c>
      <c r="J3992" s="585" t="s">
        <v>231</v>
      </c>
      <c r="K3992" s="587">
        <f t="shared" si="354"/>
        <v>334.62</v>
      </c>
    </row>
    <row r="3993" spans="6:11" ht="24" customHeight="1">
      <c r="F3993" s="617">
        <v>3</v>
      </c>
      <c r="G3993" s="585" t="s">
        <v>1</v>
      </c>
      <c r="H3993" s="573" t="s">
        <v>2973</v>
      </c>
      <c r="I3993" s="587">
        <v>350</v>
      </c>
      <c r="J3993" s="585" t="s">
        <v>1</v>
      </c>
      <c r="K3993" s="587">
        <f t="shared" si="354"/>
        <v>1050</v>
      </c>
    </row>
    <row r="3994" spans="6:11" ht="24" customHeight="1">
      <c r="F3994" s="617">
        <v>3</v>
      </c>
      <c r="G3994" s="585" t="s">
        <v>1</v>
      </c>
      <c r="H3994" s="573" t="s">
        <v>1724</v>
      </c>
      <c r="I3994" s="587">
        <f>V1359</f>
        <v>50.9</v>
      </c>
      <c r="J3994" s="585" t="s">
        <v>1</v>
      </c>
      <c r="K3994" s="587">
        <f t="shared" si="354"/>
        <v>152.69999999999999</v>
      </c>
    </row>
    <row r="3995" spans="6:11" ht="24" customHeight="1">
      <c r="F3995" s="617">
        <v>4</v>
      </c>
      <c r="G3995" s="585" t="s">
        <v>1</v>
      </c>
      <c r="H3995" s="573" t="s">
        <v>1730</v>
      </c>
      <c r="I3995" s="587">
        <f>AB1360</f>
        <v>15</v>
      </c>
      <c r="J3995" s="585" t="s">
        <v>1</v>
      </c>
      <c r="K3995" s="587">
        <f t="shared" si="354"/>
        <v>60</v>
      </c>
    </row>
    <row r="3996" spans="6:11" ht="24" customHeight="1">
      <c r="F3996" s="617">
        <v>2.4300000000000002</v>
      </c>
      <c r="G3996" s="585" t="s">
        <v>174</v>
      </c>
      <c r="H3996" s="573" t="s">
        <v>1731</v>
      </c>
      <c r="I3996" s="587">
        <f>AB1361</f>
        <v>1540</v>
      </c>
      <c r="J3996" s="585" t="s">
        <v>1</v>
      </c>
      <c r="K3996" s="587">
        <f t="shared" si="354"/>
        <v>3742.2000000000003</v>
      </c>
    </row>
    <row r="3997" spans="6:11" ht="24" customHeight="1">
      <c r="F3997" s="579"/>
      <c r="H3997" s="573" t="s">
        <v>1733</v>
      </c>
      <c r="J3997" s="585"/>
      <c r="K3997" s="587"/>
    </row>
    <row r="3998" spans="6:11" ht="24" customHeight="1">
      <c r="F3998" s="579"/>
      <c r="G3998" s="575"/>
      <c r="H3998" s="584" t="s">
        <v>1735</v>
      </c>
      <c r="J3998" s="575"/>
      <c r="K3998" s="587">
        <f>SUM(K3987:K3997)</f>
        <v>10760.343999999999</v>
      </c>
    </row>
    <row r="3999" spans="6:11" ht="24" customHeight="1">
      <c r="F3999" s="579"/>
      <c r="G3999" s="575"/>
      <c r="H3999" s="584" t="s">
        <v>2974</v>
      </c>
      <c r="J3999" s="585" t="s">
        <v>174</v>
      </c>
      <c r="K3999" s="587">
        <f>K3998/F3996</f>
        <v>4428.1251028806582</v>
      </c>
    </row>
    <row r="4000" spans="6:11" ht="24" customHeight="1">
      <c r="F4000" s="579"/>
      <c r="G4000" s="575"/>
      <c r="J4000" s="575"/>
      <c r="K4000" s="586"/>
    </row>
    <row r="4001" spans="6:11" ht="24" customHeight="1">
      <c r="F4001" s="579"/>
      <c r="G4001" s="575"/>
      <c r="J4001" s="575"/>
    </row>
    <row r="4002" spans="6:11" ht="24" customHeight="1">
      <c r="F4002" s="768"/>
      <c r="G4002" s="1075"/>
      <c r="H4002" s="1452" t="s">
        <v>2975</v>
      </c>
      <c r="I4002" s="1452"/>
      <c r="J4002" s="1452"/>
      <c r="K4002" s="1452"/>
    </row>
    <row r="4003" spans="6:11" ht="24" customHeight="1">
      <c r="F4003" s="652"/>
      <c r="G4003" s="585"/>
      <c r="H4003" s="573"/>
      <c r="I4003" s="587"/>
      <c r="J4003" s="585"/>
      <c r="K4003" s="587"/>
    </row>
    <row r="4004" spans="6:11" ht="24" customHeight="1">
      <c r="F4004" s="652"/>
      <c r="G4004" s="585"/>
      <c r="H4004" s="573"/>
      <c r="I4004" s="587"/>
      <c r="J4004" s="585"/>
      <c r="K4004" s="587"/>
    </row>
    <row r="4005" spans="6:11" ht="24" customHeight="1">
      <c r="F4005" s="652"/>
      <c r="G4005" s="585"/>
      <c r="H4005" s="573"/>
      <c r="I4005" s="587"/>
      <c r="J4005" s="585"/>
      <c r="K4005" s="587"/>
    </row>
    <row r="4006" spans="6:11" ht="24" customHeight="1">
      <c r="F4006" s="652">
        <v>12.08</v>
      </c>
      <c r="G4006" s="585" t="s">
        <v>654</v>
      </c>
      <c r="H4006" s="573" t="s">
        <v>1711</v>
      </c>
      <c r="I4006" s="587">
        <f>I3987</f>
        <v>287</v>
      </c>
      <c r="J4006" s="585" t="s">
        <v>654</v>
      </c>
      <c r="K4006" s="587">
        <f>I4006*F4006</f>
        <v>3466.96</v>
      </c>
    </row>
    <row r="4007" spans="6:11" ht="24" customHeight="1">
      <c r="F4007" s="652">
        <v>1.823</v>
      </c>
      <c r="G4007" s="585" t="s">
        <v>110</v>
      </c>
      <c r="H4007" s="573" t="s">
        <v>1717</v>
      </c>
      <c r="I4007" s="587">
        <f>I3991</f>
        <v>208.8</v>
      </c>
      <c r="J4007" s="585" t="s">
        <v>110</v>
      </c>
      <c r="K4007" s="587">
        <f t="shared" ref="K4007:K4012" si="355">I4007*F4007</f>
        <v>380.64240000000001</v>
      </c>
    </row>
    <row r="4008" spans="6:11" ht="24" customHeight="1">
      <c r="F4008" s="652">
        <v>8.1</v>
      </c>
      <c r="G4008" s="585" t="s">
        <v>231</v>
      </c>
      <c r="H4008" s="573" t="s">
        <v>1720</v>
      </c>
      <c r="I4008" s="587">
        <f>I3992</f>
        <v>28.6</v>
      </c>
      <c r="J4008" s="585" t="s">
        <v>231</v>
      </c>
      <c r="K4008" s="587">
        <f t="shared" si="355"/>
        <v>231.66</v>
      </c>
    </row>
    <row r="4009" spans="6:11" ht="24" customHeight="1">
      <c r="F4009" s="652">
        <v>2</v>
      </c>
      <c r="G4009" s="585" t="s">
        <v>1820</v>
      </c>
      <c r="H4009" s="573" t="s">
        <v>2976</v>
      </c>
      <c r="I4009" s="587">
        <f>I3993</f>
        <v>350</v>
      </c>
      <c r="J4009" s="585" t="s">
        <v>1</v>
      </c>
      <c r="K4009" s="587">
        <f t="shared" si="355"/>
        <v>700</v>
      </c>
    </row>
    <row r="4010" spans="6:11" ht="24" customHeight="1">
      <c r="F4010" s="652">
        <v>2</v>
      </c>
      <c r="G4010" s="585" t="s">
        <v>1</v>
      </c>
      <c r="H4010" s="573" t="s">
        <v>1724</v>
      </c>
      <c r="I4010" s="587">
        <f>I3994</f>
        <v>50.9</v>
      </c>
      <c r="J4010" s="585" t="s">
        <v>1</v>
      </c>
      <c r="K4010" s="587">
        <f t="shared" si="355"/>
        <v>101.8</v>
      </c>
    </row>
    <row r="4011" spans="6:11" ht="24" customHeight="1">
      <c r="F4011" s="652">
        <v>4</v>
      </c>
      <c r="G4011" s="585" t="s">
        <v>1</v>
      </c>
      <c r="H4011" s="573" t="s">
        <v>1730</v>
      </c>
      <c r="I4011" s="587">
        <v>15</v>
      </c>
      <c r="J4011" s="585" t="s">
        <v>1</v>
      </c>
      <c r="K4011" s="587">
        <f t="shared" si="355"/>
        <v>60</v>
      </c>
    </row>
    <row r="4012" spans="6:11" ht="24" customHeight="1">
      <c r="F4012" s="652">
        <v>1.823</v>
      </c>
      <c r="G4012" s="585" t="s">
        <v>174</v>
      </c>
      <c r="H4012" s="573" t="s">
        <v>1731</v>
      </c>
      <c r="I4012" s="768">
        <f>I3996</f>
        <v>1540</v>
      </c>
      <c r="J4012" s="585" t="s">
        <v>174</v>
      </c>
      <c r="K4012" s="587">
        <f t="shared" si="355"/>
        <v>2807.42</v>
      </c>
    </row>
    <row r="4013" spans="6:11" ht="24" customHeight="1">
      <c r="F4013" s="768"/>
      <c r="G4013" s="1075"/>
      <c r="H4013" s="573"/>
      <c r="I4013" s="768"/>
      <c r="J4013" s="769"/>
      <c r="K4013" s="587"/>
    </row>
    <row r="4014" spans="6:11" ht="24" customHeight="1">
      <c r="F4014" s="768"/>
      <c r="G4014" s="768"/>
      <c r="H4014" s="685" t="s">
        <v>2977</v>
      </c>
      <c r="I4014" s="768"/>
      <c r="J4014" s="768"/>
      <c r="K4014" s="629">
        <f>SUM(K4006:K4013)</f>
        <v>7748.4823999999999</v>
      </c>
    </row>
    <row r="4015" spans="6:11" ht="24" customHeight="1">
      <c r="F4015" s="768"/>
      <c r="G4015" s="768"/>
      <c r="H4015" s="685" t="s">
        <v>2978</v>
      </c>
      <c r="I4015" s="768"/>
      <c r="J4015" s="768"/>
      <c r="K4015" s="1045">
        <f>K4014/F4012</f>
        <v>4250.4017553483272</v>
      </c>
    </row>
    <row r="4016" spans="6:11" ht="24" customHeight="1">
      <c r="F4016" s="768"/>
      <c r="G4016" s="768"/>
      <c r="H4016" s="685"/>
      <c r="I4016" s="768"/>
      <c r="J4016" s="768"/>
      <c r="K4016" s="768"/>
    </row>
    <row r="4017" spans="6:11" ht="24" customHeight="1">
      <c r="F4017" s="579"/>
      <c r="H4017" s="729" t="s">
        <v>2979</v>
      </c>
    </row>
    <row r="4018" spans="6:11" ht="24" customHeight="1">
      <c r="F4018" s="617">
        <v>3.72</v>
      </c>
      <c r="G4018" s="585" t="s">
        <v>654</v>
      </c>
      <c r="H4018" s="573" t="s">
        <v>1711</v>
      </c>
      <c r="I4018" s="587">
        <f>I3987</f>
        <v>287</v>
      </c>
      <c r="J4018" s="585" t="s">
        <v>654</v>
      </c>
      <c r="K4018" s="587">
        <f>I4018*F4018</f>
        <v>1067.6400000000001</v>
      </c>
    </row>
    <row r="4019" spans="6:11" ht="24" customHeight="1">
      <c r="F4019" s="617">
        <v>4.57</v>
      </c>
      <c r="G4019" s="585" t="s">
        <v>654</v>
      </c>
      <c r="H4019" s="573" t="s">
        <v>1711</v>
      </c>
      <c r="I4019" s="587">
        <f>I4018</f>
        <v>287</v>
      </c>
      <c r="J4019" s="585" t="s">
        <v>654</v>
      </c>
      <c r="K4019" s="587">
        <f t="shared" ref="K4019:K4025" si="356">I4019*F4019</f>
        <v>1311.5900000000001</v>
      </c>
    </row>
    <row r="4020" spans="6:11" ht="24" customHeight="1">
      <c r="F4020" s="617">
        <v>1.18</v>
      </c>
      <c r="G4020" s="585" t="s">
        <v>654</v>
      </c>
      <c r="H4020" s="573" t="s">
        <v>1711</v>
      </c>
      <c r="I4020" s="587">
        <f>I4019</f>
        <v>287</v>
      </c>
      <c r="J4020" s="585" t="s">
        <v>654</v>
      </c>
      <c r="K4020" s="587">
        <f t="shared" si="356"/>
        <v>338.65999999999997</v>
      </c>
    </row>
    <row r="4021" spans="6:11" ht="24" customHeight="1">
      <c r="F4021" s="617">
        <v>0.86</v>
      </c>
      <c r="G4021" s="585" t="s">
        <v>654</v>
      </c>
      <c r="H4021" s="573" t="s">
        <v>1711</v>
      </c>
      <c r="I4021" s="587">
        <f>I4020</f>
        <v>287</v>
      </c>
      <c r="J4021" s="585" t="s">
        <v>654</v>
      </c>
      <c r="K4021" s="587">
        <f t="shared" si="356"/>
        <v>246.82</v>
      </c>
    </row>
    <row r="4022" spans="6:11" ht="24" customHeight="1">
      <c r="F4022" s="617">
        <v>1.42</v>
      </c>
      <c r="G4022" s="585" t="s">
        <v>110</v>
      </c>
      <c r="H4022" s="573" t="s">
        <v>1717</v>
      </c>
      <c r="I4022" s="587">
        <f t="shared" ref="I4022:I4027" si="357">I4007</f>
        <v>208.8</v>
      </c>
      <c r="J4022" s="585" t="s">
        <v>110</v>
      </c>
      <c r="K4022" s="587">
        <f t="shared" si="356"/>
        <v>296.49599999999998</v>
      </c>
    </row>
    <row r="4023" spans="6:11" ht="24" customHeight="1">
      <c r="F4023" s="617">
        <v>6.9</v>
      </c>
      <c r="G4023" s="585" t="s">
        <v>231</v>
      </c>
      <c r="H4023" s="573" t="s">
        <v>1720</v>
      </c>
      <c r="I4023" s="587">
        <f t="shared" si="357"/>
        <v>28.6</v>
      </c>
      <c r="J4023" s="585" t="s">
        <v>231</v>
      </c>
      <c r="K4023" s="587">
        <f t="shared" si="356"/>
        <v>197.34000000000003</v>
      </c>
    </row>
    <row r="4024" spans="6:11" ht="24" customHeight="1">
      <c r="F4024" s="617">
        <v>2</v>
      </c>
      <c r="G4024" s="585" t="s">
        <v>1</v>
      </c>
      <c r="H4024" s="573" t="s">
        <v>2976</v>
      </c>
      <c r="I4024" s="587">
        <f t="shared" si="357"/>
        <v>350</v>
      </c>
      <c r="J4024" s="585" t="s">
        <v>1</v>
      </c>
      <c r="K4024" s="587">
        <f t="shared" si="356"/>
        <v>700</v>
      </c>
    </row>
    <row r="4025" spans="6:11" ht="24" customHeight="1">
      <c r="F4025" s="617">
        <v>2</v>
      </c>
      <c r="G4025" s="585" t="s">
        <v>1</v>
      </c>
      <c r="H4025" s="573" t="s">
        <v>1724</v>
      </c>
      <c r="I4025" s="587">
        <f t="shared" si="357"/>
        <v>50.9</v>
      </c>
      <c r="J4025" s="585" t="s">
        <v>1</v>
      </c>
      <c r="K4025" s="587">
        <f t="shared" si="356"/>
        <v>101.8</v>
      </c>
    </row>
    <row r="4026" spans="6:11" ht="24" customHeight="1">
      <c r="F4026" s="617">
        <v>4</v>
      </c>
      <c r="G4026" s="585" t="s">
        <v>1</v>
      </c>
      <c r="H4026" s="573" t="s">
        <v>1730</v>
      </c>
      <c r="I4026" s="587">
        <f t="shared" si="357"/>
        <v>15</v>
      </c>
      <c r="J4026" s="585" t="s">
        <v>1</v>
      </c>
      <c r="K4026" s="587">
        <f>I4026*F4026</f>
        <v>60</v>
      </c>
    </row>
    <row r="4027" spans="6:11" ht="24" customHeight="1">
      <c r="F4027" s="617">
        <v>1.42</v>
      </c>
      <c r="G4027" s="585" t="s">
        <v>174</v>
      </c>
      <c r="H4027" s="573" t="s">
        <v>1731</v>
      </c>
      <c r="I4027" s="587">
        <f t="shared" si="357"/>
        <v>1540</v>
      </c>
      <c r="J4027" s="585" t="s">
        <v>174</v>
      </c>
      <c r="K4027" s="587">
        <f>I4027*F4027</f>
        <v>2186.7999999999997</v>
      </c>
    </row>
    <row r="4028" spans="6:11" ht="24" customHeight="1">
      <c r="F4028" s="579"/>
      <c r="H4028" s="573" t="s">
        <v>1733</v>
      </c>
      <c r="J4028" s="580"/>
      <c r="K4028" s="587"/>
    </row>
    <row r="4029" spans="6:11" ht="24" customHeight="1">
      <c r="F4029" s="579"/>
      <c r="G4029" s="575"/>
      <c r="H4029" s="584" t="s">
        <v>1735</v>
      </c>
      <c r="J4029" s="575"/>
      <c r="K4029" s="587">
        <f>SUM(K4018:K4028)</f>
        <v>6507.1460000000006</v>
      </c>
    </row>
    <row r="4030" spans="6:11" ht="24" customHeight="1">
      <c r="F4030" s="579"/>
      <c r="G4030" s="575"/>
      <c r="H4030" s="685" t="s">
        <v>2978</v>
      </c>
      <c r="J4030" s="575"/>
      <c r="K4030" s="619">
        <f>K4029/F4027</f>
        <v>4582.4971830985924</v>
      </c>
    </row>
    <row r="4031" spans="6:11" ht="24" customHeight="1">
      <c r="F4031" s="579"/>
      <c r="G4031" s="575"/>
      <c r="J4031" s="575"/>
      <c r="K4031" s="586"/>
    </row>
    <row r="4032" spans="6:11" ht="24" customHeight="1">
      <c r="F4032" s="579"/>
      <c r="G4032" s="575"/>
      <c r="H4032" s="729" t="s">
        <v>2980</v>
      </c>
    </row>
    <row r="4033" spans="6:13" ht="24" customHeight="1">
      <c r="F4033" s="773">
        <v>11.61</v>
      </c>
      <c r="G4033" s="774" t="s">
        <v>654</v>
      </c>
      <c r="H4033" s="777" t="s">
        <v>1711</v>
      </c>
      <c r="I4033" s="776">
        <f>I4018</f>
        <v>287</v>
      </c>
      <c r="J4033" s="774" t="s">
        <v>654</v>
      </c>
      <c r="K4033" s="776">
        <f>I4033*F4033</f>
        <v>3332.0699999999997</v>
      </c>
    </row>
    <row r="4034" spans="6:13" ht="24" customHeight="1">
      <c r="F4034" s="773">
        <v>7.8</v>
      </c>
      <c r="G4034" s="774" t="s">
        <v>231</v>
      </c>
      <c r="H4034" s="777" t="s">
        <v>1819</v>
      </c>
      <c r="I4034" s="776">
        <f>I4023</f>
        <v>28.6</v>
      </c>
      <c r="J4034" s="774" t="s">
        <v>231</v>
      </c>
      <c r="K4034" s="776">
        <f t="shared" ref="K4034:K4039" si="358">I4034*F4034</f>
        <v>223.08</v>
      </c>
    </row>
    <row r="4035" spans="6:13" ht="24" customHeight="1">
      <c r="F4035" s="773">
        <v>1.62</v>
      </c>
      <c r="G4035" s="774" t="s">
        <v>110</v>
      </c>
      <c r="H4035" s="777" t="s">
        <v>1818</v>
      </c>
      <c r="I4035" s="776">
        <f>I4022</f>
        <v>208.8</v>
      </c>
      <c r="J4035" s="774" t="s">
        <v>110</v>
      </c>
      <c r="K4035" s="776">
        <f t="shared" si="358"/>
        <v>338.25600000000003</v>
      </c>
    </row>
    <row r="4036" spans="6:13" ht="24" customHeight="1">
      <c r="F4036" s="773">
        <v>2</v>
      </c>
      <c r="G4036" s="774" t="s">
        <v>1</v>
      </c>
      <c r="H4036" s="777" t="s">
        <v>1822</v>
      </c>
      <c r="I4036" s="776">
        <f>I4025</f>
        <v>50.9</v>
      </c>
      <c r="J4036" s="774" t="s">
        <v>1</v>
      </c>
      <c r="K4036" s="776">
        <f t="shared" si="358"/>
        <v>101.8</v>
      </c>
    </row>
    <row r="4037" spans="6:13" ht="24" customHeight="1">
      <c r="F4037" s="773">
        <v>2</v>
      </c>
      <c r="G4037" s="774" t="s">
        <v>1</v>
      </c>
      <c r="H4037" s="777" t="s">
        <v>2981</v>
      </c>
      <c r="I4037" s="776">
        <f>I4024</f>
        <v>350</v>
      </c>
      <c r="J4037" s="774" t="s">
        <v>1</v>
      </c>
      <c r="K4037" s="776">
        <f t="shared" si="358"/>
        <v>700</v>
      </c>
    </row>
    <row r="4038" spans="6:13" ht="24" customHeight="1">
      <c r="F4038" s="773">
        <v>4</v>
      </c>
      <c r="G4038" s="774" t="s">
        <v>1</v>
      </c>
      <c r="H4038" s="777" t="s">
        <v>1823</v>
      </c>
      <c r="I4038" s="776">
        <f>I4026</f>
        <v>15</v>
      </c>
      <c r="J4038" s="774" t="s">
        <v>1</v>
      </c>
      <c r="K4038" s="776">
        <f t="shared" si="358"/>
        <v>60</v>
      </c>
    </row>
    <row r="4039" spans="6:13" ht="24" customHeight="1">
      <c r="F4039" s="773">
        <v>1.62</v>
      </c>
      <c r="G4039" s="774" t="s">
        <v>174</v>
      </c>
      <c r="H4039" s="777" t="s">
        <v>1824</v>
      </c>
      <c r="I4039" s="776">
        <f>I4027</f>
        <v>1540</v>
      </c>
      <c r="J4039" s="774" t="s">
        <v>174</v>
      </c>
      <c r="K4039" s="776">
        <f t="shared" si="358"/>
        <v>2494.8000000000002</v>
      </c>
    </row>
    <row r="4040" spans="6:13" ht="24" customHeight="1">
      <c r="F4040" s="771"/>
      <c r="G4040" s="779"/>
      <c r="H4040" s="777" t="s">
        <v>236</v>
      </c>
      <c r="I4040" s="771"/>
      <c r="J4040" s="778"/>
      <c r="K4040" s="776"/>
    </row>
    <row r="4041" spans="6:13" ht="24" customHeight="1">
      <c r="F4041" s="771"/>
      <c r="G4041" s="771"/>
      <c r="H4041" s="584" t="s">
        <v>1735</v>
      </c>
      <c r="J4041" s="575"/>
      <c r="K4041" s="587">
        <f>SUM(K4033:K4040)</f>
        <v>7250.0060000000003</v>
      </c>
    </row>
    <row r="4042" spans="6:13" ht="24" customHeight="1">
      <c r="F4042" s="579"/>
      <c r="G4042" s="575"/>
      <c r="H4042" s="685" t="s">
        <v>2978</v>
      </c>
      <c r="J4042" s="575"/>
      <c r="K4042" s="619">
        <f>K4041/F4039</f>
        <v>4475.3123456790127</v>
      </c>
    </row>
    <row r="4043" spans="6:13" ht="24" customHeight="1">
      <c r="F4043" s="579"/>
      <c r="G4043" s="575"/>
      <c r="J4043" s="575"/>
    </row>
    <row r="4045" spans="6:13" ht="24" customHeight="1">
      <c r="F4045" s="1090"/>
      <c r="G4045" s="1091"/>
      <c r="H4045" s="760" t="s">
        <v>2982</v>
      </c>
      <c r="I4045" s="1090"/>
      <c r="J4045" s="1092"/>
      <c r="K4045" s="1090"/>
      <c r="L4045" s="579"/>
      <c r="M4045" s="579"/>
    </row>
    <row r="4046" spans="6:13" ht="24" customHeight="1">
      <c r="F4046" s="1090"/>
      <c r="G4046" s="1091"/>
      <c r="H4046" s="992" t="s">
        <v>2983</v>
      </c>
      <c r="I4046" s="1090"/>
      <c r="J4046" s="1092"/>
      <c r="K4046" s="1090"/>
      <c r="L4046" s="579"/>
      <c r="M4046" s="579"/>
    </row>
    <row r="4047" spans="6:13" ht="24" customHeight="1">
      <c r="F4047" s="1090"/>
      <c r="G4047" s="1091"/>
      <c r="H4047" s="915" t="s">
        <v>117</v>
      </c>
      <c r="I4047" s="1090"/>
      <c r="J4047" s="1092"/>
      <c r="K4047" s="1090"/>
      <c r="L4047" s="579"/>
      <c r="M4047" s="579"/>
    </row>
    <row r="4048" spans="6:13" ht="24" customHeight="1">
      <c r="F4048" s="1090"/>
      <c r="G4048" s="1091"/>
      <c r="H4048" s="921" t="s">
        <v>2984</v>
      </c>
      <c r="I4048" s="768"/>
      <c r="J4048" s="768"/>
      <c r="K4048" s="768"/>
      <c r="L4048" s="579"/>
      <c r="M4048" s="579"/>
    </row>
    <row r="4049" spans="6:13" ht="33.950000000000003" customHeight="1">
      <c r="F4049" s="1090"/>
      <c r="G4049" s="1091"/>
      <c r="H4049" s="961" t="s">
        <v>2985</v>
      </c>
      <c r="I4049" s="1043"/>
      <c r="J4049" s="994">
        <f>3*2*1.9*0.075*0.0375</f>
        <v>3.2062499999999994E-2</v>
      </c>
      <c r="K4049" s="1090" t="s">
        <v>429</v>
      </c>
      <c r="L4049" s="579"/>
      <c r="M4049" s="579"/>
    </row>
    <row r="4050" spans="6:13" ht="33.950000000000003" customHeight="1">
      <c r="F4050" s="1090"/>
      <c r="G4050" s="1091"/>
      <c r="H4050" s="760" t="s">
        <v>2986</v>
      </c>
      <c r="I4050" s="1043"/>
      <c r="J4050" s="994">
        <f>3*2*0.5*0.075*0.0375</f>
        <v>8.4374999999999988E-3</v>
      </c>
      <c r="K4050" s="1090" t="s">
        <v>429</v>
      </c>
      <c r="L4050" s="579"/>
      <c r="M4050" s="579"/>
    </row>
    <row r="4051" spans="6:13" ht="24" customHeight="1">
      <c r="F4051" s="1090"/>
      <c r="G4051" s="1091"/>
      <c r="H4051" s="760"/>
      <c r="I4051" s="1093"/>
      <c r="J4051" s="915" t="s">
        <v>117</v>
      </c>
      <c r="K4051" s="939"/>
      <c r="L4051" s="579"/>
      <c r="M4051" s="579"/>
    </row>
    <row r="4052" spans="6:13" ht="24" customHeight="1">
      <c r="F4052" s="1090"/>
      <c r="G4052" s="1091"/>
      <c r="H4052" s="1090"/>
      <c r="I4052" s="1090"/>
      <c r="J4052" s="1094">
        <f>SUM(J4049:J4051)</f>
        <v>4.0499999999999994E-2</v>
      </c>
      <c r="K4052" s="768" t="s">
        <v>429</v>
      </c>
      <c r="L4052" s="579"/>
      <c r="M4052" s="579"/>
    </row>
    <row r="4053" spans="6:13" ht="24" customHeight="1">
      <c r="F4053" s="1090"/>
      <c r="G4053" s="1091"/>
      <c r="H4053" s="1090"/>
      <c r="I4053" s="1090"/>
      <c r="J4053" s="915" t="s">
        <v>117</v>
      </c>
      <c r="K4053" s="768"/>
      <c r="L4053" s="579"/>
      <c r="M4053" s="579"/>
    </row>
    <row r="4054" spans="6:13" ht="24" customHeight="1">
      <c r="F4054" s="1090"/>
      <c r="G4054" s="1091"/>
      <c r="H4054" s="760" t="s">
        <v>1480</v>
      </c>
      <c r="I4054" s="1043"/>
      <c r="J4054" s="1043"/>
      <c r="K4054" s="1043"/>
      <c r="L4054" s="579"/>
      <c r="M4054" s="579"/>
    </row>
    <row r="4055" spans="6:13" ht="24" customHeight="1">
      <c r="F4055" s="1090"/>
      <c r="G4055" s="1091"/>
      <c r="H4055" s="760" t="s">
        <v>2987</v>
      </c>
      <c r="I4055" s="996"/>
      <c r="J4055" s="993">
        <f>3*1.9*0.5</f>
        <v>2.8499999999999996</v>
      </c>
      <c r="K4055" s="585" t="s">
        <v>140</v>
      </c>
      <c r="L4055" s="579"/>
      <c r="M4055" s="579"/>
    </row>
    <row r="4056" spans="6:13" ht="24" customHeight="1">
      <c r="F4056" s="1090"/>
      <c r="G4056" s="1091"/>
      <c r="H4056" s="760"/>
      <c r="I4056" s="996"/>
      <c r="J4056" s="993"/>
      <c r="K4056" s="939"/>
      <c r="L4056" s="579"/>
      <c r="M4056" s="579"/>
    </row>
    <row r="4057" spans="6:13" ht="33.950000000000003" customHeight="1">
      <c r="F4057" s="1090"/>
      <c r="G4057" s="1091"/>
      <c r="H4057" s="760" t="s">
        <v>2988</v>
      </c>
      <c r="I4057" s="996"/>
      <c r="J4057" s="993"/>
      <c r="K4057" s="939"/>
      <c r="L4057" s="579"/>
      <c r="M4057" s="579"/>
    </row>
    <row r="4058" spans="6:13" ht="33.950000000000003" customHeight="1">
      <c r="F4058" s="1090"/>
      <c r="G4058" s="1091"/>
      <c r="H4058" s="760" t="s">
        <v>2989</v>
      </c>
      <c r="I4058" s="996"/>
      <c r="J4058" s="994">
        <f>3*1.775*0.375</f>
        <v>1.9968749999999997</v>
      </c>
      <c r="K4058" s="939" t="str">
        <f>K4055</f>
        <v>SQM</v>
      </c>
      <c r="L4058" s="579"/>
      <c r="M4058" s="579"/>
    </row>
    <row r="4059" spans="6:13" ht="33.950000000000003" customHeight="1">
      <c r="F4059" s="1090"/>
      <c r="G4059" s="1091"/>
      <c r="H4059" s="760" t="s">
        <v>2990</v>
      </c>
      <c r="I4059" s="1090"/>
      <c r="J4059" s="1000"/>
      <c r="K4059" s="961"/>
      <c r="L4059" s="579"/>
      <c r="M4059" s="579"/>
    </row>
    <row r="4060" spans="6:13" ht="33.950000000000003" customHeight="1">
      <c r="F4060" s="962"/>
      <c r="G4060" s="1091"/>
      <c r="H4060" s="760" t="s">
        <v>2991</v>
      </c>
      <c r="I4060" s="996"/>
      <c r="J4060" s="1095">
        <f>1.775+0.375</f>
        <v>2.15</v>
      </c>
      <c r="K4060" s="939"/>
      <c r="L4060" s="758"/>
      <c r="M4060" s="579"/>
    </row>
    <row r="4061" spans="6:13" ht="33.950000000000003" customHeight="1">
      <c r="F4061" s="962"/>
      <c r="G4061" s="1091"/>
      <c r="H4061" s="1090"/>
      <c r="I4061" s="1096"/>
      <c r="J4061" s="968">
        <f>J4060*6</f>
        <v>12.899999999999999</v>
      </c>
      <c r="K4061" s="758" t="s">
        <v>231</v>
      </c>
      <c r="L4061" s="758"/>
      <c r="M4061" s="579"/>
    </row>
    <row r="4062" spans="6:13" ht="33.950000000000003" customHeight="1">
      <c r="F4062" s="962"/>
      <c r="G4062" s="1091"/>
      <c r="H4062" s="1097" t="s">
        <v>2992</v>
      </c>
      <c r="I4062" s="1096"/>
      <c r="J4062" s="761"/>
      <c r="K4062" s="758"/>
      <c r="L4062" s="758"/>
      <c r="M4062" s="579"/>
    </row>
    <row r="4063" spans="6:13" ht="33.950000000000003" customHeight="1">
      <c r="F4063" s="955"/>
      <c r="G4063" s="1091"/>
      <c r="H4063" s="921" t="s">
        <v>2993</v>
      </c>
      <c r="I4063" s="1043"/>
      <c r="J4063" s="758"/>
      <c r="K4063" s="1092"/>
      <c r="L4063" s="758"/>
      <c r="M4063" s="579"/>
    </row>
    <row r="4064" spans="6:13" ht="33.950000000000003" customHeight="1">
      <c r="F4064" s="939">
        <f>J4052</f>
        <v>4.0499999999999994E-2</v>
      </c>
      <c r="G4064" s="760" t="s">
        <v>126</v>
      </c>
      <c r="H4064" s="760" t="s">
        <v>2994</v>
      </c>
      <c r="I4064" s="758">
        <f>V3114</f>
        <v>99400</v>
      </c>
      <c r="J4064" s="761" t="s">
        <v>126</v>
      </c>
      <c r="K4064" s="758">
        <f>(F4064*I4064)</f>
        <v>4025.6999999999994</v>
      </c>
      <c r="L4064" s="758"/>
      <c r="M4064" s="579"/>
    </row>
    <row r="4065" spans="6:13" ht="33.950000000000003" customHeight="1">
      <c r="F4065" s="939">
        <f>J4055</f>
        <v>2.8499999999999996</v>
      </c>
      <c r="G4065" s="585" t="s">
        <v>140</v>
      </c>
      <c r="H4065" s="760" t="s">
        <v>1480</v>
      </c>
      <c r="I4065" s="758">
        <f>V3116</f>
        <v>1078</v>
      </c>
      <c r="J4065" s="585" t="s">
        <v>140</v>
      </c>
      <c r="K4065" s="758">
        <f>(F4065*I4065)</f>
        <v>3072.2999999999997</v>
      </c>
      <c r="L4065" s="758"/>
      <c r="M4065" s="579"/>
    </row>
    <row r="4066" spans="6:13" ht="33.950000000000003" customHeight="1">
      <c r="F4066" s="939">
        <f>J4058</f>
        <v>1.9968749999999997</v>
      </c>
      <c r="G4066" s="585" t="s">
        <v>140</v>
      </c>
      <c r="H4066" s="760" t="s">
        <v>2988</v>
      </c>
      <c r="I4066" s="758">
        <f>V3115</f>
        <v>208.8</v>
      </c>
      <c r="J4066" s="585" t="s">
        <v>140</v>
      </c>
      <c r="K4066" s="758">
        <f t="shared" ref="K4066:K4072" si="359">(F4066*I4066)</f>
        <v>416.94749999999999</v>
      </c>
      <c r="L4066" s="758"/>
      <c r="M4066" s="579"/>
    </row>
    <row r="4067" spans="6:13" ht="33.950000000000003" customHeight="1">
      <c r="F4067" s="758">
        <f>J4061</f>
        <v>12.899999999999999</v>
      </c>
      <c r="G4067" s="758" t="s">
        <v>231</v>
      </c>
      <c r="H4067" s="921" t="s">
        <v>2995</v>
      </c>
      <c r="I4067" s="758">
        <f t="shared" ref="I4067:I4072" si="360">V3117</f>
        <v>45.7</v>
      </c>
      <c r="J4067" s="758" t="s">
        <v>231</v>
      </c>
      <c r="K4067" s="758">
        <f t="shared" si="359"/>
        <v>589.53</v>
      </c>
      <c r="L4067" s="758"/>
      <c r="M4067" s="579"/>
    </row>
    <row r="4068" spans="6:13" ht="33.950000000000003" customHeight="1">
      <c r="F4068" s="758">
        <v>9</v>
      </c>
      <c r="G4068" s="585" t="s">
        <v>209</v>
      </c>
      <c r="H4068" s="573" t="s">
        <v>1506</v>
      </c>
      <c r="I4068" s="758">
        <f t="shared" si="360"/>
        <v>79.099999999999994</v>
      </c>
      <c r="J4068" s="573" t="s">
        <v>209</v>
      </c>
      <c r="K4068" s="758">
        <f t="shared" si="359"/>
        <v>711.9</v>
      </c>
      <c r="L4068" s="758"/>
      <c r="M4068" s="579"/>
    </row>
    <row r="4069" spans="6:13" ht="33.950000000000003" customHeight="1">
      <c r="F4069" s="758">
        <v>6</v>
      </c>
      <c r="G4069" s="585" t="s">
        <v>209</v>
      </c>
      <c r="H4069" s="573" t="s">
        <v>2599</v>
      </c>
      <c r="I4069" s="758">
        <f t="shared" si="360"/>
        <v>68.5</v>
      </c>
      <c r="J4069" s="573" t="s">
        <v>209</v>
      </c>
      <c r="K4069" s="758">
        <f t="shared" si="359"/>
        <v>411</v>
      </c>
      <c r="L4069" s="758"/>
      <c r="M4069" s="579"/>
    </row>
    <row r="4070" spans="6:13" ht="33.950000000000003" customHeight="1">
      <c r="F4070" s="758">
        <v>3</v>
      </c>
      <c r="G4070" s="585" t="s">
        <v>209</v>
      </c>
      <c r="H4070" s="573" t="s">
        <v>2602</v>
      </c>
      <c r="I4070" s="758">
        <f t="shared" si="360"/>
        <v>50.9</v>
      </c>
      <c r="J4070" s="573" t="s">
        <v>209</v>
      </c>
      <c r="K4070" s="758">
        <f t="shared" si="359"/>
        <v>152.69999999999999</v>
      </c>
      <c r="L4070" s="758"/>
      <c r="M4070" s="579"/>
    </row>
    <row r="4071" spans="6:13" ht="33.950000000000003" customHeight="1">
      <c r="F4071" s="758">
        <v>3</v>
      </c>
      <c r="G4071" s="585" t="s">
        <v>209</v>
      </c>
      <c r="H4071" s="573" t="s">
        <v>628</v>
      </c>
      <c r="I4071" s="758">
        <f t="shared" si="360"/>
        <v>7.3</v>
      </c>
      <c r="J4071" s="573" t="s">
        <v>209</v>
      </c>
      <c r="K4071" s="758">
        <f t="shared" si="359"/>
        <v>21.9</v>
      </c>
      <c r="L4071" s="758"/>
      <c r="M4071" s="579"/>
    </row>
    <row r="4072" spans="6:13" ht="33.950000000000003" customHeight="1">
      <c r="F4072" s="758">
        <v>120</v>
      </c>
      <c r="G4072" s="585" t="s">
        <v>209</v>
      </c>
      <c r="H4072" s="573" t="s">
        <v>2996</v>
      </c>
      <c r="I4072" s="758">
        <f t="shared" si="360"/>
        <v>2.37</v>
      </c>
      <c r="J4072" s="573" t="s">
        <v>209</v>
      </c>
      <c r="K4072" s="758">
        <f t="shared" si="359"/>
        <v>284.40000000000003</v>
      </c>
      <c r="L4072" s="758"/>
      <c r="M4072" s="579"/>
    </row>
    <row r="4073" spans="6:13" ht="33.950000000000003" customHeight="1">
      <c r="F4073" s="758"/>
      <c r="G4073" s="914"/>
      <c r="H4073" s="760"/>
      <c r="I4073" s="1043"/>
      <c r="J4073" s="758"/>
      <c r="K4073" s="915" t="s">
        <v>117</v>
      </c>
      <c r="L4073" s="758"/>
      <c r="M4073" s="579"/>
    </row>
    <row r="4074" spans="6:13" ht="33.950000000000003" customHeight="1">
      <c r="F4074" s="1090"/>
      <c r="G4074" s="1091"/>
      <c r="H4074" s="760" t="s">
        <v>2997</v>
      </c>
      <c r="I4074" s="1043"/>
      <c r="J4074" s="761"/>
      <c r="K4074" s="1093">
        <f>SUM(K4064:K4073)</f>
        <v>9686.3774999999987</v>
      </c>
      <c r="L4074" s="1013"/>
      <c r="M4074" s="579"/>
    </row>
    <row r="4075" spans="6:13" ht="33.950000000000003" customHeight="1">
      <c r="F4075" s="1090"/>
      <c r="G4075" s="1091"/>
      <c r="H4075" s="1043"/>
      <c r="I4075" s="758"/>
      <c r="J4075" s="1092"/>
      <c r="K4075" s="915" t="s">
        <v>117</v>
      </c>
      <c r="L4075" s="1043"/>
      <c r="M4075" s="579"/>
    </row>
    <row r="4076" spans="6:13" ht="33.950000000000003" customHeight="1">
      <c r="F4076" s="1090"/>
      <c r="G4076" s="1091"/>
      <c r="H4076" s="1093" t="s">
        <v>2912</v>
      </c>
      <c r="I4076" s="758"/>
      <c r="J4076" s="1092"/>
      <c r="K4076" s="1053">
        <f>K4074/F4065</f>
        <v>3398.7289473684209</v>
      </c>
      <c r="L4076" s="758">
        <f>SUM(L4060:L4075)</f>
        <v>0</v>
      </c>
      <c r="M4076" s="579"/>
    </row>
    <row r="4077" spans="6:13" ht="33.950000000000003" customHeight="1">
      <c r="F4077" s="1090"/>
      <c r="G4077" s="1091"/>
      <c r="H4077" s="1090"/>
      <c r="I4077" s="758"/>
      <c r="J4077" s="1092"/>
      <c r="K4077" s="1043"/>
      <c r="L4077" s="1043"/>
      <c r="M4077" s="579"/>
    </row>
    <row r="4078" spans="6:13" ht="24" customHeight="1">
      <c r="F4078" s="1090"/>
      <c r="G4078" s="1091"/>
      <c r="H4078" s="921"/>
      <c r="I4078" s="1090"/>
      <c r="J4078" s="1453"/>
      <c r="K4078" s="1453"/>
      <c r="L4078" s="1453"/>
      <c r="M4078" s="1453"/>
    </row>
    <row r="4079" spans="6:13" ht="24" customHeight="1">
      <c r="F4079" s="768"/>
      <c r="G4079" s="768"/>
      <c r="H4079" s="768"/>
      <c r="I4079" s="768"/>
      <c r="J4079" s="768"/>
      <c r="K4079" s="768"/>
      <c r="L4079" s="579"/>
      <c r="M4079" s="579"/>
    </row>
  </sheetData>
  <mergeCells count="23">
    <mergeCell ref="I3046:J3046"/>
    <mergeCell ref="AD2601:AG2601"/>
    <mergeCell ref="U2:X2"/>
    <mergeCell ref="AA550:AB550"/>
    <mergeCell ref="P1474:R1474"/>
    <mergeCell ref="S1474:U1474"/>
    <mergeCell ref="N1531:R1531"/>
    <mergeCell ref="O2343:Q2343"/>
    <mergeCell ref="O2353:Q2353"/>
    <mergeCell ref="H2420:K2420"/>
    <mergeCell ref="H2422:H2423"/>
    <mergeCell ref="O2427:R2427"/>
    <mergeCell ref="O2429:O2430"/>
    <mergeCell ref="M3721:M3726"/>
    <mergeCell ref="F3985:H3985"/>
    <mergeCell ref="H4002:K4002"/>
    <mergeCell ref="J4078:M4078"/>
    <mergeCell ref="S3148:T3148"/>
    <mergeCell ref="I3492:J3492"/>
    <mergeCell ref="H3636:J3637"/>
    <mergeCell ref="S3680:V3680"/>
    <mergeCell ref="M3712:M3719"/>
    <mergeCell ref="F3711:M3711"/>
  </mergeCells>
  <hyperlinks>
    <hyperlink ref="C270" r:id="rId1" display="../../../2273"/>
    <hyperlink ref="J270" r:id="rId2" display="../../../2273"/>
  </hyperlinks>
  <printOptions horizontalCentered="1"/>
  <pageMargins left="0.48" right="0.31" top="0.72" bottom="0.35433070866141703" header="0.55118110236220497" footer="0.196850393700787"/>
  <pageSetup paperSize="9" scale="40" orientation="portrait" r:id="rId3"/>
  <headerFooter alignWithMargins="0">
    <oddHeader>&amp;CPWD Data 2019 -20 &amp;R&amp;P</oddHeader>
  </headerFooter>
  <rowBreaks count="1" manualBreakCount="1">
    <brk id="1978" min="5" max="10" man="1"/>
  </rowBreaks>
  <colBreaks count="1" manualBreakCount="1">
    <brk id="4" max="1048575" man="1"/>
  </colBreaks>
  <drawing r:id="rId4"/>
</worksheet>
</file>

<file path=xl/worksheets/sheet4.xml><?xml version="1.0" encoding="utf-8"?>
<worksheet xmlns="http://schemas.openxmlformats.org/spreadsheetml/2006/main" xmlns:r="http://schemas.openxmlformats.org/officeDocument/2006/relationships">
  <sheetPr syncVertical="1" syncRef="F4001" transitionEvaluation="1">
    <tabColor rgb="FFFFFF00"/>
  </sheetPr>
  <dimension ref="A1:AK8296"/>
  <sheetViews>
    <sheetView view="pageBreakPreview" topLeftCell="F4001" zoomScaleNormal="60" zoomScaleSheetLayoutView="100" workbookViewId="0">
      <selection activeCell="F4005" sqref="F4005:K4014"/>
    </sheetView>
  </sheetViews>
  <sheetFormatPr defaultColWidth="9.5703125" defaultRowHeight="15.75"/>
  <cols>
    <col min="1" max="1" width="10" style="794" hidden="1" customWidth="1"/>
    <col min="2" max="2" width="58.85546875" style="794" hidden="1" customWidth="1"/>
    <col min="3" max="3" width="15.140625" style="794" hidden="1" customWidth="1"/>
    <col min="4" max="4" width="12.5703125" style="794" hidden="1" customWidth="1"/>
    <col min="5" max="5" width="11.85546875" style="794" hidden="1" customWidth="1"/>
    <col min="6" max="6" width="11.42578125" style="794" customWidth="1"/>
    <col min="7" max="7" width="8.42578125" style="792" customWidth="1"/>
    <col min="8" max="8" width="71.7109375" style="794" customWidth="1"/>
    <col min="9" max="9" width="12.85546875" style="794" customWidth="1"/>
    <col min="10" max="10" width="14" style="1099" customWidth="1"/>
    <col min="11" max="11" width="17.42578125" style="794" customWidth="1"/>
    <col min="12" max="12" width="14.42578125" style="794" customWidth="1"/>
    <col min="13" max="13" width="12.5703125" style="794" customWidth="1"/>
    <col min="14" max="14" width="14" style="794" customWidth="1"/>
    <col min="15" max="15" width="65" style="794" customWidth="1"/>
    <col min="16" max="16" width="12.5703125" style="794" customWidth="1"/>
    <col min="17" max="17" width="11.85546875" style="794" customWidth="1"/>
    <col min="18" max="18" width="14.7109375" style="794" customWidth="1"/>
    <col min="19" max="19" width="12.28515625" style="794" customWidth="1"/>
    <col min="20" max="20" width="10" style="794" customWidth="1"/>
    <col min="21" max="21" width="64" style="794" customWidth="1"/>
    <col min="22" max="22" width="10" style="794" hidden="1" customWidth="1"/>
    <col min="23" max="23" width="21.5703125" style="794" hidden="1" customWidth="1"/>
    <col min="24" max="24" width="11.7109375" style="794" customWidth="1"/>
    <col min="25" max="25" width="14.42578125" style="794" bestFit="1" customWidth="1"/>
    <col min="26" max="26" width="12.42578125" style="794" customWidth="1"/>
    <col min="27" max="27" width="11.140625" style="794" customWidth="1"/>
    <col min="28" max="28" width="12.42578125" style="794" customWidth="1"/>
    <col min="29" max="29" width="13.7109375" style="794" customWidth="1"/>
    <col min="30" max="30" width="29.85546875" style="794" customWidth="1"/>
    <col min="31" max="31" width="11.28515625" style="794" customWidth="1"/>
    <col min="32" max="32" width="10.42578125" style="794" bestFit="1" customWidth="1"/>
    <col min="33" max="33" width="11.5703125" style="794" customWidth="1"/>
    <col min="34" max="34" width="11.28515625" style="794" customWidth="1"/>
    <col min="35" max="256" width="9.5703125" style="794"/>
    <col min="257" max="261" width="0" style="794" hidden="1" customWidth="1"/>
    <col min="262" max="262" width="11.42578125" style="794" customWidth="1"/>
    <col min="263" max="263" width="8.42578125" style="794" customWidth="1"/>
    <col min="264" max="264" width="71.7109375" style="794" customWidth="1"/>
    <col min="265" max="265" width="12.85546875" style="794" customWidth="1"/>
    <col min="266" max="266" width="14" style="794" customWidth="1"/>
    <col min="267" max="267" width="17.42578125" style="794" customWidth="1"/>
    <col min="268" max="268" width="14.42578125" style="794" customWidth="1"/>
    <col min="269" max="269" width="12.5703125" style="794" customWidth="1"/>
    <col min="270" max="270" width="14" style="794" customWidth="1"/>
    <col min="271" max="271" width="65" style="794" customWidth="1"/>
    <col min="272" max="272" width="12.5703125" style="794" customWidth="1"/>
    <col min="273" max="273" width="11.85546875" style="794" customWidth="1"/>
    <col min="274" max="274" width="14.7109375" style="794" customWidth="1"/>
    <col min="275" max="275" width="12.28515625" style="794" customWidth="1"/>
    <col min="276" max="276" width="10" style="794" customWidth="1"/>
    <col min="277" max="277" width="64" style="794" customWidth="1"/>
    <col min="278" max="279" width="0" style="794" hidden="1" customWidth="1"/>
    <col min="280" max="280" width="11.7109375" style="794" customWidth="1"/>
    <col min="281" max="281" width="14.42578125" style="794" bestFit="1" customWidth="1"/>
    <col min="282" max="282" width="12.42578125" style="794" customWidth="1"/>
    <col min="283" max="283" width="11.140625" style="794" customWidth="1"/>
    <col min="284" max="284" width="12.42578125" style="794" customWidth="1"/>
    <col min="285" max="285" width="13.7109375" style="794" customWidth="1"/>
    <col min="286" max="286" width="29.85546875" style="794" customWidth="1"/>
    <col min="287" max="287" width="11.28515625" style="794" customWidth="1"/>
    <col min="288" max="288" width="10.42578125" style="794" bestFit="1" customWidth="1"/>
    <col min="289" max="289" width="11.5703125" style="794" customWidth="1"/>
    <col min="290" max="290" width="11.28515625" style="794" customWidth="1"/>
    <col min="291" max="512" width="9.5703125" style="794"/>
    <col min="513" max="517" width="0" style="794" hidden="1" customWidth="1"/>
    <col min="518" max="518" width="11.42578125" style="794" customWidth="1"/>
    <col min="519" max="519" width="8.42578125" style="794" customWidth="1"/>
    <col min="520" max="520" width="71.7109375" style="794" customWidth="1"/>
    <col min="521" max="521" width="12.85546875" style="794" customWidth="1"/>
    <col min="522" max="522" width="14" style="794" customWidth="1"/>
    <col min="523" max="523" width="17.42578125" style="794" customWidth="1"/>
    <col min="524" max="524" width="14.42578125" style="794" customWidth="1"/>
    <col min="525" max="525" width="12.5703125" style="794" customWidth="1"/>
    <col min="526" max="526" width="14" style="794" customWidth="1"/>
    <col min="527" max="527" width="65" style="794" customWidth="1"/>
    <col min="528" max="528" width="12.5703125" style="794" customWidth="1"/>
    <col min="529" max="529" width="11.85546875" style="794" customWidth="1"/>
    <col min="530" max="530" width="14.7109375" style="794" customWidth="1"/>
    <col min="531" max="531" width="12.28515625" style="794" customWidth="1"/>
    <col min="532" max="532" width="10" style="794" customWidth="1"/>
    <col min="533" max="533" width="64" style="794" customWidth="1"/>
    <col min="534" max="535" width="0" style="794" hidden="1" customWidth="1"/>
    <col min="536" max="536" width="11.7109375" style="794" customWidth="1"/>
    <col min="537" max="537" width="14.42578125" style="794" bestFit="1" customWidth="1"/>
    <col min="538" max="538" width="12.42578125" style="794" customWidth="1"/>
    <col min="539" max="539" width="11.140625" style="794" customWidth="1"/>
    <col min="540" max="540" width="12.42578125" style="794" customWidth="1"/>
    <col min="541" max="541" width="13.7109375" style="794" customWidth="1"/>
    <col min="542" max="542" width="29.85546875" style="794" customWidth="1"/>
    <col min="543" max="543" width="11.28515625" style="794" customWidth="1"/>
    <col min="544" max="544" width="10.42578125" style="794" bestFit="1" customWidth="1"/>
    <col min="545" max="545" width="11.5703125" style="794" customWidth="1"/>
    <col min="546" max="546" width="11.28515625" style="794" customWidth="1"/>
    <col min="547" max="768" width="9.5703125" style="794"/>
    <col min="769" max="773" width="0" style="794" hidden="1" customWidth="1"/>
    <col min="774" max="774" width="11.42578125" style="794" customWidth="1"/>
    <col min="775" max="775" width="8.42578125" style="794" customWidth="1"/>
    <col min="776" max="776" width="71.7109375" style="794" customWidth="1"/>
    <col min="777" max="777" width="12.85546875" style="794" customWidth="1"/>
    <col min="778" max="778" width="14" style="794" customWidth="1"/>
    <col min="779" max="779" width="17.42578125" style="794" customWidth="1"/>
    <col min="780" max="780" width="14.42578125" style="794" customWidth="1"/>
    <col min="781" max="781" width="12.5703125" style="794" customWidth="1"/>
    <col min="782" max="782" width="14" style="794" customWidth="1"/>
    <col min="783" max="783" width="65" style="794" customWidth="1"/>
    <col min="784" max="784" width="12.5703125" style="794" customWidth="1"/>
    <col min="785" max="785" width="11.85546875" style="794" customWidth="1"/>
    <col min="786" max="786" width="14.7109375" style="794" customWidth="1"/>
    <col min="787" max="787" width="12.28515625" style="794" customWidth="1"/>
    <col min="788" max="788" width="10" style="794" customWidth="1"/>
    <col min="789" max="789" width="64" style="794" customWidth="1"/>
    <col min="790" max="791" width="0" style="794" hidden="1" customWidth="1"/>
    <col min="792" max="792" width="11.7109375" style="794" customWidth="1"/>
    <col min="793" max="793" width="14.42578125" style="794" bestFit="1" customWidth="1"/>
    <col min="794" max="794" width="12.42578125" style="794" customWidth="1"/>
    <col min="795" max="795" width="11.140625" style="794" customWidth="1"/>
    <col min="796" max="796" width="12.42578125" style="794" customWidth="1"/>
    <col min="797" max="797" width="13.7109375" style="794" customWidth="1"/>
    <col min="798" max="798" width="29.85546875" style="794" customWidth="1"/>
    <col min="799" max="799" width="11.28515625" style="794" customWidth="1"/>
    <col min="800" max="800" width="10.42578125" style="794" bestFit="1" customWidth="1"/>
    <col min="801" max="801" width="11.5703125" style="794" customWidth="1"/>
    <col min="802" max="802" width="11.28515625" style="794" customWidth="1"/>
    <col min="803" max="1024" width="9.5703125" style="794"/>
    <col min="1025" max="1029" width="0" style="794" hidden="1" customWidth="1"/>
    <col min="1030" max="1030" width="11.42578125" style="794" customWidth="1"/>
    <col min="1031" max="1031" width="8.42578125" style="794" customWidth="1"/>
    <col min="1032" max="1032" width="71.7109375" style="794" customWidth="1"/>
    <col min="1033" max="1033" width="12.85546875" style="794" customWidth="1"/>
    <col min="1034" max="1034" width="14" style="794" customWidth="1"/>
    <col min="1035" max="1035" width="17.42578125" style="794" customWidth="1"/>
    <col min="1036" max="1036" width="14.42578125" style="794" customWidth="1"/>
    <col min="1037" max="1037" width="12.5703125" style="794" customWidth="1"/>
    <col min="1038" max="1038" width="14" style="794" customWidth="1"/>
    <col min="1039" max="1039" width="65" style="794" customWidth="1"/>
    <col min="1040" max="1040" width="12.5703125" style="794" customWidth="1"/>
    <col min="1041" max="1041" width="11.85546875" style="794" customWidth="1"/>
    <col min="1042" max="1042" width="14.7109375" style="794" customWidth="1"/>
    <col min="1043" max="1043" width="12.28515625" style="794" customWidth="1"/>
    <col min="1044" max="1044" width="10" style="794" customWidth="1"/>
    <col min="1045" max="1045" width="64" style="794" customWidth="1"/>
    <col min="1046" max="1047" width="0" style="794" hidden="1" customWidth="1"/>
    <col min="1048" max="1048" width="11.7109375" style="794" customWidth="1"/>
    <col min="1049" max="1049" width="14.42578125" style="794" bestFit="1" customWidth="1"/>
    <col min="1050" max="1050" width="12.42578125" style="794" customWidth="1"/>
    <col min="1051" max="1051" width="11.140625" style="794" customWidth="1"/>
    <col min="1052" max="1052" width="12.42578125" style="794" customWidth="1"/>
    <col min="1053" max="1053" width="13.7109375" style="794" customWidth="1"/>
    <col min="1054" max="1054" width="29.85546875" style="794" customWidth="1"/>
    <col min="1055" max="1055" width="11.28515625" style="794" customWidth="1"/>
    <col min="1056" max="1056" width="10.42578125" style="794" bestFit="1" customWidth="1"/>
    <col min="1057" max="1057" width="11.5703125" style="794" customWidth="1"/>
    <col min="1058" max="1058" width="11.28515625" style="794" customWidth="1"/>
    <col min="1059" max="1280" width="9.5703125" style="794"/>
    <col min="1281" max="1285" width="0" style="794" hidden="1" customWidth="1"/>
    <col min="1286" max="1286" width="11.42578125" style="794" customWidth="1"/>
    <col min="1287" max="1287" width="8.42578125" style="794" customWidth="1"/>
    <col min="1288" max="1288" width="71.7109375" style="794" customWidth="1"/>
    <col min="1289" max="1289" width="12.85546875" style="794" customWidth="1"/>
    <col min="1290" max="1290" width="14" style="794" customWidth="1"/>
    <col min="1291" max="1291" width="17.42578125" style="794" customWidth="1"/>
    <col min="1292" max="1292" width="14.42578125" style="794" customWidth="1"/>
    <col min="1293" max="1293" width="12.5703125" style="794" customWidth="1"/>
    <col min="1294" max="1294" width="14" style="794" customWidth="1"/>
    <col min="1295" max="1295" width="65" style="794" customWidth="1"/>
    <col min="1296" max="1296" width="12.5703125" style="794" customWidth="1"/>
    <col min="1297" max="1297" width="11.85546875" style="794" customWidth="1"/>
    <col min="1298" max="1298" width="14.7109375" style="794" customWidth="1"/>
    <col min="1299" max="1299" width="12.28515625" style="794" customWidth="1"/>
    <col min="1300" max="1300" width="10" style="794" customWidth="1"/>
    <col min="1301" max="1301" width="64" style="794" customWidth="1"/>
    <col min="1302" max="1303" width="0" style="794" hidden="1" customWidth="1"/>
    <col min="1304" max="1304" width="11.7109375" style="794" customWidth="1"/>
    <col min="1305" max="1305" width="14.42578125" style="794" bestFit="1" customWidth="1"/>
    <col min="1306" max="1306" width="12.42578125" style="794" customWidth="1"/>
    <col min="1307" max="1307" width="11.140625" style="794" customWidth="1"/>
    <col min="1308" max="1308" width="12.42578125" style="794" customWidth="1"/>
    <col min="1309" max="1309" width="13.7109375" style="794" customWidth="1"/>
    <col min="1310" max="1310" width="29.85546875" style="794" customWidth="1"/>
    <col min="1311" max="1311" width="11.28515625" style="794" customWidth="1"/>
    <col min="1312" max="1312" width="10.42578125" style="794" bestFit="1" customWidth="1"/>
    <col min="1313" max="1313" width="11.5703125" style="794" customWidth="1"/>
    <col min="1314" max="1314" width="11.28515625" style="794" customWidth="1"/>
    <col min="1315" max="1536" width="9.5703125" style="794"/>
    <col min="1537" max="1541" width="0" style="794" hidden="1" customWidth="1"/>
    <col min="1542" max="1542" width="11.42578125" style="794" customWidth="1"/>
    <col min="1543" max="1543" width="8.42578125" style="794" customWidth="1"/>
    <col min="1544" max="1544" width="71.7109375" style="794" customWidth="1"/>
    <col min="1545" max="1545" width="12.85546875" style="794" customWidth="1"/>
    <col min="1546" max="1546" width="14" style="794" customWidth="1"/>
    <col min="1547" max="1547" width="17.42578125" style="794" customWidth="1"/>
    <col min="1548" max="1548" width="14.42578125" style="794" customWidth="1"/>
    <col min="1549" max="1549" width="12.5703125" style="794" customWidth="1"/>
    <col min="1550" max="1550" width="14" style="794" customWidth="1"/>
    <col min="1551" max="1551" width="65" style="794" customWidth="1"/>
    <col min="1552" max="1552" width="12.5703125" style="794" customWidth="1"/>
    <col min="1553" max="1553" width="11.85546875" style="794" customWidth="1"/>
    <col min="1554" max="1554" width="14.7109375" style="794" customWidth="1"/>
    <col min="1555" max="1555" width="12.28515625" style="794" customWidth="1"/>
    <col min="1556" max="1556" width="10" style="794" customWidth="1"/>
    <col min="1557" max="1557" width="64" style="794" customWidth="1"/>
    <col min="1558" max="1559" width="0" style="794" hidden="1" customWidth="1"/>
    <col min="1560" max="1560" width="11.7109375" style="794" customWidth="1"/>
    <col min="1561" max="1561" width="14.42578125" style="794" bestFit="1" customWidth="1"/>
    <col min="1562" max="1562" width="12.42578125" style="794" customWidth="1"/>
    <col min="1563" max="1563" width="11.140625" style="794" customWidth="1"/>
    <col min="1564" max="1564" width="12.42578125" style="794" customWidth="1"/>
    <col min="1565" max="1565" width="13.7109375" style="794" customWidth="1"/>
    <col min="1566" max="1566" width="29.85546875" style="794" customWidth="1"/>
    <col min="1567" max="1567" width="11.28515625" style="794" customWidth="1"/>
    <col min="1568" max="1568" width="10.42578125" style="794" bestFit="1" customWidth="1"/>
    <col min="1569" max="1569" width="11.5703125" style="794" customWidth="1"/>
    <col min="1570" max="1570" width="11.28515625" style="794" customWidth="1"/>
    <col min="1571" max="1792" width="9.5703125" style="794"/>
    <col min="1793" max="1797" width="0" style="794" hidden="1" customWidth="1"/>
    <col min="1798" max="1798" width="11.42578125" style="794" customWidth="1"/>
    <col min="1799" max="1799" width="8.42578125" style="794" customWidth="1"/>
    <col min="1800" max="1800" width="71.7109375" style="794" customWidth="1"/>
    <col min="1801" max="1801" width="12.85546875" style="794" customWidth="1"/>
    <col min="1802" max="1802" width="14" style="794" customWidth="1"/>
    <col min="1803" max="1803" width="17.42578125" style="794" customWidth="1"/>
    <col min="1804" max="1804" width="14.42578125" style="794" customWidth="1"/>
    <col min="1805" max="1805" width="12.5703125" style="794" customWidth="1"/>
    <col min="1806" max="1806" width="14" style="794" customWidth="1"/>
    <col min="1807" max="1807" width="65" style="794" customWidth="1"/>
    <col min="1808" max="1808" width="12.5703125" style="794" customWidth="1"/>
    <col min="1809" max="1809" width="11.85546875" style="794" customWidth="1"/>
    <col min="1810" max="1810" width="14.7109375" style="794" customWidth="1"/>
    <col min="1811" max="1811" width="12.28515625" style="794" customWidth="1"/>
    <col min="1812" max="1812" width="10" style="794" customWidth="1"/>
    <col min="1813" max="1813" width="64" style="794" customWidth="1"/>
    <col min="1814" max="1815" width="0" style="794" hidden="1" customWidth="1"/>
    <col min="1816" max="1816" width="11.7109375" style="794" customWidth="1"/>
    <col min="1817" max="1817" width="14.42578125" style="794" bestFit="1" customWidth="1"/>
    <col min="1818" max="1818" width="12.42578125" style="794" customWidth="1"/>
    <col min="1819" max="1819" width="11.140625" style="794" customWidth="1"/>
    <col min="1820" max="1820" width="12.42578125" style="794" customWidth="1"/>
    <col min="1821" max="1821" width="13.7109375" style="794" customWidth="1"/>
    <col min="1822" max="1822" width="29.85546875" style="794" customWidth="1"/>
    <col min="1823" max="1823" width="11.28515625" style="794" customWidth="1"/>
    <col min="1824" max="1824" width="10.42578125" style="794" bestFit="1" customWidth="1"/>
    <col min="1825" max="1825" width="11.5703125" style="794" customWidth="1"/>
    <col min="1826" max="1826" width="11.28515625" style="794" customWidth="1"/>
    <col min="1827" max="2048" width="9.5703125" style="794"/>
    <col min="2049" max="2053" width="0" style="794" hidden="1" customWidth="1"/>
    <col min="2054" max="2054" width="11.42578125" style="794" customWidth="1"/>
    <col min="2055" max="2055" width="8.42578125" style="794" customWidth="1"/>
    <col min="2056" max="2056" width="71.7109375" style="794" customWidth="1"/>
    <col min="2057" max="2057" width="12.85546875" style="794" customWidth="1"/>
    <col min="2058" max="2058" width="14" style="794" customWidth="1"/>
    <col min="2059" max="2059" width="17.42578125" style="794" customWidth="1"/>
    <col min="2060" max="2060" width="14.42578125" style="794" customWidth="1"/>
    <col min="2061" max="2061" width="12.5703125" style="794" customWidth="1"/>
    <col min="2062" max="2062" width="14" style="794" customWidth="1"/>
    <col min="2063" max="2063" width="65" style="794" customWidth="1"/>
    <col min="2064" max="2064" width="12.5703125" style="794" customWidth="1"/>
    <col min="2065" max="2065" width="11.85546875" style="794" customWidth="1"/>
    <col min="2066" max="2066" width="14.7109375" style="794" customWidth="1"/>
    <col min="2067" max="2067" width="12.28515625" style="794" customWidth="1"/>
    <col min="2068" max="2068" width="10" style="794" customWidth="1"/>
    <col min="2069" max="2069" width="64" style="794" customWidth="1"/>
    <col min="2070" max="2071" width="0" style="794" hidden="1" customWidth="1"/>
    <col min="2072" max="2072" width="11.7109375" style="794" customWidth="1"/>
    <col min="2073" max="2073" width="14.42578125" style="794" bestFit="1" customWidth="1"/>
    <col min="2074" max="2074" width="12.42578125" style="794" customWidth="1"/>
    <col min="2075" max="2075" width="11.140625" style="794" customWidth="1"/>
    <col min="2076" max="2076" width="12.42578125" style="794" customWidth="1"/>
    <col min="2077" max="2077" width="13.7109375" style="794" customWidth="1"/>
    <col min="2078" max="2078" width="29.85546875" style="794" customWidth="1"/>
    <col min="2079" max="2079" width="11.28515625" style="794" customWidth="1"/>
    <col min="2080" max="2080" width="10.42578125" style="794" bestFit="1" customWidth="1"/>
    <col min="2081" max="2081" width="11.5703125" style="794" customWidth="1"/>
    <col min="2082" max="2082" width="11.28515625" style="794" customWidth="1"/>
    <col min="2083" max="2304" width="9.5703125" style="794"/>
    <col min="2305" max="2309" width="0" style="794" hidden="1" customWidth="1"/>
    <col min="2310" max="2310" width="11.42578125" style="794" customWidth="1"/>
    <col min="2311" max="2311" width="8.42578125" style="794" customWidth="1"/>
    <col min="2312" max="2312" width="71.7109375" style="794" customWidth="1"/>
    <col min="2313" max="2313" width="12.85546875" style="794" customWidth="1"/>
    <col min="2314" max="2314" width="14" style="794" customWidth="1"/>
    <col min="2315" max="2315" width="17.42578125" style="794" customWidth="1"/>
    <col min="2316" max="2316" width="14.42578125" style="794" customWidth="1"/>
    <col min="2317" max="2317" width="12.5703125" style="794" customWidth="1"/>
    <col min="2318" max="2318" width="14" style="794" customWidth="1"/>
    <col min="2319" max="2319" width="65" style="794" customWidth="1"/>
    <col min="2320" max="2320" width="12.5703125" style="794" customWidth="1"/>
    <col min="2321" max="2321" width="11.85546875" style="794" customWidth="1"/>
    <col min="2322" max="2322" width="14.7109375" style="794" customWidth="1"/>
    <col min="2323" max="2323" width="12.28515625" style="794" customWidth="1"/>
    <col min="2324" max="2324" width="10" style="794" customWidth="1"/>
    <col min="2325" max="2325" width="64" style="794" customWidth="1"/>
    <col min="2326" max="2327" width="0" style="794" hidden="1" customWidth="1"/>
    <col min="2328" max="2328" width="11.7109375" style="794" customWidth="1"/>
    <col min="2329" max="2329" width="14.42578125" style="794" bestFit="1" customWidth="1"/>
    <col min="2330" max="2330" width="12.42578125" style="794" customWidth="1"/>
    <col min="2331" max="2331" width="11.140625" style="794" customWidth="1"/>
    <col min="2332" max="2332" width="12.42578125" style="794" customWidth="1"/>
    <col min="2333" max="2333" width="13.7109375" style="794" customWidth="1"/>
    <col min="2334" max="2334" width="29.85546875" style="794" customWidth="1"/>
    <col min="2335" max="2335" width="11.28515625" style="794" customWidth="1"/>
    <col min="2336" max="2336" width="10.42578125" style="794" bestFit="1" customWidth="1"/>
    <col min="2337" max="2337" width="11.5703125" style="794" customWidth="1"/>
    <col min="2338" max="2338" width="11.28515625" style="794" customWidth="1"/>
    <col min="2339" max="2560" width="9.5703125" style="794"/>
    <col min="2561" max="2565" width="0" style="794" hidden="1" customWidth="1"/>
    <col min="2566" max="2566" width="11.42578125" style="794" customWidth="1"/>
    <col min="2567" max="2567" width="8.42578125" style="794" customWidth="1"/>
    <col min="2568" max="2568" width="71.7109375" style="794" customWidth="1"/>
    <col min="2569" max="2569" width="12.85546875" style="794" customWidth="1"/>
    <col min="2570" max="2570" width="14" style="794" customWidth="1"/>
    <col min="2571" max="2571" width="17.42578125" style="794" customWidth="1"/>
    <col min="2572" max="2572" width="14.42578125" style="794" customWidth="1"/>
    <col min="2573" max="2573" width="12.5703125" style="794" customWidth="1"/>
    <col min="2574" max="2574" width="14" style="794" customWidth="1"/>
    <col min="2575" max="2575" width="65" style="794" customWidth="1"/>
    <col min="2576" max="2576" width="12.5703125" style="794" customWidth="1"/>
    <col min="2577" max="2577" width="11.85546875" style="794" customWidth="1"/>
    <col min="2578" max="2578" width="14.7109375" style="794" customWidth="1"/>
    <col min="2579" max="2579" width="12.28515625" style="794" customWidth="1"/>
    <col min="2580" max="2580" width="10" style="794" customWidth="1"/>
    <col min="2581" max="2581" width="64" style="794" customWidth="1"/>
    <col min="2582" max="2583" width="0" style="794" hidden="1" customWidth="1"/>
    <col min="2584" max="2584" width="11.7109375" style="794" customWidth="1"/>
    <col min="2585" max="2585" width="14.42578125" style="794" bestFit="1" customWidth="1"/>
    <col min="2586" max="2586" width="12.42578125" style="794" customWidth="1"/>
    <col min="2587" max="2587" width="11.140625" style="794" customWidth="1"/>
    <col min="2588" max="2588" width="12.42578125" style="794" customWidth="1"/>
    <col min="2589" max="2589" width="13.7109375" style="794" customWidth="1"/>
    <col min="2590" max="2590" width="29.85546875" style="794" customWidth="1"/>
    <col min="2591" max="2591" width="11.28515625" style="794" customWidth="1"/>
    <col min="2592" max="2592" width="10.42578125" style="794" bestFit="1" customWidth="1"/>
    <col min="2593" max="2593" width="11.5703125" style="794" customWidth="1"/>
    <col min="2594" max="2594" width="11.28515625" style="794" customWidth="1"/>
    <col min="2595" max="2816" width="9.5703125" style="794"/>
    <col min="2817" max="2821" width="0" style="794" hidden="1" customWidth="1"/>
    <col min="2822" max="2822" width="11.42578125" style="794" customWidth="1"/>
    <col min="2823" max="2823" width="8.42578125" style="794" customWidth="1"/>
    <col min="2824" max="2824" width="71.7109375" style="794" customWidth="1"/>
    <col min="2825" max="2825" width="12.85546875" style="794" customWidth="1"/>
    <col min="2826" max="2826" width="14" style="794" customWidth="1"/>
    <col min="2827" max="2827" width="17.42578125" style="794" customWidth="1"/>
    <col min="2828" max="2828" width="14.42578125" style="794" customWidth="1"/>
    <col min="2829" max="2829" width="12.5703125" style="794" customWidth="1"/>
    <col min="2830" max="2830" width="14" style="794" customWidth="1"/>
    <col min="2831" max="2831" width="65" style="794" customWidth="1"/>
    <col min="2832" max="2832" width="12.5703125" style="794" customWidth="1"/>
    <col min="2833" max="2833" width="11.85546875" style="794" customWidth="1"/>
    <col min="2834" max="2834" width="14.7109375" style="794" customWidth="1"/>
    <col min="2835" max="2835" width="12.28515625" style="794" customWidth="1"/>
    <col min="2836" max="2836" width="10" style="794" customWidth="1"/>
    <col min="2837" max="2837" width="64" style="794" customWidth="1"/>
    <col min="2838" max="2839" width="0" style="794" hidden="1" customWidth="1"/>
    <col min="2840" max="2840" width="11.7109375" style="794" customWidth="1"/>
    <col min="2841" max="2841" width="14.42578125" style="794" bestFit="1" customWidth="1"/>
    <col min="2842" max="2842" width="12.42578125" style="794" customWidth="1"/>
    <col min="2843" max="2843" width="11.140625" style="794" customWidth="1"/>
    <col min="2844" max="2844" width="12.42578125" style="794" customWidth="1"/>
    <col min="2845" max="2845" width="13.7109375" style="794" customWidth="1"/>
    <col min="2846" max="2846" width="29.85546875" style="794" customWidth="1"/>
    <col min="2847" max="2847" width="11.28515625" style="794" customWidth="1"/>
    <col min="2848" max="2848" width="10.42578125" style="794" bestFit="1" customWidth="1"/>
    <col min="2849" max="2849" width="11.5703125" style="794" customWidth="1"/>
    <col min="2850" max="2850" width="11.28515625" style="794" customWidth="1"/>
    <col min="2851" max="3072" width="9.5703125" style="794"/>
    <col min="3073" max="3077" width="0" style="794" hidden="1" customWidth="1"/>
    <col min="3078" max="3078" width="11.42578125" style="794" customWidth="1"/>
    <col min="3079" max="3079" width="8.42578125" style="794" customWidth="1"/>
    <col min="3080" max="3080" width="71.7109375" style="794" customWidth="1"/>
    <col min="3081" max="3081" width="12.85546875" style="794" customWidth="1"/>
    <col min="3082" max="3082" width="14" style="794" customWidth="1"/>
    <col min="3083" max="3083" width="17.42578125" style="794" customWidth="1"/>
    <col min="3084" max="3084" width="14.42578125" style="794" customWidth="1"/>
    <col min="3085" max="3085" width="12.5703125" style="794" customWidth="1"/>
    <col min="3086" max="3086" width="14" style="794" customWidth="1"/>
    <col min="3087" max="3087" width="65" style="794" customWidth="1"/>
    <col min="3088" max="3088" width="12.5703125" style="794" customWidth="1"/>
    <col min="3089" max="3089" width="11.85546875" style="794" customWidth="1"/>
    <col min="3090" max="3090" width="14.7109375" style="794" customWidth="1"/>
    <col min="3091" max="3091" width="12.28515625" style="794" customWidth="1"/>
    <col min="3092" max="3092" width="10" style="794" customWidth="1"/>
    <col min="3093" max="3093" width="64" style="794" customWidth="1"/>
    <col min="3094" max="3095" width="0" style="794" hidden="1" customWidth="1"/>
    <col min="3096" max="3096" width="11.7109375" style="794" customWidth="1"/>
    <col min="3097" max="3097" width="14.42578125" style="794" bestFit="1" customWidth="1"/>
    <col min="3098" max="3098" width="12.42578125" style="794" customWidth="1"/>
    <col min="3099" max="3099" width="11.140625" style="794" customWidth="1"/>
    <col min="3100" max="3100" width="12.42578125" style="794" customWidth="1"/>
    <col min="3101" max="3101" width="13.7109375" style="794" customWidth="1"/>
    <col min="3102" max="3102" width="29.85546875" style="794" customWidth="1"/>
    <col min="3103" max="3103" width="11.28515625" style="794" customWidth="1"/>
    <col min="3104" max="3104" width="10.42578125" style="794" bestFit="1" customWidth="1"/>
    <col min="3105" max="3105" width="11.5703125" style="794" customWidth="1"/>
    <col min="3106" max="3106" width="11.28515625" style="794" customWidth="1"/>
    <col min="3107" max="3328" width="9.5703125" style="794"/>
    <col min="3329" max="3333" width="0" style="794" hidden="1" customWidth="1"/>
    <col min="3334" max="3334" width="11.42578125" style="794" customWidth="1"/>
    <col min="3335" max="3335" width="8.42578125" style="794" customWidth="1"/>
    <col min="3336" max="3336" width="71.7109375" style="794" customWidth="1"/>
    <col min="3337" max="3337" width="12.85546875" style="794" customWidth="1"/>
    <col min="3338" max="3338" width="14" style="794" customWidth="1"/>
    <col min="3339" max="3339" width="17.42578125" style="794" customWidth="1"/>
    <col min="3340" max="3340" width="14.42578125" style="794" customWidth="1"/>
    <col min="3341" max="3341" width="12.5703125" style="794" customWidth="1"/>
    <col min="3342" max="3342" width="14" style="794" customWidth="1"/>
    <col min="3343" max="3343" width="65" style="794" customWidth="1"/>
    <col min="3344" max="3344" width="12.5703125" style="794" customWidth="1"/>
    <col min="3345" max="3345" width="11.85546875" style="794" customWidth="1"/>
    <col min="3346" max="3346" width="14.7109375" style="794" customWidth="1"/>
    <col min="3347" max="3347" width="12.28515625" style="794" customWidth="1"/>
    <col min="3348" max="3348" width="10" style="794" customWidth="1"/>
    <col min="3349" max="3349" width="64" style="794" customWidth="1"/>
    <col min="3350" max="3351" width="0" style="794" hidden="1" customWidth="1"/>
    <col min="3352" max="3352" width="11.7109375" style="794" customWidth="1"/>
    <col min="3353" max="3353" width="14.42578125" style="794" bestFit="1" customWidth="1"/>
    <col min="3354" max="3354" width="12.42578125" style="794" customWidth="1"/>
    <col min="3355" max="3355" width="11.140625" style="794" customWidth="1"/>
    <col min="3356" max="3356" width="12.42578125" style="794" customWidth="1"/>
    <col min="3357" max="3357" width="13.7109375" style="794" customWidth="1"/>
    <col min="3358" max="3358" width="29.85546875" style="794" customWidth="1"/>
    <col min="3359" max="3359" width="11.28515625" style="794" customWidth="1"/>
    <col min="3360" max="3360" width="10.42578125" style="794" bestFit="1" customWidth="1"/>
    <col min="3361" max="3361" width="11.5703125" style="794" customWidth="1"/>
    <col min="3362" max="3362" width="11.28515625" style="794" customWidth="1"/>
    <col min="3363" max="3584" width="9.5703125" style="794"/>
    <col min="3585" max="3589" width="0" style="794" hidden="1" customWidth="1"/>
    <col min="3590" max="3590" width="11.42578125" style="794" customWidth="1"/>
    <col min="3591" max="3591" width="8.42578125" style="794" customWidth="1"/>
    <col min="3592" max="3592" width="71.7109375" style="794" customWidth="1"/>
    <col min="3593" max="3593" width="12.85546875" style="794" customWidth="1"/>
    <col min="3594" max="3594" width="14" style="794" customWidth="1"/>
    <col min="3595" max="3595" width="17.42578125" style="794" customWidth="1"/>
    <col min="3596" max="3596" width="14.42578125" style="794" customWidth="1"/>
    <col min="3597" max="3597" width="12.5703125" style="794" customWidth="1"/>
    <col min="3598" max="3598" width="14" style="794" customWidth="1"/>
    <col min="3599" max="3599" width="65" style="794" customWidth="1"/>
    <col min="3600" max="3600" width="12.5703125" style="794" customWidth="1"/>
    <col min="3601" max="3601" width="11.85546875" style="794" customWidth="1"/>
    <col min="3602" max="3602" width="14.7109375" style="794" customWidth="1"/>
    <col min="3603" max="3603" width="12.28515625" style="794" customWidth="1"/>
    <col min="3604" max="3604" width="10" style="794" customWidth="1"/>
    <col min="3605" max="3605" width="64" style="794" customWidth="1"/>
    <col min="3606" max="3607" width="0" style="794" hidden="1" customWidth="1"/>
    <col min="3608" max="3608" width="11.7109375" style="794" customWidth="1"/>
    <col min="3609" max="3609" width="14.42578125" style="794" bestFit="1" customWidth="1"/>
    <col min="3610" max="3610" width="12.42578125" style="794" customWidth="1"/>
    <col min="3611" max="3611" width="11.140625" style="794" customWidth="1"/>
    <col min="3612" max="3612" width="12.42578125" style="794" customWidth="1"/>
    <col min="3613" max="3613" width="13.7109375" style="794" customWidth="1"/>
    <col min="3614" max="3614" width="29.85546875" style="794" customWidth="1"/>
    <col min="3615" max="3615" width="11.28515625" style="794" customWidth="1"/>
    <col min="3616" max="3616" width="10.42578125" style="794" bestFit="1" customWidth="1"/>
    <col min="3617" max="3617" width="11.5703125" style="794" customWidth="1"/>
    <col min="3618" max="3618" width="11.28515625" style="794" customWidth="1"/>
    <col min="3619" max="3840" width="9.5703125" style="794"/>
    <col min="3841" max="3845" width="0" style="794" hidden="1" customWidth="1"/>
    <col min="3846" max="3846" width="11.42578125" style="794" customWidth="1"/>
    <col min="3847" max="3847" width="8.42578125" style="794" customWidth="1"/>
    <col min="3848" max="3848" width="71.7109375" style="794" customWidth="1"/>
    <col min="3849" max="3849" width="12.85546875" style="794" customWidth="1"/>
    <col min="3850" max="3850" width="14" style="794" customWidth="1"/>
    <col min="3851" max="3851" width="17.42578125" style="794" customWidth="1"/>
    <col min="3852" max="3852" width="14.42578125" style="794" customWidth="1"/>
    <col min="3853" max="3853" width="12.5703125" style="794" customWidth="1"/>
    <col min="3854" max="3854" width="14" style="794" customWidth="1"/>
    <col min="3855" max="3855" width="65" style="794" customWidth="1"/>
    <col min="3856" max="3856" width="12.5703125" style="794" customWidth="1"/>
    <col min="3857" max="3857" width="11.85546875" style="794" customWidth="1"/>
    <col min="3858" max="3858" width="14.7109375" style="794" customWidth="1"/>
    <col min="3859" max="3859" width="12.28515625" style="794" customWidth="1"/>
    <col min="3860" max="3860" width="10" style="794" customWidth="1"/>
    <col min="3861" max="3861" width="64" style="794" customWidth="1"/>
    <col min="3862" max="3863" width="0" style="794" hidden="1" customWidth="1"/>
    <col min="3864" max="3864" width="11.7109375" style="794" customWidth="1"/>
    <col min="3865" max="3865" width="14.42578125" style="794" bestFit="1" customWidth="1"/>
    <col min="3866" max="3866" width="12.42578125" style="794" customWidth="1"/>
    <col min="3867" max="3867" width="11.140625" style="794" customWidth="1"/>
    <col min="3868" max="3868" width="12.42578125" style="794" customWidth="1"/>
    <col min="3869" max="3869" width="13.7109375" style="794" customWidth="1"/>
    <col min="3870" max="3870" width="29.85546875" style="794" customWidth="1"/>
    <col min="3871" max="3871" width="11.28515625" style="794" customWidth="1"/>
    <col min="3872" max="3872" width="10.42578125" style="794" bestFit="1" customWidth="1"/>
    <col min="3873" max="3873" width="11.5703125" style="794" customWidth="1"/>
    <col min="3874" max="3874" width="11.28515625" style="794" customWidth="1"/>
    <col min="3875" max="4096" width="9.5703125" style="794"/>
    <col min="4097" max="4101" width="0" style="794" hidden="1" customWidth="1"/>
    <col min="4102" max="4102" width="11.42578125" style="794" customWidth="1"/>
    <col min="4103" max="4103" width="8.42578125" style="794" customWidth="1"/>
    <col min="4104" max="4104" width="71.7109375" style="794" customWidth="1"/>
    <col min="4105" max="4105" width="12.85546875" style="794" customWidth="1"/>
    <col min="4106" max="4106" width="14" style="794" customWidth="1"/>
    <col min="4107" max="4107" width="17.42578125" style="794" customWidth="1"/>
    <col min="4108" max="4108" width="14.42578125" style="794" customWidth="1"/>
    <col min="4109" max="4109" width="12.5703125" style="794" customWidth="1"/>
    <col min="4110" max="4110" width="14" style="794" customWidth="1"/>
    <col min="4111" max="4111" width="65" style="794" customWidth="1"/>
    <col min="4112" max="4112" width="12.5703125" style="794" customWidth="1"/>
    <col min="4113" max="4113" width="11.85546875" style="794" customWidth="1"/>
    <col min="4114" max="4114" width="14.7109375" style="794" customWidth="1"/>
    <col min="4115" max="4115" width="12.28515625" style="794" customWidth="1"/>
    <col min="4116" max="4116" width="10" style="794" customWidth="1"/>
    <col min="4117" max="4117" width="64" style="794" customWidth="1"/>
    <col min="4118" max="4119" width="0" style="794" hidden="1" customWidth="1"/>
    <col min="4120" max="4120" width="11.7109375" style="794" customWidth="1"/>
    <col min="4121" max="4121" width="14.42578125" style="794" bestFit="1" customWidth="1"/>
    <col min="4122" max="4122" width="12.42578125" style="794" customWidth="1"/>
    <col min="4123" max="4123" width="11.140625" style="794" customWidth="1"/>
    <col min="4124" max="4124" width="12.42578125" style="794" customWidth="1"/>
    <col min="4125" max="4125" width="13.7109375" style="794" customWidth="1"/>
    <col min="4126" max="4126" width="29.85546875" style="794" customWidth="1"/>
    <col min="4127" max="4127" width="11.28515625" style="794" customWidth="1"/>
    <col min="4128" max="4128" width="10.42578125" style="794" bestFit="1" customWidth="1"/>
    <col min="4129" max="4129" width="11.5703125" style="794" customWidth="1"/>
    <col min="4130" max="4130" width="11.28515625" style="794" customWidth="1"/>
    <col min="4131" max="4352" width="9.5703125" style="794"/>
    <col min="4353" max="4357" width="0" style="794" hidden="1" customWidth="1"/>
    <col min="4358" max="4358" width="11.42578125" style="794" customWidth="1"/>
    <col min="4359" max="4359" width="8.42578125" style="794" customWidth="1"/>
    <col min="4360" max="4360" width="71.7109375" style="794" customWidth="1"/>
    <col min="4361" max="4361" width="12.85546875" style="794" customWidth="1"/>
    <col min="4362" max="4362" width="14" style="794" customWidth="1"/>
    <col min="4363" max="4363" width="17.42578125" style="794" customWidth="1"/>
    <col min="4364" max="4364" width="14.42578125" style="794" customWidth="1"/>
    <col min="4365" max="4365" width="12.5703125" style="794" customWidth="1"/>
    <col min="4366" max="4366" width="14" style="794" customWidth="1"/>
    <col min="4367" max="4367" width="65" style="794" customWidth="1"/>
    <col min="4368" max="4368" width="12.5703125" style="794" customWidth="1"/>
    <col min="4369" max="4369" width="11.85546875" style="794" customWidth="1"/>
    <col min="4370" max="4370" width="14.7109375" style="794" customWidth="1"/>
    <col min="4371" max="4371" width="12.28515625" style="794" customWidth="1"/>
    <col min="4372" max="4372" width="10" style="794" customWidth="1"/>
    <col min="4373" max="4373" width="64" style="794" customWidth="1"/>
    <col min="4374" max="4375" width="0" style="794" hidden="1" customWidth="1"/>
    <col min="4376" max="4376" width="11.7109375" style="794" customWidth="1"/>
    <col min="4377" max="4377" width="14.42578125" style="794" bestFit="1" customWidth="1"/>
    <col min="4378" max="4378" width="12.42578125" style="794" customWidth="1"/>
    <col min="4379" max="4379" width="11.140625" style="794" customWidth="1"/>
    <col min="4380" max="4380" width="12.42578125" style="794" customWidth="1"/>
    <col min="4381" max="4381" width="13.7109375" style="794" customWidth="1"/>
    <col min="4382" max="4382" width="29.85546875" style="794" customWidth="1"/>
    <col min="4383" max="4383" width="11.28515625" style="794" customWidth="1"/>
    <col min="4384" max="4384" width="10.42578125" style="794" bestFit="1" customWidth="1"/>
    <col min="4385" max="4385" width="11.5703125" style="794" customWidth="1"/>
    <col min="4386" max="4386" width="11.28515625" style="794" customWidth="1"/>
    <col min="4387" max="4608" width="9.5703125" style="794"/>
    <col min="4609" max="4613" width="0" style="794" hidden="1" customWidth="1"/>
    <col min="4614" max="4614" width="11.42578125" style="794" customWidth="1"/>
    <col min="4615" max="4615" width="8.42578125" style="794" customWidth="1"/>
    <col min="4616" max="4616" width="71.7109375" style="794" customWidth="1"/>
    <col min="4617" max="4617" width="12.85546875" style="794" customWidth="1"/>
    <col min="4618" max="4618" width="14" style="794" customWidth="1"/>
    <col min="4619" max="4619" width="17.42578125" style="794" customWidth="1"/>
    <col min="4620" max="4620" width="14.42578125" style="794" customWidth="1"/>
    <col min="4621" max="4621" width="12.5703125" style="794" customWidth="1"/>
    <col min="4622" max="4622" width="14" style="794" customWidth="1"/>
    <col min="4623" max="4623" width="65" style="794" customWidth="1"/>
    <col min="4624" max="4624" width="12.5703125" style="794" customWidth="1"/>
    <col min="4625" max="4625" width="11.85546875" style="794" customWidth="1"/>
    <col min="4626" max="4626" width="14.7109375" style="794" customWidth="1"/>
    <col min="4627" max="4627" width="12.28515625" style="794" customWidth="1"/>
    <col min="4628" max="4628" width="10" style="794" customWidth="1"/>
    <col min="4629" max="4629" width="64" style="794" customWidth="1"/>
    <col min="4630" max="4631" width="0" style="794" hidden="1" customWidth="1"/>
    <col min="4632" max="4632" width="11.7109375" style="794" customWidth="1"/>
    <col min="4633" max="4633" width="14.42578125" style="794" bestFit="1" customWidth="1"/>
    <col min="4634" max="4634" width="12.42578125" style="794" customWidth="1"/>
    <col min="4635" max="4635" width="11.140625" style="794" customWidth="1"/>
    <col min="4636" max="4636" width="12.42578125" style="794" customWidth="1"/>
    <col min="4637" max="4637" width="13.7109375" style="794" customWidth="1"/>
    <col min="4638" max="4638" width="29.85546875" style="794" customWidth="1"/>
    <col min="4639" max="4639" width="11.28515625" style="794" customWidth="1"/>
    <col min="4640" max="4640" width="10.42578125" style="794" bestFit="1" customWidth="1"/>
    <col min="4641" max="4641" width="11.5703125" style="794" customWidth="1"/>
    <col min="4642" max="4642" width="11.28515625" style="794" customWidth="1"/>
    <col min="4643" max="4864" width="9.5703125" style="794"/>
    <col min="4865" max="4869" width="0" style="794" hidden="1" customWidth="1"/>
    <col min="4870" max="4870" width="11.42578125" style="794" customWidth="1"/>
    <col min="4871" max="4871" width="8.42578125" style="794" customWidth="1"/>
    <col min="4872" max="4872" width="71.7109375" style="794" customWidth="1"/>
    <col min="4873" max="4873" width="12.85546875" style="794" customWidth="1"/>
    <col min="4874" max="4874" width="14" style="794" customWidth="1"/>
    <col min="4875" max="4875" width="17.42578125" style="794" customWidth="1"/>
    <col min="4876" max="4876" width="14.42578125" style="794" customWidth="1"/>
    <col min="4877" max="4877" width="12.5703125" style="794" customWidth="1"/>
    <col min="4878" max="4878" width="14" style="794" customWidth="1"/>
    <col min="4879" max="4879" width="65" style="794" customWidth="1"/>
    <col min="4880" max="4880" width="12.5703125" style="794" customWidth="1"/>
    <col min="4881" max="4881" width="11.85546875" style="794" customWidth="1"/>
    <col min="4882" max="4882" width="14.7109375" style="794" customWidth="1"/>
    <col min="4883" max="4883" width="12.28515625" style="794" customWidth="1"/>
    <col min="4884" max="4884" width="10" style="794" customWidth="1"/>
    <col min="4885" max="4885" width="64" style="794" customWidth="1"/>
    <col min="4886" max="4887" width="0" style="794" hidden="1" customWidth="1"/>
    <col min="4888" max="4888" width="11.7109375" style="794" customWidth="1"/>
    <col min="4889" max="4889" width="14.42578125" style="794" bestFit="1" customWidth="1"/>
    <col min="4890" max="4890" width="12.42578125" style="794" customWidth="1"/>
    <col min="4891" max="4891" width="11.140625" style="794" customWidth="1"/>
    <col min="4892" max="4892" width="12.42578125" style="794" customWidth="1"/>
    <col min="4893" max="4893" width="13.7109375" style="794" customWidth="1"/>
    <col min="4894" max="4894" width="29.85546875" style="794" customWidth="1"/>
    <col min="4895" max="4895" width="11.28515625" style="794" customWidth="1"/>
    <col min="4896" max="4896" width="10.42578125" style="794" bestFit="1" customWidth="1"/>
    <col min="4897" max="4897" width="11.5703125" style="794" customWidth="1"/>
    <col min="4898" max="4898" width="11.28515625" style="794" customWidth="1"/>
    <col min="4899" max="5120" width="9.5703125" style="794"/>
    <col min="5121" max="5125" width="0" style="794" hidden="1" customWidth="1"/>
    <col min="5126" max="5126" width="11.42578125" style="794" customWidth="1"/>
    <col min="5127" max="5127" width="8.42578125" style="794" customWidth="1"/>
    <col min="5128" max="5128" width="71.7109375" style="794" customWidth="1"/>
    <col min="5129" max="5129" width="12.85546875" style="794" customWidth="1"/>
    <col min="5130" max="5130" width="14" style="794" customWidth="1"/>
    <col min="5131" max="5131" width="17.42578125" style="794" customWidth="1"/>
    <col min="5132" max="5132" width="14.42578125" style="794" customWidth="1"/>
    <col min="5133" max="5133" width="12.5703125" style="794" customWidth="1"/>
    <col min="5134" max="5134" width="14" style="794" customWidth="1"/>
    <col min="5135" max="5135" width="65" style="794" customWidth="1"/>
    <col min="5136" max="5136" width="12.5703125" style="794" customWidth="1"/>
    <col min="5137" max="5137" width="11.85546875" style="794" customWidth="1"/>
    <col min="5138" max="5138" width="14.7109375" style="794" customWidth="1"/>
    <col min="5139" max="5139" width="12.28515625" style="794" customWidth="1"/>
    <col min="5140" max="5140" width="10" style="794" customWidth="1"/>
    <col min="5141" max="5141" width="64" style="794" customWidth="1"/>
    <col min="5142" max="5143" width="0" style="794" hidden="1" customWidth="1"/>
    <col min="5144" max="5144" width="11.7109375" style="794" customWidth="1"/>
    <col min="5145" max="5145" width="14.42578125" style="794" bestFit="1" customWidth="1"/>
    <col min="5146" max="5146" width="12.42578125" style="794" customWidth="1"/>
    <col min="5147" max="5147" width="11.140625" style="794" customWidth="1"/>
    <col min="5148" max="5148" width="12.42578125" style="794" customWidth="1"/>
    <col min="5149" max="5149" width="13.7109375" style="794" customWidth="1"/>
    <col min="5150" max="5150" width="29.85546875" style="794" customWidth="1"/>
    <col min="5151" max="5151" width="11.28515625" style="794" customWidth="1"/>
    <col min="5152" max="5152" width="10.42578125" style="794" bestFit="1" customWidth="1"/>
    <col min="5153" max="5153" width="11.5703125" style="794" customWidth="1"/>
    <col min="5154" max="5154" width="11.28515625" style="794" customWidth="1"/>
    <col min="5155" max="5376" width="9.5703125" style="794"/>
    <col min="5377" max="5381" width="0" style="794" hidden="1" customWidth="1"/>
    <col min="5382" max="5382" width="11.42578125" style="794" customWidth="1"/>
    <col min="5383" max="5383" width="8.42578125" style="794" customWidth="1"/>
    <col min="5384" max="5384" width="71.7109375" style="794" customWidth="1"/>
    <col min="5385" max="5385" width="12.85546875" style="794" customWidth="1"/>
    <col min="5386" max="5386" width="14" style="794" customWidth="1"/>
    <col min="5387" max="5387" width="17.42578125" style="794" customWidth="1"/>
    <col min="5388" max="5388" width="14.42578125" style="794" customWidth="1"/>
    <col min="5389" max="5389" width="12.5703125" style="794" customWidth="1"/>
    <col min="5390" max="5390" width="14" style="794" customWidth="1"/>
    <col min="5391" max="5391" width="65" style="794" customWidth="1"/>
    <col min="5392" max="5392" width="12.5703125" style="794" customWidth="1"/>
    <col min="5393" max="5393" width="11.85546875" style="794" customWidth="1"/>
    <col min="5394" max="5394" width="14.7109375" style="794" customWidth="1"/>
    <col min="5395" max="5395" width="12.28515625" style="794" customWidth="1"/>
    <col min="5396" max="5396" width="10" style="794" customWidth="1"/>
    <col min="5397" max="5397" width="64" style="794" customWidth="1"/>
    <col min="5398" max="5399" width="0" style="794" hidden="1" customWidth="1"/>
    <col min="5400" max="5400" width="11.7109375" style="794" customWidth="1"/>
    <col min="5401" max="5401" width="14.42578125" style="794" bestFit="1" customWidth="1"/>
    <col min="5402" max="5402" width="12.42578125" style="794" customWidth="1"/>
    <col min="5403" max="5403" width="11.140625" style="794" customWidth="1"/>
    <col min="5404" max="5404" width="12.42578125" style="794" customWidth="1"/>
    <col min="5405" max="5405" width="13.7109375" style="794" customWidth="1"/>
    <col min="5406" max="5406" width="29.85546875" style="794" customWidth="1"/>
    <col min="5407" max="5407" width="11.28515625" style="794" customWidth="1"/>
    <col min="5408" max="5408" width="10.42578125" style="794" bestFit="1" customWidth="1"/>
    <col min="5409" max="5409" width="11.5703125" style="794" customWidth="1"/>
    <col min="5410" max="5410" width="11.28515625" style="794" customWidth="1"/>
    <col min="5411" max="5632" width="9.5703125" style="794"/>
    <col min="5633" max="5637" width="0" style="794" hidden="1" customWidth="1"/>
    <col min="5638" max="5638" width="11.42578125" style="794" customWidth="1"/>
    <col min="5639" max="5639" width="8.42578125" style="794" customWidth="1"/>
    <col min="5640" max="5640" width="71.7109375" style="794" customWidth="1"/>
    <col min="5641" max="5641" width="12.85546875" style="794" customWidth="1"/>
    <col min="5642" max="5642" width="14" style="794" customWidth="1"/>
    <col min="5643" max="5643" width="17.42578125" style="794" customWidth="1"/>
    <col min="5644" max="5644" width="14.42578125" style="794" customWidth="1"/>
    <col min="5645" max="5645" width="12.5703125" style="794" customWidth="1"/>
    <col min="5646" max="5646" width="14" style="794" customWidth="1"/>
    <col min="5647" max="5647" width="65" style="794" customWidth="1"/>
    <col min="5648" max="5648" width="12.5703125" style="794" customWidth="1"/>
    <col min="5649" max="5649" width="11.85546875" style="794" customWidth="1"/>
    <col min="5650" max="5650" width="14.7109375" style="794" customWidth="1"/>
    <col min="5651" max="5651" width="12.28515625" style="794" customWidth="1"/>
    <col min="5652" max="5652" width="10" style="794" customWidth="1"/>
    <col min="5653" max="5653" width="64" style="794" customWidth="1"/>
    <col min="5654" max="5655" width="0" style="794" hidden="1" customWidth="1"/>
    <col min="5656" max="5656" width="11.7109375" style="794" customWidth="1"/>
    <col min="5657" max="5657" width="14.42578125" style="794" bestFit="1" customWidth="1"/>
    <col min="5658" max="5658" width="12.42578125" style="794" customWidth="1"/>
    <col min="5659" max="5659" width="11.140625" style="794" customWidth="1"/>
    <col min="5660" max="5660" width="12.42578125" style="794" customWidth="1"/>
    <col min="5661" max="5661" width="13.7109375" style="794" customWidth="1"/>
    <col min="5662" max="5662" width="29.85546875" style="794" customWidth="1"/>
    <col min="5663" max="5663" width="11.28515625" style="794" customWidth="1"/>
    <col min="5664" max="5664" width="10.42578125" style="794" bestFit="1" customWidth="1"/>
    <col min="5665" max="5665" width="11.5703125" style="794" customWidth="1"/>
    <col min="5666" max="5666" width="11.28515625" style="794" customWidth="1"/>
    <col min="5667" max="5888" width="9.5703125" style="794"/>
    <col min="5889" max="5893" width="0" style="794" hidden="1" customWidth="1"/>
    <col min="5894" max="5894" width="11.42578125" style="794" customWidth="1"/>
    <col min="5895" max="5895" width="8.42578125" style="794" customWidth="1"/>
    <col min="5896" max="5896" width="71.7109375" style="794" customWidth="1"/>
    <col min="5897" max="5897" width="12.85546875" style="794" customWidth="1"/>
    <col min="5898" max="5898" width="14" style="794" customWidth="1"/>
    <col min="5899" max="5899" width="17.42578125" style="794" customWidth="1"/>
    <col min="5900" max="5900" width="14.42578125" style="794" customWidth="1"/>
    <col min="5901" max="5901" width="12.5703125" style="794" customWidth="1"/>
    <col min="5902" max="5902" width="14" style="794" customWidth="1"/>
    <col min="5903" max="5903" width="65" style="794" customWidth="1"/>
    <col min="5904" max="5904" width="12.5703125" style="794" customWidth="1"/>
    <col min="5905" max="5905" width="11.85546875" style="794" customWidth="1"/>
    <col min="5906" max="5906" width="14.7109375" style="794" customWidth="1"/>
    <col min="5907" max="5907" width="12.28515625" style="794" customWidth="1"/>
    <col min="5908" max="5908" width="10" style="794" customWidth="1"/>
    <col min="5909" max="5909" width="64" style="794" customWidth="1"/>
    <col min="5910" max="5911" width="0" style="794" hidden="1" customWidth="1"/>
    <col min="5912" max="5912" width="11.7109375" style="794" customWidth="1"/>
    <col min="5913" max="5913" width="14.42578125" style="794" bestFit="1" customWidth="1"/>
    <col min="5914" max="5914" width="12.42578125" style="794" customWidth="1"/>
    <col min="5915" max="5915" width="11.140625" style="794" customWidth="1"/>
    <col min="5916" max="5916" width="12.42578125" style="794" customWidth="1"/>
    <col min="5917" max="5917" width="13.7109375" style="794" customWidth="1"/>
    <col min="5918" max="5918" width="29.85546875" style="794" customWidth="1"/>
    <col min="5919" max="5919" width="11.28515625" style="794" customWidth="1"/>
    <col min="5920" max="5920" width="10.42578125" style="794" bestFit="1" customWidth="1"/>
    <col min="5921" max="5921" width="11.5703125" style="794" customWidth="1"/>
    <col min="5922" max="5922" width="11.28515625" style="794" customWidth="1"/>
    <col min="5923" max="6144" width="9.5703125" style="794"/>
    <col min="6145" max="6149" width="0" style="794" hidden="1" customWidth="1"/>
    <col min="6150" max="6150" width="11.42578125" style="794" customWidth="1"/>
    <col min="6151" max="6151" width="8.42578125" style="794" customWidth="1"/>
    <col min="6152" max="6152" width="71.7109375" style="794" customWidth="1"/>
    <col min="6153" max="6153" width="12.85546875" style="794" customWidth="1"/>
    <col min="6154" max="6154" width="14" style="794" customWidth="1"/>
    <col min="6155" max="6155" width="17.42578125" style="794" customWidth="1"/>
    <col min="6156" max="6156" width="14.42578125" style="794" customWidth="1"/>
    <col min="6157" max="6157" width="12.5703125" style="794" customWidth="1"/>
    <col min="6158" max="6158" width="14" style="794" customWidth="1"/>
    <col min="6159" max="6159" width="65" style="794" customWidth="1"/>
    <col min="6160" max="6160" width="12.5703125" style="794" customWidth="1"/>
    <col min="6161" max="6161" width="11.85546875" style="794" customWidth="1"/>
    <col min="6162" max="6162" width="14.7109375" style="794" customWidth="1"/>
    <col min="6163" max="6163" width="12.28515625" style="794" customWidth="1"/>
    <col min="6164" max="6164" width="10" style="794" customWidth="1"/>
    <col min="6165" max="6165" width="64" style="794" customWidth="1"/>
    <col min="6166" max="6167" width="0" style="794" hidden="1" customWidth="1"/>
    <col min="6168" max="6168" width="11.7109375" style="794" customWidth="1"/>
    <col min="6169" max="6169" width="14.42578125" style="794" bestFit="1" customWidth="1"/>
    <col min="6170" max="6170" width="12.42578125" style="794" customWidth="1"/>
    <col min="6171" max="6171" width="11.140625" style="794" customWidth="1"/>
    <col min="6172" max="6172" width="12.42578125" style="794" customWidth="1"/>
    <col min="6173" max="6173" width="13.7109375" style="794" customWidth="1"/>
    <col min="6174" max="6174" width="29.85546875" style="794" customWidth="1"/>
    <col min="6175" max="6175" width="11.28515625" style="794" customWidth="1"/>
    <col min="6176" max="6176" width="10.42578125" style="794" bestFit="1" customWidth="1"/>
    <col min="6177" max="6177" width="11.5703125" style="794" customWidth="1"/>
    <col min="6178" max="6178" width="11.28515625" style="794" customWidth="1"/>
    <col min="6179" max="6400" width="9.5703125" style="794"/>
    <col min="6401" max="6405" width="0" style="794" hidden="1" customWidth="1"/>
    <col min="6406" max="6406" width="11.42578125" style="794" customWidth="1"/>
    <col min="6407" max="6407" width="8.42578125" style="794" customWidth="1"/>
    <col min="6408" max="6408" width="71.7109375" style="794" customWidth="1"/>
    <col min="6409" max="6409" width="12.85546875" style="794" customWidth="1"/>
    <col min="6410" max="6410" width="14" style="794" customWidth="1"/>
    <col min="6411" max="6411" width="17.42578125" style="794" customWidth="1"/>
    <col min="6412" max="6412" width="14.42578125" style="794" customWidth="1"/>
    <col min="6413" max="6413" width="12.5703125" style="794" customWidth="1"/>
    <col min="6414" max="6414" width="14" style="794" customWidth="1"/>
    <col min="6415" max="6415" width="65" style="794" customWidth="1"/>
    <col min="6416" max="6416" width="12.5703125" style="794" customWidth="1"/>
    <col min="6417" max="6417" width="11.85546875" style="794" customWidth="1"/>
    <col min="6418" max="6418" width="14.7109375" style="794" customWidth="1"/>
    <col min="6419" max="6419" width="12.28515625" style="794" customWidth="1"/>
    <col min="6420" max="6420" width="10" style="794" customWidth="1"/>
    <col min="6421" max="6421" width="64" style="794" customWidth="1"/>
    <col min="6422" max="6423" width="0" style="794" hidden="1" customWidth="1"/>
    <col min="6424" max="6424" width="11.7109375" style="794" customWidth="1"/>
    <col min="6425" max="6425" width="14.42578125" style="794" bestFit="1" customWidth="1"/>
    <col min="6426" max="6426" width="12.42578125" style="794" customWidth="1"/>
    <col min="6427" max="6427" width="11.140625" style="794" customWidth="1"/>
    <col min="6428" max="6428" width="12.42578125" style="794" customWidth="1"/>
    <col min="6429" max="6429" width="13.7109375" style="794" customWidth="1"/>
    <col min="6430" max="6430" width="29.85546875" style="794" customWidth="1"/>
    <col min="6431" max="6431" width="11.28515625" style="794" customWidth="1"/>
    <col min="6432" max="6432" width="10.42578125" style="794" bestFit="1" customWidth="1"/>
    <col min="6433" max="6433" width="11.5703125" style="794" customWidth="1"/>
    <col min="6434" max="6434" width="11.28515625" style="794" customWidth="1"/>
    <col min="6435" max="6656" width="9.5703125" style="794"/>
    <col min="6657" max="6661" width="0" style="794" hidden="1" customWidth="1"/>
    <col min="6662" max="6662" width="11.42578125" style="794" customWidth="1"/>
    <col min="6663" max="6663" width="8.42578125" style="794" customWidth="1"/>
    <col min="6664" max="6664" width="71.7109375" style="794" customWidth="1"/>
    <col min="6665" max="6665" width="12.85546875" style="794" customWidth="1"/>
    <col min="6666" max="6666" width="14" style="794" customWidth="1"/>
    <col min="6667" max="6667" width="17.42578125" style="794" customWidth="1"/>
    <col min="6668" max="6668" width="14.42578125" style="794" customWidth="1"/>
    <col min="6669" max="6669" width="12.5703125" style="794" customWidth="1"/>
    <col min="6670" max="6670" width="14" style="794" customWidth="1"/>
    <col min="6671" max="6671" width="65" style="794" customWidth="1"/>
    <col min="6672" max="6672" width="12.5703125" style="794" customWidth="1"/>
    <col min="6673" max="6673" width="11.85546875" style="794" customWidth="1"/>
    <col min="6674" max="6674" width="14.7109375" style="794" customWidth="1"/>
    <col min="6675" max="6675" width="12.28515625" style="794" customWidth="1"/>
    <col min="6676" max="6676" width="10" style="794" customWidth="1"/>
    <col min="6677" max="6677" width="64" style="794" customWidth="1"/>
    <col min="6678" max="6679" width="0" style="794" hidden="1" customWidth="1"/>
    <col min="6680" max="6680" width="11.7109375" style="794" customWidth="1"/>
    <col min="6681" max="6681" width="14.42578125" style="794" bestFit="1" customWidth="1"/>
    <col min="6682" max="6682" width="12.42578125" style="794" customWidth="1"/>
    <col min="6683" max="6683" width="11.140625" style="794" customWidth="1"/>
    <col min="6684" max="6684" width="12.42578125" style="794" customWidth="1"/>
    <col min="6685" max="6685" width="13.7109375" style="794" customWidth="1"/>
    <col min="6686" max="6686" width="29.85546875" style="794" customWidth="1"/>
    <col min="6687" max="6687" width="11.28515625" style="794" customWidth="1"/>
    <col min="6688" max="6688" width="10.42578125" style="794" bestFit="1" customWidth="1"/>
    <col min="6689" max="6689" width="11.5703125" style="794" customWidth="1"/>
    <col min="6690" max="6690" width="11.28515625" style="794" customWidth="1"/>
    <col min="6691" max="6912" width="9.5703125" style="794"/>
    <col min="6913" max="6917" width="0" style="794" hidden="1" customWidth="1"/>
    <col min="6918" max="6918" width="11.42578125" style="794" customWidth="1"/>
    <col min="6919" max="6919" width="8.42578125" style="794" customWidth="1"/>
    <col min="6920" max="6920" width="71.7109375" style="794" customWidth="1"/>
    <col min="6921" max="6921" width="12.85546875" style="794" customWidth="1"/>
    <col min="6922" max="6922" width="14" style="794" customWidth="1"/>
    <col min="6923" max="6923" width="17.42578125" style="794" customWidth="1"/>
    <col min="6924" max="6924" width="14.42578125" style="794" customWidth="1"/>
    <col min="6925" max="6925" width="12.5703125" style="794" customWidth="1"/>
    <col min="6926" max="6926" width="14" style="794" customWidth="1"/>
    <col min="6927" max="6927" width="65" style="794" customWidth="1"/>
    <col min="6928" max="6928" width="12.5703125" style="794" customWidth="1"/>
    <col min="6929" max="6929" width="11.85546875" style="794" customWidth="1"/>
    <col min="6930" max="6930" width="14.7109375" style="794" customWidth="1"/>
    <col min="6931" max="6931" width="12.28515625" style="794" customWidth="1"/>
    <col min="6932" max="6932" width="10" style="794" customWidth="1"/>
    <col min="6933" max="6933" width="64" style="794" customWidth="1"/>
    <col min="6934" max="6935" width="0" style="794" hidden="1" customWidth="1"/>
    <col min="6936" max="6936" width="11.7109375" style="794" customWidth="1"/>
    <col min="6937" max="6937" width="14.42578125" style="794" bestFit="1" customWidth="1"/>
    <col min="6938" max="6938" width="12.42578125" style="794" customWidth="1"/>
    <col min="6939" max="6939" width="11.140625" style="794" customWidth="1"/>
    <col min="6940" max="6940" width="12.42578125" style="794" customWidth="1"/>
    <col min="6941" max="6941" width="13.7109375" style="794" customWidth="1"/>
    <col min="6942" max="6942" width="29.85546875" style="794" customWidth="1"/>
    <col min="6943" max="6943" width="11.28515625" style="794" customWidth="1"/>
    <col min="6944" max="6944" width="10.42578125" style="794" bestFit="1" customWidth="1"/>
    <col min="6945" max="6945" width="11.5703125" style="794" customWidth="1"/>
    <col min="6946" max="6946" width="11.28515625" style="794" customWidth="1"/>
    <col min="6947" max="7168" width="9.5703125" style="794"/>
    <col min="7169" max="7173" width="0" style="794" hidden="1" customWidth="1"/>
    <col min="7174" max="7174" width="11.42578125" style="794" customWidth="1"/>
    <col min="7175" max="7175" width="8.42578125" style="794" customWidth="1"/>
    <col min="7176" max="7176" width="71.7109375" style="794" customWidth="1"/>
    <col min="7177" max="7177" width="12.85546875" style="794" customWidth="1"/>
    <col min="7178" max="7178" width="14" style="794" customWidth="1"/>
    <col min="7179" max="7179" width="17.42578125" style="794" customWidth="1"/>
    <col min="7180" max="7180" width="14.42578125" style="794" customWidth="1"/>
    <col min="7181" max="7181" width="12.5703125" style="794" customWidth="1"/>
    <col min="7182" max="7182" width="14" style="794" customWidth="1"/>
    <col min="7183" max="7183" width="65" style="794" customWidth="1"/>
    <col min="7184" max="7184" width="12.5703125" style="794" customWidth="1"/>
    <col min="7185" max="7185" width="11.85546875" style="794" customWidth="1"/>
    <col min="7186" max="7186" width="14.7109375" style="794" customWidth="1"/>
    <col min="7187" max="7187" width="12.28515625" style="794" customWidth="1"/>
    <col min="7188" max="7188" width="10" style="794" customWidth="1"/>
    <col min="7189" max="7189" width="64" style="794" customWidth="1"/>
    <col min="7190" max="7191" width="0" style="794" hidden="1" customWidth="1"/>
    <col min="7192" max="7192" width="11.7109375" style="794" customWidth="1"/>
    <col min="7193" max="7193" width="14.42578125" style="794" bestFit="1" customWidth="1"/>
    <col min="7194" max="7194" width="12.42578125" style="794" customWidth="1"/>
    <col min="7195" max="7195" width="11.140625" style="794" customWidth="1"/>
    <col min="7196" max="7196" width="12.42578125" style="794" customWidth="1"/>
    <col min="7197" max="7197" width="13.7109375" style="794" customWidth="1"/>
    <col min="7198" max="7198" width="29.85546875" style="794" customWidth="1"/>
    <col min="7199" max="7199" width="11.28515625" style="794" customWidth="1"/>
    <col min="7200" max="7200" width="10.42578125" style="794" bestFit="1" customWidth="1"/>
    <col min="7201" max="7201" width="11.5703125" style="794" customWidth="1"/>
    <col min="7202" max="7202" width="11.28515625" style="794" customWidth="1"/>
    <col min="7203" max="7424" width="9.5703125" style="794"/>
    <col min="7425" max="7429" width="0" style="794" hidden="1" customWidth="1"/>
    <col min="7430" max="7430" width="11.42578125" style="794" customWidth="1"/>
    <col min="7431" max="7431" width="8.42578125" style="794" customWidth="1"/>
    <col min="7432" max="7432" width="71.7109375" style="794" customWidth="1"/>
    <col min="7433" max="7433" width="12.85546875" style="794" customWidth="1"/>
    <col min="7434" max="7434" width="14" style="794" customWidth="1"/>
    <col min="7435" max="7435" width="17.42578125" style="794" customWidth="1"/>
    <col min="7436" max="7436" width="14.42578125" style="794" customWidth="1"/>
    <col min="7437" max="7437" width="12.5703125" style="794" customWidth="1"/>
    <col min="7438" max="7438" width="14" style="794" customWidth="1"/>
    <col min="7439" max="7439" width="65" style="794" customWidth="1"/>
    <col min="7440" max="7440" width="12.5703125" style="794" customWidth="1"/>
    <col min="7441" max="7441" width="11.85546875" style="794" customWidth="1"/>
    <col min="7442" max="7442" width="14.7109375" style="794" customWidth="1"/>
    <col min="7443" max="7443" width="12.28515625" style="794" customWidth="1"/>
    <col min="7444" max="7444" width="10" style="794" customWidth="1"/>
    <col min="7445" max="7445" width="64" style="794" customWidth="1"/>
    <col min="7446" max="7447" width="0" style="794" hidden="1" customWidth="1"/>
    <col min="7448" max="7448" width="11.7109375" style="794" customWidth="1"/>
    <col min="7449" max="7449" width="14.42578125" style="794" bestFit="1" customWidth="1"/>
    <col min="7450" max="7450" width="12.42578125" style="794" customWidth="1"/>
    <col min="7451" max="7451" width="11.140625" style="794" customWidth="1"/>
    <col min="7452" max="7452" width="12.42578125" style="794" customWidth="1"/>
    <col min="7453" max="7453" width="13.7109375" style="794" customWidth="1"/>
    <col min="7454" max="7454" width="29.85546875" style="794" customWidth="1"/>
    <col min="7455" max="7455" width="11.28515625" style="794" customWidth="1"/>
    <col min="7456" max="7456" width="10.42578125" style="794" bestFit="1" customWidth="1"/>
    <col min="7457" max="7457" width="11.5703125" style="794" customWidth="1"/>
    <col min="7458" max="7458" width="11.28515625" style="794" customWidth="1"/>
    <col min="7459" max="7680" width="9.5703125" style="794"/>
    <col min="7681" max="7685" width="0" style="794" hidden="1" customWidth="1"/>
    <col min="7686" max="7686" width="11.42578125" style="794" customWidth="1"/>
    <col min="7687" max="7687" width="8.42578125" style="794" customWidth="1"/>
    <col min="7688" max="7688" width="71.7109375" style="794" customWidth="1"/>
    <col min="7689" max="7689" width="12.85546875" style="794" customWidth="1"/>
    <col min="7690" max="7690" width="14" style="794" customWidth="1"/>
    <col min="7691" max="7691" width="17.42578125" style="794" customWidth="1"/>
    <col min="7692" max="7692" width="14.42578125" style="794" customWidth="1"/>
    <col min="7693" max="7693" width="12.5703125" style="794" customWidth="1"/>
    <col min="7694" max="7694" width="14" style="794" customWidth="1"/>
    <col min="7695" max="7695" width="65" style="794" customWidth="1"/>
    <col min="7696" max="7696" width="12.5703125" style="794" customWidth="1"/>
    <col min="7697" max="7697" width="11.85546875" style="794" customWidth="1"/>
    <col min="7698" max="7698" width="14.7109375" style="794" customWidth="1"/>
    <col min="7699" max="7699" width="12.28515625" style="794" customWidth="1"/>
    <col min="7700" max="7700" width="10" style="794" customWidth="1"/>
    <col min="7701" max="7701" width="64" style="794" customWidth="1"/>
    <col min="7702" max="7703" width="0" style="794" hidden="1" customWidth="1"/>
    <col min="7704" max="7704" width="11.7109375" style="794" customWidth="1"/>
    <col min="7705" max="7705" width="14.42578125" style="794" bestFit="1" customWidth="1"/>
    <col min="7706" max="7706" width="12.42578125" style="794" customWidth="1"/>
    <col min="7707" max="7707" width="11.140625" style="794" customWidth="1"/>
    <col min="7708" max="7708" width="12.42578125" style="794" customWidth="1"/>
    <col min="7709" max="7709" width="13.7109375" style="794" customWidth="1"/>
    <col min="7710" max="7710" width="29.85546875" style="794" customWidth="1"/>
    <col min="7711" max="7711" width="11.28515625" style="794" customWidth="1"/>
    <col min="7712" max="7712" width="10.42578125" style="794" bestFit="1" customWidth="1"/>
    <col min="7713" max="7713" width="11.5703125" style="794" customWidth="1"/>
    <col min="7714" max="7714" width="11.28515625" style="794" customWidth="1"/>
    <col min="7715" max="7936" width="9.5703125" style="794"/>
    <col min="7937" max="7941" width="0" style="794" hidden="1" customWidth="1"/>
    <col min="7942" max="7942" width="11.42578125" style="794" customWidth="1"/>
    <col min="7943" max="7943" width="8.42578125" style="794" customWidth="1"/>
    <col min="7944" max="7944" width="71.7109375" style="794" customWidth="1"/>
    <col min="7945" max="7945" width="12.85546875" style="794" customWidth="1"/>
    <col min="7946" max="7946" width="14" style="794" customWidth="1"/>
    <col min="7947" max="7947" width="17.42578125" style="794" customWidth="1"/>
    <col min="7948" max="7948" width="14.42578125" style="794" customWidth="1"/>
    <col min="7949" max="7949" width="12.5703125" style="794" customWidth="1"/>
    <col min="7950" max="7950" width="14" style="794" customWidth="1"/>
    <col min="7951" max="7951" width="65" style="794" customWidth="1"/>
    <col min="7952" max="7952" width="12.5703125" style="794" customWidth="1"/>
    <col min="7953" max="7953" width="11.85546875" style="794" customWidth="1"/>
    <col min="7954" max="7954" width="14.7109375" style="794" customWidth="1"/>
    <col min="7955" max="7955" width="12.28515625" style="794" customWidth="1"/>
    <col min="7956" max="7956" width="10" style="794" customWidth="1"/>
    <col min="7957" max="7957" width="64" style="794" customWidth="1"/>
    <col min="7958" max="7959" width="0" style="794" hidden="1" customWidth="1"/>
    <col min="7960" max="7960" width="11.7109375" style="794" customWidth="1"/>
    <col min="7961" max="7961" width="14.42578125" style="794" bestFit="1" customWidth="1"/>
    <col min="7962" max="7962" width="12.42578125" style="794" customWidth="1"/>
    <col min="7963" max="7963" width="11.140625" style="794" customWidth="1"/>
    <col min="7964" max="7964" width="12.42578125" style="794" customWidth="1"/>
    <col min="7965" max="7965" width="13.7109375" style="794" customWidth="1"/>
    <col min="7966" max="7966" width="29.85546875" style="794" customWidth="1"/>
    <col min="7967" max="7967" width="11.28515625" style="794" customWidth="1"/>
    <col min="7968" max="7968" width="10.42578125" style="794" bestFit="1" customWidth="1"/>
    <col min="7969" max="7969" width="11.5703125" style="794" customWidth="1"/>
    <col min="7970" max="7970" width="11.28515625" style="794" customWidth="1"/>
    <col min="7971" max="8192" width="9.5703125" style="794"/>
    <col min="8193" max="8197" width="0" style="794" hidden="1" customWidth="1"/>
    <col min="8198" max="8198" width="11.42578125" style="794" customWidth="1"/>
    <col min="8199" max="8199" width="8.42578125" style="794" customWidth="1"/>
    <col min="8200" max="8200" width="71.7109375" style="794" customWidth="1"/>
    <col min="8201" max="8201" width="12.85546875" style="794" customWidth="1"/>
    <col min="8202" max="8202" width="14" style="794" customWidth="1"/>
    <col min="8203" max="8203" width="17.42578125" style="794" customWidth="1"/>
    <col min="8204" max="8204" width="14.42578125" style="794" customWidth="1"/>
    <col min="8205" max="8205" width="12.5703125" style="794" customWidth="1"/>
    <col min="8206" max="8206" width="14" style="794" customWidth="1"/>
    <col min="8207" max="8207" width="65" style="794" customWidth="1"/>
    <col min="8208" max="8208" width="12.5703125" style="794" customWidth="1"/>
    <col min="8209" max="8209" width="11.85546875" style="794" customWidth="1"/>
    <col min="8210" max="8210" width="14.7109375" style="794" customWidth="1"/>
    <col min="8211" max="8211" width="12.28515625" style="794" customWidth="1"/>
    <col min="8212" max="8212" width="10" style="794" customWidth="1"/>
    <col min="8213" max="8213" width="64" style="794" customWidth="1"/>
    <col min="8214" max="8215" width="0" style="794" hidden="1" customWidth="1"/>
    <col min="8216" max="8216" width="11.7109375" style="794" customWidth="1"/>
    <col min="8217" max="8217" width="14.42578125" style="794" bestFit="1" customWidth="1"/>
    <col min="8218" max="8218" width="12.42578125" style="794" customWidth="1"/>
    <col min="8219" max="8219" width="11.140625" style="794" customWidth="1"/>
    <col min="8220" max="8220" width="12.42578125" style="794" customWidth="1"/>
    <col min="8221" max="8221" width="13.7109375" style="794" customWidth="1"/>
    <col min="8222" max="8222" width="29.85546875" style="794" customWidth="1"/>
    <col min="8223" max="8223" width="11.28515625" style="794" customWidth="1"/>
    <col min="8224" max="8224" width="10.42578125" style="794" bestFit="1" customWidth="1"/>
    <col min="8225" max="8225" width="11.5703125" style="794" customWidth="1"/>
    <col min="8226" max="8226" width="11.28515625" style="794" customWidth="1"/>
    <col min="8227" max="8448" width="9.5703125" style="794"/>
    <col min="8449" max="8453" width="0" style="794" hidden="1" customWidth="1"/>
    <col min="8454" max="8454" width="11.42578125" style="794" customWidth="1"/>
    <col min="8455" max="8455" width="8.42578125" style="794" customWidth="1"/>
    <col min="8456" max="8456" width="71.7109375" style="794" customWidth="1"/>
    <col min="8457" max="8457" width="12.85546875" style="794" customWidth="1"/>
    <col min="8458" max="8458" width="14" style="794" customWidth="1"/>
    <col min="8459" max="8459" width="17.42578125" style="794" customWidth="1"/>
    <col min="8460" max="8460" width="14.42578125" style="794" customWidth="1"/>
    <col min="8461" max="8461" width="12.5703125" style="794" customWidth="1"/>
    <col min="8462" max="8462" width="14" style="794" customWidth="1"/>
    <col min="8463" max="8463" width="65" style="794" customWidth="1"/>
    <col min="8464" max="8464" width="12.5703125" style="794" customWidth="1"/>
    <col min="8465" max="8465" width="11.85546875" style="794" customWidth="1"/>
    <col min="8466" max="8466" width="14.7109375" style="794" customWidth="1"/>
    <col min="8467" max="8467" width="12.28515625" style="794" customWidth="1"/>
    <col min="8468" max="8468" width="10" style="794" customWidth="1"/>
    <col min="8469" max="8469" width="64" style="794" customWidth="1"/>
    <col min="8470" max="8471" width="0" style="794" hidden="1" customWidth="1"/>
    <col min="8472" max="8472" width="11.7109375" style="794" customWidth="1"/>
    <col min="8473" max="8473" width="14.42578125" style="794" bestFit="1" customWidth="1"/>
    <col min="8474" max="8474" width="12.42578125" style="794" customWidth="1"/>
    <col min="8475" max="8475" width="11.140625" style="794" customWidth="1"/>
    <col min="8476" max="8476" width="12.42578125" style="794" customWidth="1"/>
    <col min="8477" max="8477" width="13.7109375" style="794" customWidth="1"/>
    <col min="8478" max="8478" width="29.85546875" style="794" customWidth="1"/>
    <col min="8479" max="8479" width="11.28515625" style="794" customWidth="1"/>
    <col min="8480" max="8480" width="10.42578125" style="794" bestFit="1" customWidth="1"/>
    <col min="8481" max="8481" width="11.5703125" style="794" customWidth="1"/>
    <col min="8482" max="8482" width="11.28515625" style="794" customWidth="1"/>
    <col min="8483" max="8704" width="9.5703125" style="794"/>
    <col min="8705" max="8709" width="0" style="794" hidden="1" customWidth="1"/>
    <col min="8710" max="8710" width="11.42578125" style="794" customWidth="1"/>
    <col min="8711" max="8711" width="8.42578125" style="794" customWidth="1"/>
    <col min="8712" max="8712" width="71.7109375" style="794" customWidth="1"/>
    <col min="8713" max="8713" width="12.85546875" style="794" customWidth="1"/>
    <col min="8714" max="8714" width="14" style="794" customWidth="1"/>
    <col min="8715" max="8715" width="17.42578125" style="794" customWidth="1"/>
    <col min="8716" max="8716" width="14.42578125" style="794" customWidth="1"/>
    <col min="8717" max="8717" width="12.5703125" style="794" customWidth="1"/>
    <col min="8718" max="8718" width="14" style="794" customWidth="1"/>
    <col min="8719" max="8719" width="65" style="794" customWidth="1"/>
    <col min="8720" max="8720" width="12.5703125" style="794" customWidth="1"/>
    <col min="8721" max="8721" width="11.85546875" style="794" customWidth="1"/>
    <col min="8722" max="8722" width="14.7109375" style="794" customWidth="1"/>
    <col min="8723" max="8723" width="12.28515625" style="794" customWidth="1"/>
    <col min="8724" max="8724" width="10" style="794" customWidth="1"/>
    <col min="8725" max="8725" width="64" style="794" customWidth="1"/>
    <col min="8726" max="8727" width="0" style="794" hidden="1" customWidth="1"/>
    <col min="8728" max="8728" width="11.7109375" style="794" customWidth="1"/>
    <col min="8729" max="8729" width="14.42578125" style="794" bestFit="1" customWidth="1"/>
    <col min="8730" max="8730" width="12.42578125" style="794" customWidth="1"/>
    <col min="8731" max="8731" width="11.140625" style="794" customWidth="1"/>
    <col min="8732" max="8732" width="12.42578125" style="794" customWidth="1"/>
    <col min="8733" max="8733" width="13.7109375" style="794" customWidth="1"/>
    <col min="8734" max="8734" width="29.85546875" style="794" customWidth="1"/>
    <col min="8735" max="8735" width="11.28515625" style="794" customWidth="1"/>
    <col min="8736" max="8736" width="10.42578125" style="794" bestFit="1" customWidth="1"/>
    <col min="8737" max="8737" width="11.5703125" style="794" customWidth="1"/>
    <col min="8738" max="8738" width="11.28515625" style="794" customWidth="1"/>
    <col min="8739" max="8960" width="9.5703125" style="794"/>
    <col min="8961" max="8965" width="0" style="794" hidden="1" customWidth="1"/>
    <col min="8966" max="8966" width="11.42578125" style="794" customWidth="1"/>
    <col min="8967" max="8967" width="8.42578125" style="794" customWidth="1"/>
    <col min="8968" max="8968" width="71.7109375" style="794" customWidth="1"/>
    <col min="8969" max="8969" width="12.85546875" style="794" customWidth="1"/>
    <col min="8970" max="8970" width="14" style="794" customWidth="1"/>
    <col min="8971" max="8971" width="17.42578125" style="794" customWidth="1"/>
    <col min="8972" max="8972" width="14.42578125" style="794" customWidth="1"/>
    <col min="8973" max="8973" width="12.5703125" style="794" customWidth="1"/>
    <col min="8974" max="8974" width="14" style="794" customWidth="1"/>
    <col min="8975" max="8975" width="65" style="794" customWidth="1"/>
    <col min="8976" max="8976" width="12.5703125" style="794" customWidth="1"/>
    <col min="8977" max="8977" width="11.85546875" style="794" customWidth="1"/>
    <col min="8978" max="8978" width="14.7109375" style="794" customWidth="1"/>
    <col min="8979" max="8979" width="12.28515625" style="794" customWidth="1"/>
    <col min="8980" max="8980" width="10" style="794" customWidth="1"/>
    <col min="8981" max="8981" width="64" style="794" customWidth="1"/>
    <col min="8982" max="8983" width="0" style="794" hidden="1" customWidth="1"/>
    <col min="8984" max="8984" width="11.7109375" style="794" customWidth="1"/>
    <col min="8985" max="8985" width="14.42578125" style="794" bestFit="1" customWidth="1"/>
    <col min="8986" max="8986" width="12.42578125" style="794" customWidth="1"/>
    <col min="8987" max="8987" width="11.140625" style="794" customWidth="1"/>
    <col min="8988" max="8988" width="12.42578125" style="794" customWidth="1"/>
    <col min="8989" max="8989" width="13.7109375" style="794" customWidth="1"/>
    <col min="8990" max="8990" width="29.85546875" style="794" customWidth="1"/>
    <col min="8991" max="8991" width="11.28515625" style="794" customWidth="1"/>
    <col min="8992" max="8992" width="10.42578125" style="794" bestFit="1" customWidth="1"/>
    <col min="8993" max="8993" width="11.5703125" style="794" customWidth="1"/>
    <col min="8994" max="8994" width="11.28515625" style="794" customWidth="1"/>
    <col min="8995" max="9216" width="9.5703125" style="794"/>
    <col min="9217" max="9221" width="0" style="794" hidden="1" customWidth="1"/>
    <col min="9222" max="9222" width="11.42578125" style="794" customWidth="1"/>
    <col min="9223" max="9223" width="8.42578125" style="794" customWidth="1"/>
    <col min="9224" max="9224" width="71.7109375" style="794" customWidth="1"/>
    <col min="9225" max="9225" width="12.85546875" style="794" customWidth="1"/>
    <col min="9226" max="9226" width="14" style="794" customWidth="1"/>
    <col min="9227" max="9227" width="17.42578125" style="794" customWidth="1"/>
    <col min="9228" max="9228" width="14.42578125" style="794" customWidth="1"/>
    <col min="9229" max="9229" width="12.5703125" style="794" customWidth="1"/>
    <col min="9230" max="9230" width="14" style="794" customWidth="1"/>
    <col min="9231" max="9231" width="65" style="794" customWidth="1"/>
    <col min="9232" max="9232" width="12.5703125" style="794" customWidth="1"/>
    <col min="9233" max="9233" width="11.85546875" style="794" customWidth="1"/>
    <col min="9234" max="9234" width="14.7109375" style="794" customWidth="1"/>
    <col min="9235" max="9235" width="12.28515625" style="794" customWidth="1"/>
    <col min="9236" max="9236" width="10" style="794" customWidth="1"/>
    <col min="9237" max="9237" width="64" style="794" customWidth="1"/>
    <col min="9238" max="9239" width="0" style="794" hidden="1" customWidth="1"/>
    <col min="9240" max="9240" width="11.7109375" style="794" customWidth="1"/>
    <col min="9241" max="9241" width="14.42578125" style="794" bestFit="1" customWidth="1"/>
    <col min="9242" max="9242" width="12.42578125" style="794" customWidth="1"/>
    <col min="9243" max="9243" width="11.140625" style="794" customWidth="1"/>
    <col min="9244" max="9244" width="12.42578125" style="794" customWidth="1"/>
    <col min="9245" max="9245" width="13.7109375" style="794" customWidth="1"/>
    <col min="9246" max="9246" width="29.85546875" style="794" customWidth="1"/>
    <col min="9247" max="9247" width="11.28515625" style="794" customWidth="1"/>
    <col min="9248" max="9248" width="10.42578125" style="794" bestFit="1" customWidth="1"/>
    <col min="9249" max="9249" width="11.5703125" style="794" customWidth="1"/>
    <col min="9250" max="9250" width="11.28515625" style="794" customWidth="1"/>
    <col min="9251" max="9472" width="9.5703125" style="794"/>
    <col min="9473" max="9477" width="0" style="794" hidden="1" customWidth="1"/>
    <col min="9478" max="9478" width="11.42578125" style="794" customWidth="1"/>
    <col min="9479" max="9479" width="8.42578125" style="794" customWidth="1"/>
    <col min="9480" max="9480" width="71.7109375" style="794" customWidth="1"/>
    <col min="9481" max="9481" width="12.85546875" style="794" customWidth="1"/>
    <col min="9482" max="9482" width="14" style="794" customWidth="1"/>
    <col min="9483" max="9483" width="17.42578125" style="794" customWidth="1"/>
    <col min="9484" max="9484" width="14.42578125" style="794" customWidth="1"/>
    <col min="9485" max="9485" width="12.5703125" style="794" customWidth="1"/>
    <col min="9486" max="9486" width="14" style="794" customWidth="1"/>
    <col min="9487" max="9487" width="65" style="794" customWidth="1"/>
    <col min="9488" max="9488" width="12.5703125" style="794" customWidth="1"/>
    <col min="9489" max="9489" width="11.85546875" style="794" customWidth="1"/>
    <col min="9490" max="9490" width="14.7109375" style="794" customWidth="1"/>
    <col min="9491" max="9491" width="12.28515625" style="794" customWidth="1"/>
    <col min="9492" max="9492" width="10" style="794" customWidth="1"/>
    <col min="9493" max="9493" width="64" style="794" customWidth="1"/>
    <col min="9494" max="9495" width="0" style="794" hidden="1" customWidth="1"/>
    <col min="9496" max="9496" width="11.7109375" style="794" customWidth="1"/>
    <col min="9497" max="9497" width="14.42578125" style="794" bestFit="1" customWidth="1"/>
    <col min="9498" max="9498" width="12.42578125" style="794" customWidth="1"/>
    <col min="9499" max="9499" width="11.140625" style="794" customWidth="1"/>
    <col min="9500" max="9500" width="12.42578125" style="794" customWidth="1"/>
    <col min="9501" max="9501" width="13.7109375" style="794" customWidth="1"/>
    <col min="9502" max="9502" width="29.85546875" style="794" customWidth="1"/>
    <col min="9503" max="9503" width="11.28515625" style="794" customWidth="1"/>
    <col min="9504" max="9504" width="10.42578125" style="794" bestFit="1" customWidth="1"/>
    <col min="9505" max="9505" width="11.5703125" style="794" customWidth="1"/>
    <col min="9506" max="9506" width="11.28515625" style="794" customWidth="1"/>
    <col min="9507" max="9728" width="9.5703125" style="794"/>
    <col min="9729" max="9733" width="0" style="794" hidden="1" customWidth="1"/>
    <col min="9734" max="9734" width="11.42578125" style="794" customWidth="1"/>
    <col min="9735" max="9735" width="8.42578125" style="794" customWidth="1"/>
    <col min="9736" max="9736" width="71.7109375" style="794" customWidth="1"/>
    <col min="9737" max="9737" width="12.85546875" style="794" customWidth="1"/>
    <col min="9738" max="9738" width="14" style="794" customWidth="1"/>
    <col min="9739" max="9739" width="17.42578125" style="794" customWidth="1"/>
    <col min="9740" max="9740" width="14.42578125" style="794" customWidth="1"/>
    <col min="9741" max="9741" width="12.5703125" style="794" customWidth="1"/>
    <col min="9742" max="9742" width="14" style="794" customWidth="1"/>
    <col min="9743" max="9743" width="65" style="794" customWidth="1"/>
    <col min="9744" max="9744" width="12.5703125" style="794" customWidth="1"/>
    <col min="9745" max="9745" width="11.85546875" style="794" customWidth="1"/>
    <col min="9746" max="9746" width="14.7109375" style="794" customWidth="1"/>
    <col min="9747" max="9747" width="12.28515625" style="794" customWidth="1"/>
    <col min="9748" max="9748" width="10" style="794" customWidth="1"/>
    <col min="9749" max="9749" width="64" style="794" customWidth="1"/>
    <col min="9750" max="9751" width="0" style="794" hidden="1" customWidth="1"/>
    <col min="9752" max="9752" width="11.7109375" style="794" customWidth="1"/>
    <col min="9753" max="9753" width="14.42578125" style="794" bestFit="1" customWidth="1"/>
    <col min="9754" max="9754" width="12.42578125" style="794" customWidth="1"/>
    <col min="9755" max="9755" width="11.140625" style="794" customWidth="1"/>
    <col min="9756" max="9756" width="12.42578125" style="794" customWidth="1"/>
    <col min="9757" max="9757" width="13.7109375" style="794" customWidth="1"/>
    <col min="9758" max="9758" width="29.85546875" style="794" customWidth="1"/>
    <col min="9759" max="9759" width="11.28515625" style="794" customWidth="1"/>
    <col min="9760" max="9760" width="10.42578125" style="794" bestFit="1" customWidth="1"/>
    <col min="9761" max="9761" width="11.5703125" style="794" customWidth="1"/>
    <col min="9762" max="9762" width="11.28515625" style="794" customWidth="1"/>
    <col min="9763" max="9984" width="9.5703125" style="794"/>
    <col min="9985" max="9989" width="0" style="794" hidden="1" customWidth="1"/>
    <col min="9990" max="9990" width="11.42578125" style="794" customWidth="1"/>
    <col min="9991" max="9991" width="8.42578125" style="794" customWidth="1"/>
    <col min="9992" max="9992" width="71.7109375" style="794" customWidth="1"/>
    <col min="9993" max="9993" width="12.85546875" style="794" customWidth="1"/>
    <col min="9994" max="9994" width="14" style="794" customWidth="1"/>
    <col min="9995" max="9995" width="17.42578125" style="794" customWidth="1"/>
    <col min="9996" max="9996" width="14.42578125" style="794" customWidth="1"/>
    <col min="9997" max="9997" width="12.5703125" style="794" customWidth="1"/>
    <col min="9998" max="9998" width="14" style="794" customWidth="1"/>
    <col min="9999" max="9999" width="65" style="794" customWidth="1"/>
    <col min="10000" max="10000" width="12.5703125" style="794" customWidth="1"/>
    <col min="10001" max="10001" width="11.85546875" style="794" customWidth="1"/>
    <col min="10002" max="10002" width="14.7109375" style="794" customWidth="1"/>
    <col min="10003" max="10003" width="12.28515625" style="794" customWidth="1"/>
    <col min="10004" max="10004" width="10" style="794" customWidth="1"/>
    <col min="10005" max="10005" width="64" style="794" customWidth="1"/>
    <col min="10006" max="10007" width="0" style="794" hidden="1" customWidth="1"/>
    <col min="10008" max="10008" width="11.7109375" style="794" customWidth="1"/>
    <col min="10009" max="10009" width="14.42578125" style="794" bestFit="1" customWidth="1"/>
    <col min="10010" max="10010" width="12.42578125" style="794" customWidth="1"/>
    <col min="10011" max="10011" width="11.140625" style="794" customWidth="1"/>
    <col min="10012" max="10012" width="12.42578125" style="794" customWidth="1"/>
    <col min="10013" max="10013" width="13.7109375" style="794" customWidth="1"/>
    <col min="10014" max="10014" width="29.85546875" style="794" customWidth="1"/>
    <col min="10015" max="10015" width="11.28515625" style="794" customWidth="1"/>
    <col min="10016" max="10016" width="10.42578125" style="794" bestFit="1" customWidth="1"/>
    <col min="10017" max="10017" width="11.5703125" style="794" customWidth="1"/>
    <col min="10018" max="10018" width="11.28515625" style="794" customWidth="1"/>
    <col min="10019" max="10240" width="9.5703125" style="794"/>
    <col min="10241" max="10245" width="0" style="794" hidden="1" customWidth="1"/>
    <col min="10246" max="10246" width="11.42578125" style="794" customWidth="1"/>
    <col min="10247" max="10247" width="8.42578125" style="794" customWidth="1"/>
    <col min="10248" max="10248" width="71.7109375" style="794" customWidth="1"/>
    <col min="10249" max="10249" width="12.85546875" style="794" customWidth="1"/>
    <col min="10250" max="10250" width="14" style="794" customWidth="1"/>
    <col min="10251" max="10251" width="17.42578125" style="794" customWidth="1"/>
    <col min="10252" max="10252" width="14.42578125" style="794" customWidth="1"/>
    <col min="10253" max="10253" width="12.5703125" style="794" customWidth="1"/>
    <col min="10254" max="10254" width="14" style="794" customWidth="1"/>
    <col min="10255" max="10255" width="65" style="794" customWidth="1"/>
    <col min="10256" max="10256" width="12.5703125" style="794" customWidth="1"/>
    <col min="10257" max="10257" width="11.85546875" style="794" customWidth="1"/>
    <col min="10258" max="10258" width="14.7109375" style="794" customWidth="1"/>
    <col min="10259" max="10259" width="12.28515625" style="794" customWidth="1"/>
    <col min="10260" max="10260" width="10" style="794" customWidth="1"/>
    <col min="10261" max="10261" width="64" style="794" customWidth="1"/>
    <col min="10262" max="10263" width="0" style="794" hidden="1" customWidth="1"/>
    <col min="10264" max="10264" width="11.7109375" style="794" customWidth="1"/>
    <col min="10265" max="10265" width="14.42578125" style="794" bestFit="1" customWidth="1"/>
    <col min="10266" max="10266" width="12.42578125" style="794" customWidth="1"/>
    <col min="10267" max="10267" width="11.140625" style="794" customWidth="1"/>
    <col min="10268" max="10268" width="12.42578125" style="794" customWidth="1"/>
    <col min="10269" max="10269" width="13.7109375" style="794" customWidth="1"/>
    <col min="10270" max="10270" width="29.85546875" style="794" customWidth="1"/>
    <col min="10271" max="10271" width="11.28515625" style="794" customWidth="1"/>
    <col min="10272" max="10272" width="10.42578125" style="794" bestFit="1" customWidth="1"/>
    <col min="10273" max="10273" width="11.5703125" style="794" customWidth="1"/>
    <col min="10274" max="10274" width="11.28515625" style="794" customWidth="1"/>
    <col min="10275" max="10496" width="9.5703125" style="794"/>
    <col min="10497" max="10501" width="0" style="794" hidden="1" customWidth="1"/>
    <col min="10502" max="10502" width="11.42578125" style="794" customWidth="1"/>
    <col min="10503" max="10503" width="8.42578125" style="794" customWidth="1"/>
    <col min="10504" max="10504" width="71.7109375" style="794" customWidth="1"/>
    <col min="10505" max="10505" width="12.85546875" style="794" customWidth="1"/>
    <col min="10506" max="10506" width="14" style="794" customWidth="1"/>
    <col min="10507" max="10507" width="17.42578125" style="794" customWidth="1"/>
    <col min="10508" max="10508" width="14.42578125" style="794" customWidth="1"/>
    <col min="10509" max="10509" width="12.5703125" style="794" customWidth="1"/>
    <col min="10510" max="10510" width="14" style="794" customWidth="1"/>
    <col min="10511" max="10511" width="65" style="794" customWidth="1"/>
    <col min="10512" max="10512" width="12.5703125" style="794" customWidth="1"/>
    <col min="10513" max="10513" width="11.85546875" style="794" customWidth="1"/>
    <col min="10514" max="10514" width="14.7109375" style="794" customWidth="1"/>
    <col min="10515" max="10515" width="12.28515625" style="794" customWidth="1"/>
    <col min="10516" max="10516" width="10" style="794" customWidth="1"/>
    <col min="10517" max="10517" width="64" style="794" customWidth="1"/>
    <col min="10518" max="10519" width="0" style="794" hidden="1" customWidth="1"/>
    <col min="10520" max="10520" width="11.7109375" style="794" customWidth="1"/>
    <col min="10521" max="10521" width="14.42578125" style="794" bestFit="1" customWidth="1"/>
    <col min="10522" max="10522" width="12.42578125" style="794" customWidth="1"/>
    <col min="10523" max="10523" width="11.140625" style="794" customWidth="1"/>
    <col min="10524" max="10524" width="12.42578125" style="794" customWidth="1"/>
    <col min="10525" max="10525" width="13.7109375" style="794" customWidth="1"/>
    <col min="10526" max="10526" width="29.85546875" style="794" customWidth="1"/>
    <col min="10527" max="10527" width="11.28515625" style="794" customWidth="1"/>
    <col min="10528" max="10528" width="10.42578125" style="794" bestFit="1" customWidth="1"/>
    <col min="10529" max="10529" width="11.5703125" style="794" customWidth="1"/>
    <col min="10530" max="10530" width="11.28515625" style="794" customWidth="1"/>
    <col min="10531" max="10752" width="9.5703125" style="794"/>
    <col min="10753" max="10757" width="0" style="794" hidden="1" customWidth="1"/>
    <col min="10758" max="10758" width="11.42578125" style="794" customWidth="1"/>
    <col min="10759" max="10759" width="8.42578125" style="794" customWidth="1"/>
    <col min="10760" max="10760" width="71.7109375" style="794" customWidth="1"/>
    <col min="10761" max="10761" width="12.85546875" style="794" customWidth="1"/>
    <col min="10762" max="10762" width="14" style="794" customWidth="1"/>
    <col min="10763" max="10763" width="17.42578125" style="794" customWidth="1"/>
    <col min="10764" max="10764" width="14.42578125" style="794" customWidth="1"/>
    <col min="10765" max="10765" width="12.5703125" style="794" customWidth="1"/>
    <col min="10766" max="10766" width="14" style="794" customWidth="1"/>
    <col min="10767" max="10767" width="65" style="794" customWidth="1"/>
    <col min="10768" max="10768" width="12.5703125" style="794" customWidth="1"/>
    <col min="10769" max="10769" width="11.85546875" style="794" customWidth="1"/>
    <col min="10770" max="10770" width="14.7109375" style="794" customWidth="1"/>
    <col min="10771" max="10771" width="12.28515625" style="794" customWidth="1"/>
    <col min="10772" max="10772" width="10" style="794" customWidth="1"/>
    <col min="10773" max="10773" width="64" style="794" customWidth="1"/>
    <col min="10774" max="10775" width="0" style="794" hidden="1" customWidth="1"/>
    <col min="10776" max="10776" width="11.7109375" style="794" customWidth="1"/>
    <col min="10777" max="10777" width="14.42578125" style="794" bestFit="1" customWidth="1"/>
    <col min="10778" max="10778" width="12.42578125" style="794" customWidth="1"/>
    <col min="10779" max="10779" width="11.140625" style="794" customWidth="1"/>
    <col min="10780" max="10780" width="12.42578125" style="794" customWidth="1"/>
    <col min="10781" max="10781" width="13.7109375" style="794" customWidth="1"/>
    <col min="10782" max="10782" width="29.85546875" style="794" customWidth="1"/>
    <col min="10783" max="10783" width="11.28515625" style="794" customWidth="1"/>
    <col min="10784" max="10784" width="10.42578125" style="794" bestFit="1" customWidth="1"/>
    <col min="10785" max="10785" width="11.5703125" style="794" customWidth="1"/>
    <col min="10786" max="10786" width="11.28515625" style="794" customWidth="1"/>
    <col min="10787" max="11008" width="9.5703125" style="794"/>
    <col min="11009" max="11013" width="0" style="794" hidden="1" customWidth="1"/>
    <col min="11014" max="11014" width="11.42578125" style="794" customWidth="1"/>
    <col min="11015" max="11015" width="8.42578125" style="794" customWidth="1"/>
    <col min="11016" max="11016" width="71.7109375" style="794" customWidth="1"/>
    <col min="11017" max="11017" width="12.85546875" style="794" customWidth="1"/>
    <col min="11018" max="11018" width="14" style="794" customWidth="1"/>
    <col min="11019" max="11019" width="17.42578125" style="794" customWidth="1"/>
    <col min="11020" max="11020" width="14.42578125" style="794" customWidth="1"/>
    <col min="11021" max="11021" width="12.5703125" style="794" customWidth="1"/>
    <col min="11022" max="11022" width="14" style="794" customWidth="1"/>
    <col min="11023" max="11023" width="65" style="794" customWidth="1"/>
    <col min="11024" max="11024" width="12.5703125" style="794" customWidth="1"/>
    <col min="11025" max="11025" width="11.85546875" style="794" customWidth="1"/>
    <col min="11026" max="11026" width="14.7109375" style="794" customWidth="1"/>
    <col min="11027" max="11027" width="12.28515625" style="794" customWidth="1"/>
    <col min="11028" max="11028" width="10" style="794" customWidth="1"/>
    <col min="11029" max="11029" width="64" style="794" customWidth="1"/>
    <col min="11030" max="11031" width="0" style="794" hidden="1" customWidth="1"/>
    <col min="11032" max="11032" width="11.7109375" style="794" customWidth="1"/>
    <col min="11033" max="11033" width="14.42578125" style="794" bestFit="1" customWidth="1"/>
    <col min="11034" max="11034" width="12.42578125" style="794" customWidth="1"/>
    <col min="11035" max="11035" width="11.140625" style="794" customWidth="1"/>
    <col min="11036" max="11036" width="12.42578125" style="794" customWidth="1"/>
    <col min="11037" max="11037" width="13.7109375" style="794" customWidth="1"/>
    <col min="11038" max="11038" width="29.85546875" style="794" customWidth="1"/>
    <col min="11039" max="11039" width="11.28515625" style="794" customWidth="1"/>
    <col min="11040" max="11040" width="10.42578125" style="794" bestFit="1" customWidth="1"/>
    <col min="11041" max="11041" width="11.5703125" style="794" customWidth="1"/>
    <col min="11042" max="11042" width="11.28515625" style="794" customWidth="1"/>
    <col min="11043" max="11264" width="9.5703125" style="794"/>
    <col min="11265" max="11269" width="0" style="794" hidden="1" customWidth="1"/>
    <col min="11270" max="11270" width="11.42578125" style="794" customWidth="1"/>
    <col min="11271" max="11271" width="8.42578125" style="794" customWidth="1"/>
    <col min="11272" max="11272" width="71.7109375" style="794" customWidth="1"/>
    <col min="11273" max="11273" width="12.85546875" style="794" customWidth="1"/>
    <col min="11274" max="11274" width="14" style="794" customWidth="1"/>
    <col min="11275" max="11275" width="17.42578125" style="794" customWidth="1"/>
    <col min="11276" max="11276" width="14.42578125" style="794" customWidth="1"/>
    <col min="11277" max="11277" width="12.5703125" style="794" customWidth="1"/>
    <col min="11278" max="11278" width="14" style="794" customWidth="1"/>
    <col min="11279" max="11279" width="65" style="794" customWidth="1"/>
    <col min="11280" max="11280" width="12.5703125" style="794" customWidth="1"/>
    <col min="11281" max="11281" width="11.85546875" style="794" customWidth="1"/>
    <col min="11282" max="11282" width="14.7109375" style="794" customWidth="1"/>
    <col min="11283" max="11283" width="12.28515625" style="794" customWidth="1"/>
    <col min="11284" max="11284" width="10" style="794" customWidth="1"/>
    <col min="11285" max="11285" width="64" style="794" customWidth="1"/>
    <col min="11286" max="11287" width="0" style="794" hidden="1" customWidth="1"/>
    <col min="11288" max="11288" width="11.7109375" style="794" customWidth="1"/>
    <col min="11289" max="11289" width="14.42578125" style="794" bestFit="1" customWidth="1"/>
    <col min="11290" max="11290" width="12.42578125" style="794" customWidth="1"/>
    <col min="11291" max="11291" width="11.140625" style="794" customWidth="1"/>
    <col min="11292" max="11292" width="12.42578125" style="794" customWidth="1"/>
    <col min="11293" max="11293" width="13.7109375" style="794" customWidth="1"/>
    <col min="11294" max="11294" width="29.85546875" style="794" customWidth="1"/>
    <col min="11295" max="11295" width="11.28515625" style="794" customWidth="1"/>
    <col min="11296" max="11296" width="10.42578125" style="794" bestFit="1" customWidth="1"/>
    <col min="11297" max="11297" width="11.5703125" style="794" customWidth="1"/>
    <col min="11298" max="11298" width="11.28515625" style="794" customWidth="1"/>
    <col min="11299" max="11520" width="9.5703125" style="794"/>
    <col min="11521" max="11525" width="0" style="794" hidden="1" customWidth="1"/>
    <col min="11526" max="11526" width="11.42578125" style="794" customWidth="1"/>
    <col min="11527" max="11527" width="8.42578125" style="794" customWidth="1"/>
    <col min="11528" max="11528" width="71.7109375" style="794" customWidth="1"/>
    <col min="11529" max="11529" width="12.85546875" style="794" customWidth="1"/>
    <col min="11530" max="11530" width="14" style="794" customWidth="1"/>
    <col min="11531" max="11531" width="17.42578125" style="794" customWidth="1"/>
    <col min="11532" max="11532" width="14.42578125" style="794" customWidth="1"/>
    <col min="11533" max="11533" width="12.5703125" style="794" customWidth="1"/>
    <col min="11534" max="11534" width="14" style="794" customWidth="1"/>
    <col min="11535" max="11535" width="65" style="794" customWidth="1"/>
    <col min="11536" max="11536" width="12.5703125" style="794" customWidth="1"/>
    <col min="11537" max="11537" width="11.85546875" style="794" customWidth="1"/>
    <col min="11538" max="11538" width="14.7109375" style="794" customWidth="1"/>
    <col min="11539" max="11539" width="12.28515625" style="794" customWidth="1"/>
    <col min="11540" max="11540" width="10" style="794" customWidth="1"/>
    <col min="11541" max="11541" width="64" style="794" customWidth="1"/>
    <col min="11542" max="11543" width="0" style="794" hidden="1" customWidth="1"/>
    <col min="11544" max="11544" width="11.7109375" style="794" customWidth="1"/>
    <col min="11545" max="11545" width="14.42578125" style="794" bestFit="1" customWidth="1"/>
    <col min="11546" max="11546" width="12.42578125" style="794" customWidth="1"/>
    <col min="11547" max="11547" width="11.140625" style="794" customWidth="1"/>
    <col min="11548" max="11548" width="12.42578125" style="794" customWidth="1"/>
    <col min="11549" max="11549" width="13.7109375" style="794" customWidth="1"/>
    <col min="11550" max="11550" width="29.85546875" style="794" customWidth="1"/>
    <col min="11551" max="11551" width="11.28515625" style="794" customWidth="1"/>
    <col min="11552" max="11552" width="10.42578125" style="794" bestFit="1" customWidth="1"/>
    <col min="11553" max="11553" width="11.5703125" style="794" customWidth="1"/>
    <col min="11554" max="11554" width="11.28515625" style="794" customWidth="1"/>
    <col min="11555" max="11776" width="9.5703125" style="794"/>
    <col min="11777" max="11781" width="0" style="794" hidden="1" customWidth="1"/>
    <col min="11782" max="11782" width="11.42578125" style="794" customWidth="1"/>
    <col min="11783" max="11783" width="8.42578125" style="794" customWidth="1"/>
    <col min="11784" max="11784" width="71.7109375" style="794" customWidth="1"/>
    <col min="11785" max="11785" width="12.85546875" style="794" customWidth="1"/>
    <col min="11786" max="11786" width="14" style="794" customWidth="1"/>
    <col min="11787" max="11787" width="17.42578125" style="794" customWidth="1"/>
    <col min="11788" max="11788" width="14.42578125" style="794" customWidth="1"/>
    <col min="11789" max="11789" width="12.5703125" style="794" customWidth="1"/>
    <col min="11790" max="11790" width="14" style="794" customWidth="1"/>
    <col min="11791" max="11791" width="65" style="794" customWidth="1"/>
    <col min="11792" max="11792" width="12.5703125" style="794" customWidth="1"/>
    <col min="11793" max="11793" width="11.85546875" style="794" customWidth="1"/>
    <col min="11794" max="11794" width="14.7109375" style="794" customWidth="1"/>
    <col min="11795" max="11795" width="12.28515625" style="794" customWidth="1"/>
    <col min="11796" max="11796" width="10" style="794" customWidth="1"/>
    <col min="11797" max="11797" width="64" style="794" customWidth="1"/>
    <col min="11798" max="11799" width="0" style="794" hidden="1" customWidth="1"/>
    <col min="11800" max="11800" width="11.7109375" style="794" customWidth="1"/>
    <col min="11801" max="11801" width="14.42578125" style="794" bestFit="1" customWidth="1"/>
    <col min="11802" max="11802" width="12.42578125" style="794" customWidth="1"/>
    <col min="11803" max="11803" width="11.140625" style="794" customWidth="1"/>
    <col min="11804" max="11804" width="12.42578125" style="794" customWidth="1"/>
    <col min="11805" max="11805" width="13.7109375" style="794" customWidth="1"/>
    <col min="11806" max="11806" width="29.85546875" style="794" customWidth="1"/>
    <col min="11807" max="11807" width="11.28515625" style="794" customWidth="1"/>
    <col min="11808" max="11808" width="10.42578125" style="794" bestFit="1" customWidth="1"/>
    <col min="11809" max="11809" width="11.5703125" style="794" customWidth="1"/>
    <col min="11810" max="11810" width="11.28515625" style="794" customWidth="1"/>
    <col min="11811" max="12032" width="9.5703125" style="794"/>
    <col min="12033" max="12037" width="0" style="794" hidden="1" customWidth="1"/>
    <col min="12038" max="12038" width="11.42578125" style="794" customWidth="1"/>
    <col min="12039" max="12039" width="8.42578125" style="794" customWidth="1"/>
    <col min="12040" max="12040" width="71.7109375" style="794" customWidth="1"/>
    <col min="12041" max="12041" width="12.85546875" style="794" customWidth="1"/>
    <col min="12042" max="12042" width="14" style="794" customWidth="1"/>
    <col min="12043" max="12043" width="17.42578125" style="794" customWidth="1"/>
    <col min="12044" max="12044" width="14.42578125" style="794" customWidth="1"/>
    <col min="12045" max="12045" width="12.5703125" style="794" customWidth="1"/>
    <col min="12046" max="12046" width="14" style="794" customWidth="1"/>
    <col min="12047" max="12047" width="65" style="794" customWidth="1"/>
    <col min="12048" max="12048" width="12.5703125" style="794" customWidth="1"/>
    <col min="12049" max="12049" width="11.85546875" style="794" customWidth="1"/>
    <col min="12050" max="12050" width="14.7109375" style="794" customWidth="1"/>
    <col min="12051" max="12051" width="12.28515625" style="794" customWidth="1"/>
    <col min="12052" max="12052" width="10" style="794" customWidth="1"/>
    <col min="12053" max="12053" width="64" style="794" customWidth="1"/>
    <col min="12054" max="12055" width="0" style="794" hidden="1" customWidth="1"/>
    <col min="12056" max="12056" width="11.7109375" style="794" customWidth="1"/>
    <col min="12057" max="12057" width="14.42578125" style="794" bestFit="1" customWidth="1"/>
    <col min="12058" max="12058" width="12.42578125" style="794" customWidth="1"/>
    <col min="12059" max="12059" width="11.140625" style="794" customWidth="1"/>
    <col min="12060" max="12060" width="12.42578125" style="794" customWidth="1"/>
    <col min="12061" max="12061" width="13.7109375" style="794" customWidth="1"/>
    <col min="12062" max="12062" width="29.85546875" style="794" customWidth="1"/>
    <col min="12063" max="12063" width="11.28515625" style="794" customWidth="1"/>
    <col min="12064" max="12064" width="10.42578125" style="794" bestFit="1" customWidth="1"/>
    <col min="12065" max="12065" width="11.5703125" style="794" customWidth="1"/>
    <col min="12066" max="12066" width="11.28515625" style="794" customWidth="1"/>
    <col min="12067" max="12288" width="9.5703125" style="794"/>
    <col min="12289" max="12293" width="0" style="794" hidden="1" customWidth="1"/>
    <col min="12294" max="12294" width="11.42578125" style="794" customWidth="1"/>
    <col min="12295" max="12295" width="8.42578125" style="794" customWidth="1"/>
    <col min="12296" max="12296" width="71.7109375" style="794" customWidth="1"/>
    <col min="12297" max="12297" width="12.85546875" style="794" customWidth="1"/>
    <col min="12298" max="12298" width="14" style="794" customWidth="1"/>
    <col min="12299" max="12299" width="17.42578125" style="794" customWidth="1"/>
    <col min="12300" max="12300" width="14.42578125" style="794" customWidth="1"/>
    <col min="12301" max="12301" width="12.5703125" style="794" customWidth="1"/>
    <col min="12302" max="12302" width="14" style="794" customWidth="1"/>
    <col min="12303" max="12303" width="65" style="794" customWidth="1"/>
    <col min="12304" max="12304" width="12.5703125" style="794" customWidth="1"/>
    <col min="12305" max="12305" width="11.85546875" style="794" customWidth="1"/>
    <col min="12306" max="12306" width="14.7109375" style="794" customWidth="1"/>
    <col min="12307" max="12307" width="12.28515625" style="794" customWidth="1"/>
    <col min="12308" max="12308" width="10" style="794" customWidth="1"/>
    <col min="12309" max="12309" width="64" style="794" customWidth="1"/>
    <col min="12310" max="12311" width="0" style="794" hidden="1" customWidth="1"/>
    <col min="12312" max="12312" width="11.7109375" style="794" customWidth="1"/>
    <col min="12313" max="12313" width="14.42578125" style="794" bestFit="1" customWidth="1"/>
    <col min="12314" max="12314" width="12.42578125" style="794" customWidth="1"/>
    <col min="12315" max="12315" width="11.140625" style="794" customWidth="1"/>
    <col min="12316" max="12316" width="12.42578125" style="794" customWidth="1"/>
    <col min="12317" max="12317" width="13.7109375" style="794" customWidth="1"/>
    <col min="12318" max="12318" width="29.85546875" style="794" customWidth="1"/>
    <col min="12319" max="12319" width="11.28515625" style="794" customWidth="1"/>
    <col min="12320" max="12320" width="10.42578125" style="794" bestFit="1" customWidth="1"/>
    <col min="12321" max="12321" width="11.5703125" style="794" customWidth="1"/>
    <col min="12322" max="12322" width="11.28515625" style="794" customWidth="1"/>
    <col min="12323" max="12544" width="9.5703125" style="794"/>
    <col min="12545" max="12549" width="0" style="794" hidden="1" customWidth="1"/>
    <col min="12550" max="12550" width="11.42578125" style="794" customWidth="1"/>
    <col min="12551" max="12551" width="8.42578125" style="794" customWidth="1"/>
    <col min="12552" max="12552" width="71.7109375" style="794" customWidth="1"/>
    <col min="12553" max="12553" width="12.85546875" style="794" customWidth="1"/>
    <col min="12554" max="12554" width="14" style="794" customWidth="1"/>
    <col min="12555" max="12555" width="17.42578125" style="794" customWidth="1"/>
    <col min="12556" max="12556" width="14.42578125" style="794" customWidth="1"/>
    <col min="12557" max="12557" width="12.5703125" style="794" customWidth="1"/>
    <col min="12558" max="12558" width="14" style="794" customWidth="1"/>
    <col min="12559" max="12559" width="65" style="794" customWidth="1"/>
    <col min="12560" max="12560" width="12.5703125" style="794" customWidth="1"/>
    <col min="12561" max="12561" width="11.85546875" style="794" customWidth="1"/>
    <col min="12562" max="12562" width="14.7109375" style="794" customWidth="1"/>
    <col min="12563" max="12563" width="12.28515625" style="794" customWidth="1"/>
    <col min="12564" max="12564" width="10" style="794" customWidth="1"/>
    <col min="12565" max="12565" width="64" style="794" customWidth="1"/>
    <col min="12566" max="12567" width="0" style="794" hidden="1" customWidth="1"/>
    <col min="12568" max="12568" width="11.7109375" style="794" customWidth="1"/>
    <col min="12569" max="12569" width="14.42578125" style="794" bestFit="1" customWidth="1"/>
    <col min="12570" max="12570" width="12.42578125" style="794" customWidth="1"/>
    <col min="12571" max="12571" width="11.140625" style="794" customWidth="1"/>
    <col min="12572" max="12572" width="12.42578125" style="794" customWidth="1"/>
    <col min="12573" max="12573" width="13.7109375" style="794" customWidth="1"/>
    <col min="12574" max="12574" width="29.85546875" style="794" customWidth="1"/>
    <col min="12575" max="12575" width="11.28515625" style="794" customWidth="1"/>
    <col min="12576" max="12576" width="10.42578125" style="794" bestFit="1" customWidth="1"/>
    <col min="12577" max="12577" width="11.5703125" style="794" customWidth="1"/>
    <col min="12578" max="12578" width="11.28515625" style="794" customWidth="1"/>
    <col min="12579" max="12800" width="9.5703125" style="794"/>
    <col min="12801" max="12805" width="0" style="794" hidden="1" customWidth="1"/>
    <col min="12806" max="12806" width="11.42578125" style="794" customWidth="1"/>
    <col min="12807" max="12807" width="8.42578125" style="794" customWidth="1"/>
    <col min="12808" max="12808" width="71.7109375" style="794" customWidth="1"/>
    <col min="12809" max="12809" width="12.85546875" style="794" customWidth="1"/>
    <col min="12810" max="12810" width="14" style="794" customWidth="1"/>
    <col min="12811" max="12811" width="17.42578125" style="794" customWidth="1"/>
    <col min="12812" max="12812" width="14.42578125" style="794" customWidth="1"/>
    <col min="12813" max="12813" width="12.5703125" style="794" customWidth="1"/>
    <col min="12814" max="12814" width="14" style="794" customWidth="1"/>
    <col min="12815" max="12815" width="65" style="794" customWidth="1"/>
    <col min="12816" max="12816" width="12.5703125" style="794" customWidth="1"/>
    <col min="12817" max="12817" width="11.85546875" style="794" customWidth="1"/>
    <col min="12818" max="12818" width="14.7109375" style="794" customWidth="1"/>
    <col min="12819" max="12819" width="12.28515625" style="794" customWidth="1"/>
    <col min="12820" max="12820" width="10" style="794" customWidth="1"/>
    <col min="12821" max="12821" width="64" style="794" customWidth="1"/>
    <col min="12822" max="12823" width="0" style="794" hidden="1" customWidth="1"/>
    <col min="12824" max="12824" width="11.7109375" style="794" customWidth="1"/>
    <col min="12825" max="12825" width="14.42578125" style="794" bestFit="1" customWidth="1"/>
    <col min="12826" max="12826" width="12.42578125" style="794" customWidth="1"/>
    <col min="12827" max="12827" width="11.140625" style="794" customWidth="1"/>
    <col min="12828" max="12828" width="12.42578125" style="794" customWidth="1"/>
    <col min="12829" max="12829" width="13.7109375" style="794" customWidth="1"/>
    <col min="12830" max="12830" width="29.85546875" style="794" customWidth="1"/>
    <col min="12831" max="12831" width="11.28515625" style="794" customWidth="1"/>
    <col min="12832" max="12832" width="10.42578125" style="794" bestFit="1" customWidth="1"/>
    <col min="12833" max="12833" width="11.5703125" style="794" customWidth="1"/>
    <col min="12834" max="12834" width="11.28515625" style="794" customWidth="1"/>
    <col min="12835" max="13056" width="9.5703125" style="794"/>
    <col min="13057" max="13061" width="0" style="794" hidden="1" customWidth="1"/>
    <col min="13062" max="13062" width="11.42578125" style="794" customWidth="1"/>
    <col min="13063" max="13063" width="8.42578125" style="794" customWidth="1"/>
    <col min="13064" max="13064" width="71.7109375" style="794" customWidth="1"/>
    <col min="13065" max="13065" width="12.85546875" style="794" customWidth="1"/>
    <col min="13066" max="13066" width="14" style="794" customWidth="1"/>
    <col min="13067" max="13067" width="17.42578125" style="794" customWidth="1"/>
    <col min="13068" max="13068" width="14.42578125" style="794" customWidth="1"/>
    <col min="13069" max="13069" width="12.5703125" style="794" customWidth="1"/>
    <col min="13070" max="13070" width="14" style="794" customWidth="1"/>
    <col min="13071" max="13071" width="65" style="794" customWidth="1"/>
    <col min="13072" max="13072" width="12.5703125" style="794" customWidth="1"/>
    <col min="13073" max="13073" width="11.85546875" style="794" customWidth="1"/>
    <col min="13074" max="13074" width="14.7109375" style="794" customWidth="1"/>
    <col min="13075" max="13075" width="12.28515625" style="794" customWidth="1"/>
    <col min="13076" max="13076" width="10" style="794" customWidth="1"/>
    <col min="13077" max="13077" width="64" style="794" customWidth="1"/>
    <col min="13078" max="13079" width="0" style="794" hidden="1" customWidth="1"/>
    <col min="13080" max="13080" width="11.7109375" style="794" customWidth="1"/>
    <col min="13081" max="13081" width="14.42578125" style="794" bestFit="1" customWidth="1"/>
    <col min="13082" max="13082" width="12.42578125" style="794" customWidth="1"/>
    <col min="13083" max="13083" width="11.140625" style="794" customWidth="1"/>
    <col min="13084" max="13084" width="12.42578125" style="794" customWidth="1"/>
    <col min="13085" max="13085" width="13.7109375" style="794" customWidth="1"/>
    <col min="13086" max="13086" width="29.85546875" style="794" customWidth="1"/>
    <col min="13087" max="13087" width="11.28515625" style="794" customWidth="1"/>
    <col min="13088" max="13088" width="10.42578125" style="794" bestFit="1" customWidth="1"/>
    <col min="13089" max="13089" width="11.5703125" style="794" customWidth="1"/>
    <col min="13090" max="13090" width="11.28515625" style="794" customWidth="1"/>
    <col min="13091" max="13312" width="9.5703125" style="794"/>
    <col min="13313" max="13317" width="0" style="794" hidden="1" customWidth="1"/>
    <col min="13318" max="13318" width="11.42578125" style="794" customWidth="1"/>
    <col min="13319" max="13319" width="8.42578125" style="794" customWidth="1"/>
    <col min="13320" max="13320" width="71.7109375" style="794" customWidth="1"/>
    <col min="13321" max="13321" width="12.85546875" style="794" customWidth="1"/>
    <col min="13322" max="13322" width="14" style="794" customWidth="1"/>
    <col min="13323" max="13323" width="17.42578125" style="794" customWidth="1"/>
    <col min="13324" max="13324" width="14.42578125" style="794" customWidth="1"/>
    <col min="13325" max="13325" width="12.5703125" style="794" customWidth="1"/>
    <col min="13326" max="13326" width="14" style="794" customWidth="1"/>
    <col min="13327" max="13327" width="65" style="794" customWidth="1"/>
    <col min="13328" max="13328" width="12.5703125" style="794" customWidth="1"/>
    <col min="13329" max="13329" width="11.85546875" style="794" customWidth="1"/>
    <col min="13330" max="13330" width="14.7109375" style="794" customWidth="1"/>
    <col min="13331" max="13331" width="12.28515625" style="794" customWidth="1"/>
    <col min="13332" max="13332" width="10" style="794" customWidth="1"/>
    <col min="13333" max="13333" width="64" style="794" customWidth="1"/>
    <col min="13334" max="13335" width="0" style="794" hidden="1" customWidth="1"/>
    <col min="13336" max="13336" width="11.7109375" style="794" customWidth="1"/>
    <col min="13337" max="13337" width="14.42578125" style="794" bestFit="1" customWidth="1"/>
    <col min="13338" max="13338" width="12.42578125" style="794" customWidth="1"/>
    <col min="13339" max="13339" width="11.140625" style="794" customWidth="1"/>
    <col min="13340" max="13340" width="12.42578125" style="794" customWidth="1"/>
    <col min="13341" max="13341" width="13.7109375" style="794" customWidth="1"/>
    <col min="13342" max="13342" width="29.85546875" style="794" customWidth="1"/>
    <col min="13343" max="13343" width="11.28515625" style="794" customWidth="1"/>
    <col min="13344" max="13344" width="10.42578125" style="794" bestFit="1" customWidth="1"/>
    <col min="13345" max="13345" width="11.5703125" style="794" customWidth="1"/>
    <col min="13346" max="13346" width="11.28515625" style="794" customWidth="1"/>
    <col min="13347" max="13568" width="9.5703125" style="794"/>
    <col min="13569" max="13573" width="0" style="794" hidden="1" customWidth="1"/>
    <col min="13574" max="13574" width="11.42578125" style="794" customWidth="1"/>
    <col min="13575" max="13575" width="8.42578125" style="794" customWidth="1"/>
    <col min="13576" max="13576" width="71.7109375" style="794" customWidth="1"/>
    <col min="13577" max="13577" width="12.85546875" style="794" customWidth="1"/>
    <col min="13578" max="13578" width="14" style="794" customWidth="1"/>
    <col min="13579" max="13579" width="17.42578125" style="794" customWidth="1"/>
    <col min="13580" max="13580" width="14.42578125" style="794" customWidth="1"/>
    <col min="13581" max="13581" width="12.5703125" style="794" customWidth="1"/>
    <col min="13582" max="13582" width="14" style="794" customWidth="1"/>
    <col min="13583" max="13583" width="65" style="794" customWidth="1"/>
    <col min="13584" max="13584" width="12.5703125" style="794" customWidth="1"/>
    <col min="13585" max="13585" width="11.85546875" style="794" customWidth="1"/>
    <col min="13586" max="13586" width="14.7109375" style="794" customWidth="1"/>
    <col min="13587" max="13587" width="12.28515625" style="794" customWidth="1"/>
    <col min="13588" max="13588" width="10" style="794" customWidth="1"/>
    <col min="13589" max="13589" width="64" style="794" customWidth="1"/>
    <col min="13590" max="13591" width="0" style="794" hidden="1" customWidth="1"/>
    <col min="13592" max="13592" width="11.7109375" style="794" customWidth="1"/>
    <col min="13593" max="13593" width="14.42578125" style="794" bestFit="1" customWidth="1"/>
    <col min="13594" max="13594" width="12.42578125" style="794" customWidth="1"/>
    <col min="13595" max="13595" width="11.140625" style="794" customWidth="1"/>
    <col min="13596" max="13596" width="12.42578125" style="794" customWidth="1"/>
    <col min="13597" max="13597" width="13.7109375" style="794" customWidth="1"/>
    <col min="13598" max="13598" width="29.85546875" style="794" customWidth="1"/>
    <col min="13599" max="13599" width="11.28515625" style="794" customWidth="1"/>
    <col min="13600" max="13600" width="10.42578125" style="794" bestFit="1" customWidth="1"/>
    <col min="13601" max="13601" width="11.5703125" style="794" customWidth="1"/>
    <col min="13602" max="13602" width="11.28515625" style="794" customWidth="1"/>
    <col min="13603" max="13824" width="9.5703125" style="794"/>
    <col min="13825" max="13829" width="0" style="794" hidden="1" customWidth="1"/>
    <col min="13830" max="13830" width="11.42578125" style="794" customWidth="1"/>
    <col min="13831" max="13831" width="8.42578125" style="794" customWidth="1"/>
    <col min="13832" max="13832" width="71.7109375" style="794" customWidth="1"/>
    <col min="13833" max="13833" width="12.85546875" style="794" customWidth="1"/>
    <col min="13834" max="13834" width="14" style="794" customWidth="1"/>
    <col min="13835" max="13835" width="17.42578125" style="794" customWidth="1"/>
    <col min="13836" max="13836" width="14.42578125" style="794" customWidth="1"/>
    <col min="13837" max="13837" width="12.5703125" style="794" customWidth="1"/>
    <col min="13838" max="13838" width="14" style="794" customWidth="1"/>
    <col min="13839" max="13839" width="65" style="794" customWidth="1"/>
    <col min="13840" max="13840" width="12.5703125" style="794" customWidth="1"/>
    <col min="13841" max="13841" width="11.85546875" style="794" customWidth="1"/>
    <col min="13842" max="13842" width="14.7109375" style="794" customWidth="1"/>
    <col min="13843" max="13843" width="12.28515625" style="794" customWidth="1"/>
    <col min="13844" max="13844" width="10" style="794" customWidth="1"/>
    <col min="13845" max="13845" width="64" style="794" customWidth="1"/>
    <col min="13846" max="13847" width="0" style="794" hidden="1" customWidth="1"/>
    <col min="13848" max="13848" width="11.7109375" style="794" customWidth="1"/>
    <col min="13849" max="13849" width="14.42578125" style="794" bestFit="1" customWidth="1"/>
    <col min="13850" max="13850" width="12.42578125" style="794" customWidth="1"/>
    <col min="13851" max="13851" width="11.140625" style="794" customWidth="1"/>
    <col min="13852" max="13852" width="12.42578125" style="794" customWidth="1"/>
    <col min="13853" max="13853" width="13.7109375" style="794" customWidth="1"/>
    <col min="13854" max="13854" width="29.85546875" style="794" customWidth="1"/>
    <col min="13855" max="13855" width="11.28515625" style="794" customWidth="1"/>
    <col min="13856" max="13856" width="10.42578125" style="794" bestFit="1" customWidth="1"/>
    <col min="13857" max="13857" width="11.5703125" style="794" customWidth="1"/>
    <col min="13858" max="13858" width="11.28515625" style="794" customWidth="1"/>
    <col min="13859" max="14080" width="9.5703125" style="794"/>
    <col min="14081" max="14085" width="0" style="794" hidden="1" customWidth="1"/>
    <col min="14086" max="14086" width="11.42578125" style="794" customWidth="1"/>
    <col min="14087" max="14087" width="8.42578125" style="794" customWidth="1"/>
    <col min="14088" max="14088" width="71.7109375" style="794" customWidth="1"/>
    <col min="14089" max="14089" width="12.85546875" style="794" customWidth="1"/>
    <col min="14090" max="14090" width="14" style="794" customWidth="1"/>
    <col min="14091" max="14091" width="17.42578125" style="794" customWidth="1"/>
    <col min="14092" max="14092" width="14.42578125" style="794" customWidth="1"/>
    <col min="14093" max="14093" width="12.5703125" style="794" customWidth="1"/>
    <col min="14094" max="14094" width="14" style="794" customWidth="1"/>
    <col min="14095" max="14095" width="65" style="794" customWidth="1"/>
    <col min="14096" max="14096" width="12.5703125" style="794" customWidth="1"/>
    <col min="14097" max="14097" width="11.85546875" style="794" customWidth="1"/>
    <col min="14098" max="14098" width="14.7109375" style="794" customWidth="1"/>
    <col min="14099" max="14099" width="12.28515625" style="794" customWidth="1"/>
    <col min="14100" max="14100" width="10" style="794" customWidth="1"/>
    <col min="14101" max="14101" width="64" style="794" customWidth="1"/>
    <col min="14102" max="14103" width="0" style="794" hidden="1" customWidth="1"/>
    <col min="14104" max="14104" width="11.7109375" style="794" customWidth="1"/>
    <col min="14105" max="14105" width="14.42578125" style="794" bestFit="1" customWidth="1"/>
    <col min="14106" max="14106" width="12.42578125" style="794" customWidth="1"/>
    <col min="14107" max="14107" width="11.140625" style="794" customWidth="1"/>
    <col min="14108" max="14108" width="12.42578125" style="794" customWidth="1"/>
    <col min="14109" max="14109" width="13.7109375" style="794" customWidth="1"/>
    <col min="14110" max="14110" width="29.85546875" style="794" customWidth="1"/>
    <col min="14111" max="14111" width="11.28515625" style="794" customWidth="1"/>
    <col min="14112" max="14112" width="10.42578125" style="794" bestFit="1" customWidth="1"/>
    <col min="14113" max="14113" width="11.5703125" style="794" customWidth="1"/>
    <col min="14114" max="14114" width="11.28515625" style="794" customWidth="1"/>
    <col min="14115" max="14336" width="9.5703125" style="794"/>
    <col min="14337" max="14341" width="0" style="794" hidden="1" customWidth="1"/>
    <col min="14342" max="14342" width="11.42578125" style="794" customWidth="1"/>
    <col min="14343" max="14343" width="8.42578125" style="794" customWidth="1"/>
    <col min="14344" max="14344" width="71.7109375" style="794" customWidth="1"/>
    <col min="14345" max="14345" width="12.85546875" style="794" customWidth="1"/>
    <col min="14346" max="14346" width="14" style="794" customWidth="1"/>
    <col min="14347" max="14347" width="17.42578125" style="794" customWidth="1"/>
    <col min="14348" max="14348" width="14.42578125" style="794" customWidth="1"/>
    <col min="14349" max="14349" width="12.5703125" style="794" customWidth="1"/>
    <col min="14350" max="14350" width="14" style="794" customWidth="1"/>
    <col min="14351" max="14351" width="65" style="794" customWidth="1"/>
    <col min="14352" max="14352" width="12.5703125" style="794" customWidth="1"/>
    <col min="14353" max="14353" width="11.85546875" style="794" customWidth="1"/>
    <col min="14354" max="14354" width="14.7109375" style="794" customWidth="1"/>
    <col min="14355" max="14355" width="12.28515625" style="794" customWidth="1"/>
    <col min="14356" max="14356" width="10" style="794" customWidth="1"/>
    <col min="14357" max="14357" width="64" style="794" customWidth="1"/>
    <col min="14358" max="14359" width="0" style="794" hidden="1" customWidth="1"/>
    <col min="14360" max="14360" width="11.7109375" style="794" customWidth="1"/>
    <col min="14361" max="14361" width="14.42578125" style="794" bestFit="1" customWidth="1"/>
    <col min="14362" max="14362" width="12.42578125" style="794" customWidth="1"/>
    <col min="14363" max="14363" width="11.140625" style="794" customWidth="1"/>
    <col min="14364" max="14364" width="12.42578125" style="794" customWidth="1"/>
    <col min="14365" max="14365" width="13.7109375" style="794" customWidth="1"/>
    <col min="14366" max="14366" width="29.85546875" style="794" customWidth="1"/>
    <col min="14367" max="14367" width="11.28515625" style="794" customWidth="1"/>
    <col min="14368" max="14368" width="10.42578125" style="794" bestFit="1" customWidth="1"/>
    <col min="14369" max="14369" width="11.5703125" style="794" customWidth="1"/>
    <col min="14370" max="14370" width="11.28515625" style="794" customWidth="1"/>
    <col min="14371" max="14592" width="9.5703125" style="794"/>
    <col min="14593" max="14597" width="0" style="794" hidden="1" customWidth="1"/>
    <col min="14598" max="14598" width="11.42578125" style="794" customWidth="1"/>
    <col min="14599" max="14599" width="8.42578125" style="794" customWidth="1"/>
    <col min="14600" max="14600" width="71.7109375" style="794" customWidth="1"/>
    <col min="14601" max="14601" width="12.85546875" style="794" customWidth="1"/>
    <col min="14602" max="14602" width="14" style="794" customWidth="1"/>
    <col min="14603" max="14603" width="17.42578125" style="794" customWidth="1"/>
    <col min="14604" max="14604" width="14.42578125" style="794" customWidth="1"/>
    <col min="14605" max="14605" width="12.5703125" style="794" customWidth="1"/>
    <col min="14606" max="14606" width="14" style="794" customWidth="1"/>
    <col min="14607" max="14607" width="65" style="794" customWidth="1"/>
    <col min="14608" max="14608" width="12.5703125" style="794" customWidth="1"/>
    <col min="14609" max="14609" width="11.85546875" style="794" customWidth="1"/>
    <col min="14610" max="14610" width="14.7109375" style="794" customWidth="1"/>
    <col min="14611" max="14611" width="12.28515625" style="794" customWidth="1"/>
    <col min="14612" max="14612" width="10" style="794" customWidth="1"/>
    <col min="14613" max="14613" width="64" style="794" customWidth="1"/>
    <col min="14614" max="14615" width="0" style="794" hidden="1" customWidth="1"/>
    <col min="14616" max="14616" width="11.7109375" style="794" customWidth="1"/>
    <col min="14617" max="14617" width="14.42578125" style="794" bestFit="1" customWidth="1"/>
    <col min="14618" max="14618" width="12.42578125" style="794" customWidth="1"/>
    <col min="14619" max="14619" width="11.140625" style="794" customWidth="1"/>
    <col min="14620" max="14620" width="12.42578125" style="794" customWidth="1"/>
    <col min="14621" max="14621" width="13.7109375" style="794" customWidth="1"/>
    <col min="14622" max="14622" width="29.85546875" style="794" customWidth="1"/>
    <col min="14623" max="14623" width="11.28515625" style="794" customWidth="1"/>
    <col min="14624" max="14624" width="10.42578125" style="794" bestFit="1" customWidth="1"/>
    <col min="14625" max="14625" width="11.5703125" style="794" customWidth="1"/>
    <col min="14626" max="14626" width="11.28515625" style="794" customWidth="1"/>
    <col min="14627" max="14848" width="9.5703125" style="794"/>
    <col min="14849" max="14853" width="0" style="794" hidden="1" customWidth="1"/>
    <col min="14854" max="14854" width="11.42578125" style="794" customWidth="1"/>
    <col min="14855" max="14855" width="8.42578125" style="794" customWidth="1"/>
    <col min="14856" max="14856" width="71.7109375" style="794" customWidth="1"/>
    <col min="14857" max="14857" width="12.85546875" style="794" customWidth="1"/>
    <col min="14858" max="14858" width="14" style="794" customWidth="1"/>
    <col min="14859" max="14859" width="17.42578125" style="794" customWidth="1"/>
    <col min="14860" max="14860" width="14.42578125" style="794" customWidth="1"/>
    <col min="14861" max="14861" width="12.5703125" style="794" customWidth="1"/>
    <col min="14862" max="14862" width="14" style="794" customWidth="1"/>
    <col min="14863" max="14863" width="65" style="794" customWidth="1"/>
    <col min="14864" max="14864" width="12.5703125" style="794" customWidth="1"/>
    <col min="14865" max="14865" width="11.85546875" style="794" customWidth="1"/>
    <col min="14866" max="14866" width="14.7109375" style="794" customWidth="1"/>
    <col min="14867" max="14867" width="12.28515625" style="794" customWidth="1"/>
    <col min="14868" max="14868" width="10" style="794" customWidth="1"/>
    <col min="14869" max="14869" width="64" style="794" customWidth="1"/>
    <col min="14870" max="14871" width="0" style="794" hidden="1" customWidth="1"/>
    <col min="14872" max="14872" width="11.7109375" style="794" customWidth="1"/>
    <col min="14873" max="14873" width="14.42578125" style="794" bestFit="1" customWidth="1"/>
    <col min="14874" max="14874" width="12.42578125" style="794" customWidth="1"/>
    <col min="14875" max="14875" width="11.140625" style="794" customWidth="1"/>
    <col min="14876" max="14876" width="12.42578125" style="794" customWidth="1"/>
    <col min="14877" max="14877" width="13.7109375" style="794" customWidth="1"/>
    <col min="14878" max="14878" width="29.85546875" style="794" customWidth="1"/>
    <col min="14879" max="14879" width="11.28515625" style="794" customWidth="1"/>
    <col min="14880" max="14880" width="10.42578125" style="794" bestFit="1" customWidth="1"/>
    <col min="14881" max="14881" width="11.5703125" style="794" customWidth="1"/>
    <col min="14882" max="14882" width="11.28515625" style="794" customWidth="1"/>
    <col min="14883" max="15104" width="9.5703125" style="794"/>
    <col min="15105" max="15109" width="0" style="794" hidden="1" customWidth="1"/>
    <col min="15110" max="15110" width="11.42578125" style="794" customWidth="1"/>
    <col min="15111" max="15111" width="8.42578125" style="794" customWidth="1"/>
    <col min="15112" max="15112" width="71.7109375" style="794" customWidth="1"/>
    <col min="15113" max="15113" width="12.85546875" style="794" customWidth="1"/>
    <col min="15114" max="15114" width="14" style="794" customWidth="1"/>
    <col min="15115" max="15115" width="17.42578125" style="794" customWidth="1"/>
    <col min="15116" max="15116" width="14.42578125" style="794" customWidth="1"/>
    <col min="15117" max="15117" width="12.5703125" style="794" customWidth="1"/>
    <col min="15118" max="15118" width="14" style="794" customWidth="1"/>
    <col min="15119" max="15119" width="65" style="794" customWidth="1"/>
    <col min="15120" max="15120" width="12.5703125" style="794" customWidth="1"/>
    <col min="15121" max="15121" width="11.85546875" style="794" customWidth="1"/>
    <col min="15122" max="15122" width="14.7109375" style="794" customWidth="1"/>
    <col min="15123" max="15123" width="12.28515625" style="794" customWidth="1"/>
    <col min="15124" max="15124" width="10" style="794" customWidth="1"/>
    <col min="15125" max="15125" width="64" style="794" customWidth="1"/>
    <col min="15126" max="15127" width="0" style="794" hidden="1" customWidth="1"/>
    <col min="15128" max="15128" width="11.7109375" style="794" customWidth="1"/>
    <col min="15129" max="15129" width="14.42578125" style="794" bestFit="1" customWidth="1"/>
    <col min="15130" max="15130" width="12.42578125" style="794" customWidth="1"/>
    <col min="15131" max="15131" width="11.140625" style="794" customWidth="1"/>
    <col min="15132" max="15132" width="12.42578125" style="794" customWidth="1"/>
    <col min="15133" max="15133" width="13.7109375" style="794" customWidth="1"/>
    <col min="15134" max="15134" width="29.85546875" style="794" customWidth="1"/>
    <col min="15135" max="15135" width="11.28515625" style="794" customWidth="1"/>
    <col min="15136" max="15136" width="10.42578125" style="794" bestFit="1" customWidth="1"/>
    <col min="15137" max="15137" width="11.5703125" style="794" customWidth="1"/>
    <col min="15138" max="15138" width="11.28515625" style="794" customWidth="1"/>
    <col min="15139" max="15360" width="9.5703125" style="794"/>
    <col min="15361" max="15365" width="0" style="794" hidden="1" customWidth="1"/>
    <col min="15366" max="15366" width="11.42578125" style="794" customWidth="1"/>
    <col min="15367" max="15367" width="8.42578125" style="794" customWidth="1"/>
    <col min="15368" max="15368" width="71.7109375" style="794" customWidth="1"/>
    <col min="15369" max="15369" width="12.85546875" style="794" customWidth="1"/>
    <col min="15370" max="15370" width="14" style="794" customWidth="1"/>
    <col min="15371" max="15371" width="17.42578125" style="794" customWidth="1"/>
    <col min="15372" max="15372" width="14.42578125" style="794" customWidth="1"/>
    <col min="15373" max="15373" width="12.5703125" style="794" customWidth="1"/>
    <col min="15374" max="15374" width="14" style="794" customWidth="1"/>
    <col min="15375" max="15375" width="65" style="794" customWidth="1"/>
    <col min="15376" max="15376" width="12.5703125" style="794" customWidth="1"/>
    <col min="15377" max="15377" width="11.85546875" style="794" customWidth="1"/>
    <col min="15378" max="15378" width="14.7109375" style="794" customWidth="1"/>
    <col min="15379" max="15379" width="12.28515625" style="794" customWidth="1"/>
    <col min="15380" max="15380" width="10" style="794" customWidth="1"/>
    <col min="15381" max="15381" width="64" style="794" customWidth="1"/>
    <col min="15382" max="15383" width="0" style="794" hidden="1" customWidth="1"/>
    <col min="15384" max="15384" width="11.7109375" style="794" customWidth="1"/>
    <col min="15385" max="15385" width="14.42578125" style="794" bestFit="1" customWidth="1"/>
    <col min="15386" max="15386" width="12.42578125" style="794" customWidth="1"/>
    <col min="15387" max="15387" width="11.140625" style="794" customWidth="1"/>
    <col min="15388" max="15388" width="12.42578125" style="794" customWidth="1"/>
    <col min="15389" max="15389" width="13.7109375" style="794" customWidth="1"/>
    <col min="15390" max="15390" width="29.85546875" style="794" customWidth="1"/>
    <col min="15391" max="15391" width="11.28515625" style="794" customWidth="1"/>
    <col min="15392" max="15392" width="10.42578125" style="794" bestFit="1" customWidth="1"/>
    <col min="15393" max="15393" width="11.5703125" style="794" customWidth="1"/>
    <col min="15394" max="15394" width="11.28515625" style="794" customWidth="1"/>
    <col min="15395" max="15616" width="9.5703125" style="794"/>
    <col min="15617" max="15621" width="0" style="794" hidden="1" customWidth="1"/>
    <col min="15622" max="15622" width="11.42578125" style="794" customWidth="1"/>
    <col min="15623" max="15623" width="8.42578125" style="794" customWidth="1"/>
    <col min="15624" max="15624" width="71.7109375" style="794" customWidth="1"/>
    <col min="15625" max="15625" width="12.85546875" style="794" customWidth="1"/>
    <col min="15626" max="15626" width="14" style="794" customWidth="1"/>
    <col min="15627" max="15627" width="17.42578125" style="794" customWidth="1"/>
    <col min="15628" max="15628" width="14.42578125" style="794" customWidth="1"/>
    <col min="15629" max="15629" width="12.5703125" style="794" customWidth="1"/>
    <col min="15630" max="15630" width="14" style="794" customWidth="1"/>
    <col min="15631" max="15631" width="65" style="794" customWidth="1"/>
    <col min="15632" max="15632" width="12.5703125" style="794" customWidth="1"/>
    <col min="15633" max="15633" width="11.85546875" style="794" customWidth="1"/>
    <col min="15634" max="15634" width="14.7109375" style="794" customWidth="1"/>
    <col min="15635" max="15635" width="12.28515625" style="794" customWidth="1"/>
    <col min="15636" max="15636" width="10" style="794" customWidth="1"/>
    <col min="15637" max="15637" width="64" style="794" customWidth="1"/>
    <col min="15638" max="15639" width="0" style="794" hidden="1" customWidth="1"/>
    <col min="15640" max="15640" width="11.7109375" style="794" customWidth="1"/>
    <col min="15641" max="15641" width="14.42578125" style="794" bestFit="1" customWidth="1"/>
    <col min="15642" max="15642" width="12.42578125" style="794" customWidth="1"/>
    <col min="15643" max="15643" width="11.140625" style="794" customWidth="1"/>
    <col min="15644" max="15644" width="12.42578125" style="794" customWidth="1"/>
    <col min="15645" max="15645" width="13.7109375" style="794" customWidth="1"/>
    <col min="15646" max="15646" width="29.85546875" style="794" customWidth="1"/>
    <col min="15647" max="15647" width="11.28515625" style="794" customWidth="1"/>
    <col min="15648" max="15648" width="10.42578125" style="794" bestFit="1" customWidth="1"/>
    <col min="15649" max="15649" width="11.5703125" style="794" customWidth="1"/>
    <col min="15650" max="15650" width="11.28515625" style="794" customWidth="1"/>
    <col min="15651" max="15872" width="9.5703125" style="794"/>
    <col min="15873" max="15877" width="0" style="794" hidden="1" customWidth="1"/>
    <col min="15878" max="15878" width="11.42578125" style="794" customWidth="1"/>
    <col min="15879" max="15879" width="8.42578125" style="794" customWidth="1"/>
    <col min="15880" max="15880" width="71.7109375" style="794" customWidth="1"/>
    <col min="15881" max="15881" width="12.85546875" style="794" customWidth="1"/>
    <col min="15882" max="15882" width="14" style="794" customWidth="1"/>
    <col min="15883" max="15883" width="17.42578125" style="794" customWidth="1"/>
    <col min="15884" max="15884" width="14.42578125" style="794" customWidth="1"/>
    <col min="15885" max="15885" width="12.5703125" style="794" customWidth="1"/>
    <col min="15886" max="15886" width="14" style="794" customWidth="1"/>
    <col min="15887" max="15887" width="65" style="794" customWidth="1"/>
    <col min="15888" max="15888" width="12.5703125" style="794" customWidth="1"/>
    <col min="15889" max="15889" width="11.85546875" style="794" customWidth="1"/>
    <col min="15890" max="15890" width="14.7109375" style="794" customWidth="1"/>
    <col min="15891" max="15891" width="12.28515625" style="794" customWidth="1"/>
    <col min="15892" max="15892" width="10" style="794" customWidth="1"/>
    <col min="15893" max="15893" width="64" style="794" customWidth="1"/>
    <col min="15894" max="15895" width="0" style="794" hidden="1" customWidth="1"/>
    <col min="15896" max="15896" width="11.7109375" style="794" customWidth="1"/>
    <col min="15897" max="15897" width="14.42578125" style="794" bestFit="1" customWidth="1"/>
    <col min="15898" max="15898" width="12.42578125" style="794" customWidth="1"/>
    <col min="15899" max="15899" width="11.140625" style="794" customWidth="1"/>
    <col min="15900" max="15900" width="12.42578125" style="794" customWidth="1"/>
    <col min="15901" max="15901" width="13.7109375" style="794" customWidth="1"/>
    <col min="15902" max="15902" width="29.85546875" style="794" customWidth="1"/>
    <col min="15903" max="15903" width="11.28515625" style="794" customWidth="1"/>
    <col min="15904" max="15904" width="10.42578125" style="794" bestFit="1" customWidth="1"/>
    <col min="15905" max="15905" width="11.5703125" style="794" customWidth="1"/>
    <col min="15906" max="15906" width="11.28515625" style="794" customWidth="1"/>
    <col min="15907" max="16128" width="9.5703125" style="794"/>
    <col min="16129" max="16133" width="0" style="794" hidden="1" customWidth="1"/>
    <col min="16134" max="16134" width="11.42578125" style="794" customWidth="1"/>
    <col min="16135" max="16135" width="8.42578125" style="794" customWidth="1"/>
    <col min="16136" max="16136" width="71.7109375" style="794" customWidth="1"/>
    <col min="16137" max="16137" width="12.85546875" style="794" customWidth="1"/>
    <col min="16138" max="16138" width="14" style="794" customWidth="1"/>
    <col min="16139" max="16139" width="17.42578125" style="794" customWidth="1"/>
    <col min="16140" max="16140" width="14.42578125" style="794" customWidth="1"/>
    <col min="16141" max="16141" width="12.5703125" style="794" customWidth="1"/>
    <col min="16142" max="16142" width="14" style="794" customWidth="1"/>
    <col min="16143" max="16143" width="65" style="794" customWidth="1"/>
    <col min="16144" max="16144" width="12.5703125" style="794" customWidth="1"/>
    <col min="16145" max="16145" width="11.85546875" style="794" customWidth="1"/>
    <col min="16146" max="16146" width="14.7109375" style="794" customWidth="1"/>
    <col min="16147" max="16147" width="12.28515625" style="794" customWidth="1"/>
    <col min="16148" max="16148" width="10" style="794" customWidth="1"/>
    <col min="16149" max="16149" width="64" style="794" customWidth="1"/>
    <col min="16150" max="16151" width="0" style="794" hidden="1" customWidth="1"/>
    <col min="16152" max="16152" width="11.7109375" style="794" customWidth="1"/>
    <col min="16153" max="16153" width="14.42578125" style="794" bestFit="1" customWidth="1"/>
    <col min="16154" max="16154" width="12.42578125" style="794" customWidth="1"/>
    <col min="16155" max="16155" width="11.140625" style="794" customWidth="1"/>
    <col min="16156" max="16156" width="12.42578125" style="794" customWidth="1"/>
    <col min="16157" max="16157" width="13.7109375" style="794" customWidth="1"/>
    <col min="16158" max="16158" width="29.85546875" style="794" customWidth="1"/>
    <col min="16159" max="16159" width="11.28515625" style="794" customWidth="1"/>
    <col min="16160" max="16160" width="10.42578125" style="794" bestFit="1" customWidth="1"/>
    <col min="16161" max="16161" width="11.5703125" style="794" customWidth="1"/>
    <col min="16162" max="16162" width="11.28515625" style="794" customWidth="1"/>
    <col min="16163" max="16384" width="9.5703125" style="794"/>
  </cols>
  <sheetData>
    <row r="1" spans="1:37" ht="19.5" hidden="1">
      <c r="A1" s="793" t="s">
        <v>115</v>
      </c>
      <c r="B1" s="1098" t="s">
        <v>248</v>
      </c>
      <c r="E1" s="793" t="s">
        <v>115</v>
      </c>
      <c r="H1" s="793" t="s">
        <v>112</v>
      </c>
      <c r="O1" s="793" t="s">
        <v>112</v>
      </c>
      <c r="U1" s="1100" t="s">
        <v>248</v>
      </c>
      <c r="V1" s="793" t="s">
        <v>251</v>
      </c>
      <c r="W1" s="793" t="s">
        <v>115</v>
      </c>
    </row>
    <row r="2" spans="1:37" hidden="1">
      <c r="B2" s="796" t="s">
        <v>155</v>
      </c>
      <c r="E2" s="793" t="s">
        <v>115</v>
      </c>
      <c r="H2" s="1098" t="s">
        <v>113</v>
      </c>
      <c r="O2" s="1098" t="s">
        <v>113</v>
      </c>
      <c r="U2" s="796" t="s">
        <v>155</v>
      </c>
    </row>
    <row r="3" spans="1:37" hidden="1">
      <c r="A3" s="793" t="s">
        <v>114</v>
      </c>
      <c r="B3" s="1101" t="s">
        <v>3110</v>
      </c>
      <c r="C3" s="793" t="s">
        <v>3111</v>
      </c>
      <c r="E3" s="793" t="s">
        <v>115</v>
      </c>
      <c r="F3" s="802" t="s">
        <v>114</v>
      </c>
      <c r="G3" s="798" t="s">
        <v>115</v>
      </c>
      <c r="H3" s="800" t="str">
        <f>B3</f>
        <v>Madurai TSp VIth Bn under 4000 quarters Scheme.</v>
      </c>
      <c r="J3" s="1098" t="str">
        <f>C3</f>
        <v>2006-2007</v>
      </c>
      <c r="M3" s="793" t="s">
        <v>114</v>
      </c>
      <c r="N3" s="793" t="s">
        <v>115</v>
      </c>
      <c r="O3" s="800" t="str">
        <f>B3</f>
        <v>Madurai TSp VIth Bn under 4000 quarters Scheme.</v>
      </c>
      <c r="Q3" s="800" t="str">
        <f>C3</f>
        <v>2006-2007</v>
      </c>
      <c r="T3" s="793" t="s">
        <v>114</v>
      </c>
      <c r="U3" s="800" t="str">
        <f>B3</f>
        <v>Madurai TSp VIth Bn under 4000 quarters Scheme.</v>
      </c>
      <c r="W3" s="1102" t="str">
        <f>C3</f>
        <v>2006-2007</v>
      </c>
      <c r="AA3" s="793" t="s">
        <v>115</v>
      </c>
    </row>
    <row r="4" spans="1:37" hidden="1">
      <c r="F4" s="796" t="s">
        <v>117</v>
      </c>
      <c r="G4" s="796" t="s">
        <v>117</v>
      </c>
      <c r="H4" s="796" t="s">
        <v>117</v>
      </c>
      <c r="I4" s="796" t="s">
        <v>117</v>
      </c>
      <c r="J4" s="796" t="s">
        <v>117</v>
      </c>
      <c r="K4" s="796" t="s">
        <v>117</v>
      </c>
      <c r="M4" s="796" t="s">
        <v>117</v>
      </c>
      <c r="N4" s="796" t="s">
        <v>117</v>
      </c>
      <c r="O4" s="796" t="s">
        <v>117</v>
      </c>
      <c r="P4" s="796" t="s">
        <v>117</v>
      </c>
      <c r="Q4" s="796" t="s">
        <v>117</v>
      </c>
      <c r="R4" s="796" t="s">
        <v>117</v>
      </c>
      <c r="U4" s="793" t="s">
        <v>115</v>
      </c>
      <c r="W4" s="793" t="s">
        <v>115</v>
      </c>
      <c r="X4" s="793" t="s">
        <v>251</v>
      </c>
      <c r="Y4" s="793" t="s">
        <v>115</v>
      </c>
      <c r="AC4" s="793" t="s">
        <v>115</v>
      </c>
      <c r="AG4" s="793" t="s">
        <v>252</v>
      </c>
    </row>
    <row r="5" spans="1:37" hidden="1">
      <c r="A5" s="796" t="s">
        <v>117</v>
      </c>
      <c r="B5" s="796" t="s">
        <v>117</v>
      </c>
      <c r="C5" s="796" t="s">
        <v>117</v>
      </c>
      <c r="D5" s="796" t="s">
        <v>117</v>
      </c>
      <c r="E5" s="793" t="s">
        <v>115</v>
      </c>
      <c r="F5" s="802" t="s">
        <v>0</v>
      </c>
      <c r="G5" s="798" t="s">
        <v>115</v>
      </c>
      <c r="H5" s="1098" t="s">
        <v>118</v>
      </c>
      <c r="I5" s="1098" t="s">
        <v>119</v>
      </c>
      <c r="J5" s="1098" t="s">
        <v>120</v>
      </c>
      <c r="K5" s="1098" t="s">
        <v>121</v>
      </c>
      <c r="M5" s="1098" t="s">
        <v>0</v>
      </c>
      <c r="N5" s="793" t="s">
        <v>115</v>
      </c>
      <c r="O5" s="1098" t="s">
        <v>118</v>
      </c>
      <c r="P5" s="1098" t="s">
        <v>119</v>
      </c>
      <c r="Q5" s="1098" t="s">
        <v>120</v>
      </c>
      <c r="R5" s="1098" t="s">
        <v>121</v>
      </c>
      <c r="T5" s="796" t="s">
        <v>117</v>
      </c>
      <c r="U5" s="796" t="s">
        <v>117</v>
      </c>
      <c r="V5" s="796" t="s">
        <v>117</v>
      </c>
      <c r="W5" s="796" t="s">
        <v>117</v>
      </c>
      <c r="X5" s="796" t="s">
        <v>117</v>
      </c>
      <c r="Y5" s="796" t="s">
        <v>117</v>
      </c>
      <c r="Z5" s="796" t="s">
        <v>117</v>
      </c>
      <c r="AA5" s="796" t="s">
        <v>117</v>
      </c>
      <c r="AB5" s="796" t="s">
        <v>117</v>
      </c>
      <c r="AC5" s="796" t="s">
        <v>117</v>
      </c>
      <c r="AD5" s="796" t="s">
        <v>117</v>
      </c>
      <c r="AE5" s="796" t="s">
        <v>117</v>
      </c>
    </row>
    <row r="6" spans="1:37" hidden="1">
      <c r="A6" s="793" t="s">
        <v>253</v>
      </c>
      <c r="B6" s="793" t="s">
        <v>118</v>
      </c>
      <c r="C6" s="793" t="s">
        <v>119</v>
      </c>
      <c r="D6" s="793" t="s">
        <v>120</v>
      </c>
      <c r="F6" s="796" t="s">
        <v>117</v>
      </c>
      <c r="G6" s="796" t="s">
        <v>117</v>
      </c>
      <c r="H6" s="796" t="s">
        <v>117</v>
      </c>
      <c r="I6" s="796" t="s">
        <v>117</v>
      </c>
      <c r="J6" s="796" t="s">
        <v>117</v>
      </c>
      <c r="K6" s="796" t="s">
        <v>117</v>
      </c>
      <c r="M6" s="796" t="s">
        <v>117</v>
      </c>
      <c r="N6" s="796" t="s">
        <v>117</v>
      </c>
      <c r="O6" s="796" t="s">
        <v>117</v>
      </c>
      <c r="P6" s="796" t="s">
        <v>117</v>
      </c>
      <c r="Q6" s="796" t="s">
        <v>117</v>
      </c>
      <c r="R6" s="796" t="s">
        <v>117</v>
      </c>
      <c r="T6" s="1098" t="s">
        <v>253</v>
      </c>
      <c r="U6" s="1098" t="s">
        <v>254</v>
      </c>
      <c r="V6" s="1098" t="s">
        <v>255</v>
      </c>
      <c r="W6" s="1098" t="s">
        <v>256</v>
      </c>
      <c r="X6" s="1098" t="s">
        <v>257</v>
      </c>
      <c r="Y6" s="1098" t="s">
        <v>258</v>
      </c>
      <c r="Z6" s="1098" t="s">
        <v>259</v>
      </c>
      <c r="AA6" s="793" t="s">
        <v>3112</v>
      </c>
      <c r="AB6" s="793" t="s">
        <v>261</v>
      </c>
      <c r="AC6" s="793" t="s">
        <v>262</v>
      </c>
      <c r="AD6" s="1098" t="s">
        <v>263</v>
      </c>
      <c r="AG6" s="794">
        <f>135*1.1</f>
        <v>148.5</v>
      </c>
    </row>
    <row r="7" spans="1:37" hidden="1">
      <c r="A7" s="796" t="s">
        <v>117</v>
      </c>
      <c r="B7" s="796" t="s">
        <v>117</v>
      </c>
      <c r="C7" s="796" t="s">
        <v>117</v>
      </c>
      <c r="D7" s="796" t="s">
        <v>117</v>
      </c>
      <c r="G7" s="798" t="s">
        <v>122</v>
      </c>
      <c r="H7" s="793" t="s">
        <v>123</v>
      </c>
      <c r="O7" s="793" t="s">
        <v>264</v>
      </c>
      <c r="X7" s="1098" t="s">
        <v>265</v>
      </c>
      <c r="Y7" s="1098" t="s">
        <v>262</v>
      </c>
      <c r="Z7" s="1098" t="s">
        <v>266</v>
      </c>
      <c r="AA7" s="793" t="s">
        <v>3113</v>
      </c>
      <c r="AB7" s="793" t="s">
        <v>268</v>
      </c>
      <c r="AC7" s="793" t="s">
        <v>269</v>
      </c>
    </row>
    <row r="8" spans="1:37" hidden="1">
      <c r="B8" s="793" t="s">
        <v>270</v>
      </c>
      <c r="C8" s="575"/>
      <c r="D8" s="575"/>
      <c r="E8" s="575"/>
      <c r="H8" s="796" t="s">
        <v>117</v>
      </c>
      <c r="O8" s="796" t="s">
        <v>117</v>
      </c>
      <c r="T8" s="796" t="s">
        <v>117</v>
      </c>
      <c r="U8" s="796" t="s">
        <v>117</v>
      </c>
      <c r="V8" s="796" t="s">
        <v>117</v>
      </c>
      <c r="W8" s="796" t="s">
        <v>117</v>
      </c>
      <c r="X8" s="796" t="s">
        <v>117</v>
      </c>
      <c r="Y8" s="796" t="s">
        <v>117</v>
      </c>
      <c r="Z8" s="796" t="s">
        <v>117</v>
      </c>
      <c r="AA8" s="796" t="s">
        <v>117</v>
      </c>
      <c r="AB8" s="796" t="s">
        <v>117</v>
      </c>
      <c r="AC8" s="796" t="s">
        <v>117</v>
      </c>
      <c r="AD8" s="796" t="s">
        <v>117</v>
      </c>
      <c r="AE8" s="796" t="s">
        <v>117</v>
      </c>
      <c r="AG8" s="793" t="s">
        <v>849</v>
      </c>
      <c r="AI8" s="575">
        <v>148.5</v>
      </c>
      <c r="AJ8" s="794">
        <v>1.1000000000000001</v>
      </c>
      <c r="AK8" s="794">
        <f>AI8*AJ8</f>
        <v>163.35000000000002</v>
      </c>
    </row>
    <row r="9" spans="1:37" hidden="1">
      <c r="B9" s="793" t="s">
        <v>277</v>
      </c>
      <c r="C9" s="575"/>
      <c r="D9" s="575"/>
      <c r="E9" s="575"/>
      <c r="F9" s="800">
        <v>0.96</v>
      </c>
      <c r="G9" s="798" t="s">
        <v>124</v>
      </c>
      <c r="H9" s="793" t="s">
        <v>125</v>
      </c>
      <c r="I9" s="587">
        <f>(C67)</f>
        <v>3800</v>
      </c>
      <c r="J9" s="574" t="s">
        <v>124</v>
      </c>
      <c r="K9" s="587">
        <f>(F9*I9)</f>
        <v>3648</v>
      </c>
      <c r="M9" s="800">
        <v>0.5</v>
      </c>
      <c r="N9" s="793" t="s">
        <v>124</v>
      </c>
      <c r="O9" s="793" t="s">
        <v>278</v>
      </c>
      <c r="P9" s="800" t="e">
        <f>(C85)</f>
        <v>#REF!</v>
      </c>
      <c r="Q9" s="793" t="s">
        <v>124</v>
      </c>
      <c r="R9" s="800" t="e">
        <f>(M9*P9)</f>
        <v>#REF!</v>
      </c>
      <c r="T9" s="1098" t="s">
        <v>279</v>
      </c>
      <c r="U9" s="793" t="s">
        <v>707</v>
      </c>
      <c r="V9" s="793" t="s">
        <v>281</v>
      </c>
      <c r="W9" s="793" t="s">
        <v>3114</v>
      </c>
      <c r="X9" s="800" t="e">
        <f>#REF!</f>
        <v>#REF!</v>
      </c>
      <c r="Y9" s="587">
        <v>200</v>
      </c>
      <c r="Z9" s="800" t="e">
        <f>#REF!</f>
        <v>#REF!</v>
      </c>
      <c r="AA9" s="1098">
        <v>0</v>
      </c>
      <c r="AB9" s="793">
        <v>0</v>
      </c>
      <c r="AC9" s="793" t="e">
        <f t="shared" ref="AC9:AC38" si="0">SUM(Y9+Z9+AA9+AB9)</f>
        <v>#REF!</v>
      </c>
      <c r="AD9" s="793" t="s">
        <v>3115</v>
      </c>
      <c r="AE9" s="587">
        <v>150</v>
      </c>
      <c r="AF9" s="800"/>
      <c r="AG9" s="800"/>
      <c r="AI9" s="575">
        <v>126.5</v>
      </c>
      <c r="AJ9" s="794">
        <v>1.1000000000000001</v>
      </c>
      <c r="AK9" s="794">
        <f t="shared" ref="AK9:AK36" si="1">AI9*AJ9</f>
        <v>139.15</v>
      </c>
    </row>
    <row r="10" spans="1:37" ht="15" hidden="1" customHeight="1">
      <c r="A10" s="1103">
        <v>1</v>
      </c>
      <c r="B10" s="793" t="s">
        <v>284</v>
      </c>
      <c r="C10" s="587">
        <f>AE9</f>
        <v>150</v>
      </c>
      <c r="D10" s="573" t="s">
        <v>209</v>
      </c>
      <c r="E10" s="575"/>
      <c r="F10" s="800">
        <v>1</v>
      </c>
      <c r="G10" s="798" t="s">
        <v>126</v>
      </c>
      <c r="H10" s="793" t="s">
        <v>127</v>
      </c>
      <c r="I10" s="587" t="e">
        <f>(C78)</f>
        <v>#REF!</v>
      </c>
      <c r="J10" s="574" t="s">
        <v>126</v>
      </c>
      <c r="K10" s="587" t="e">
        <f>(F10*I10)</f>
        <v>#REF!</v>
      </c>
      <c r="M10" s="800">
        <v>1</v>
      </c>
      <c r="N10" s="793" t="s">
        <v>126</v>
      </c>
      <c r="O10" s="793" t="s">
        <v>127</v>
      </c>
      <c r="P10" s="800" t="e">
        <f>(C78)</f>
        <v>#REF!</v>
      </c>
      <c r="Q10" s="793" t="s">
        <v>126</v>
      </c>
      <c r="R10" s="800" t="e">
        <f>(M10*P10)</f>
        <v>#REF!</v>
      </c>
      <c r="T10" s="1098" t="s">
        <v>285</v>
      </c>
      <c r="U10" s="793" t="s">
        <v>474</v>
      </c>
      <c r="V10" s="793" t="s">
        <v>281</v>
      </c>
      <c r="W10" s="800" t="str">
        <f>W9</f>
        <v>Nallambakkam</v>
      </c>
      <c r="X10" s="800" t="e">
        <f>+X9</f>
        <v>#REF!</v>
      </c>
      <c r="Y10" s="587">
        <v>300</v>
      </c>
      <c r="Z10" s="800" t="e">
        <f t="shared" ref="Z10:Z15" si="2">+Z9</f>
        <v>#REF!</v>
      </c>
      <c r="AA10" s="1099">
        <v>0</v>
      </c>
      <c r="AB10" s="795">
        <v>0</v>
      </c>
      <c r="AC10" s="793" t="e">
        <f t="shared" si="0"/>
        <v>#REF!</v>
      </c>
      <c r="AD10" s="793" t="s">
        <v>3116</v>
      </c>
      <c r="AE10" s="587">
        <v>135</v>
      </c>
      <c r="AF10" s="800"/>
      <c r="AG10" s="800"/>
      <c r="AI10" s="575">
        <v>85.5</v>
      </c>
      <c r="AJ10" s="794">
        <v>1.1000000000000001</v>
      </c>
      <c r="AK10" s="794">
        <f t="shared" si="1"/>
        <v>94.050000000000011</v>
      </c>
    </row>
    <row r="11" spans="1:37" hidden="1">
      <c r="A11" s="1103">
        <f t="shared" ref="A11:A35" si="3">(A10+1)</f>
        <v>2</v>
      </c>
      <c r="B11" s="793" t="s">
        <v>288</v>
      </c>
      <c r="C11" s="587">
        <f>AE10</f>
        <v>135</v>
      </c>
      <c r="D11" s="573" t="s">
        <v>209</v>
      </c>
      <c r="E11" s="575"/>
      <c r="F11" s="800">
        <v>1</v>
      </c>
      <c r="G11" s="798" t="s">
        <v>126</v>
      </c>
      <c r="H11" s="793" t="s">
        <v>128</v>
      </c>
      <c r="I11" s="587">
        <f>(C18)</f>
        <v>26</v>
      </c>
      <c r="J11" s="574" t="s">
        <v>126</v>
      </c>
      <c r="K11" s="587">
        <f>(F11*I11)</f>
        <v>26</v>
      </c>
      <c r="M11" s="800">
        <v>1</v>
      </c>
      <c r="N11" s="793" t="s">
        <v>126</v>
      </c>
      <c r="O11" s="793" t="s">
        <v>289</v>
      </c>
      <c r="P11" s="800">
        <f>(C64)</f>
        <v>62.5</v>
      </c>
      <c r="Q11" s="793" t="s">
        <v>126</v>
      </c>
      <c r="R11" s="800">
        <f>(M11*P11)</f>
        <v>62.5</v>
      </c>
      <c r="T11" s="1098" t="s">
        <v>290</v>
      </c>
      <c r="U11" s="793" t="s">
        <v>3117</v>
      </c>
      <c r="V11" s="793" t="s">
        <v>281</v>
      </c>
      <c r="W11" s="793" t="s">
        <v>3118</v>
      </c>
      <c r="X11" s="800" t="e">
        <f>#REF!</f>
        <v>#REF!</v>
      </c>
      <c r="Y11" s="587">
        <v>333.33</v>
      </c>
      <c r="Z11" s="800" t="e">
        <f t="shared" si="2"/>
        <v>#REF!</v>
      </c>
      <c r="AA11" s="1098">
        <v>0</v>
      </c>
      <c r="AB11" s="795">
        <v>0</v>
      </c>
      <c r="AC11" s="793" t="e">
        <f t="shared" si="0"/>
        <v>#REF!</v>
      </c>
      <c r="AD11" s="793" t="s">
        <v>292</v>
      </c>
      <c r="AE11" s="587">
        <v>95</v>
      </c>
      <c r="AF11" s="800"/>
      <c r="AG11" s="800"/>
      <c r="AI11" s="575">
        <v>80.5</v>
      </c>
      <c r="AJ11" s="794">
        <v>1.1000000000000001</v>
      </c>
      <c r="AK11" s="794">
        <f t="shared" si="1"/>
        <v>88.550000000000011</v>
      </c>
    </row>
    <row r="12" spans="1:37" hidden="1">
      <c r="A12" s="1103">
        <f t="shared" si="3"/>
        <v>3</v>
      </c>
      <c r="B12" s="793" t="s">
        <v>293</v>
      </c>
      <c r="C12" s="587">
        <f>AE11</f>
        <v>95</v>
      </c>
      <c r="D12" s="573" t="s">
        <v>209</v>
      </c>
      <c r="E12" s="575"/>
      <c r="G12" s="798" t="s">
        <v>129</v>
      </c>
      <c r="H12" s="793" t="s">
        <v>130</v>
      </c>
      <c r="I12" s="573" t="s">
        <v>115</v>
      </c>
      <c r="J12" s="574" t="s">
        <v>129</v>
      </c>
      <c r="K12" s="587">
        <v>0</v>
      </c>
      <c r="N12" s="793" t="s">
        <v>129</v>
      </c>
      <c r="O12" s="793" t="s">
        <v>130</v>
      </c>
      <c r="P12" s="793" t="s">
        <v>115</v>
      </c>
      <c r="Q12" s="793" t="s">
        <v>129</v>
      </c>
      <c r="R12" s="800">
        <v>0</v>
      </c>
      <c r="T12" s="1098" t="s">
        <v>294</v>
      </c>
      <c r="U12" s="793" t="s">
        <v>295</v>
      </c>
      <c r="V12" s="793" t="s">
        <v>281</v>
      </c>
      <c r="W12" s="800" t="str">
        <f>W11</f>
        <v>Pallavaram</v>
      </c>
      <c r="X12" s="800" t="e">
        <f>+X11</f>
        <v>#REF!</v>
      </c>
      <c r="Y12" s="587">
        <v>425</v>
      </c>
      <c r="Z12" s="800" t="e">
        <f t="shared" si="2"/>
        <v>#REF!</v>
      </c>
      <c r="AA12" s="1098">
        <v>0</v>
      </c>
      <c r="AB12" s="795">
        <v>0</v>
      </c>
      <c r="AC12" s="793" t="e">
        <f t="shared" si="0"/>
        <v>#REF!</v>
      </c>
      <c r="AD12" s="793" t="s">
        <v>296</v>
      </c>
      <c r="AE12" s="587">
        <v>85</v>
      </c>
      <c r="AF12" s="800"/>
      <c r="AG12" s="800"/>
      <c r="AI12" s="575">
        <v>114.5</v>
      </c>
      <c r="AJ12" s="794">
        <v>1.1000000000000001</v>
      </c>
      <c r="AK12" s="794">
        <f t="shared" si="1"/>
        <v>125.95000000000002</v>
      </c>
    </row>
    <row r="13" spans="1:37" hidden="1">
      <c r="A13" s="1103">
        <f t="shared" si="3"/>
        <v>4</v>
      </c>
      <c r="B13" s="793" t="s">
        <v>297</v>
      </c>
      <c r="C13" s="587">
        <f>AE12</f>
        <v>85</v>
      </c>
      <c r="D13" s="573" t="s">
        <v>209</v>
      </c>
      <c r="E13" s="575"/>
      <c r="I13" s="575"/>
      <c r="J13" s="580"/>
      <c r="K13" s="582" t="s">
        <v>117</v>
      </c>
      <c r="R13" s="796" t="s">
        <v>117</v>
      </c>
      <c r="T13" s="1098" t="s">
        <v>298</v>
      </c>
      <c r="U13" s="793" t="s">
        <v>299</v>
      </c>
      <c r="V13" s="793" t="s">
        <v>281</v>
      </c>
      <c r="W13" s="800" t="str">
        <f>W11</f>
        <v>Pallavaram</v>
      </c>
      <c r="X13" s="800" t="e">
        <f>+X12</f>
        <v>#REF!</v>
      </c>
      <c r="Y13" s="587">
        <v>630</v>
      </c>
      <c r="Z13" s="800" t="e">
        <f t="shared" si="2"/>
        <v>#REF!</v>
      </c>
      <c r="AA13" s="1098">
        <v>0</v>
      </c>
      <c r="AB13" s="795">
        <v>0</v>
      </c>
      <c r="AC13" s="793" t="e">
        <f t="shared" si="0"/>
        <v>#REF!</v>
      </c>
      <c r="AD13" s="793" t="s">
        <v>300</v>
      </c>
      <c r="AE13" s="587">
        <v>120</v>
      </c>
      <c r="AF13" s="800"/>
      <c r="AG13" s="800"/>
      <c r="AI13" s="575">
        <v>106.5</v>
      </c>
      <c r="AJ13" s="794">
        <v>1.1000000000000001</v>
      </c>
      <c r="AK13" s="794">
        <f t="shared" si="1"/>
        <v>117.15</v>
      </c>
    </row>
    <row r="14" spans="1:37" hidden="1">
      <c r="A14" s="1103">
        <f t="shared" si="3"/>
        <v>5</v>
      </c>
      <c r="B14" s="793" t="s">
        <v>301</v>
      </c>
      <c r="C14" s="587">
        <f>AE13</f>
        <v>120</v>
      </c>
      <c r="D14" s="587">
        <f>AE14</f>
        <v>110</v>
      </c>
      <c r="E14" s="575"/>
      <c r="H14" s="793" t="s">
        <v>131</v>
      </c>
      <c r="I14" s="575"/>
      <c r="J14" s="580"/>
      <c r="K14" s="587" t="e">
        <f>SUM(K9:K12)</f>
        <v>#REF!</v>
      </c>
      <c r="N14" s="800" t="e">
        <f>SUM(K9:K12)</f>
        <v>#REF!</v>
      </c>
      <c r="O14" s="793" t="s">
        <v>131</v>
      </c>
      <c r="R14" s="800" t="e">
        <f>SUM(R9:R12)</f>
        <v>#REF!</v>
      </c>
      <c r="T14" s="1098" t="s">
        <v>302</v>
      </c>
      <c r="U14" s="793" t="s">
        <v>303</v>
      </c>
      <c r="V14" s="793" t="s">
        <v>281</v>
      </c>
      <c r="W14" s="800" t="str">
        <f>W11</f>
        <v>Pallavaram</v>
      </c>
      <c r="X14" s="800" t="e">
        <f>+X13</f>
        <v>#REF!</v>
      </c>
      <c r="Y14" s="587">
        <v>685</v>
      </c>
      <c r="Z14" s="800" t="e">
        <f t="shared" si="2"/>
        <v>#REF!</v>
      </c>
      <c r="AA14" s="1098">
        <v>0</v>
      </c>
      <c r="AB14" s="795">
        <v>0</v>
      </c>
      <c r="AC14" s="793" t="e">
        <f t="shared" si="0"/>
        <v>#REF!</v>
      </c>
      <c r="AD14" s="793" t="s">
        <v>304</v>
      </c>
      <c r="AE14" s="587">
        <v>110</v>
      </c>
      <c r="AF14" s="800"/>
      <c r="AG14" s="800"/>
      <c r="AI14" s="575">
        <v>116.5</v>
      </c>
      <c r="AJ14" s="794">
        <v>1.1000000000000001</v>
      </c>
      <c r="AK14" s="794">
        <f t="shared" si="1"/>
        <v>128.15</v>
      </c>
    </row>
    <row r="15" spans="1:37" hidden="1">
      <c r="A15" s="1103">
        <f t="shared" si="3"/>
        <v>6</v>
      </c>
      <c r="B15" s="793" t="s">
        <v>305</v>
      </c>
      <c r="C15" s="587">
        <f>AE15</f>
        <v>130</v>
      </c>
      <c r="D15" s="573" t="s">
        <v>209</v>
      </c>
      <c r="E15" s="575"/>
      <c r="I15" s="575"/>
      <c r="J15" s="580"/>
      <c r="K15" s="582" t="s">
        <v>117</v>
      </c>
      <c r="R15" s="796" t="s">
        <v>117</v>
      </c>
      <c r="T15" s="1098" t="s">
        <v>306</v>
      </c>
      <c r="U15" s="793" t="s">
        <v>307</v>
      </c>
      <c r="V15" s="793" t="s">
        <v>281</v>
      </c>
      <c r="W15" s="800" t="str">
        <f>W11</f>
        <v>Pallavaram</v>
      </c>
      <c r="X15" s="800" t="e">
        <f>+X14</f>
        <v>#REF!</v>
      </c>
      <c r="Y15" s="587">
        <v>490</v>
      </c>
      <c r="Z15" s="800" t="e">
        <f t="shared" si="2"/>
        <v>#REF!</v>
      </c>
      <c r="AA15" s="1098">
        <v>0</v>
      </c>
      <c r="AB15" s="795">
        <v>0</v>
      </c>
      <c r="AC15" s="793" t="e">
        <f t="shared" si="0"/>
        <v>#REF!</v>
      </c>
      <c r="AD15" s="793" t="s">
        <v>308</v>
      </c>
      <c r="AE15" s="587">
        <v>130</v>
      </c>
      <c r="AF15" s="800"/>
      <c r="AG15" s="800"/>
      <c r="AI15" s="575">
        <v>106.5</v>
      </c>
      <c r="AJ15" s="794">
        <v>1.1000000000000001</v>
      </c>
      <c r="AK15" s="794">
        <f t="shared" si="1"/>
        <v>117.15</v>
      </c>
    </row>
    <row r="16" spans="1:37" hidden="1">
      <c r="A16" s="1103">
        <f t="shared" si="3"/>
        <v>7</v>
      </c>
      <c r="B16" s="793" t="s">
        <v>309</v>
      </c>
      <c r="C16" s="587">
        <f>AE19</f>
        <v>150</v>
      </c>
      <c r="D16" s="587">
        <f>AE20</f>
        <v>135</v>
      </c>
      <c r="E16" s="575"/>
      <c r="G16" s="798" t="s">
        <v>122</v>
      </c>
      <c r="H16" s="793" t="s">
        <v>132</v>
      </c>
      <c r="I16" s="575"/>
      <c r="J16" s="580"/>
      <c r="K16" s="575"/>
      <c r="N16" s="793" t="s">
        <v>122</v>
      </c>
      <c r="O16" s="793" t="s">
        <v>310</v>
      </c>
      <c r="T16" s="1098" t="s">
        <v>311</v>
      </c>
      <c r="U16" s="793" t="s">
        <v>3119</v>
      </c>
      <c r="V16" s="793" t="s">
        <v>281</v>
      </c>
      <c r="W16" s="793" t="s">
        <v>3120</v>
      </c>
      <c r="X16" s="800" t="e">
        <f>#REF!</f>
        <v>#REF!</v>
      </c>
      <c r="Y16" s="587">
        <v>110</v>
      </c>
      <c r="Z16" s="800" t="e">
        <f>#REF!</f>
        <v>#REF!</v>
      </c>
      <c r="AA16" s="1098">
        <v>0</v>
      </c>
      <c r="AB16" s="795">
        <v>0</v>
      </c>
      <c r="AC16" s="793" t="e">
        <f t="shared" si="0"/>
        <v>#REF!</v>
      </c>
      <c r="AD16" s="793" t="s">
        <v>314</v>
      </c>
      <c r="AE16" s="587">
        <v>120</v>
      </c>
      <c r="AF16" s="800"/>
      <c r="AG16" s="800"/>
      <c r="AI16" s="575">
        <v>106.5</v>
      </c>
      <c r="AJ16" s="794">
        <v>1.1000000000000001</v>
      </c>
      <c r="AK16" s="794">
        <f t="shared" si="1"/>
        <v>117.15</v>
      </c>
    </row>
    <row r="17" spans="1:37" hidden="1">
      <c r="A17" s="1103">
        <f t="shared" si="3"/>
        <v>8</v>
      </c>
      <c r="B17" s="793" t="s">
        <v>3121</v>
      </c>
      <c r="C17" s="587">
        <f>AE17</f>
        <v>130</v>
      </c>
      <c r="D17" s="587">
        <f>AE18</f>
        <v>120</v>
      </c>
      <c r="E17" s="575"/>
      <c r="H17" s="796" t="s">
        <v>117</v>
      </c>
      <c r="I17" s="575"/>
      <c r="J17" s="580"/>
      <c r="K17" s="575"/>
      <c r="O17" s="793" t="s">
        <v>316</v>
      </c>
      <c r="T17" s="1098" t="s">
        <v>317</v>
      </c>
      <c r="U17" s="793" t="s">
        <v>492</v>
      </c>
      <c r="V17" s="793" t="s">
        <v>281</v>
      </c>
      <c r="W17" s="793" t="s">
        <v>3122</v>
      </c>
      <c r="X17" s="800" t="e">
        <f>X16</f>
        <v>#REF!</v>
      </c>
      <c r="Y17" s="587">
        <v>110</v>
      </c>
      <c r="Z17" s="800" t="e">
        <f>Z16</f>
        <v>#REF!</v>
      </c>
      <c r="AA17" s="1098">
        <v>0</v>
      </c>
      <c r="AB17" s="795">
        <v>0</v>
      </c>
      <c r="AC17" s="793" t="e">
        <f t="shared" si="0"/>
        <v>#REF!</v>
      </c>
      <c r="AD17" s="793" t="s">
        <v>319</v>
      </c>
      <c r="AE17" s="587">
        <v>130</v>
      </c>
      <c r="AF17" s="800"/>
      <c r="AG17" s="800"/>
      <c r="AI17" s="575">
        <v>98.5</v>
      </c>
      <c r="AJ17" s="794">
        <v>1.1000000000000001</v>
      </c>
      <c r="AK17" s="794">
        <f t="shared" si="1"/>
        <v>108.35000000000001</v>
      </c>
    </row>
    <row r="18" spans="1:37" hidden="1">
      <c r="A18" s="1103">
        <f t="shared" si="3"/>
        <v>9</v>
      </c>
      <c r="B18" s="793" t="s">
        <v>3123</v>
      </c>
      <c r="C18" s="587">
        <f>AE24</f>
        <v>26</v>
      </c>
      <c r="D18" s="573" t="s">
        <v>321</v>
      </c>
      <c r="E18" s="575"/>
      <c r="F18" s="800">
        <v>0.72</v>
      </c>
      <c r="G18" s="798" t="s">
        <v>124</v>
      </c>
      <c r="H18" s="793" t="s">
        <v>125</v>
      </c>
      <c r="I18" s="587">
        <f>(C67)</f>
        <v>3800</v>
      </c>
      <c r="J18" s="574" t="s">
        <v>124</v>
      </c>
      <c r="K18" s="587">
        <f>(F18*I18)</f>
        <v>2736</v>
      </c>
      <c r="O18" s="793" t="s">
        <v>322</v>
      </c>
      <c r="T18" s="1098" t="s">
        <v>323</v>
      </c>
      <c r="U18" s="793" t="s">
        <v>3124</v>
      </c>
      <c r="V18" s="793" t="s">
        <v>325</v>
      </c>
      <c r="W18" s="793" t="s">
        <v>3125</v>
      </c>
      <c r="X18" s="800" t="e">
        <f>#REF!</f>
        <v>#REF!</v>
      </c>
      <c r="Y18" s="587">
        <v>1950</v>
      </c>
      <c r="Z18" s="800" t="e">
        <f>#REF!</f>
        <v>#REF!</v>
      </c>
      <c r="AA18" s="1098">
        <v>0</v>
      </c>
      <c r="AB18" s="795">
        <v>0</v>
      </c>
      <c r="AC18" s="793" t="e">
        <f t="shared" si="0"/>
        <v>#REF!</v>
      </c>
      <c r="AD18" s="793" t="s">
        <v>327</v>
      </c>
      <c r="AE18" s="587">
        <v>120</v>
      </c>
      <c r="AF18" s="800"/>
      <c r="AG18" s="800"/>
      <c r="AI18" s="575">
        <v>148.5</v>
      </c>
      <c r="AJ18" s="794">
        <v>1.1000000000000001</v>
      </c>
      <c r="AK18" s="794">
        <f t="shared" si="1"/>
        <v>163.35000000000002</v>
      </c>
    </row>
    <row r="19" spans="1:37" hidden="1">
      <c r="A19" s="1103">
        <f t="shared" si="3"/>
        <v>10</v>
      </c>
      <c r="B19" s="793" t="s">
        <v>3126</v>
      </c>
      <c r="C19" s="587">
        <v>17.600000000000001</v>
      </c>
      <c r="D19" s="573" t="s">
        <v>126</v>
      </c>
      <c r="E19" s="575"/>
      <c r="F19" s="800">
        <v>1</v>
      </c>
      <c r="G19" s="798" t="s">
        <v>126</v>
      </c>
      <c r="H19" s="793" t="s">
        <v>127</v>
      </c>
      <c r="I19" s="587" t="e">
        <f>(C78)</f>
        <v>#REF!</v>
      </c>
      <c r="J19" s="574" t="s">
        <v>126</v>
      </c>
      <c r="K19" s="587" t="e">
        <f>(F19*I19)</f>
        <v>#REF!</v>
      </c>
      <c r="O19" s="793" t="s">
        <v>329</v>
      </c>
      <c r="T19" s="1098" t="s">
        <v>330</v>
      </c>
      <c r="U19" s="793" t="s">
        <v>3127</v>
      </c>
      <c r="V19" s="793" t="s">
        <v>126</v>
      </c>
      <c r="W19" s="800" t="str">
        <f>W18</f>
        <v>Nerkundram</v>
      </c>
      <c r="X19" s="800" t="e">
        <f>#REF!</f>
        <v>#REF!</v>
      </c>
      <c r="Y19" s="587">
        <v>260</v>
      </c>
      <c r="Z19" s="800" t="e">
        <f>#REF!</f>
        <v>#REF!</v>
      </c>
      <c r="AA19" s="1098">
        <v>0</v>
      </c>
      <c r="AB19" s="795">
        <v>0</v>
      </c>
      <c r="AC19" s="793" t="e">
        <f t="shared" si="0"/>
        <v>#REF!</v>
      </c>
      <c r="AD19" s="793" t="s">
        <v>332</v>
      </c>
      <c r="AE19" s="587">
        <v>150</v>
      </c>
      <c r="AF19" s="800"/>
      <c r="AG19" s="800"/>
      <c r="AI19" s="575">
        <v>126.5</v>
      </c>
      <c r="AJ19" s="794">
        <v>1.1000000000000001</v>
      </c>
      <c r="AK19" s="794">
        <f t="shared" si="1"/>
        <v>139.15</v>
      </c>
    </row>
    <row r="20" spans="1:37" hidden="1">
      <c r="A20" s="1103">
        <f t="shared" si="3"/>
        <v>11</v>
      </c>
      <c r="B20" s="793" t="s">
        <v>333</v>
      </c>
      <c r="C20" s="587">
        <v>35.200000000000003</v>
      </c>
      <c r="D20" s="573" t="s">
        <v>126</v>
      </c>
      <c r="E20" s="575"/>
      <c r="F20" s="800">
        <v>1</v>
      </c>
      <c r="G20" s="798" t="s">
        <v>126</v>
      </c>
      <c r="H20" s="793" t="s">
        <v>128</v>
      </c>
      <c r="I20" s="587">
        <f>(C18)</f>
        <v>26</v>
      </c>
      <c r="J20" s="574" t="s">
        <v>126</v>
      </c>
      <c r="K20" s="587">
        <f>(F20*I20)</f>
        <v>26</v>
      </c>
      <c r="O20" s="793" t="s">
        <v>334</v>
      </c>
      <c r="T20" s="1098" t="s">
        <v>335</v>
      </c>
      <c r="U20" s="793" t="s">
        <v>336</v>
      </c>
      <c r="V20" s="793" t="s">
        <v>126</v>
      </c>
      <c r="W20" s="800" t="str">
        <f>W18</f>
        <v>Nerkundram</v>
      </c>
      <c r="X20" s="800" t="e">
        <f>X19</f>
        <v>#REF!</v>
      </c>
      <c r="Y20" s="587">
        <v>280</v>
      </c>
      <c r="Z20" s="800" t="e">
        <f>+Z19</f>
        <v>#REF!</v>
      </c>
      <c r="AA20" s="1098">
        <v>0</v>
      </c>
      <c r="AB20" s="795">
        <v>0</v>
      </c>
      <c r="AC20" s="793" t="e">
        <f t="shared" si="0"/>
        <v>#REF!</v>
      </c>
      <c r="AD20" s="793" t="s">
        <v>337</v>
      </c>
      <c r="AE20" s="587">
        <v>135</v>
      </c>
      <c r="AF20" s="800"/>
      <c r="AG20" s="800"/>
      <c r="AI20" s="575">
        <v>116.5</v>
      </c>
      <c r="AJ20" s="794">
        <v>1.1000000000000001</v>
      </c>
      <c r="AK20" s="794">
        <f t="shared" si="1"/>
        <v>128.15</v>
      </c>
    </row>
    <row r="21" spans="1:37" hidden="1">
      <c r="A21" s="1103">
        <f t="shared" si="3"/>
        <v>12</v>
      </c>
      <c r="B21" s="793" t="s">
        <v>338</v>
      </c>
      <c r="C21" s="587">
        <v>35.200000000000003</v>
      </c>
      <c r="D21" s="573" t="s">
        <v>126</v>
      </c>
      <c r="E21" s="575"/>
      <c r="G21" s="798" t="s">
        <v>129</v>
      </c>
      <c r="H21" s="793" t="s">
        <v>130</v>
      </c>
      <c r="I21" s="573" t="s">
        <v>115</v>
      </c>
      <c r="J21" s="574" t="s">
        <v>129</v>
      </c>
      <c r="K21" s="587">
        <v>0</v>
      </c>
      <c r="O21" s="796" t="s">
        <v>117</v>
      </c>
      <c r="T21" s="1098" t="s">
        <v>339</v>
      </c>
      <c r="U21" s="793" t="s">
        <v>3128</v>
      </c>
      <c r="V21" s="793" t="s">
        <v>325</v>
      </c>
      <c r="W21" s="793" t="s">
        <v>341</v>
      </c>
      <c r="X21" s="800" t="e">
        <f>#REF!</f>
        <v>#REF!</v>
      </c>
      <c r="Y21" s="587">
        <v>4500</v>
      </c>
      <c r="Z21" s="800">
        <v>0</v>
      </c>
      <c r="AA21" s="1098">
        <v>0</v>
      </c>
      <c r="AB21" s="795">
        <v>0</v>
      </c>
      <c r="AC21" s="793">
        <f t="shared" si="0"/>
        <v>4500</v>
      </c>
      <c r="AD21" s="793" t="s">
        <v>342</v>
      </c>
      <c r="AE21" s="587">
        <v>120</v>
      </c>
      <c r="AF21" s="800"/>
      <c r="AG21" s="800"/>
      <c r="AI21" s="575">
        <v>106.5</v>
      </c>
      <c r="AJ21" s="794">
        <v>1.1000000000000001</v>
      </c>
      <c r="AK21" s="794">
        <f t="shared" si="1"/>
        <v>117.15</v>
      </c>
    </row>
    <row r="22" spans="1:37" hidden="1">
      <c r="A22" s="1103">
        <f t="shared" si="3"/>
        <v>13</v>
      </c>
      <c r="B22" s="793" t="s">
        <v>3129</v>
      </c>
      <c r="C22" s="587">
        <v>26.45</v>
      </c>
      <c r="D22" s="573" t="s">
        <v>126</v>
      </c>
      <c r="E22" s="575"/>
      <c r="I22" s="575"/>
      <c r="J22" s="580"/>
      <c r="K22" s="582" t="s">
        <v>117</v>
      </c>
      <c r="M22" s="800">
        <v>1</v>
      </c>
      <c r="N22" s="793" t="s">
        <v>126</v>
      </c>
      <c r="O22" s="793" t="s">
        <v>344</v>
      </c>
      <c r="P22" s="800" t="e">
        <f>C78</f>
        <v>#REF!</v>
      </c>
      <c r="Q22" s="793" t="s">
        <v>126</v>
      </c>
      <c r="R22" s="800" t="e">
        <f>(M22*P22)</f>
        <v>#REF!</v>
      </c>
      <c r="T22" s="1098" t="s">
        <v>345</v>
      </c>
      <c r="U22" s="793" t="s">
        <v>508</v>
      </c>
      <c r="V22" s="793" t="s">
        <v>281</v>
      </c>
      <c r="W22" s="1104" t="s">
        <v>3130</v>
      </c>
      <c r="X22" s="800">
        <v>0</v>
      </c>
      <c r="Y22" s="587">
        <v>773</v>
      </c>
      <c r="Z22" s="800">
        <v>0</v>
      </c>
      <c r="AA22" s="1098">
        <v>0</v>
      </c>
      <c r="AB22" s="795">
        <v>0</v>
      </c>
      <c r="AC22" s="793">
        <f t="shared" si="0"/>
        <v>773</v>
      </c>
      <c r="AD22" s="793" t="s">
        <v>347</v>
      </c>
      <c r="AE22" s="587">
        <v>110</v>
      </c>
      <c r="AF22" s="800"/>
      <c r="AG22" s="800"/>
      <c r="AI22" s="575">
        <v>106.5</v>
      </c>
      <c r="AJ22" s="794">
        <v>1.1000000000000001</v>
      </c>
      <c r="AK22" s="794">
        <f t="shared" si="1"/>
        <v>117.15</v>
      </c>
    </row>
    <row r="23" spans="1:37" hidden="1">
      <c r="A23" s="1103">
        <f t="shared" si="3"/>
        <v>14</v>
      </c>
      <c r="B23" s="793" t="s">
        <v>348</v>
      </c>
      <c r="C23" s="587">
        <v>52.85</v>
      </c>
      <c r="D23" s="573" t="s">
        <v>126</v>
      </c>
      <c r="E23" s="575"/>
      <c r="H23" s="793" t="s">
        <v>131</v>
      </c>
      <c r="I23" s="575"/>
      <c r="J23" s="580"/>
      <c r="K23" s="587" t="e">
        <f>SUM(K18:K21)</f>
        <v>#REF!</v>
      </c>
      <c r="M23" s="800">
        <v>1</v>
      </c>
      <c r="N23" s="793" t="s">
        <v>126</v>
      </c>
      <c r="O23" s="793" t="s">
        <v>349</v>
      </c>
      <c r="P23" s="800" t="e">
        <f>C85</f>
        <v>#REF!</v>
      </c>
      <c r="Q23" s="793" t="s">
        <v>126</v>
      </c>
      <c r="R23" s="800" t="e">
        <f>(M23*P23)</f>
        <v>#REF!</v>
      </c>
      <c r="T23" s="1098" t="s">
        <v>350</v>
      </c>
      <c r="U23" s="793" t="s">
        <v>3131</v>
      </c>
      <c r="V23" s="793" t="s">
        <v>281</v>
      </c>
      <c r="W23" s="1104" t="s">
        <v>3130</v>
      </c>
      <c r="X23" s="800" t="e">
        <f>#REF!</f>
        <v>#REF!</v>
      </c>
      <c r="Y23" s="587">
        <v>565</v>
      </c>
      <c r="Z23" s="800" t="e">
        <f>#REF!</f>
        <v>#REF!</v>
      </c>
      <c r="AA23" s="1098">
        <v>0</v>
      </c>
      <c r="AB23" s="795">
        <v>0</v>
      </c>
      <c r="AC23" s="793" t="e">
        <f t="shared" si="0"/>
        <v>#REF!</v>
      </c>
      <c r="AD23" s="793" t="s">
        <v>352</v>
      </c>
      <c r="AE23" s="587">
        <v>120</v>
      </c>
      <c r="AF23" s="800"/>
      <c r="AG23" s="800"/>
      <c r="AI23" s="575">
        <v>26</v>
      </c>
      <c r="AJ23" s="794">
        <v>1.1000000000000001</v>
      </c>
      <c r="AK23" s="794">
        <f t="shared" si="1"/>
        <v>28.6</v>
      </c>
    </row>
    <row r="24" spans="1:37" hidden="1">
      <c r="A24" s="1103">
        <f t="shared" si="3"/>
        <v>15</v>
      </c>
      <c r="B24" s="793" t="s">
        <v>353</v>
      </c>
      <c r="C24" s="587">
        <v>52.85</v>
      </c>
      <c r="D24" s="573" t="s">
        <v>126</v>
      </c>
      <c r="E24" s="575"/>
      <c r="I24" s="575"/>
      <c r="J24" s="580"/>
      <c r="K24" s="582" t="s">
        <v>117</v>
      </c>
      <c r="M24" s="800">
        <v>1.5</v>
      </c>
      <c r="N24" s="793" t="s">
        <v>126</v>
      </c>
      <c r="O24" s="793" t="s">
        <v>354</v>
      </c>
      <c r="P24" s="800">
        <f>C18</f>
        <v>26</v>
      </c>
      <c r="Q24" s="793" t="s">
        <v>126</v>
      </c>
      <c r="R24" s="800">
        <f>(M24*P24)</f>
        <v>39</v>
      </c>
      <c r="T24" s="1098" t="s">
        <v>355</v>
      </c>
      <c r="U24" s="793" t="s">
        <v>3132</v>
      </c>
      <c r="V24" s="793" t="s">
        <v>281</v>
      </c>
      <c r="W24" s="793" t="s">
        <v>357</v>
      </c>
      <c r="X24" s="794">
        <v>0</v>
      </c>
      <c r="Y24" s="587">
        <v>20605</v>
      </c>
      <c r="Z24" s="794">
        <v>0</v>
      </c>
      <c r="AA24" s="1099">
        <v>0</v>
      </c>
      <c r="AB24" s="795">
        <v>0</v>
      </c>
      <c r="AC24" s="793">
        <f t="shared" si="0"/>
        <v>20605</v>
      </c>
      <c r="AD24" s="793" t="s">
        <v>3133</v>
      </c>
      <c r="AE24" s="587">
        <v>26</v>
      </c>
      <c r="AF24" s="800"/>
      <c r="AG24" s="800"/>
      <c r="AI24" s="575">
        <v>20.7</v>
      </c>
      <c r="AJ24" s="794">
        <v>1.1000000000000001</v>
      </c>
      <c r="AK24" s="794">
        <f t="shared" si="1"/>
        <v>22.77</v>
      </c>
    </row>
    <row r="25" spans="1:37" hidden="1">
      <c r="A25" s="1103">
        <f t="shared" si="3"/>
        <v>16</v>
      </c>
      <c r="B25" s="793" t="s">
        <v>3134</v>
      </c>
      <c r="C25" s="587">
        <f>AE25</f>
        <v>20.7</v>
      </c>
      <c r="D25" s="573" t="s">
        <v>126</v>
      </c>
      <c r="E25" s="575"/>
      <c r="G25" s="798" t="s">
        <v>122</v>
      </c>
      <c r="H25" s="793" t="s">
        <v>133</v>
      </c>
      <c r="I25" s="575"/>
      <c r="J25" s="580"/>
      <c r="K25" s="575"/>
      <c r="M25" s="800">
        <v>1.5</v>
      </c>
      <c r="N25" s="793" t="s">
        <v>126</v>
      </c>
      <c r="O25" s="793" t="s">
        <v>360</v>
      </c>
      <c r="P25" s="800">
        <f>C27</f>
        <v>7.8</v>
      </c>
      <c r="Q25" s="793" t="s">
        <v>126</v>
      </c>
      <c r="R25" s="800">
        <f>(M25*P25)</f>
        <v>11.7</v>
      </c>
      <c r="T25" s="1098" t="s">
        <v>361</v>
      </c>
      <c r="U25" s="793" t="s">
        <v>362</v>
      </c>
      <c r="V25" s="793" t="s">
        <v>281</v>
      </c>
      <c r="W25" s="1104" t="s">
        <v>357</v>
      </c>
      <c r="X25" s="794">
        <v>0</v>
      </c>
      <c r="Y25" s="587">
        <v>23685</v>
      </c>
      <c r="Z25" s="794">
        <v>0</v>
      </c>
      <c r="AA25" s="1099">
        <v>0</v>
      </c>
      <c r="AB25" s="795">
        <v>0</v>
      </c>
      <c r="AC25" s="793">
        <f t="shared" si="0"/>
        <v>23685</v>
      </c>
      <c r="AD25" s="793" t="s">
        <v>3135</v>
      </c>
      <c r="AE25" s="587">
        <v>20.7</v>
      </c>
      <c r="AF25" s="800"/>
      <c r="AG25" s="800"/>
      <c r="AI25" s="575">
        <v>15.6</v>
      </c>
      <c r="AJ25" s="794">
        <v>1.1000000000000001</v>
      </c>
      <c r="AK25" s="794">
        <f t="shared" si="1"/>
        <v>17.16</v>
      </c>
    </row>
    <row r="26" spans="1:37" hidden="1">
      <c r="A26" s="1103">
        <f t="shared" si="3"/>
        <v>17</v>
      </c>
      <c r="B26" s="793" t="s">
        <v>3136</v>
      </c>
      <c r="C26" s="587">
        <f>+AE28</f>
        <v>8.8000000000000007</v>
      </c>
      <c r="D26" s="573" t="s">
        <v>365</v>
      </c>
      <c r="E26" s="575"/>
      <c r="H26" s="796" t="s">
        <v>117</v>
      </c>
      <c r="I26" s="575"/>
      <c r="J26" s="580"/>
      <c r="K26" s="575"/>
      <c r="N26" s="793" t="s">
        <v>129</v>
      </c>
      <c r="O26" s="793" t="s">
        <v>130</v>
      </c>
      <c r="P26" s="793" t="s">
        <v>115</v>
      </c>
      <c r="Q26" s="793" t="s">
        <v>129</v>
      </c>
      <c r="R26" s="800">
        <v>0</v>
      </c>
      <c r="T26" s="1098" t="s">
        <v>366</v>
      </c>
      <c r="U26" s="793" t="s">
        <v>3137</v>
      </c>
      <c r="V26" s="793" t="s">
        <v>281</v>
      </c>
      <c r="W26" s="1104" t="s">
        <v>357</v>
      </c>
      <c r="X26" s="794">
        <v>0</v>
      </c>
      <c r="Y26" s="587">
        <v>65420</v>
      </c>
      <c r="Z26" s="794">
        <v>0</v>
      </c>
      <c r="AA26" s="1099">
        <v>0</v>
      </c>
      <c r="AB26" s="795">
        <v>0</v>
      </c>
      <c r="AC26" s="793">
        <f t="shared" si="0"/>
        <v>65420</v>
      </c>
      <c r="AD26" s="793" t="s">
        <v>3138</v>
      </c>
      <c r="AE26" s="587">
        <v>15.6</v>
      </c>
      <c r="AF26" s="800"/>
      <c r="AG26" s="800"/>
      <c r="AI26" s="575">
        <v>7.8</v>
      </c>
      <c r="AJ26" s="794">
        <v>1.1000000000000001</v>
      </c>
      <c r="AK26" s="794">
        <f t="shared" si="1"/>
        <v>8.58</v>
      </c>
    </row>
    <row r="27" spans="1:37" hidden="1">
      <c r="A27" s="1103">
        <f t="shared" si="3"/>
        <v>18</v>
      </c>
      <c r="B27" s="793" t="s">
        <v>3139</v>
      </c>
      <c r="C27" s="587">
        <f>+AE27</f>
        <v>7.8</v>
      </c>
      <c r="D27" s="573" t="s">
        <v>365</v>
      </c>
      <c r="E27" s="575"/>
      <c r="F27" s="800">
        <v>0.48</v>
      </c>
      <c r="G27" s="798" t="s">
        <v>124</v>
      </c>
      <c r="H27" s="793" t="s">
        <v>125</v>
      </c>
      <c r="I27" s="587">
        <f>(C67)</f>
        <v>3800</v>
      </c>
      <c r="J27" s="574" t="s">
        <v>124</v>
      </c>
      <c r="K27" s="587">
        <f>(F27*I27)</f>
        <v>1824</v>
      </c>
      <c r="R27" s="796" t="s">
        <v>117</v>
      </c>
      <c r="T27" s="1098" t="s">
        <v>370</v>
      </c>
      <c r="U27" s="793" t="s">
        <v>3140</v>
      </c>
      <c r="V27" s="793" t="s">
        <v>281</v>
      </c>
      <c r="W27" s="1104" t="s">
        <v>357</v>
      </c>
      <c r="X27" s="794">
        <v>0</v>
      </c>
      <c r="Y27" s="587">
        <v>57165</v>
      </c>
      <c r="Z27" s="794">
        <v>0</v>
      </c>
      <c r="AA27" s="1099">
        <v>0</v>
      </c>
      <c r="AB27" s="795">
        <v>0</v>
      </c>
      <c r="AC27" s="793">
        <f t="shared" si="0"/>
        <v>57165</v>
      </c>
      <c r="AD27" s="793" t="s">
        <v>3141</v>
      </c>
      <c r="AE27" s="587">
        <v>7.8</v>
      </c>
      <c r="AF27" s="800"/>
      <c r="AG27" s="800"/>
      <c r="AI27" s="575">
        <v>8.8000000000000007</v>
      </c>
      <c r="AJ27" s="794">
        <v>1.1000000000000001</v>
      </c>
      <c r="AK27" s="794">
        <f t="shared" si="1"/>
        <v>9.6800000000000015</v>
      </c>
    </row>
    <row r="28" spans="1:37" hidden="1">
      <c r="A28" s="1103">
        <f t="shared" si="3"/>
        <v>19</v>
      </c>
      <c r="B28" s="793" t="s">
        <v>3142</v>
      </c>
      <c r="C28" s="587">
        <v>58.33</v>
      </c>
      <c r="D28" s="573" t="s">
        <v>129</v>
      </c>
      <c r="E28" s="575"/>
      <c r="F28" s="800">
        <v>1</v>
      </c>
      <c r="G28" s="798" t="s">
        <v>126</v>
      </c>
      <c r="H28" s="793" t="s">
        <v>127</v>
      </c>
      <c r="I28" s="587" t="e">
        <f>(C78)</f>
        <v>#REF!</v>
      </c>
      <c r="J28" s="574" t="s">
        <v>126</v>
      </c>
      <c r="K28" s="587" t="e">
        <f>(F28*I28)</f>
        <v>#REF!</v>
      </c>
      <c r="O28" s="793" t="s">
        <v>374</v>
      </c>
      <c r="R28" s="800" t="e">
        <f>SUM(R22:R26)</f>
        <v>#REF!</v>
      </c>
      <c r="T28" s="1098" t="s">
        <v>375</v>
      </c>
      <c r="U28" s="793" t="s">
        <v>3143</v>
      </c>
      <c r="V28" s="793" t="s">
        <v>281</v>
      </c>
      <c r="W28" s="1104" t="s">
        <v>357</v>
      </c>
      <c r="X28" s="794">
        <v>0</v>
      </c>
      <c r="Y28" s="587">
        <v>63870</v>
      </c>
      <c r="Z28" s="794">
        <v>0</v>
      </c>
      <c r="AA28" s="1099">
        <v>0</v>
      </c>
      <c r="AB28" s="795">
        <v>0</v>
      </c>
      <c r="AC28" s="793">
        <f t="shared" si="0"/>
        <v>63870</v>
      </c>
      <c r="AD28" s="793" t="s">
        <v>3144</v>
      </c>
      <c r="AE28" s="587">
        <v>8.8000000000000007</v>
      </c>
      <c r="AF28" s="800"/>
      <c r="AG28" s="800"/>
      <c r="AI28" s="575">
        <v>25</v>
      </c>
      <c r="AJ28" s="794">
        <v>1.1000000000000001</v>
      </c>
      <c r="AK28" s="794">
        <f t="shared" si="1"/>
        <v>27.500000000000004</v>
      </c>
    </row>
    <row r="29" spans="1:37" hidden="1">
      <c r="A29" s="1103">
        <f t="shared" si="3"/>
        <v>20</v>
      </c>
      <c r="B29" s="793" t="s">
        <v>3145</v>
      </c>
      <c r="C29" s="587">
        <f>AE23</f>
        <v>120</v>
      </c>
      <c r="D29" s="573" t="s">
        <v>1</v>
      </c>
      <c r="E29" s="575"/>
      <c r="F29" s="800">
        <v>1</v>
      </c>
      <c r="G29" s="798" t="s">
        <v>126</v>
      </c>
      <c r="H29" s="793" t="s">
        <v>128</v>
      </c>
      <c r="I29" s="587">
        <f>(C18)</f>
        <v>26</v>
      </c>
      <c r="J29" s="574" t="s">
        <v>126</v>
      </c>
      <c r="K29" s="587">
        <f>(F29*I29)</f>
        <v>26</v>
      </c>
      <c r="R29" s="796" t="s">
        <v>117</v>
      </c>
      <c r="T29" s="1098" t="s">
        <v>379</v>
      </c>
      <c r="U29" s="793" t="s">
        <v>3146</v>
      </c>
      <c r="V29" s="793" t="s">
        <v>325</v>
      </c>
      <c r="W29" s="800" t="str">
        <f>W18</f>
        <v>Nerkundram</v>
      </c>
      <c r="X29" s="800" t="e">
        <f>X18</f>
        <v>#REF!</v>
      </c>
      <c r="Y29" s="587">
        <v>1470</v>
      </c>
      <c r="Z29" s="800" t="e">
        <f>Z18</f>
        <v>#REF!</v>
      </c>
      <c r="AA29" s="1099">
        <v>0</v>
      </c>
      <c r="AB29" s="795">
        <v>0</v>
      </c>
      <c r="AC29" s="793" t="e">
        <f t="shared" si="0"/>
        <v>#REF!</v>
      </c>
      <c r="AD29" s="793" t="s">
        <v>3147</v>
      </c>
      <c r="AE29" s="587">
        <v>25</v>
      </c>
      <c r="AF29" s="800"/>
      <c r="AG29" s="800"/>
      <c r="AI29" s="575">
        <v>342</v>
      </c>
      <c r="AJ29" s="794">
        <v>1.1000000000000001</v>
      </c>
      <c r="AK29" s="794">
        <f t="shared" si="1"/>
        <v>376.20000000000005</v>
      </c>
    </row>
    <row r="30" spans="1:37" hidden="1">
      <c r="A30" s="1103">
        <f t="shared" si="3"/>
        <v>21</v>
      </c>
      <c r="B30" s="793" t="s">
        <v>3148</v>
      </c>
      <c r="C30" s="587">
        <f>AE33</f>
        <v>3035</v>
      </c>
      <c r="D30" s="587">
        <f>AE31</f>
        <v>287</v>
      </c>
      <c r="E30" s="575"/>
      <c r="G30" s="798" t="s">
        <v>129</v>
      </c>
      <c r="H30" s="793" t="s">
        <v>130</v>
      </c>
      <c r="I30" s="573" t="s">
        <v>115</v>
      </c>
      <c r="J30" s="574" t="s">
        <v>129</v>
      </c>
      <c r="K30" s="587">
        <v>0</v>
      </c>
      <c r="O30" s="793" t="s">
        <v>383</v>
      </c>
      <c r="R30" s="800" t="e">
        <f>(R28/1.5)</f>
        <v>#REF!</v>
      </c>
      <c r="T30" s="1098" t="s">
        <v>384</v>
      </c>
      <c r="U30" s="793" t="s">
        <v>3149</v>
      </c>
      <c r="V30" s="793" t="s">
        <v>325</v>
      </c>
      <c r="W30" s="1104" t="s">
        <v>357</v>
      </c>
      <c r="X30" s="800">
        <v>0</v>
      </c>
      <c r="Y30" s="587">
        <v>8240</v>
      </c>
      <c r="Z30" s="800">
        <v>0</v>
      </c>
      <c r="AA30" s="1098">
        <v>0</v>
      </c>
      <c r="AB30" s="795">
        <v>0</v>
      </c>
      <c r="AC30" s="793">
        <f t="shared" si="0"/>
        <v>8240</v>
      </c>
      <c r="AD30" s="793" t="s">
        <v>3150</v>
      </c>
      <c r="AE30" s="587">
        <v>342</v>
      </c>
      <c r="AF30" s="800"/>
      <c r="AG30" s="800"/>
      <c r="AI30" s="575">
        <v>287</v>
      </c>
      <c r="AJ30" s="794">
        <v>1.1000000000000001</v>
      </c>
      <c r="AK30" s="794">
        <f t="shared" si="1"/>
        <v>315.70000000000005</v>
      </c>
    </row>
    <row r="31" spans="1:37" hidden="1">
      <c r="A31" s="1103">
        <f t="shared" si="3"/>
        <v>22</v>
      </c>
      <c r="B31" s="793" t="s">
        <v>3151</v>
      </c>
      <c r="C31" s="587">
        <f>AE30</f>
        <v>342</v>
      </c>
      <c r="D31" s="587">
        <f>AE32</f>
        <v>320</v>
      </c>
      <c r="E31" s="575"/>
      <c r="I31" s="575"/>
      <c r="J31" s="580"/>
      <c r="K31" s="582" t="s">
        <v>117</v>
      </c>
      <c r="O31" s="793" t="s">
        <v>251</v>
      </c>
      <c r="R31" s="796" t="s">
        <v>155</v>
      </c>
      <c r="T31" s="1098" t="s">
        <v>388</v>
      </c>
      <c r="U31" s="793" t="s">
        <v>389</v>
      </c>
      <c r="V31" s="793" t="s">
        <v>124</v>
      </c>
      <c r="W31" s="793" t="s">
        <v>357</v>
      </c>
      <c r="X31" s="800">
        <v>0</v>
      </c>
      <c r="Y31" s="587">
        <v>3800</v>
      </c>
      <c r="Z31" s="800">
        <v>0</v>
      </c>
      <c r="AA31" s="1098">
        <v>0</v>
      </c>
      <c r="AB31" s="795">
        <v>0</v>
      </c>
      <c r="AC31" s="793">
        <v>3800</v>
      </c>
      <c r="AD31" s="793" t="s">
        <v>3152</v>
      </c>
      <c r="AE31" s="587">
        <v>287</v>
      </c>
      <c r="AF31" s="800"/>
      <c r="AG31" s="800"/>
      <c r="AI31" s="575">
        <v>320</v>
      </c>
      <c r="AJ31" s="794">
        <v>1.1000000000000001</v>
      </c>
      <c r="AK31" s="794">
        <f t="shared" si="1"/>
        <v>352</v>
      </c>
    </row>
    <row r="32" spans="1:37" hidden="1">
      <c r="A32" s="1103">
        <f t="shared" si="3"/>
        <v>23</v>
      </c>
      <c r="B32" s="793" t="s">
        <v>391</v>
      </c>
      <c r="C32" s="587">
        <v>2.5</v>
      </c>
      <c r="D32" s="587">
        <f>AE34</f>
        <v>267</v>
      </c>
      <c r="E32" s="575"/>
      <c r="H32" s="793" t="s">
        <v>131</v>
      </c>
      <c r="I32" s="575"/>
      <c r="J32" s="580"/>
      <c r="K32" s="587" t="e">
        <f>SUM(K27:K30)</f>
        <v>#REF!</v>
      </c>
      <c r="T32" s="1098" t="s">
        <v>392</v>
      </c>
      <c r="U32" s="793" t="s">
        <v>393</v>
      </c>
      <c r="V32" s="793" t="s">
        <v>124</v>
      </c>
      <c r="W32" s="793" t="s">
        <v>341</v>
      </c>
      <c r="X32" s="800">
        <v>0</v>
      </c>
      <c r="Y32" s="587">
        <v>28000</v>
      </c>
      <c r="Z32" s="800">
        <v>0</v>
      </c>
      <c r="AA32" s="1098">
        <v>0</v>
      </c>
      <c r="AB32" s="795">
        <v>0</v>
      </c>
      <c r="AC32" s="793">
        <f t="shared" si="0"/>
        <v>28000</v>
      </c>
      <c r="AD32" s="793" t="s">
        <v>3153</v>
      </c>
      <c r="AE32" s="587">
        <v>320</v>
      </c>
      <c r="AF32" s="800"/>
      <c r="AG32" s="800"/>
      <c r="AI32" s="575">
        <v>3035</v>
      </c>
      <c r="AJ32" s="794">
        <v>1.1000000000000001</v>
      </c>
      <c r="AK32" s="794">
        <f t="shared" si="1"/>
        <v>3338.5000000000005</v>
      </c>
    </row>
    <row r="33" spans="1:37" hidden="1">
      <c r="A33" s="1103">
        <f t="shared" si="3"/>
        <v>24</v>
      </c>
      <c r="B33" s="793" t="s">
        <v>395</v>
      </c>
      <c r="C33" s="587">
        <v>3.64</v>
      </c>
      <c r="D33" s="587">
        <f>AE35</f>
        <v>240</v>
      </c>
      <c r="E33" s="575"/>
      <c r="I33" s="575"/>
      <c r="J33" s="580"/>
      <c r="K33" s="582" t="s">
        <v>117</v>
      </c>
      <c r="T33" s="1105" t="s">
        <v>396</v>
      </c>
      <c r="U33" s="793" t="s">
        <v>397</v>
      </c>
      <c r="V33" s="793" t="s">
        <v>124</v>
      </c>
      <c r="W33" s="793" t="s">
        <v>341</v>
      </c>
      <c r="X33" s="800">
        <v>0</v>
      </c>
      <c r="Y33" s="587">
        <v>26500</v>
      </c>
      <c r="Z33" s="800">
        <v>0</v>
      </c>
      <c r="AA33" s="1098">
        <v>0</v>
      </c>
      <c r="AB33" s="795">
        <v>0</v>
      </c>
      <c r="AC33" s="793">
        <f t="shared" si="0"/>
        <v>26500</v>
      </c>
      <c r="AD33" s="793" t="s">
        <v>3154</v>
      </c>
      <c r="AE33" s="587">
        <v>3035</v>
      </c>
      <c r="AF33" s="800"/>
      <c r="AG33" s="800"/>
      <c r="AI33" s="575">
        <v>267</v>
      </c>
      <c r="AJ33" s="794">
        <v>1.1000000000000001</v>
      </c>
      <c r="AK33" s="794">
        <f t="shared" si="1"/>
        <v>293.70000000000005</v>
      </c>
    </row>
    <row r="34" spans="1:37" hidden="1">
      <c r="A34" s="1103">
        <f t="shared" si="3"/>
        <v>25</v>
      </c>
      <c r="B34" s="793" t="s">
        <v>3155</v>
      </c>
      <c r="C34" s="587">
        <v>30000</v>
      </c>
      <c r="D34" s="587">
        <v>30000</v>
      </c>
      <c r="E34" s="575"/>
      <c r="G34" s="798" t="s">
        <v>122</v>
      </c>
      <c r="H34" s="793" t="s">
        <v>134</v>
      </c>
      <c r="I34" s="575"/>
      <c r="J34" s="580"/>
      <c r="K34" s="575"/>
      <c r="T34" s="1105" t="s">
        <v>400</v>
      </c>
      <c r="U34" s="793" t="s">
        <v>401</v>
      </c>
      <c r="V34" s="793" t="s">
        <v>325</v>
      </c>
      <c r="W34" s="800" t="str">
        <f>W18</f>
        <v>Nerkundram</v>
      </c>
      <c r="X34" s="800" t="e">
        <f>X18</f>
        <v>#REF!</v>
      </c>
      <c r="Y34" s="587">
        <f>Y29</f>
        <v>1470</v>
      </c>
      <c r="Z34" s="800" t="e">
        <f>Z29</f>
        <v>#REF!</v>
      </c>
      <c r="AA34" s="1098">
        <v>0</v>
      </c>
      <c r="AB34" s="795">
        <v>0</v>
      </c>
      <c r="AC34" s="793" t="e">
        <f t="shared" si="0"/>
        <v>#REF!</v>
      </c>
      <c r="AD34" s="793" t="s">
        <v>3156</v>
      </c>
      <c r="AE34" s="587">
        <v>267</v>
      </c>
      <c r="AF34" s="800"/>
      <c r="AG34" s="800"/>
      <c r="AI34" s="575">
        <v>240</v>
      </c>
      <c r="AJ34" s="794">
        <v>1.1000000000000001</v>
      </c>
      <c r="AK34" s="794">
        <f t="shared" si="1"/>
        <v>264</v>
      </c>
    </row>
    <row r="35" spans="1:37" hidden="1">
      <c r="A35" s="1103">
        <f t="shared" si="3"/>
        <v>26</v>
      </c>
      <c r="B35" s="793" t="s">
        <v>3157</v>
      </c>
      <c r="C35" s="587">
        <f>AC38</f>
        <v>169</v>
      </c>
      <c r="D35" s="575"/>
      <c r="E35" s="575"/>
      <c r="F35" s="800">
        <v>0.36</v>
      </c>
      <c r="G35" s="798" t="s">
        <v>124</v>
      </c>
      <c r="H35" s="793" t="s">
        <v>125</v>
      </c>
      <c r="I35" s="587">
        <f>C67</f>
        <v>3800</v>
      </c>
      <c r="J35" s="574" t="s">
        <v>124</v>
      </c>
      <c r="K35" s="587">
        <f>(F35*I35)</f>
        <v>1368</v>
      </c>
      <c r="T35" s="1098" t="s">
        <v>404</v>
      </c>
      <c r="U35" s="793" t="s">
        <v>3158</v>
      </c>
      <c r="V35" s="793" t="s">
        <v>281</v>
      </c>
      <c r="W35" s="793" t="str">
        <f>W11</f>
        <v>Pallavaram</v>
      </c>
      <c r="X35" s="800">
        <v>18</v>
      </c>
      <c r="Y35" s="1106">
        <v>278</v>
      </c>
      <c r="Z35" s="800" t="e">
        <f>Z11</f>
        <v>#REF!</v>
      </c>
      <c r="AA35" s="1098">
        <v>0</v>
      </c>
      <c r="AB35" s="795">
        <v>0</v>
      </c>
      <c r="AC35" s="793" t="e">
        <f t="shared" si="0"/>
        <v>#REF!</v>
      </c>
      <c r="AD35" s="793" t="s">
        <v>3159</v>
      </c>
      <c r="AE35" s="587">
        <v>240</v>
      </c>
      <c r="AF35" s="800"/>
      <c r="AG35" s="800"/>
      <c r="AI35" s="575">
        <v>37.299999999999997</v>
      </c>
      <c r="AJ35" s="794">
        <v>1.1000000000000001</v>
      </c>
      <c r="AK35" s="794">
        <f t="shared" si="1"/>
        <v>41.03</v>
      </c>
    </row>
    <row r="36" spans="1:37" hidden="1">
      <c r="B36" s="793" t="s">
        <v>3160</v>
      </c>
      <c r="C36" s="587">
        <v>2.6</v>
      </c>
      <c r="D36" s="575"/>
      <c r="E36" s="575"/>
      <c r="F36" s="800">
        <v>1</v>
      </c>
      <c r="G36" s="798" t="s">
        <v>126</v>
      </c>
      <c r="H36" s="793" t="s">
        <v>127</v>
      </c>
      <c r="I36" s="587" t="e">
        <f>C78</f>
        <v>#REF!</v>
      </c>
      <c r="J36" s="574" t="s">
        <v>126</v>
      </c>
      <c r="K36" s="587" t="e">
        <f>(F36*I36)</f>
        <v>#REF!</v>
      </c>
      <c r="T36" s="1098" t="s">
        <v>408</v>
      </c>
      <c r="U36" s="793" t="s">
        <v>409</v>
      </c>
      <c r="V36" s="793" t="s">
        <v>281</v>
      </c>
      <c r="W36" s="793" t="str">
        <f>W12</f>
        <v>Pallavaram</v>
      </c>
      <c r="X36" s="800">
        <v>18</v>
      </c>
      <c r="Y36" s="1106">
        <v>334.5</v>
      </c>
      <c r="Z36" s="800" t="e">
        <f>Z12</f>
        <v>#REF!</v>
      </c>
      <c r="AA36" s="1098">
        <v>0</v>
      </c>
      <c r="AB36" s="795">
        <v>0</v>
      </c>
      <c r="AC36" s="793" t="e">
        <f t="shared" si="0"/>
        <v>#REF!</v>
      </c>
      <c r="AD36" s="793" t="s">
        <v>3161</v>
      </c>
      <c r="AE36" s="685">
        <v>37.299999999999997</v>
      </c>
      <c r="AF36" s="802"/>
      <c r="AG36" s="802"/>
      <c r="AI36" s="575">
        <v>95.5</v>
      </c>
      <c r="AJ36" s="794">
        <v>1.1000000000000001</v>
      </c>
      <c r="AK36" s="794">
        <f t="shared" si="1"/>
        <v>105.05000000000001</v>
      </c>
    </row>
    <row r="37" spans="1:37" hidden="1">
      <c r="C37" s="575"/>
      <c r="D37" s="575"/>
      <c r="E37" s="575"/>
      <c r="F37" s="800">
        <v>1</v>
      </c>
      <c r="G37" s="798" t="s">
        <v>126</v>
      </c>
      <c r="H37" s="793" t="s">
        <v>128</v>
      </c>
      <c r="I37" s="587">
        <f>C18</f>
        <v>26</v>
      </c>
      <c r="J37" s="574" t="s">
        <v>126</v>
      </c>
      <c r="K37" s="587">
        <f>(F37*I37)</f>
        <v>26</v>
      </c>
      <c r="T37" s="1098" t="s">
        <v>412</v>
      </c>
      <c r="U37" s="793" t="s">
        <v>413</v>
      </c>
      <c r="V37" s="793" t="s">
        <v>281</v>
      </c>
      <c r="W37" s="793" t="str">
        <f>W13</f>
        <v>Pallavaram</v>
      </c>
      <c r="X37" s="800">
        <v>18</v>
      </c>
      <c r="Y37" s="1106">
        <v>278.5</v>
      </c>
      <c r="Z37" s="800" t="e">
        <f>Z13</f>
        <v>#REF!</v>
      </c>
      <c r="AA37" s="1098">
        <v>0</v>
      </c>
      <c r="AB37" s="795">
        <v>0</v>
      </c>
      <c r="AC37" s="793" t="e">
        <f t="shared" si="0"/>
        <v>#REF!</v>
      </c>
      <c r="AD37" s="793" t="s">
        <v>3162</v>
      </c>
      <c r="AE37" s="587">
        <v>120</v>
      </c>
      <c r="AF37" s="800"/>
      <c r="AG37" s="800"/>
    </row>
    <row r="38" spans="1:37" hidden="1">
      <c r="A38" s="1103">
        <f>(A35+1)</f>
        <v>27</v>
      </c>
      <c r="B38" s="793" t="s">
        <v>415</v>
      </c>
      <c r="C38" s="587">
        <v>40</v>
      </c>
      <c r="D38" s="573" t="s">
        <v>209</v>
      </c>
      <c r="E38" s="575"/>
      <c r="G38" s="798" t="s">
        <v>129</v>
      </c>
      <c r="H38" s="793" t="s">
        <v>130</v>
      </c>
      <c r="I38" s="573" t="s">
        <v>115</v>
      </c>
      <c r="J38" s="574" t="s">
        <v>129</v>
      </c>
      <c r="K38" s="587">
        <v>0</v>
      </c>
      <c r="T38" s="1098" t="s">
        <v>416</v>
      </c>
      <c r="U38" s="793" t="s">
        <v>403</v>
      </c>
      <c r="V38" s="793" t="s">
        <v>281</v>
      </c>
      <c r="W38" s="793" t="s">
        <v>3163</v>
      </c>
      <c r="X38" s="800">
        <v>20</v>
      </c>
      <c r="Y38" s="685">
        <v>83</v>
      </c>
      <c r="Z38" s="800">
        <v>86</v>
      </c>
      <c r="AA38" s="1098">
        <v>0</v>
      </c>
      <c r="AB38" s="795">
        <v>0</v>
      </c>
      <c r="AC38" s="793">
        <f t="shared" si="0"/>
        <v>169</v>
      </c>
      <c r="AD38" s="793" t="s">
        <v>115</v>
      </c>
      <c r="AE38" s="685"/>
      <c r="AG38" s="793" t="s">
        <v>849</v>
      </c>
    </row>
    <row r="39" spans="1:37" hidden="1">
      <c r="A39" s="1103">
        <f t="shared" ref="A39:A58" si="4">(A38+1)</f>
        <v>28</v>
      </c>
      <c r="B39" s="793" t="s">
        <v>419</v>
      </c>
      <c r="C39" s="587">
        <v>41</v>
      </c>
      <c r="D39" s="587">
        <v>500</v>
      </c>
      <c r="E39" s="575"/>
      <c r="I39" s="575"/>
      <c r="J39" s="580"/>
      <c r="K39" s="582" t="s">
        <v>117</v>
      </c>
      <c r="T39" s="1099"/>
      <c r="AA39" s="1099"/>
      <c r="AG39" s="793" t="s">
        <v>849</v>
      </c>
    </row>
    <row r="40" spans="1:37" hidden="1">
      <c r="A40" s="1103">
        <f t="shared" si="4"/>
        <v>29</v>
      </c>
      <c r="B40" s="793" t="s">
        <v>422</v>
      </c>
      <c r="C40" s="587">
        <v>28</v>
      </c>
      <c r="D40" s="587">
        <f>95+95*0.11</f>
        <v>105.45</v>
      </c>
      <c r="E40" s="575"/>
      <c r="H40" s="793" t="s">
        <v>131</v>
      </c>
      <c r="I40" s="575"/>
      <c r="J40" s="580"/>
      <c r="K40" s="587" t="e">
        <f>SUM(K35:K38)</f>
        <v>#REF!</v>
      </c>
      <c r="T40" s="796" t="s">
        <v>117</v>
      </c>
      <c r="U40" s="796" t="s">
        <v>117</v>
      </c>
      <c r="V40" s="796" t="s">
        <v>117</v>
      </c>
      <c r="W40" s="796" t="s">
        <v>117</v>
      </c>
      <c r="X40" s="796" t="s">
        <v>117</v>
      </c>
      <c r="Y40" s="796" t="s">
        <v>117</v>
      </c>
      <c r="Z40" s="796" t="s">
        <v>117</v>
      </c>
      <c r="AA40" s="796" t="s">
        <v>117</v>
      </c>
      <c r="AB40" s="796" t="s">
        <v>117</v>
      </c>
      <c r="AC40" s="796" t="s">
        <v>117</v>
      </c>
      <c r="AD40" s="796" t="s">
        <v>117</v>
      </c>
      <c r="AE40" s="796" t="s">
        <v>117</v>
      </c>
      <c r="AF40" s="796"/>
      <c r="AG40" s="793" t="s">
        <v>849</v>
      </c>
    </row>
    <row r="41" spans="1:37" ht="47.25" hidden="1" customHeight="1">
      <c r="A41" s="1103">
        <f t="shared" si="4"/>
        <v>30</v>
      </c>
      <c r="B41" s="793" t="s">
        <v>423</v>
      </c>
      <c r="C41" s="587">
        <f>AE22</f>
        <v>110</v>
      </c>
      <c r="D41" s="573" t="s">
        <v>1</v>
      </c>
      <c r="E41" s="575"/>
      <c r="I41" s="575"/>
      <c r="J41" s="580"/>
      <c r="K41" s="582" t="s">
        <v>117</v>
      </c>
      <c r="U41" s="1107"/>
      <c r="Y41" s="793" t="s">
        <v>115</v>
      </c>
      <c r="AG41" s="793" t="s">
        <v>849</v>
      </c>
    </row>
    <row r="42" spans="1:37" hidden="1">
      <c r="A42" s="1103">
        <f t="shared" si="4"/>
        <v>31</v>
      </c>
      <c r="B42" s="793" t="s">
        <v>425</v>
      </c>
      <c r="C42" s="587">
        <v>1.75</v>
      </c>
      <c r="D42" s="573" t="s">
        <v>203</v>
      </c>
      <c r="E42" s="575"/>
      <c r="G42" s="798" t="s">
        <v>122</v>
      </c>
      <c r="H42" s="793" t="s">
        <v>135</v>
      </c>
      <c r="I42" s="575"/>
      <c r="J42" s="580"/>
      <c r="K42" s="575"/>
      <c r="U42" s="794" t="s">
        <v>442</v>
      </c>
      <c r="AG42" s="793" t="s">
        <v>849</v>
      </c>
    </row>
    <row r="43" spans="1:37" hidden="1">
      <c r="A43" s="1103">
        <f t="shared" si="4"/>
        <v>32</v>
      </c>
      <c r="B43" s="793" t="s">
        <v>3164</v>
      </c>
      <c r="C43" s="587">
        <v>2.2000000000000002</v>
      </c>
      <c r="D43" s="573" t="s">
        <v>1</v>
      </c>
      <c r="E43" s="575"/>
      <c r="H43" s="796" t="s">
        <v>117</v>
      </c>
      <c r="I43" s="575"/>
      <c r="J43" s="580"/>
      <c r="K43" s="575"/>
      <c r="AG43" s="793" t="s">
        <v>849</v>
      </c>
    </row>
    <row r="44" spans="1:37" hidden="1">
      <c r="A44" s="1103">
        <f t="shared" si="4"/>
        <v>33</v>
      </c>
      <c r="B44" s="793" t="s">
        <v>430</v>
      </c>
      <c r="C44" s="587">
        <v>2.2000000000000002</v>
      </c>
      <c r="D44" s="573" t="s">
        <v>1</v>
      </c>
      <c r="E44" s="575"/>
      <c r="F44" s="1108">
        <v>0.28799999999999998</v>
      </c>
      <c r="G44" s="798" t="s">
        <v>124</v>
      </c>
      <c r="H44" s="793" t="s">
        <v>125</v>
      </c>
      <c r="I44" s="587">
        <f>(C67)</f>
        <v>3800</v>
      </c>
      <c r="J44" s="574" t="s">
        <v>124</v>
      </c>
      <c r="K44" s="587">
        <f>(F44*I44)</f>
        <v>1094.3999999999999</v>
      </c>
      <c r="AG44" s="793" t="s">
        <v>849</v>
      </c>
    </row>
    <row r="45" spans="1:37" hidden="1">
      <c r="A45" s="1103">
        <f t="shared" si="4"/>
        <v>34</v>
      </c>
      <c r="B45" s="793" t="s">
        <v>432</v>
      </c>
      <c r="C45" s="587">
        <v>2.7</v>
      </c>
      <c r="D45" s="573" t="s">
        <v>1</v>
      </c>
      <c r="E45" s="575"/>
      <c r="F45" s="800">
        <v>1</v>
      </c>
      <c r="G45" s="798" t="s">
        <v>126</v>
      </c>
      <c r="H45" s="793" t="s">
        <v>127</v>
      </c>
      <c r="I45" s="587" t="e">
        <f>(C78)</f>
        <v>#REF!</v>
      </c>
      <c r="J45" s="574" t="s">
        <v>126</v>
      </c>
      <c r="K45" s="587" t="e">
        <f>(F45*I45)</f>
        <v>#REF!</v>
      </c>
      <c r="AG45" s="793" t="s">
        <v>849</v>
      </c>
    </row>
    <row r="46" spans="1:37" hidden="1">
      <c r="A46" s="1103">
        <f t="shared" si="4"/>
        <v>35</v>
      </c>
      <c r="B46" s="793" t="s">
        <v>434</v>
      </c>
      <c r="C46" s="587">
        <v>3.2</v>
      </c>
      <c r="D46" s="573" t="s">
        <v>1</v>
      </c>
      <c r="E46" s="575"/>
      <c r="F46" s="800">
        <v>1</v>
      </c>
      <c r="G46" s="798" t="s">
        <v>126</v>
      </c>
      <c r="H46" s="793" t="s">
        <v>128</v>
      </c>
      <c r="I46" s="587">
        <f>(C18)</f>
        <v>26</v>
      </c>
      <c r="J46" s="574" t="s">
        <v>126</v>
      </c>
      <c r="K46" s="587">
        <f>(F46*I46)</f>
        <v>26</v>
      </c>
      <c r="W46" s="793" t="s">
        <v>3165</v>
      </c>
      <c r="AA46" s="793" t="s">
        <v>444</v>
      </c>
      <c r="AE46" s="794" t="s">
        <v>3166</v>
      </c>
      <c r="AG46" s="793" t="s">
        <v>849</v>
      </c>
    </row>
    <row r="47" spans="1:37" hidden="1">
      <c r="A47" s="1103">
        <f t="shared" si="4"/>
        <v>36</v>
      </c>
      <c r="B47" s="793" t="s">
        <v>436</v>
      </c>
      <c r="C47" s="587">
        <v>4.2</v>
      </c>
      <c r="D47" s="573" t="s">
        <v>1</v>
      </c>
      <c r="E47" s="575"/>
      <c r="G47" s="798" t="s">
        <v>129</v>
      </c>
      <c r="H47" s="793" t="s">
        <v>130</v>
      </c>
      <c r="I47" s="573" t="s">
        <v>115</v>
      </c>
      <c r="J47" s="574" t="s">
        <v>129</v>
      </c>
      <c r="K47" s="587">
        <v>0</v>
      </c>
      <c r="N47" s="793" t="s">
        <v>122</v>
      </c>
      <c r="O47" s="793" t="s">
        <v>437</v>
      </c>
      <c r="AG47" s="793" t="s">
        <v>849</v>
      </c>
    </row>
    <row r="48" spans="1:37" hidden="1">
      <c r="A48" s="1103">
        <f t="shared" si="4"/>
        <v>37</v>
      </c>
      <c r="B48" s="793" t="s">
        <v>439</v>
      </c>
      <c r="C48" s="587">
        <v>5.35</v>
      </c>
      <c r="D48" s="587">
        <v>10.65</v>
      </c>
      <c r="E48" s="575"/>
      <c r="I48" s="575"/>
      <c r="J48" s="580"/>
      <c r="K48" s="582" t="s">
        <v>117</v>
      </c>
      <c r="O48" s="793" t="s">
        <v>440</v>
      </c>
      <c r="AG48" s="793" t="s">
        <v>849</v>
      </c>
    </row>
    <row r="49" spans="1:33" hidden="1">
      <c r="A49" s="1103">
        <f t="shared" si="4"/>
        <v>38</v>
      </c>
      <c r="B49" s="793" t="s">
        <v>441</v>
      </c>
      <c r="C49" s="587">
        <v>5.85</v>
      </c>
      <c r="D49" s="587">
        <v>7.45</v>
      </c>
      <c r="E49" s="575"/>
      <c r="H49" s="793" t="s">
        <v>131</v>
      </c>
      <c r="I49" s="575"/>
      <c r="J49" s="580"/>
      <c r="K49" s="587" t="e">
        <f>SUM(K44:K47)</f>
        <v>#REF!</v>
      </c>
      <c r="O49" s="796" t="s">
        <v>117</v>
      </c>
      <c r="AG49" s="793" t="s">
        <v>849</v>
      </c>
    </row>
    <row r="50" spans="1:33" hidden="1">
      <c r="A50" s="1103">
        <f t="shared" si="4"/>
        <v>39</v>
      </c>
      <c r="B50" s="793" t="s">
        <v>3167</v>
      </c>
      <c r="C50" s="587">
        <v>3.2</v>
      </c>
      <c r="D50" s="573" t="s">
        <v>1</v>
      </c>
      <c r="E50" s="575"/>
      <c r="I50" s="575"/>
      <c r="J50" s="580"/>
      <c r="K50" s="582" t="s">
        <v>117</v>
      </c>
      <c r="M50" s="800">
        <v>9</v>
      </c>
      <c r="N50" s="793" t="s">
        <v>126</v>
      </c>
      <c r="O50" s="793" t="s">
        <v>440</v>
      </c>
      <c r="P50" s="800" t="e">
        <f>(C81)</f>
        <v>#REF!</v>
      </c>
      <c r="Q50" s="793" t="s">
        <v>126</v>
      </c>
      <c r="R50" s="800" t="e">
        <f>(M50*P50)</f>
        <v>#REF!</v>
      </c>
      <c r="AG50" s="793" t="s">
        <v>849</v>
      </c>
    </row>
    <row r="51" spans="1:33" hidden="1">
      <c r="A51" s="1103">
        <f t="shared" si="4"/>
        <v>40</v>
      </c>
      <c r="B51" s="793" t="s">
        <v>445</v>
      </c>
      <c r="C51" s="587">
        <v>3.2</v>
      </c>
      <c r="D51" s="573" t="s">
        <v>1</v>
      </c>
      <c r="E51" s="575"/>
      <c r="G51" s="798" t="s">
        <v>122</v>
      </c>
      <c r="H51" s="793" t="s">
        <v>136</v>
      </c>
      <c r="I51" s="575"/>
      <c r="J51" s="580"/>
      <c r="K51" s="575"/>
      <c r="M51" s="800">
        <v>4.5</v>
      </c>
      <c r="N51" s="793" t="s">
        <v>126</v>
      </c>
      <c r="O51" s="793" t="s">
        <v>138</v>
      </c>
      <c r="P51" s="800" t="e">
        <f>(K77)</f>
        <v>#REF!</v>
      </c>
      <c r="Q51" s="793" t="s">
        <v>126</v>
      </c>
      <c r="R51" s="800" t="e">
        <f>(M51*P51)</f>
        <v>#REF!</v>
      </c>
      <c r="AG51" s="793" t="s">
        <v>849</v>
      </c>
    </row>
    <row r="52" spans="1:33" hidden="1">
      <c r="A52" s="1103">
        <f t="shared" si="4"/>
        <v>41</v>
      </c>
      <c r="B52" s="793" t="s">
        <v>446</v>
      </c>
      <c r="C52" s="587">
        <v>6.4</v>
      </c>
      <c r="D52" s="573" t="s">
        <v>1</v>
      </c>
      <c r="E52" s="575"/>
      <c r="H52" s="796" t="s">
        <v>117</v>
      </c>
      <c r="I52" s="575"/>
      <c r="J52" s="580"/>
      <c r="K52" s="575"/>
      <c r="M52" s="800">
        <v>1.8</v>
      </c>
      <c r="N52" s="793" t="s">
        <v>209</v>
      </c>
      <c r="O52" s="793" t="s">
        <v>145</v>
      </c>
      <c r="P52" s="800">
        <f>(C11)</f>
        <v>135</v>
      </c>
      <c r="Q52" s="793" t="s">
        <v>209</v>
      </c>
      <c r="R52" s="800">
        <f>(M52*P52)</f>
        <v>243</v>
      </c>
      <c r="AG52" s="793" t="s">
        <v>849</v>
      </c>
    </row>
    <row r="53" spans="1:33" hidden="1">
      <c r="A53" s="1103">
        <f t="shared" si="4"/>
        <v>42</v>
      </c>
      <c r="B53" s="793" t="s">
        <v>447</v>
      </c>
      <c r="C53" s="587">
        <v>8.5500000000000007</v>
      </c>
      <c r="D53" s="587">
        <v>21.3</v>
      </c>
      <c r="E53" s="575"/>
      <c r="F53" s="800">
        <v>0.24</v>
      </c>
      <c r="G53" s="798" t="s">
        <v>124</v>
      </c>
      <c r="H53" s="793" t="s">
        <v>125</v>
      </c>
      <c r="I53" s="587">
        <f>(C67)</f>
        <v>3800</v>
      </c>
      <c r="J53" s="574" t="s">
        <v>124</v>
      </c>
      <c r="K53" s="587">
        <f>(F53*I53)</f>
        <v>912</v>
      </c>
      <c r="M53" s="800">
        <v>17.7</v>
      </c>
      <c r="N53" s="793" t="s">
        <v>209</v>
      </c>
      <c r="O53" s="793" t="s">
        <v>146</v>
      </c>
      <c r="P53" s="800">
        <f>(C12)</f>
        <v>95</v>
      </c>
      <c r="Q53" s="793" t="s">
        <v>209</v>
      </c>
      <c r="R53" s="800">
        <f>(M53*P53)</f>
        <v>1681.5</v>
      </c>
      <c r="AG53" s="793" t="s">
        <v>849</v>
      </c>
    </row>
    <row r="54" spans="1:33" hidden="1">
      <c r="A54" s="1103">
        <f t="shared" si="4"/>
        <v>43</v>
      </c>
      <c r="B54" s="793" t="s">
        <v>451</v>
      </c>
      <c r="C54" s="587">
        <v>9.5500000000000007</v>
      </c>
      <c r="D54" s="587">
        <v>16</v>
      </c>
      <c r="E54" s="575"/>
      <c r="F54" s="800">
        <v>1</v>
      </c>
      <c r="G54" s="798" t="s">
        <v>126</v>
      </c>
      <c r="H54" s="793" t="s">
        <v>127</v>
      </c>
      <c r="I54" s="587" t="e">
        <f>(C78)</f>
        <v>#REF!</v>
      </c>
      <c r="J54" s="574" t="s">
        <v>126</v>
      </c>
      <c r="K54" s="587" t="e">
        <f>(F54*I54)</f>
        <v>#REF!</v>
      </c>
      <c r="M54" s="800">
        <v>14.1</v>
      </c>
      <c r="N54" s="793" t="s">
        <v>209</v>
      </c>
      <c r="O54" s="793" t="s">
        <v>147</v>
      </c>
      <c r="P54" s="800">
        <f>(C13)</f>
        <v>85</v>
      </c>
      <c r="Q54" s="793" t="s">
        <v>209</v>
      </c>
      <c r="R54" s="800">
        <f>(M54*P54)</f>
        <v>1198.5</v>
      </c>
      <c r="AG54" s="793" t="s">
        <v>636</v>
      </c>
    </row>
    <row r="55" spans="1:33" hidden="1">
      <c r="A55" s="1103">
        <f t="shared" si="4"/>
        <v>44</v>
      </c>
      <c r="B55" s="793" t="s">
        <v>452</v>
      </c>
      <c r="C55" s="587">
        <v>10.65</v>
      </c>
      <c r="D55" s="587">
        <v>12.75</v>
      </c>
      <c r="E55" s="575"/>
      <c r="F55" s="800">
        <v>1</v>
      </c>
      <c r="G55" s="798" t="s">
        <v>126</v>
      </c>
      <c r="H55" s="793" t="s">
        <v>128</v>
      </c>
      <c r="I55" s="587">
        <f>(C18)</f>
        <v>26</v>
      </c>
      <c r="J55" s="574" t="s">
        <v>126</v>
      </c>
      <c r="K55" s="587">
        <f>(F55*I55)</f>
        <v>26</v>
      </c>
      <c r="N55" s="793" t="s">
        <v>129</v>
      </c>
      <c r="O55" s="793" t="s">
        <v>130</v>
      </c>
      <c r="Q55" s="793" t="s">
        <v>129</v>
      </c>
      <c r="R55" s="800">
        <v>0</v>
      </c>
    </row>
    <row r="56" spans="1:33" hidden="1">
      <c r="A56" s="1103">
        <f t="shared" si="4"/>
        <v>45</v>
      </c>
      <c r="B56" s="793" t="s">
        <v>453</v>
      </c>
      <c r="C56" s="587">
        <v>12.1</v>
      </c>
      <c r="D56" s="573" t="s">
        <v>129</v>
      </c>
      <c r="E56" s="575"/>
      <c r="G56" s="798" t="s">
        <v>129</v>
      </c>
      <c r="H56" s="793" t="s">
        <v>130</v>
      </c>
      <c r="I56" s="573" t="s">
        <v>115</v>
      </c>
      <c r="J56" s="574" t="s">
        <v>129</v>
      </c>
      <c r="K56" s="587">
        <v>0</v>
      </c>
      <c r="R56" s="796" t="s">
        <v>117</v>
      </c>
    </row>
    <row r="57" spans="1:33" hidden="1">
      <c r="A57" s="1103">
        <f t="shared" si="4"/>
        <v>46</v>
      </c>
      <c r="B57" s="793" t="s">
        <v>454</v>
      </c>
      <c r="C57" s="587">
        <v>35</v>
      </c>
      <c r="D57" s="573" t="s">
        <v>129</v>
      </c>
      <c r="E57" s="575"/>
      <c r="I57" s="575"/>
      <c r="J57" s="580"/>
      <c r="K57" s="582" t="s">
        <v>117</v>
      </c>
      <c r="O57" s="793" t="s">
        <v>455</v>
      </c>
      <c r="R57" s="800" t="e">
        <f>SUM(R50:R55)</f>
        <v>#REF!</v>
      </c>
      <c r="AG57" s="793" t="s">
        <v>849</v>
      </c>
    </row>
    <row r="58" spans="1:33" hidden="1">
      <c r="A58" s="1103">
        <f t="shared" si="4"/>
        <v>47</v>
      </c>
      <c r="B58" s="793" t="s">
        <v>456</v>
      </c>
      <c r="C58" s="587">
        <v>15</v>
      </c>
      <c r="D58" s="573" t="s">
        <v>129</v>
      </c>
      <c r="E58" s="575"/>
      <c r="H58" s="793" t="s">
        <v>131</v>
      </c>
      <c r="I58" s="575"/>
      <c r="J58" s="580"/>
      <c r="K58" s="587" t="e">
        <f>SUM(K53:K56)</f>
        <v>#REF!</v>
      </c>
      <c r="R58" s="796" t="s">
        <v>117</v>
      </c>
      <c r="AG58" s="793" t="s">
        <v>849</v>
      </c>
    </row>
    <row r="59" spans="1:33" hidden="1">
      <c r="C59" s="575"/>
      <c r="D59" s="575"/>
      <c r="E59" s="575"/>
      <c r="F59" s="793" t="s">
        <v>115</v>
      </c>
      <c r="I59" s="575"/>
      <c r="J59" s="580"/>
      <c r="K59" s="575"/>
    </row>
    <row r="60" spans="1:33" hidden="1">
      <c r="A60" s="1103">
        <f>(A58+1)</f>
        <v>48</v>
      </c>
      <c r="B60" s="793" t="s">
        <v>3168</v>
      </c>
      <c r="C60" s="587">
        <v>6.55</v>
      </c>
      <c r="D60" s="573" t="s">
        <v>459</v>
      </c>
      <c r="E60" s="575"/>
      <c r="I60" s="575"/>
      <c r="J60" s="580"/>
      <c r="K60" s="582" t="s">
        <v>117</v>
      </c>
      <c r="O60" s="793" t="s">
        <v>383</v>
      </c>
      <c r="R60" s="800" t="e">
        <f>(R57/10)</f>
        <v>#REF!</v>
      </c>
      <c r="AG60" s="793" t="s">
        <v>849</v>
      </c>
    </row>
    <row r="61" spans="1:33" hidden="1">
      <c r="A61" s="1103">
        <f t="shared" ref="A61:A91" si="5">(A60+1)</f>
        <v>49</v>
      </c>
      <c r="B61" s="793" t="s">
        <v>3169</v>
      </c>
      <c r="C61" s="587">
        <f>AE29</f>
        <v>25</v>
      </c>
      <c r="D61" s="587">
        <f>AE36</f>
        <v>37.299999999999997</v>
      </c>
      <c r="E61" s="575"/>
      <c r="G61" s="798" t="s">
        <v>122</v>
      </c>
      <c r="H61" s="793" t="s">
        <v>137</v>
      </c>
      <c r="I61" s="575"/>
      <c r="J61" s="580"/>
      <c r="K61" s="575"/>
      <c r="R61" s="796" t="s">
        <v>155</v>
      </c>
      <c r="AG61" s="793" t="s">
        <v>849</v>
      </c>
    </row>
    <row r="62" spans="1:33" hidden="1">
      <c r="A62" s="1103">
        <f t="shared" si="5"/>
        <v>50</v>
      </c>
      <c r="B62" s="793" t="s">
        <v>3170</v>
      </c>
      <c r="C62" s="587">
        <v>85.5</v>
      </c>
      <c r="D62" s="573" t="s">
        <v>209</v>
      </c>
      <c r="E62" s="575"/>
      <c r="H62" s="796" t="s">
        <v>117</v>
      </c>
      <c r="I62" s="575"/>
      <c r="J62" s="580"/>
      <c r="K62" s="575"/>
      <c r="N62" s="793" t="s">
        <v>122</v>
      </c>
      <c r="O62" s="793" t="s">
        <v>464</v>
      </c>
      <c r="AG62" s="793" t="s">
        <v>849</v>
      </c>
    </row>
    <row r="63" spans="1:33" hidden="1">
      <c r="A63" s="1103">
        <f t="shared" si="5"/>
        <v>51</v>
      </c>
      <c r="B63" s="793" t="s">
        <v>465</v>
      </c>
      <c r="C63" s="587">
        <v>42</v>
      </c>
      <c r="D63" s="573" t="s">
        <v>129</v>
      </c>
      <c r="E63" s="575"/>
      <c r="F63" s="1108">
        <v>0.20599999999999999</v>
      </c>
      <c r="G63" s="798" t="s">
        <v>124</v>
      </c>
      <c r="H63" s="793" t="s">
        <v>125</v>
      </c>
      <c r="I63" s="587">
        <f>(C67)</f>
        <v>3800</v>
      </c>
      <c r="J63" s="574" t="s">
        <v>124</v>
      </c>
      <c r="K63" s="587">
        <f>(F63*I63)</f>
        <v>782.8</v>
      </c>
      <c r="O63" s="793" t="s">
        <v>466</v>
      </c>
      <c r="AG63" s="793" t="s">
        <v>849</v>
      </c>
    </row>
    <row r="64" spans="1:33" hidden="1">
      <c r="A64" s="1103">
        <f t="shared" si="5"/>
        <v>52</v>
      </c>
      <c r="B64" s="793" t="s">
        <v>3171</v>
      </c>
      <c r="C64" s="587">
        <v>62.5</v>
      </c>
      <c r="D64" s="573" t="s">
        <v>126</v>
      </c>
      <c r="E64" s="575"/>
      <c r="F64" s="800">
        <v>1</v>
      </c>
      <c r="G64" s="798" t="s">
        <v>126</v>
      </c>
      <c r="H64" s="793" t="s">
        <v>127</v>
      </c>
      <c r="I64" s="587" t="e">
        <f>(C78)</f>
        <v>#REF!</v>
      </c>
      <c r="J64" s="574" t="s">
        <v>126</v>
      </c>
      <c r="K64" s="587" t="e">
        <f>(F64*I64)</f>
        <v>#REF!</v>
      </c>
      <c r="O64" s="796" t="s">
        <v>117</v>
      </c>
      <c r="AG64" s="793" t="s">
        <v>849</v>
      </c>
    </row>
    <row r="65" spans="1:33" hidden="1">
      <c r="A65" s="1103">
        <f t="shared" si="5"/>
        <v>53</v>
      </c>
      <c r="B65" s="793" t="s">
        <v>3172</v>
      </c>
      <c r="C65" s="587">
        <v>303</v>
      </c>
      <c r="D65" s="573" t="s">
        <v>471</v>
      </c>
      <c r="E65" s="575"/>
      <c r="F65" s="800">
        <v>1</v>
      </c>
      <c r="G65" s="798" t="s">
        <v>126</v>
      </c>
      <c r="H65" s="793" t="s">
        <v>128</v>
      </c>
      <c r="I65" s="587">
        <f>(C18)</f>
        <v>26</v>
      </c>
      <c r="J65" s="574" t="s">
        <v>126</v>
      </c>
      <c r="K65" s="587">
        <f>(F65*I65)</f>
        <v>26</v>
      </c>
      <c r="M65" s="800">
        <v>9</v>
      </c>
      <c r="N65" s="793" t="s">
        <v>126</v>
      </c>
      <c r="O65" s="793" t="s">
        <v>466</v>
      </c>
      <c r="P65" s="800" t="e">
        <f>(C73)</f>
        <v>#REF!</v>
      </c>
      <c r="Q65" s="793" t="s">
        <v>126</v>
      </c>
      <c r="R65" s="800" t="e">
        <f>(M65*P65)</f>
        <v>#REF!</v>
      </c>
      <c r="AG65" s="793" t="s">
        <v>849</v>
      </c>
    </row>
    <row r="66" spans="1:33" hidden="1">
      <c r="A66" s="1103">
        <f t="shared" si="5"/>
        <v>54</v>
      </c>
      <c r="B66" s="793" t="s">
        <v>472</v>
      </c>
      <c r="C66" s="587">
        <f>AE18</f>
        <v>120</v>
      </c>
      <c r="D66" s="573" t="s">
        <v>209</v>
      </c>
      <c r="E66" s="575"/>
      <c r="G66" s="798" t="s">
        <v>129</v>
      </c>
      <c r="H66" s="793" t="s">
        <v>130</v>
      </c>
      <c r="I66" s="573" t="s">
        <v>115</v>
      </c>
      <c r="J66" s="574" t="s">
        <v>129</v>
      </c>
      <c r="K66" s="587">
        <v>0</v>
      </c>
      <c r="M66" s="800">
        <v>4.5</v>
      </c>
      <c r="N66" s="793" t="s">
        <v>126</v>
      </c>
      <c r="O66" s="793" t="s">
        <v>132</v>
      </c>
      <c r="P66" s="800" t="e">
        <f>(K23)</f>
        <v>#REF!</v>
      </c>
      <c r="Q66" s="793" t="s">
        <v>126</v>
      </c>
      <c r="R66" s="800" t="e">
        <f>(M66*P66)</f>
        <v>#REF!</v>
      </c>
      <c r="AG66" s="793" t="s">
        <v>849</v>
      </c>
    </row>
    <row r="67" spans="1:33" hidden="1">
      <c r="A67" s="1103">
        <f t="shared" si="5"/>
        <v>55</v>
      </c>
      <c r="B67" s="793" t="s">
        <v>125</v>
      </c>
      <c r="C67" s="587">
        <f>AC31</f>
        <v>3800</v>
      </c>
      <c r="D67" s="573" t="s">
        <v>124</v>
      </c>
      <c r="E67" s="575"/>
      <c r="I67" s="575"/>
      <c r="J67" s="580"/>
      <c r="K67" s="582" t="s">
        <v>117</v>
      </c>
      <c r="M67" s="800">
        <v>1.8</v>
      </c>
      <c r="N67" s="793" t="s">
        <v>209</v>
      </c>
      <c r="O67" s="793" t="s">
        <v>145</v>
      </c>
      <c r="P67" s="800">
        <f>(C11)</f>
        <v>135</v>
      </c>
      <c r="Q67" s="793" t="s">
        <v>209</v>
      </c>
      <c r="R67" s="800">
        <f>(M67*P67)</f>
        <v>243</v>
      </c>
      <c r="AG67" s="793" t="s">
        <v>849</v>
      </c>
    </row>
    <row r="68" spans="1:33" hidden="1">
      <c r="A68" s="1103">
        <f t="shared" si="5"/>
        <v>56</v>
      </c>
      <c r="B68" s="793" t="s">
        <v>473</v>
      </c>
      <c r="C68" s="587" t="e">
        <f t="shared" ref="C68:C74" si="6">AC9</f>
        <v>#REF!</v>
      </c>
      <c r="D68" s="573" t="s">
        <v>126</v>
      </c>
      <c r="E68" s="575"/>
      <c r="H68" s="793" t="s">
        <v>131</v>
      </c>
      <c r="I68" s="575"/>
      <c r="J68" s="580"/>
      <c r="K68" s="587" t="e">
        <f>SUM(K63:K66)</f>
        <v>#REF!</v>
      </c>
      <c r="M68" s="800">
        <v>17.7</v>
      </c>
      <c r="N68" s="793" t="s">
        <v>209</v>
      </c>
      <c r="O68" s="793" t="s">
        <v>146</v>
      </c>
      <c r="P68" s="800">
        <f>(C12)</f>
        <v>95</v>
      </c>
      <c r="Q68" s="793" t="s">
        <v>209</v>
      </c>
      <c r="R68" s="800">
        <f>(M68*P68)</f>
        <v>1681.5</v>
      </c>
      <c r="AG68" s="793" t="s">
        <v>849</v>
      </c>
    </row>
    <row r="69" spans="1:33" hidden="1">
      <c r="A69" s="1103">
        <f t="shared" si="5"/>
        <v>57</v>
      </c>
      <c r="B69" s="793" t="s">
        <v>474</v>
      </c>
      <c r="C69" s="587" t="e">
        <f t="shared" si="6"/>
        <v>#REF!</v>
      </c>
      <c r="D69" s="573" t="s">
        <v>126</v>
      </c>
      <c r="E69" s="575"/>
      <c r="I69" s="575"/>
      <c r="J69" s="580"/>
      <c r="K69" s="582" t="s">
        <v>117</v>
      </c>
      <c r="M69" s="800">
        <v>14.1</v>
      </c>
      <c r="N69" s="793" t="s">
        <v>209</v>
      </c>
      <c r="O69" s="793" t="s">
        <v>147</v>
      </c>
      <c r="P69" s="800">
        <f>(C13)</f>
        <v>85</v>
      </c>
      <c r="Q69" s="793" t="s">
        <v>209</v>
      </c>
      <c r="R69" s="800">
        <f>(M69*P69)</f>
        <v>1198.5</v>
      </c>
      <c r="AG69" s="793" t="s">
        <v>849</v>
      </c>
    </row>
    <row r="70" spans="1:33" hidden="1">
      <c r="A70" s="1103">
        <f t="shared" si="5"/>
        <v>58</v>
      </c>
      <c r="B70" s="793" t="s">
        <v>475</v>
      </c>
      <c r="C70" s="587" t="e">
        <f t="shared" si="6"/>
        <v>#REF!</v>
      </c>
      <c r="D70" s="573" t="s">
        <v>126</v>
      </c>
      <c r="E70" s="575"/>
      <c r="G70" s="798" t="s">
        <v>122</v>
      </c>
      <c r="H70" s="793" t="s">
        <v>138</v>
      </c>
      <c r="I70" s="575"/>
      <c r="J70" s="580"/>
      <c r="K70" s="575"/>
      <c r="N70" s="793" t="s">
        <v>129</v>
      </c>
      <c r="O70" s="793" t="s">
        <v>130</v>
      </c>
      <c r="Q70" s="793" t="s">
        <v>129</v>
      </c>
      <c r="R70" s="800">
        <v>0</v>
      </c>
      <c r="AG70" s="793" t="s">
        <v>849</v>
      </c>
    </row>
    <row r="71" spans="1:33" hidden="1">
      <c r="A71" s="1103">
        <f t="shared" si="5"/>
        <v>59</v>
      </c>
      <c r="B71" s="793" t="s">
        <v>476</v>
      </c>
      <c r="C71" s="587" t="e">
        <f t="shared" si="6"/>
        <v>#REF!</v>
      </c>
      <c r="D71" s="573" t="s">
        <v>126</v>
      </c>
      <c r="E71" s="575"/>
      <c r="H71" s="796" t="s">
        <v>117</v>
      </c>
      <c r="I71" s="575"/>
      <c r="J71" s="580"/>
      <c r="K71" s="575"/>
      <c r="R71" s="796" t="s">
        <v>117</v>
      </c>
      <c r="AG71" s="793" t="s">
        <v>849</v>
      </c>
    </row>
    <row r="72" spans="1:33" hidden="1">
      <c r="A72" s="1103">
        <f t="shared" si="5"/>
        <v>60</v>
      </c>
      <c r="B72" s="793" t="s">
        <v>478</v>
      </c>
      <c r="C72" s="587" t="e">
        <f t="shared" si="6"/>
        <v>#REF!</v>
      </c>
      <c r="D72" s="573" t="s">
        <v>126</v>
      </c>
      <c r="E72" s="575"/>
      <c r="F72" s="800">
        <v>0.18</v>
      </c>
      <c r="G72" s="798" t="s">
        <v>124</v>
      </c>
      <c r="H72" s="793" t="s">
        <v>125</v>
      </c>
      <c r="I72" s="587">
        <f>(C67)</f>
        <v>3800</v>
      </c>
      <c r="J72" s="574" t="s">
        <v>124</v>
      </c>
      <c r="K72" s="587">
        <f>(F72*I72)</f>
        <v>684</v>
      </c>
      <c r="O72" s="793" t="s">
        <v>455</v>
      </c>
      <c r="R72" s="800" t="e">
        <f>SUM(R65:R70)</f>
        <v>#REF!</v>
      </c>
      <c r="AG72" s="793" t="s">
        <v>849</v>
      </c>
    </row>
    <row r="73" spans="1:33" hidden="1">
      <c r="A73" s="1103">
        <f t="shared" si="5"/>
        <v>61</v>
      </c>
      <c r="B73" s="793" t="s">
        <v>479</v>
      </c>
      <c r="C73" s="587" t="e">
        <f t="shared" si="6"/>
        <v>#REF!</v>
      </c>
      <c r="D73" s="573" t="s">
        <v>126</v>
      </c>
      <c r="E73" s="575"/>
      <c r="F73" s="800">
        <v>1</v>
      </c>
      <c r="G73" s="798" t="s">
        <v>126</v>
      </c>
      <c r="H73" s="793" t="s">
        <v>127</v>
      </c>
      <c r="I73" s="587" t="e">
        <f>(C78)</f>
        <v>#REF!</v>
      </c>
      <c r="J73" s="574" t="s">
        <v>126</v>
      </c>
      <c r="K73" s="587" t="e">
        <f>(F73*I73)</f>
        <v>#REF!</v>
      </c>
      <c r="R73" s="796" t="s">
        <v>117</v>
      </c>
      <c r="AG73" s="793" t="s">
        <v>849</v>
      </c>
    </row>
    <row r="74" spans="1:33" hidden="1">
      <c r="A74" s="1103">
        <f t="shared" si="5"/>
        <v>62</v>
      </c>
      <c r="B74" s="793" t="s">
        <v>480</v>
      </c>
      <c r="C74" s="587" t="e">
        <f t="shared" si="6"/>
        <v>#REF!</v>
      </c>
      <c r="D74" s="573" t="s">
        <v>126</v>
      </c>
      <c r="E74" s="575"/>
      <c r="F74" s="800">
        <v>1</v>
      </c>
      <c r="G74" s="798" t="s">
        <v>126</v>
      </c>
      <c r="H74" s="793" t="s">
        <v>128</v>
      </c>
      <c r="I74" s="587">
        <f>(C18)</f>
        <v>26</v>
      </c>
      <c r="J74" s="574" t="s">
        <v>126</v>
      </c>
      <c r="K74" s="587">
        <f>(F74*I74)</f>
        <v>26</v>
      </c>
      <c r="O74" s="793" t="s">
        <v>383</v>
      </c>
      <c r="R74" s="800" t="e">
        <f>(R72/10)</f>
        <v>#REF!</v>
      </c>
      <c r="AG74" s="793" t="s">
        <v>849</v>
      </c>
    </row>
    <row r="75" spans="1:33" hidden="1">
      <c r="A75" s="1103">
        <f t="shared" si="5"/>
        <v>63</v>
      </c>
      <c r="B75" s="793" t="s">
        <v>481</v>
      </c>
      <c r="C75" s="587">
        <v>20</v>
      </c>
      <c r="D75" s="573" t="s">
        <v>122</v>
      </c>
      <c r="E75" s="575"/>
      <c r="G75" s="798" t="s">
        <v>129</v>
      </c>
      <c r="H75" s="793" t="s">
        <v>130</v>
      </c>
      <c r="I75" s="573" t="s">
        <v>115</v>
      </c>
      <c r="J75" s="574" t="s">
        <v>129</v>
      </c>
      <c r="K75" s="587">
        <v>0</v>
      </c>
      <c r="R75" s="796" t="s">
        <v>155</v>
      </c>
      <c r="AG75" s="793" t="s">
        <v>849</v>
      </c>
    </row>
    <row r="76" spans="1:33" hidden="1">
      <c r="A76" s="1103">
        <f t="shared" si="5"/>
        <v>64</v>
      </c>
      <c r="B76" s="793" t="s">
        <v>483</v>
      </c>
      <c r="C76" s="587">
        <v>514.62</v>
      </c>
      <c r="D76" s="587">
        <v>240</v>
      </c>
      <c r="E76" s="575"/>
      <c r="I76" s="575"/>
      <c r="J76" s="580"/>
      <c r="K76" s="582" t="s">
        <v>117</v>
      </c>
      <c r="N76" s="793" t="s">
        <v>122</v>
      </c>
      <c r="O76" s="793" t="s">
        <v>485</v>
      </c>
      <c r="AG76" s="793" t="s">
        <v>849</v>
      </c>
    </row>
    <row r="77" spans="1:33" hidden="1">
      <c r="A77" s="1103">
        <f t="shared" si="5"/>
        <v>65</v>
      </c>
      <c r="B77" s="793" t="s">
        <v>3173</v>
      </c>
      <c r="C77" s="587" t="e">
        <f>AC34</f>
        <v>#REF!</v>
      </c>
      <c r="D77" s="573" t="s">
        <v>126</v>
      </c>
      <c r="E77" s="575"/>
      <c r="H77" s="793" t="s">
        <v>131</v>
      </c>
      <c r="I77" s="575"/>
      <c r="J77" s="580"/>
      <c r="K77" s="587" t="e">
        <f>SUM(K72:K75)</f>
        <v>#REF!</v>
      </c>
      <c r="O77" s="793" t="s">
        <v>494</v>
      </c>
      <c r="AG77" s="793" t="s">
        <v>849</v>
      </c>
    </row>
    <row r="78" spans="1:33" hidden="1">
      <c r="A78" s="1103">
        <f t="shared" si="5"/>
        <v>66</v>
      </c>
      <c r="B78" s="793" t="s">
        <v>490</v>
      </c>
      <c r="C78" s="587" t="e">
        <f t="shared" ref="C78:C91" si="7">AC16</f>
        <v>#REF!</v>
      </c>
      <c r="D78" s="573" t="s">
        <v>126</v>
      </c>
      <c r="E78" s="575"/>
      <c r="I78" s="575"/>
      <c r="J78" s="580"/>
      <c r="K78" s="582" t="s">
        <v>117</v>
      </c>
      <c r="O78" s="796" t="s">
        <v>117</v>
      </c>
      <c r="AG78" s="793" t="s">
        <v>849</v>
      </c>
    </row>
    <row r="79" spans="1:33" hidden="1">
      <c r="A79" s="1103">
        <f t="shared" si="5"/>
        <v>67</v>
      </c>
      <c r="B79" s="793" t="s">
        <v>492</v>
      </c>
      <c r="C79" s="587" t="e">
        <f t="shared" si="7"/>
        <v>#REF!</v>
      </c>
      <c r="D79" s="573" t="s">
        <v>126</v>
      </c>
      <c r="E79" s="575"/>
      <c r="F79" s="1109">
        <v>1.1000000000000001</v>
      </c>
      <c r="G79" s="798" t="s">
        <v>115</v>
      </c>
      <c r="H79" s="793" t="s">
        <v>493</v>
      </c>
      <c r="I79" s="575"/>
      <c r="J79" s="580"/>
      <c r="K79" s="575"/>
      <c r="M79" s="800">
        <v>4600</v>
      </c>
      <c r="N79" s="793" t="s">
        <v>467</v>
      </c>
      <c r="O79" s="793" t="s">
        <v>494</v>
      </c>
      <c r="P79" s="800" t="e">
        <f>(C91)</f>
        <v>#REF!</v>
      </c>
      <c r="Q79" s="793" t="s">
        <v>468</v>
      </c>
      <c r="R79" s="800" t="e">
        <f>(M79*P79)/1000</f>
        <v>#REF!</v>
      </c>
      <c r="AG79" s="793" t="s">
        <v>849</v>
      </c>
    </row>
    <row r="80" spans="1:33" hidden="1">
      <c r="A80" s="1103">
        <f t="shared" si="5"/>
        <v>68</v>
      </c>
      <c r="B80" s="793" t="s">
        <v>497</v>
      </c>
      <c r="C80" s="587" t="e">
        <f t="shared" si="7"/>
        <v>#REF!</v>
      </c>
      <c r="D80" s="573" t="s">
        <v>498</v>
      </c>
      <c r="E80" s="575"/>
      <c r="F80" s="1110" t="s">
        <v>115</v>
      </c>
      <c r="H80" s="793" t="s">
        <v>499</v>
      </c>
      <c r="I80" s="575"/>
      <c r="J80" s="580"/>
      <c r="K80" s="575"/>
      <c r="M80" s="800">
        <v>2.5</v>
      </c>
      <c r="N80" s="793" t="s">
        <v>126</v>
      </c>
      <c r="O80" s="793" t="s">
        <v>135</v>
      </c>
      <c r="P80" s="800" t="e">
        <f>(K49)</f>
        <v>#REF!</v>
      </c>
      <c r="Q80" s="793" t="s">
        <v>126</v>
      </c>
      <c r="R80" s="800" t="e">
        <f>(M80*P80)</f>
        <v>#REF!</v>
      </c>
      <c r="AG80" s="793" t="s">
        <v>849</v>
      </c>
    </row>
    <row r="81" spans="1:33" hidden="1">
      <c r="A81" s="1103">
        <f t="shared" si="5"/>
        <v>69</v>
      </c>
      <c r="B81" s="793" t="s">
        <v>500</v>
      </c>
      <c r="C81" s="587" t="e">
        <f t="shared" si="7"/>
        <v>#REF!</v>
      </c>
      <c r="D81" s="573" t="s">
        <v>126</v>
      </c>
      <c r="E81" s="575"/>
      <c r="F81" s="800">
        <v>10</v>
      </c>
      <c r="G81" s="798" t="s">
        <v>126</v>
      </c>
      <c r="H81" s="793" t="s">
        <v>501</v>
      </c>
      <c r="I81" s="587">
        <f>(C61)</f>
        <v>25</v>
      </c>
      <c r="J81" s="574" t="s">
        <v>126</v>
      </c>
      <c r="K81" s="587">
        <f>(F81*I81)</f>
        <v>250</v>
      </c>
      <c r="M81" s="800">
        <v>3.5</v>
      </c>
      <c r="N81" s="793" t="s">
        <v>209</v>
      </c>
      <c r="O81" s="793" t="s">
        <v>144</v>
      </c>
      <c r="P81" s="800">
        <f>(C10)</f>
        <v>150</v>
      </c>
      <c r="Q81" s="793" t="s">
        <v>209</v>
      </c>
      <c r="R81" s="800">
        <f>(M81*P81)</f>
        <v>525</v>
      </c>
      <c r="AG81" s="793" t="s">
        <v>849</v>
      </c>
    </row>
    <row r="82" spans="1:33" hidden="1">
      <c r="A82" s="1103">
        <f t="shared" si="5"/>
        <v>70</v>
      </c>
      <c r="B82" s="793" t="s">
        <v>502</v>
      </c>
      <c r="C82" s="587" t="e">
        <f t="shared" si="7"/>
        <v>#REF!</v>
      </c>
      <c r="D82" s="573" t="s">
        <v>126</v>
      </c>
      <c r="E82" s="575"/>
      <c r="F82" s="800">
        <v>10</v>
      </c>
      <c r="G82" s="798" t="s">
        <v>126</v>
      </c>
      <c r="H82" s="793" t="s">
        <v>503</v>
      </c>
      <c r="I82" s="587">
        <f>(C61)</f>
        <v>25</v>
      </c>
      <c r="J82" s="574" t="s">
        <v>126</v>
      </c>
      <c r="K82" s="587">
        <f>(F82*I82)</f>
        <v>250</v>
      </c>
      <c r="M82" s="800">
        <v>10.6</v>
      </c>
      <c r="N82" s="793" t="s">
        <v>209</v>
      </c>
      <c r="O82" s="793" t="s">
        <v>145</v>
      </c>
      <c r="P82" s="800">
        <f>(C11)</f>
        <v>135</v>
      </c>
      <c r="Q82" s="793" t="s">
        <v>209</v>
      </c>
      <c r="R82" s="800">
        <f>(M82*P82)</f>
        <v>1431</v>
      </c>
      <c r="AG82" s="793" t="s">
        <v>849</v>
      </c>
    </row>
    <row r="83" spans="1:33" hidden="1">
      <c r="A83" s="1103">
        <f t="shared" si="5"/>
        <v>71</v>
      </c>
      <c r="B83" s="793" t="s">
        <v>504</v>
      </c>
      <c r="C83" s="587">
        <f t="shared" si="7"/>
        <v>4500</v>
      </c>
      <c r="D83" s="573" t="s">
        <v>498</v>
      </c>
      <c r="E83" s="575">
        <v>3550</v>
      </c>
      <c r="F83" s="800">
        <v>10</v>
      </c>
      <c r="G83" s="798" t="s">
        <v>126</v>
      </c>
      <c r="H83" s="793" t="s">
        <v>505</v>
      </c>
      <c r="I83" s="587">
        <f>(C26)/3</f>
        <v>2.9333333333333336</v>
      </c>
      <c r="J83" s="574" t="s">
        <v>126</v>
      </c>
      <c r="K83" s="587">
        <f>(F83*I83)</f>
        <v>29.333333333333336</v>
      </c>
      <c r="M83" s="800">
        <v>7.1</v>
      </c>
      <c r="N83" s="793" t="s">
        <v>209</v>
      </c>
      <c r="O83" s="793" t="s">
        <v>146</v>
      </c>
      <c r="P83" s="800">
        <f>(C12)</f>
        <v>95</v>
      </c>
      <c r="Q83" s="793" t="s">
        <v>209</v>
      </c>
      <c r="R83" s="800">
        <f>(M83*P83)</f>
        <v>674.5</v>
      </c>
      <c r="AG83" s="793" t="s">
        <v>849</v>
      </c>
    </row>
    <row r="84" spans="1:33" hidden="1">
      <c r="A84" s="1103">
        <f t="shared" si="5"/>
        <v>72</v>
      </c>
      <c r="B84" s="793" t="s">
        <v>506</v>
      </c>
      <c r="C84" s="587">
        <f t="shared" si="7"/>
        <v>773</v>
      </c>
      <c r="D84" s="573" t="s">
        <v>126</v>
      </c>
      <c r="E84" s="575"/>
      <c r="G84" s="798" t="s">
        <v>129</v>
      </c>
      <c r="H84" s="793" t="s">
        <v>130</v>
      </c>
      <c r="I84" s="575"/>
      <c r="J84" s="574" t="s">
        <v>129</v>
      </c>
      <c r="K84" s="587">
        <v>0</v>
      </c>
      <c r="M84" s="800">
        <v>21.2</v>
      </c>
      <c r="N84" s="793" t="s">
        <v>209</v>
      </c>
      <c r="O84" s="793" t="s">
        <v>147</v>
      </c>
      <c r="P84" s="800">
        <f>(C13)</f>
        <v>85</v>
      </c>
      <c r="Q84" s="793" t="s">
        <v>209</v>
      </c>
      <c r="R84" s="800">
        <f>(M84*P84)</f>
        <v>1802</v>
      </c>
      <c r="AG84" s="793" t="s">
        <v>849</v>
      </c>
    </row>
    <row r="85" spans="1:33" hidden="1">
      <c r="A85" s="1103">
        <f t="shared" si="5"/>
        <v>73</v>
      </c>
      <c r="B85" s="793" t="s">
        <v>508</v>
      </c>
      <c r="C85" s="587" t="e">
        <f t="shared" si="7"/>
        <v>#REF!</v>
      </c>
      <c r="D85" s="573" t="s">
        <v>126</v>
      </c>
      <c r="E85" s="575"/>
      <c r="I85" s="575"/>
      <c r="J85" s="580"/>
      <c r="K85" s="582" t="s">
        <v>117</v>
      </c>
      <c r="N85" s="793" t="s">
        <v>129</v>
      </c>
      <c r="O85" s="793" t="s">
        <v>130</v>
      </c>
      <c r="Q85" s="793" t="s">
        <v>129</v>
      </c>
      <c r="R85" s="800">
        <v>0</v>
      </c>
      <c r="AG85" s="793" t="s">
        <v>849</v>
      </c>
    </row>
    <row r="86" spans="1:33" hidden="1">
      <c r="A86" s="1103">
        <f t="shared" si="5"/>
        <v>74</v>
      </c>
      <c r="B86" s="793" t="s">
        <v>3174</v>
      </c>
      <c r="C86" s="587">
        <f t="shared" si="7"/>
        <v>20605</v>
      </c>
      <c r="D86" s="573" t="s">
        <v>126</v>
      </c>
      <c r="E86" s="575"/>
      <c r="H86" s="793" t="s">
        <v>455</v>
      </c>
      <c r="I86" s="575"/>
      <c r="J86" s="580"/>
      <c r="K86" s="587">
        <f>SUM(K81:K84)</f>
        <v>529.33333333333337</v>
      </c>
      <c r="R86" s="796" t="s">
        <v>117</v>
      </c>
      <c r="AG86" s="793" t="s">
        <v>849</v>
      </c>
    </row>
    <row r="87" spans="1:33" hidden="1">
      <c r="A87" s="1103">
        <f t="shared" si="5"/>
        <v>75</v>
      </c>
      <c r="B87" s="793" t="s">
        <v>510</v>
      </c>
      <c r="C87" s="587">
        <f t="shared" si="7"/>
        <v>23685</v>
      </c>
      <c r="D87" s="573" t="s">
        <v>126</v>
      </c>
      <c r="E87" s="575"/>
      <c r="I87" s="575"/>
      <c r="J87" s="580"/>
      <c r="K87" s="582" t="s">
        <v>117</v>
      </c>
      <c r="O87" s="793" t="s">
        <v>455</v>
      </c>
      <c r="R87" s="800" t="e">
        <f>SUM(R79:R85)</f>
        <v>#REF!</v>
      </c>
      <c r="AG87" s="793" t="s">
        <v>849</v>
      </c>
    </row>
    <row r="88" spans="1:33" hidden="1">
      <c r="A88" s="1103">
        <f t="shared" si="5"/>
        <v>76</v>
      </c>
      <c r="B88" s="793" t="s">
        <v>511</v>
      </c>
      <c r="C88" s="587">
        <f t="shared" si="7"/>
        <v>65420</v>
      </c>
      <c r="D88" s="573" t="s">
        <v>126</v>
      </c>
      <c r="E88" s="575"/>
      <c r="H88" s="1111" t="s">
        <v>512</v>
      </c>
      <c r="I88" s="619" t="s">
        <v>513</v>
      </c>
      <c r="J88" s="862"/>
      <c r="K88" s="586">
        <f>(K86/10)</f>
        <v>52.933333333333337</v>
      </c>
      <c r="R88" s="796" t="s">
        <v>117</v>
      </c>
      <c r="AG88" s="793" t="s">
        <v>849</v>
      </c>
    </row>
    <row r="89" spans="1:33" hidden="1">
      <c r="A89" s="1103">
        <f t="shared" si="5"/>
        <v>77</v>
      </c>
      <c r="B89" s="793" t="s">
        <v>514</v>
      </c>
      <c r="C89" s="587">
        <f t="shared" si="7"/>
        <v>57165</v>
      </c>
      <c r="D89" s="573" t="s">
        <v>126</v>
      </c>
      <c r="E89" s="575"/>
      <c r="I89" s="619" t="s">
        <v>515</v>
      </c>
      <c r="J89" s="862"/>
      <c r="K89" s="584">
        <f>ROUND(K88+C36,2)</f>
        <v>55.53</v>
      </c>
      <c r="O89" s="793" t="s">
        <v>383</v>
      </c>
      <c r="R89" s="800" t="e">
        <f>(R87/10)</f>
        <v>#REF!</v>
      </c>
      <c r="AG89" s="793" t="s">
        <v>849</v>
      </c>
    </row>
    <row r="90" spans="1:33" ht="31.5" hidden="1">
      <c r="A90" s="1103">
        <f t="shared" si="5"/>
        <v>78</v>
      </c>
      <c r="B90" s="793" t="s">
        <v>3175</v>
      </c>
      <c r="C90" s="587">
        <f t="shared" si="7"/>
        <v>63870</v>
      </c>
      <c r="D90" s="573" t="s">
        <v>126</v>
      </c>
      <c r="E90" s="575"/>
      <c r="F90" s="1105" t="s">
        <v>517</v>
      </c>
      <c r="H90" s="1112" t="s">
        <v>518</v>
      </c>
      <c r="I90" s="619" t="s">
        <v>513</v>
      </c>
      <c r="J90" s="862"/>
      <c r="K90" s="586">
        <f>K88-K83/10</f>
        <v>50</v>
      </c>
      <c r="R90" s="796" t="s">
        <v>155</v>
      </c>
      <c r="AG90" s="793" t="s">
        <v>849</v>
      </c>
    </row>
    <row r="91" spans="1:33" hidden="1">
      <c r="A91" s="1103">
        <f t="shared" si="5"/>
        <v>79</v>
      </c>
      <c r="B91" s="793" t="s">
        <v>3176</v>
      </c>
      <c r="C91" s="587" t="e">
        <f t="shared" si="7"/>
        <v>#REF!</v>
      </c>
      <c r="D91" s="573" t="s">
        <v>498</v>
      </c>
      <c r="E91" s="575"/>
      <c r="I91" s="619" t="s">
        <v>515</v>
      </c>
      <c r="J91" s="862"/>
      <c r="K91" s="584">
        <f>ROUND(K90+C36,2)</f>
        <v>52.6</v>
      </c>
      <c r="AG91" s="793" t="s">
        <v>849</v>
      </c>
    </row>
    <row r="92" spans="1:33" hidden="1">
      <c r="C92" s="575"/>
      <c r="D92" s="575"/>
      <c r="E92" s="575"/>
      <c r="F92" s="1105" t="s">
        <v>521</v>
      </c>
      <c r="G92" s="798" t="s">
        <v>115</v>
      </c>
      <c r="H92" s="793" t="s">
        <v>522</v>
      </c>
      <c r="I92" s="575"/>
      <c r="J92" s="580"/>
      <c r="K92" s="575"/>
    </row>
    <row r="93" spans="1:33" hidden="1">
      <c r="C93" s="575"/>
      <c r="D93" s="575"/>
      <c r="E93" s="575"/>
      <c r="F93" s="1110" t="s">
        <v>115</v>
      </c>
      <c r="H93" s="796" t="s">
        <v>117</v>
      </c>
      <c r="I93" s="575"/>
      <c r="J93" s="580"/>
      <c r="K93" s="575"/>
    </row>
    <row r="94" spans="1:33" hidden="1">
      <c r="C94" s="575"/>
      <c r="D94" s="575"/>
      <c r="E94" s="575"/>
      <c r="F94" s="800">
        <v>10</v>
      </c>
      <c r="G94" s="798" t="s">
        <v>126</v>
      </c>
      <c r="H94" s="793" t="s">
        <v>524</v>
      </c>
      <c r="I94" s="587">
        <f>D61</f>
        <v>37.299999999999997</v>
      </c>
      <c r="J94" s="574" t="s">
        <v>126</v>
      </c>
      <c r="K94" s="587">
        <f>(F94*I94)</f>
        <v>373</v>
      </c>
    </row>
    <row r="95" spans="1:33" hidden="1">
      <c r="C95" s="575"/>
      <c r="D95" s="575"/>
      <c r="E95" s="575"/>
      <c r="F95" s="800">
        <v>10</v>
      </c>
      <c r="G95" s="798" t="s">
        <v>126</v>
      </c>
      <c r="H95" s="793" t="s">
        <v>503</v>
      </c>
      <c r="I95" s="587">
        <f>D61</f>
        <v>37.299999999999997</v>
      </c>
      <c r="J95" s="574" t="s">
        <v>126</v>
      </c>
      <c r="K95" s="587">
        <f>(F95*I95)</f>
        <v>373</v>
      </c>
    </row>
    <row r="96" spans="1:33" hidden="1">
      <c r="C96" s="575"/>
      <c r="D96" s="575"/>
      <c r="E96" s="575"/>
      <c r="F96" s="800">
        <v>10</v>
      </c>
      <c r="G96" s="798" t="s">
        <v>126</v>
      </c>
      <c r="H96" s="793" t="s">
        <v>505</v>
      </c>
      <c r="I96" s="587">
        <f>I83</f>
        <v>2.9333333333333336</v>
      </c>
      <c r="J96" s="574" t="s">
        <v>126</v>
      </c>
      <c r="K96" s="587">
        <f>(F96*I96)</f>
        <v>29.333333333333336</v>
      </c>
    </row>
    <row r="97" spans="3:11" hidden="1">
      <c r="C97" s="575"/>
      <c r="D97" s="575"/>
      <c r="E97" s="575"/>
      <c r="G97" s="798" t="s">
        <v>129</v>
      </c>
      <c r="H97" s="793" t="s">
        <v>130</v>
      </c>
      <c r="I97" s="575"/>
      <c r="J97" s="574" t="s">
        <v>129</v>
      </c>
      <c r="K97" s="587">
        <v>0</v>
      </c>
    </row>
    <row r="98" spans="3:11" hidden="1">
      <c r="C98" s="575"/>
      <c r="D98" s="575"/>
      <c r="E98" s="575"/>
      <c r="I98" s="575"/>
      <c r="J98" s="580"/>
      <c r="K98" s="582" t="s">
        <v>117</v>
      </c>
    </row>
    <row r="99" spans="3:11" hidden="1">
      <c r="C99" s="575"/>
      <c r="D99" s="575"/>
      <c r="E99" s="575"/>
      <c r="H99" s="793" t="s">
        <v>455</v>
      </c>
      <c r="I99" s="575"/>
      <c r="J99" s="580"/>
      <c r="K99" s="587">
        <f>SUM(K94:K97)</f>
        <v>775.33333333333337</v>
      </c>
    </row>
    <row r="100" spans="3:11" hidden="1">
      <c r="C100" s="575"/>
      <c r="D100" s="575"/>
      <c r="E100" s="575"/>
      <c r="I100" s="575"/>
      <c r="J100" s="580"/>
      <c r="K100" s="582" t="s">
        <v>117</v>
      </c>
    </row>
    <row r="101" spans="3:11" hidden="1">
      <c r="C101" s="575"/>
      <c r="D101" s="575"/>
      <c r="E101" s="575"/>
      <c r="H101" s="1111" t="s">
        <v>512</v>
      </c>
      <c r="I101" s="619" t="s">
        <v>513</v>
      </c>
      <c r="J101" s="862"/>
      <c r="K101" s="586">
        <f>(K99/10)</f>
        <v>77.533333333333331</v>
      </c>
    </row>
    <row r="102" spans="3:11" hidden="1">
      <c r="C102" s="575"/>
      <c r="D102" s="575"/>
      <c r="E102" s="575"/>
      <c r="I102" s="619" t="s">
        <v>515</v>
      </c>
      <c r="J102" s="862"/>
      <c r="K102" s="584">
        <f>ROUND(K101+C36,2)</f>
        <v>80.13</v>
      </c>
    </row>
    <row r="103" spans="3:11" hidden="1">
      <c r="C103" s="575"/>
      <c r="D103" s="575"/>
      <c r="E103" s="575"/>
      <c r="I103" s="619"/>
      <c r="J103" s="862"/>
      <c r="K103" s="632"/>
    </row>
    <row r="104" spans="3:11" hidden="1">
      <c r="C104" s="575"/>
      <c r="D104" s="575"/>
      <c r="E104" s="575"/>
      <c r="F104" s="1109">
        <v>1.7</v>
      </c>
      <c r="H104" s="1112" t="s">
        <v>525</v>
      </c>
      <c r="I104" s="619" t="s">
        <v>513</v>
      </c>
      <c r="J104" s="862"/>
      <c r="K104" s="584">
        <f>ROUND(K101-K96/10,2)</f>
        <v>74.599999999999994</v>
      </c>
    </row>
    <row r="105" spans="3:11" hidden="1">
      <c r="C105" s="575"/>
      <c r="D105" s="575"/>
      <c r="E105" s="575"/>
      <c r="I105" s="619" t="s">
        <v>515</v>
      </c>
      <c r="J105" s="862"/>
      <c r="K105" s="584">
        <f>ROUND(K104+C36,2)</f>
        <v>77.2</v>
      </c>
    </row>
    <row r="106" spans="3:11" hidden="1">
      <c r="C106" s="575"/>
      <c r="D106" s="575"/>
      <c r="E106" s="575"/>
      <c r="I106" s="575"/>
      <c r="J106" s="580"/>
      <c r="K106" s="582"/>
    </row>
    <row r="107" spans="3:11" hidden="1">
      <c r="C107" s="575"/>
      <c r="D107" s="575"/>
      <c r="E107" s="575"/>
      <c r="I107" s="575"/>
      <c r="J107" s="580"/>
      <c r="K107" s="582"/>
    </row>
    <row r="108" spans="3:11" ht="30.75" hidden="1">
      <c r="C108" s="575"/>
      <c r="D108" s="575"/>
      <c r="E108" s="575"/>
      <c r="F108" s="1109">
        <v>1.5</v>
      </c>
      <c r="G108" s="798" t="s">
        <v>115</v>
      </c>
      <c r="H108" s="1113" t="s">
        <v>527</v>
      </c>
      <c r="I108" s="575"/>
      <c r="J108" s="580"/>
      <c r="K108" s="575"/>
    </row>
    <row r="109" spans="3:11" hidden="1">
      <c r="C109" s="575"/>
      <c r="D109" s="575"/>
      <c r="E109" s="575"/>
      <c r="I109" s="575"/>
      <c r="J109" s="580"/>
      <c r="K109" s="575"/>
    </row>
    <row r="110" spans="3:11" hidden="1">
      <c r="C110" s="575"/>
      <c r="D110" s="575"/>
      <c r="E110" s="575"/>
      <c r="F110" s="800">
        <v>10</v>
      </c>
      <c r="G110" s="798" t="s">
        <v>126</v>
      </c>
      <c r="H110" s="793" t="s">
        <v>501</v>
      </c>
      <c r="I110" s="587">
        <f>C61</f>
        <v>25</v>
      </c>
      <c r="J110" s="574" t="s">
        <v>126</v>
      </c>
      <c r="K110" s="587">
        <f>(F110*I110)</f>
        <v>250</v>
      </c>
    </row>
    <row r="111" spans="3:11" hidden="1">
      <c r="C111" s="575"/>
      <c r="D111" s="575"/>
      <c r="E111" s="575"/>
      <c r="F111" s="800">
        <v>10</v>
      </c>
      <c r="G111" s="798" t="s">
        <v>126</v>
      </c>
      <c r="H111" s="793" t="s">
        <v>505</v>
      </c>
      <c r="I111" s="587">
        <f>I83</f>
        <v>2.9333333333333336</v>
      </c>
      <c r="J111" s="574" t="s">
        <v>126</v>
      </c>
      <c r="K111" s="587">
        <f>(F111*I111)</f>
        <v>29.333333333333336</v>
      </c>
    </row>
    <row r="112" spans="3:11" hidden="1">
      <c r="C112" s="575"/>
      <c r="D112" s="575"/>
      <c r="E112" s="575"/>
      <c r="G112" s="798" t="s">
        <v>129</v>
      </c>
      <c r="H112" s="793" t="s">
        <v>130</v>
      </c>
      <c r="I112" s="575"/>
      <c r="J112" s="574" t="s">
        <v>129</v>
      </c>
      <c r="K112" s="587">
        <v>0</v>
      </c>
    </row>
    <row r="113" spans="3:11" hidden="1">
      <c r="C113" s="575"/>
      <c r="D113" s="575"/>
      <c r="E113" s="575"/>
      <c r="I113" s="575"/>
      <c r="J113" s="580"/>
      <c r="K113" s="582" t="s">
        <v>117</v>
      </c>
    </row>
    <row r="114" spans="3:11" hidden="1">
      <c r="C114" s="575"/>
      <c r="D114" s="575"/>
      <c r="E114" s="575"/>
      <c r="H114" s="793" t="s">
        <v>455</v>
      </c>
      <c r="I114" s="575"/>
      <c r="J114" s="580"/>
      <c r="K114" s="587">
        <f>SUM(K110:K112)</f>
        <v>279.33333333333331</v>
      </c>
    </row>
    <row r="115" spans="3:11" hidden="1">
      <c r="C115" s="575"/>
      <c r="D115" s="575"/>
      <c r="E115" s="575"/>
      <c r="I115" s="575"/>
      <c r="J115" s="580"/>
      <c r="K115" s="582" t="s">
        <v>117</v>
      </c>
    </row>
    <row r="116" spans="3:11" hidden="1">
      <c r="C116" s="575"/>
      <c r="D116" s="575"/>
      <c r="E116" s="575"/>
      <c r="H116" s="793"/>
      <c r="I116" s="575"/>
      <c r="J116" s="580"/>
      <c r="K116" s="587">
        <f>(K114/10)</f>
        <v>27.93333333333333</v>
      </c>
    </row>
    <row r="117" spans="3:11" hidden="1">
      <c r="C117" s="575"/>
      <c r="D117" s="575"/>
      <c r="E117" s="575"/>
      <c r="I117" s="575"/>
      <c r="J117" s="580"/>
      <c r="K117" s="582" t="s">
        <v>155</v>
      </c>
    </row>
    <row r="118" spans="3:11" hidden="1">
      <c r="C118" s="575"/>
      <c r="D118" s="575"/>
      <c r="E118" s="575"/>
      <c r="F118" s="1105"/>
      <c r="H118" s="793" t="s">
        <v>528</v>
      </c>
      <c r="I118" s="619" t="s">
        <v>513</v>
      </c>
      <c r="J118" s="580"/>
      <c r="K118" s="586">
        <f>K116-K111/10</f>
        <v>24.999999999999996</v>
      </c>
    </row>
    <row r="119" spans="3:11" hidden="1">
      <c r="C119" s="575"/>
      <c r="D119" s="575"/>
      <c r="E119" s="575"/>
      <c r="I119" s="619" t="s">
        <v>515</v>
      </c>
      <c r="J119" s="580"/>
      <c r="K119" s="584">
        <f>ROUND(K118+C36,2)</f>
        <v>27.6</v>
      </c>
    </row>
    <row r="120" spans="3:11" hidden="1">
      <c r="C120" s="575"/>
      <c r="D120" s="575"/>
      <c r="E120" s="575"/>
      <c r="I120" s="575"/>
      <c r="J120" s="580"/>
      <c r="K120" s="582"/>
    </row>
    <row r="121" spans="3:11" ht="31.5" hidden="1">
      <c r="C121" s="575"/>
      <c r="D121" s="575"/>
      <c r="E121" s="575"/>
      <c r="F121" s="1114">
        <v>1.8</v>
      </c>
      <c r="H121" s="1113" t="s">
        <v>531</v>
      </c>
      <c r="I121" s="575"/>
      <c r="J121" s="580"/>
      <c r="K121" s="582"/>
    </row>
    <row r="122" spans="3:11" hidden="1">
      <c r="C122" s="575"/>
      <c r="D122" s="575"/>
      <c r="E122" s="575"/>
      <c r="I122" s="575"/>
      <c r="J122" s="580"/>
      <c r="K122" s="582"/>
    </row>
    <row r="123" spans="3:11" hidden="1">
      <c r="C123" s="575"/>
      <c r="D123" s="575"/>
      <c r="E123" s="575"/>
      <c r="F123" s="800">
        <v>10</v>
      </c>
      <c r="G123" s="798" t="s">
        <v>126</v>
      </c>
      <c r="H123" s="793" t="s">
        <v>524</v>
      </c>
      <c r="I123" s="575">
        <f>D61</f>
        <v>37.299999999999997</v>
      </c>
      <c r="J123" s="574" t="s">
        <v>126</v>
      </c>
      <c r="K123" s="587">
        <f>(F123*I123)</f>
        <v>373</v>
      </c>
    </row>
    <row r="124" spans="3:11" hidden="1">
      <c r="C124" s="575"/>
      <c r="D124" s="575"/>
      <c r="E124" s="575"/>
      <c r="G124" s="792" t="s">
        <v>166</v>
      </c>
      <c r="I124" s="575"/>
      <c r="J124" s="580" t="s">
        <v>166</v>
      </c>
      <c r="K124" s="587">
        <v>0</v>
      </c>
    </row>
    <row r="125" spans="3:11" hidden="1">
      <c r="C125" s="575"/>
      <c r="D125" s="575"/>
      <c r="E125" s="575"/>
      <c r="I125" s="575"/>
      <c r="J125" s="580"/>
      <c r="K125" s="582" t="s">
        <v>117</v>
      </c>
    </row>
    <row r="126" spans="3:11" hidden="1">
      <c r="C126" s="575"/>
      <c r="D126" s="575"/>
      <c r="E126" s="575"/>
      <c r="H126" s="793" t="s">
        <v>455</v>
      </c>
      <c r="I126" s="575"/>
      <c r="J126" s="580"/>
      <c r="K126" s="587">
        <f>SUM(K123:K124)</f>
        <v>373</v>
      </c>
    </row>
    <row r="127" spans="3:11" hidden="1">
      <c r="C127" s="575"/>
      <c r="D127" s="575"/>
      <c r="E127" s="575"/>
      <c r="I127" s="575"/>
      <c r="J127" s="580"/>
      <c r="K127" s="582" t="s">
        <v>117</v>
      </c>
    </row>
    <row r="128" spans="3:11" ht="31.5" hidden="1">
      <c r="C128" s="575"/>
      <c r="D128" s="575"/>
      <c r="E128" s="575"/>
      <c r="F128" s="1115"/>
      <c r="H128" s="1116" t="s">
        <v>538</v>
      </c>
      <c r="I128" s="619" t="s">
        <v>513</v>
      </c>
      <c r="J128" s="580"/>
      <c r="K128" s="584">
        <f>ROUND(K126/10,2)</f>
        <v>37.299999999999997</v>
      </c>
    </row>
    <row r="129" spans="1:33" hidden="1">
      <c r="C129" s="575"/>
      <c r="D129" s="575"/>
      <c r="E129" s="575"/>
      <c r="I129" s="619" t="s">
        <v>515</v>
      </c>
      <c r="J129" s="580"/>
      <c r="K129" s="584">
        <f>ROUND(K128+C36,2)</f>
        <v>39.9</v>
      </c>
    </row>
    <row r="130" spans="1:33" hidden="1">
      <c r="C130" s="575"/>
      <c r="D130" s="575"/>
      <c r="E130" s="575"/>
      <c r="I130" s="619"/>
      <c r="J130" s="580"/>
      <c r="K130" s="582"/>
    </row>
    <row r="131" spans="1:33" hidden="1">
      <c r="C131" s="575"/>
      <c r="D131" s="575"/>
      <c r="E131" s="575"/>
      <c r="F131" s="1109">
        <v>1.6</v>
      </c>
      <c r="H131" s="793" t="s">
        <v>540</v>
      </c>
      <c r="I131" s="619"/>
      <c r="J131" s="580"/>
      <c r="K131" s="575"/>
    </row>
    <row r="132" spans="1:33" hidden="1">
      <c r="C132" s="575"/>
      <c r="D132" s="575"/>
      <c r="E132" s="575"/>
      <c r="H132" s="793" t="s">
        <v>541</v>
      </c>
      <c r="I132" s="619" t="s">
        <v>513</v>
      </c>
      <c r="J132" s="580"/>
      <c r="K132" s="586">
        <f>C61*1.5</f>
        <v>37.5</v>
      </c>
    </row>
    <row r="133" spans="1:33" hidden="1">
      <c r="C133" s="575"/>
      <c r="D133" s="575"/>
      <c r="E133" s="575"/>
      <c r="F133" s="793" t="s">
        <v>115</v>
      </c>
      <c r="H133" s="793" t="s">
        <v>542</v>
      </c>
      <c r="I133" s="619" t="s">
        <v>515</v>
      </c>
      <c r="J133" s="580"/>
      <c r="K133" s="584">
        <f>ROUND(K132+C36,2)</f>
        <v>40.1</v>
      </c>
    </row>
    <row r="134" spans="1:33" hidden="1">
      <c r="C134" s="575"/>
      <c r="D134" s="575"/>
      <c r="E134" s="575"/>
      <c r="I134" s="575"/>
      <c r="J134" s="580"/>
      <c r="K134" s="582" t="s">
        <v>155</v>
      </c>
    </row>
    <row r="135" spans="1:33" hidden="1">
      <c r="C135" s="575"/>
      <c r="D135" s="575"/>
      <c r="E135" s="575"/>
      <c r="I135" s="575"/>
      <c r="J135" s="580"/>
      <c r="K135" s="575"/>
    </row>
    <row r="136" spans="1:33" hidden="1">
      <c r="A136" s="1103">
        <f>(A91+1)</f>
        <v>80</v>
      </c>
      <c r="B136" s="793" t="s">
        <v>545</v>
      </c>
      <c r="C136" s="587">
        <f>AC30</f>
        <v>8240</v>
      </c>
      <c r="D136" s="587">
        <v>13.87</v>
      </c>
      <c r="E136" s="573" t="s">
        <v>115</v>
      </c>
      <c r="F136" s="1098" t="s">
        <v>532</v>
      </c>
      <c r="G136" s="798" t="s">
        <v>122</v>
      </c>
      <c r="H136" s="793" t="s">
        <v>533</v>
      </c>
      <c r="I136" s="575"/>
      <c r="J136" s="580"/>
      <c r="K136" s="575"/>
      <c r="N136" s="793" t="s">
        <v>3177</v>
      </c>
      <c r="O136" s="793" t="s">
        <v>482</v>
      </c>
      <c r="R136" s="800" t="e">
        <f>(R89+C19)</f>
        <v>#REF!</v>
      </c>
      <c r="AG136" s="793" t="s">
        <v>849</v>
      </c>
    </row>
    <row r="137" spans="1:33" hidden="1">
      <c r="A137" s="1103">
        <f t="shared" ref="A137:A142" si="8">(A136+1)</f>
        <v>81</v>
      </c>
      <c r="B137" s="793" t="s">
        <v>546</v>
      </c>
      <c r="C137" s="587">
        <f>AC33</f>
        <v>26500</v>
      </c>
      <c r="D137" s="573" t="s">
        <v>124</v>
      </c>
      <c r="E137" s="575"/>
      <c r="H137" s="793" t="s">
        <v>547</v>
      </c>
      <c r="I137" s="575"/>
      <c r="J137" s="580"/>
      <c r="K137" s="575"/>
      <c r="N137" s="793" t="s">
        <v>3178</v>
      </c>
      <c r="O137" s="793" t="s">
        <v>486</v>
      </c>
      <c r="R137" s="800" t="e">
        <f>(R136+C20)</f>
        <v>#REF!</v>
      </c>
      <c r="AG137" s="793" t="s">
        <v>849</v>
      </c>
    </row>
    <row r="138" spans="1:33" hidden="1">
      <c r="A138" s="1103">
        <f t="shared" si="8"/>
        <v>82</v>
      </c>
      <c r="B138" s="793" t="s">
        <v>549</v>
      </c>
      <c r="C138" s="587">
        <f>AC32</f>
        <v>28000</v>
      </c>
      <c r="D138" s="573" t="s">
        <v>124</v>
      </c>
      <c r="E138" s="575"/>
      <c r="H138" s="796" t="s">
        <v>117</v>
      </c>
      <c r="I138" s="575"/>
      <c r="J138" s="580"/>
      <c r="K138" s="575"/>
      <c r="N138" s="793" t="s">
        <v>3179</v>
      </c>
      <c r="O138" s="793" t="s">
        <v>489</v>
      </c>
      <c r="R138" s="800" t="e">
        <f>(R137+C21)</f>
        <v>#REF!</v>
      </c>
      <c r="AG138" s="793" t="s">
        <v>849</v>
      </c>
    </row>
    <row r="139" spans="1:33" hidden="1">
      <c r="A139" s="1103">
        <f t="shared" si="8"/>
        <v>83</v>
      </c>
      <c r="B139" s="793" t="s">
        <v>550</v>
      </c>
      <c r="C139" s="587">
        <f>AC33</f>
        <v>26500</v>
      </c>
      <c r="D139" s="573" t="s">
        <v>124</v>
      </c>
      <c r="E139" s="575"/>
      <c r="F139" s="800">
        <v>1</v>
      </c>
      <c r="G139" s="798" t="s">
        <v>126</v>
      </c>
      <c r="H139" s="793" t="s">
        <v>551</v>
      </c>
      <c r="I139" s="587" t="e">
        <f>C79</f>
        <v>#REF!</v>
      </c>
      <c r="J139" s="574" t="s">
        <v>126</v>
      </c>
      <c r="K139" s="587" t="e">
        <f>(F139*I139)</f>
        <v>#REF!</v>
      </c>
      <c r="N139" s="793" t="s">
        <v>3180</v>
      </c>
      <c r="O139" s="793" t="s">
        <v>491</v>
      </c>
      <c r="R139" s="800" t="e">
        <f>(R138+C21)</f>
        <v>#REF!</v>
      </c>
      <c r="AG139" s="793" t="s">
        <v>849</v>
      </c>
    </row>
    <row r="140" spans="1:33" hidden="1">
      <c r="A140" s="1103">
        <f t="shared" si="8"/>
        <v>84</v>
      </c>
      <c r="B140" s="793" t="s">
        <v>552</v>
      </c>
      <c r="C140" s="587">
        <f>AC38</f>
        <v>169</v>
      </c>
      <c r="D140" s="573" t="s">
        <v>126</v>
      </c>
      <c r="E140" s="575"/>
      <c r="F140" s="800">
        <v>1</v>
      </c>
      <c r="G140" s="798" t="s">
        <v>126</v>
      </c>
      <c r="H140" s="793" t="s">
        <v>360</v>
      </c>
      <c r="I140" s="587">
        <f>C27</f>
        <v>7.8</v>
      </c>
      <c r="J140" s="574" t="s">
        <v>126</v>
      </c>
      <c r="K140" s="587">
        <f>(F140*I140)</f>
        <v>7.8</v>
      </c>
      <c r="O140" s="793" t="s">
        <v>3181</v>
      </c>
      <c r="R140" s="800" t="e">
        <f>(R139+C21)</f>
        <v>#REF!</v>
      </c>
      <c r="AG140" s="793" t="s">
        <v>849</v>
      </c>
    </row>
    <row r="141" spans="1:33" hidden="1">
      <c r="A141" s="1103">
        <f t="shared" si="8"/>
        <v>85</v>
      </c>
      <c r="B141" s="793" t="s">
        <v>553</v>
      </c>
      <c r="C141" s="587">
        <f>I255</f>
        <v>12224.58</v>
      </c>
      <c r="D141" s="573" t="s">
        <v>124</v>
      </c>
      <c r="E141" s="575"/>
      <c r="G141" s="798" t="s">
        <v>129</v>
      </c>
      <c r="H141" s="793" t="s">
        <v>130</v>
      </c>
      <c r="I141" s="573" t="s">
        <v>115</v>
      </c>
      <c r="J141" s="574" t="s">
        <v>129</v>
      </c>
      <c r="K141" s="587">
        <v>0</v>
      </c>
      <c r="N141" s="793" t="s">
        <v>122</v>
      </c>
      <c r="O141" s="793" t="s">
        <v>3182</v>
      </c>
      <c r="AG141" s="793" t="s">
        <v>849</v>
      </c>
    </row>
    <row r="142" spans="1:33" hidden="1">
      <c r="A142" s="1103">
        <f t="shared" si="8"/>
        <v>86</v>
      </c>
      <c r="B142" s="793" t="s">
        <v>1845</v>
      </c>
      <c r="C142" s="587">
        <v>30000</v>
      </c>
      <c r="D142" s="573" t="s">
        <v>124</v>
      </c>
      <c r="E142" s="575"/>
      <c r="I142" s="575"/>
      <c r="J142" s="580"/>
      <c r="K142" s="582" t="s">
        <v>117</v>
      </c>
      <c r="O142" s="793" t="s">
        <v>494</v>
      </c>
      <c r="AG142" s="793" t="s">
        <v>849</v>
      </c>
    </row>
    <row r="143" spans="1:33" hidden="1">
      <c r="B143" s="793" t="s">
        <v>115</v>
      </c>
      <c r="C143" s="575"/>
      <c r="D143" s="575"/>
      <c r="E143" s="575"/>
      <c r="H143" s="793" t="s">
        <v>555</v>
      </c>
      <c r="I143" s="575"/>
      <c r="J143" s="580"/>
      <c r="K143" s="587" t="e">
        <f>SUM(K137:K141)</f>
        <v>#REF!</v>
      </c>
      <c r="O143" s="796" t="s">
        <v>117</v>
      </c>
      <c r="AG143" s="793" t="s">
        <v>849</v>
      </c>
    </row>
    <row r="144" spans="1:33" hidden="1">
      <c r="A144" s="1103">
        <f>(A142+1)</f>
        <v>87</v>
      </c>
      <c r="B144" s="793" t="s">
        <v>556</v>
      </c>
      <c r="C144" s="587">
        <v>7.5</v>
      </c>
      <c r="D144" s="573" t="s">
        <v>129</v>
      </c>
      <c r="E144" s="575"/>
      <c r="I144" s="575"/>
      <c r="J144" s="580"/>
      <c r="K144" s="582" t="s">
        <v>117</v>
      </c>
      <c r="M144" s="800">
        <v>4600</v>
      </c>
      <c r="N144" s="793" t="s">
        <v>467</v>
      </c>
      <c r="O144" s="793" t="s">
        <v>494</v>
      </c>
      <c r="P144" s="800" t="e">
        <f>(C91)</f>
        <v>#REF!</v>
      </c>
      <c r="Q144" s="793" t="s">
        <v>468</v>
      </c>
      <c r="R144" s="800" t="e">
        <f>(M144*P144)/1000</f>
        <v>#REF!</v>
      </c>
      <c r="AG144" s="793" t="s">
        <v>849</v>
      </c>
    </row>
    <row r="145" spans="3:11" hidden="1">
      <c r="C145" s="575"/>
      <c r="D145" s="575"/>
      <c r="E145" s="575"/>
      <c r="F145" s="1098" t="s">
        <v>561</v>
      </c>
      <c r="G145" s="798" t="s">
        <v>122</v>
      </c>
      <c r="H145" s="793" t="s">
        <v>562</v>
      </c>
      <c r="I145" s="575"/>
      <c r="J145" s="580"/>
      <c r="K145" s="575"/>
    </row>
    <row r="146" spans="3:11" hidden="1">
      <c r="C146" s="575"/>
      <c r="D146" s="575"/>
      <c r="E146" s="575"/>
      <c r="H146" s="793" t="s">
        <v>564</v>
      </c>
      <c r="I146" s="575"/>
      <c r="J146" s="580"/>
      <c r="K146" s="575"/>
    </row>
    <row r="147" spans="3:11" hidden="1">
      <c r="C147" s="575"/>
      <c r="D147" s="575"/>
      <c r="E147" s="575"/>
      <c r="H147" s="793" t="s">
        <v>567</v>
      </c>
      <c r="I147" s="575"/>
      <c r="J147" s="580"/>
      <c r="K147" s="575"/>
    </row>
    <row r="148" spans="3:11" hidden="1">
      <c r="C148" s="575"/>
      <c r="D148" s="575"/>
      <c r="E148" s="575"/>
      <c r="H148" s="793" t="s">
        <v>569</v>
      </c>
      <c r="I148" s="575"/>
      <c r="J148" s="580"/>
      <c r="K148" s="575"/>
    </row>
    <row r="149" spans="3:11" hidden="1">
      <c r="C149" s="575"/>
      <c r="D149" s="575"/>
      <c r="E149" s="575"/>
      <c r="H149" s="793" t="s">
        <v>570</v>
      </c>
      <c r="I149" s="575"/>
      <c r="J149" s="580"/>
      <c r="K149" s="575"/>
    </row>
    <row r="150" spans="3:11" hidden="1">
      <c r="C150" s="575"/>
      <c r="D150" s="575"/>
      <c r="E150" s="575"/>
      <c r="H150" s="796" t="s">
        <v>117</v>
      </c>
      <c r="I150" s="575"/>
      <c r="J150" s="580"/>
      <c r="K150" s="575"/>
    </row>
    <row r="151" spans="3:11" hidden="1">
      <c r="C151" s="575"/>
      <c r="D151" s="575"/>
      <c r="E151" s="575"/>
      <c r="F151" s="800">
        <v>0.7</v>
      </c>
      <c r="G151" s="798" t="s">
        <v>126</v>
      </c>
      <c r="H151" s="793" t="s">
        <v>344</v>
      </c>
      <c r="I151" s="587" t="e">
        <f>C79</f>
        <v>#REF!</v>
      </c>
      <c r="J151" s="574" t="s">
        <v>126</v>
      </c>
      <c r="K151" s="587" t="e">
        <f t="shared" ref="K151:K156" si="9">(F151*I151)</f>
        <v>#REF!</v>
      </c>
    </row>
    <row r="152" spans="3:11" hidden="1">
      <c r="C152" s="575"/>
      <c r="D152" s="575"/>
      <c r="E152" s="575"/>
      <c r="F152" s="800">
        <v>0.7</v>
      </c>
      <c r="G152" s="798" t="s">
        <v>126</v>
      </c>
      <c r="H152" s="793" t="s">
        <v>572</v>
      </c>
      <c r="I152" s="587">
        <f>C783</f>
        <v>3.05</v>
      </c>
      <c r="J152" s="574" t="s">
        <v>126</v>
      </c>
      <c r="K152" s="587">
        <f t="shared" si="9"/>
        <v>2.1349999999999998</v>
      </c>
    </row>
    <row r="153" spans="3:11" hidden="1">
      <c r="C153" s="575"/>
      <c r="D153" s="575"/>
      <c r="E153" s="575"/>
      <c r="F153" s="800">
        <v>0.72</v>
      </c>
      <c r="G153" s="798" t="s">
        <v>126</v>
      </c>
      <c r="H153" s="793" t="s">
        <v>573</v>
      </c>
      <c r="I153" s="587">
        <f>C35</f>
        <v>169</v>
      </c>
      <c r="J153" s="574" t="s">
        <v>126</v>
      </c>
      <c r="K153" s="587">
        <f t="shared" si="9"/>
        <v>121.67999999999999</v>
      </c>
    </row>
    <row r="154" spans="3:11" hidden="1">
      <c r="C154" s="575"/>
      <c r="D154" s="575"/>
      <c r="E154" s="575"/>
      <c r="F154" s="800">
        <v>0.72</v>
      </c>
      <c r="G154" s="798" t="s">
        <v>126</v>
      </c>
      <c r="H154" s="793" t="s">
        <v>572</v>
      </c>
      <c r="I154" s="587">
        <f>C783</f>
        <v>3.05</v>
      </c>
      <c r="J154" s="574" t="s">
        <v>126</v>
      </c>
      <c r="K154" s="587">
        <f t="shared" si="9"/>
        <v>2.1959999999999997</v>
      </c>
    </row>
    <row r="155" spans="3:11" hidden="1">
      <c r="C155" s="575"/>
      <c r="D155" s="575"/>
      <c r="E155" s="575"/>
      <c r="F155" s="800">
        <v>1</v>
      </c>
      <c r="G155" s="798" t="s">
        <v>126</v>
      </c>
      <c r="H155" s="793" t="s">
        <v>354</v>
      </c>
      <c r="I155" s="587">
        <f>C18</f>
        <v>26</v>
      </c>
      <c r="J155" s="574" t="s">
        <v>126</v>
      </c>
      <c r="K155" s="587">
        <f t="shared" si="9"/>
        <v>26</v>
      </c>
    </row>
    <row r="156" spans="3:11" hidden="1">
      <c r="C156" s="575"/>
      <c r="D156" s="575"/>
      <c r="E156" s="575"/>
      <c r="F156" s="800">
        <v>1</v>
      </c>
      <c r="G156" s="798" t="s">
        <v>126</v>
      </c>
      <c r="H156" s="793" t="s">
        <v>574</v>
      </c>
      <c r="I156" s="587">
        <v>6.05</v>
      </c>
      <c r="J156" s="574" t="s">
        <v>126</v>
      </c>
      <c r="K156" s="587">
        <f t="shared" si="9"/>
        <v>6.05</v>
      </c>
    </row>
    <row r="157" spans="3:11" hidden="1">
      <c r="C157" s="575"/>
      <c r="D157" s="575"/>
      <c r="E157" s="575"/>
      <c r="H157" s="793" t="s">
        <v>575</v>
      </c>
      <c r="I157" s="575"/>
      <c r="J157" s="580"/>
      <c r="K157" s="575"/>
    </row>
    <row r="158" spans="3:11" hidden="1">
      <c r="C158" s="575"/>
      <c r="D158" s="575"/>
      <c r="E158" s="575"/>
      <c r="G158" s="798" t="s">
        <v>129</v>
      </c>
      <c r="H158" s="793" t="s">
        <v>130</v>
      </c>
      <c r="I158" s="573" t="s">
        <v>115</v>
      </c>
      <c r="J158" s="574" t="s">
        <v>129</v>
      </c>
      <c r="K158" s="587">
        <v>0</v>
      </c>
    </row>
    <row r="159" spans="3:11" hidden="1">
      <c r="C159" s="575"/>
      <c r="D159" s="575"/>
      <c r="E159" s="575"/>
      <c r="I159" s="575"/>
      <c r="J159" s="580"/>
      <c r="K159" s="582" t="s">
        <v>117</v>
      </c>
    </row>
    <row r="160" spans="3:11" hidden="1">
      <c r="C160" s="575"/>
      <c r="D160" s="575"/>
      <c r="E160" s="575"/>
      <c r="H160" s="793" t="s">
        <v>555</v>
      </c>
      <c r="I160" s="575"/>
      <c r="J160" s="580"/>
      <c r="K160" s="587" t="e">
        <f>SUM(K151:K158)</f>
        <v>#REF!</v>
      </c>
    </row>
    <row r="161" spans="1:11" hidden="1">
      <c r="C161" s="575"/>
      <c r="D161" s="575"/>
      <c r="E161" s="575"/>
      <c r="I161" s="575"/>
      <c r="J161" s="580"/>
      <c r="K161" s="582" t="s">
        <v>117</v>
      </c>
    </row>
    <row r="162" spans="1:11" hidden="1">
      <c r="C162" s="575"/>
      <c r="D162" s="575"/>
      <c r="E162" s="575"/>
      <c r="H162" s="793" t="s">
        <v>115</v>
      </c>
      <c r="I162" s="575"/>
      <c r="J162" s="580"/>
      <c r="K162" s="573" t="s">
        <v>115</v>
      </c>
    </row>
    <row r="163" spans="1:11" hidden="1">
      <c r="C163" s="575"/>
      <c r="D163" s="575"/>
      <c r="E163" s="575"/>
      <c r="I163" s="575"/>
      <c r="J163" s="580"/>
      <c r="K163" s="573" t="s">
        <v>115</v>
      </c>
    </row>
    <row r="164" spans="1:11" hidden="1">
      <c r="A164" s="1117">
        <v>2.2999999999999998</v>
      </c>
      <c r="B164" s="793" t="s">
        <v>583</v>
      </c>
      <c r="C164" s="575" t="e">
        <f>AC19+I167</f>
        <v>#REF!</v>
      </c>
      <c r="D164" s="575"/>
      <c r="E164" s="575"/>
      <c r="F164" s="1109">
        <v>2.6</v>
      </c>
      <c r="G164" s="798" t="s">
        <v>122</v>
      </c>
      <c r="H164" s="793" t="s">
        <v>584</v>
      </c>
      <c r="I164" s="575"/>
      <c r="J164" s="580"/>
      <c r="K164" s="575"/>
    </row>
    <row r="165" spans="1:11" hidden="1">
      <c r="A165" s="1117">
        <v>2.4</v>
      </c>
      <c r="B165" s="793" t="s">
        <v>585</v>
      </c>
      <c r="C165" s="575" t="e">
        <f>AC20+I167</f>
        <v>#REF!</v>
      </c>
      <c r="D165" s="575"/>
      <c r="E165" s="575"/>
      <c r="H165" s="796" t="s">
        <v>117</v>
      </c>
      <c r="I165" s="575"/>
      <c r="J165" s="580"/>
      <c r="K165" s="575"/>
    </row>
    <row r="166" spans="1:11" hidden="1">
      <c r="C166" s="575"/>
      <c r="D166" s="575"/>
      <c r="E166" s="575"/>
      <c r="F166" s="800">
        <v>1</v>
      </c>
      <c r="G166" s="798" t="s">
        <v>126</v>
      </c>
      <c r="H166" s="793" t="s">
        <v>586</v>
      </c>
      <c r="I166" s="587" t="e">
        <f>AC15</f>
        <v>#REF!</v>
      </c>
      <c r="J166" s="574" t="s">
        <v>126</v>
      </c>
      <c r="K166" s="587" t="e">
        <f>(F166*I166)</f>
        <v>#REF!</v>
      </c>
    </row>
    <row r="167" spans="1:11" hidden="1">
      <c r="C167" s="575"/>
      <c r="D167" s="575"/>
      <c r="E167" s="575"/>
      <c r="F167" s="800">
        <v>1</v>
      </c>
      <c r="G167" s="798" t="s">
        <v>126</v>
      </c>
      <c r="H167" s="793" t="s">
        <v>360</v>
      </c>
      <c r="I167" s="587">
        <f>C26</f>
        <v>8.8000000000000007</v>
      </c>
      <c r="J167" s="574" t="s">
        <v>126</v>
      </c>
      <c r="K167" s="587">
        <f>(F167*I167)</f>
        <v>8.8000000000000007</v>
      </c>
    </row>
    <row r="168" spans="1:11" hidden="1">
      <c r="C168" s="575"/>
      <c r="D168" s="575"/>
      <c r="E168" s="575"/>
      <c r="G168" s="798" t="s">
        <v>129</v>
      </c>
      <c r="H168" s="793" t="s">
        <v>130</v>
      </c>
      <c r="I168" s="573" t="s">
        <v>115</v>
      </c>
      <c r="J168" s="574" t="s">
        <v>129</v>
      </c>
      <c r="K168" s="587">
        <v>0</v>
      </c>
    </row>
    <row r="169" spans="1:11" hidden="1">
      <c r="C169" s="575"/>
      <c r="D169" s="575"/>
      <c r="E169" s="575"/>
      <c r="I169" s="575"/>
      <c r="J169" s="580"/>
      <c r="K169" s="582" t="s">
        <v>117</v>
      </c>
    </row>
    <row r="170" spans="1:11" hidden="1">
      <c r="C170" s="575"/>
      <c r="D170" s="575"/>
      <c r="E170" s="575"/>
      <c r="H170" s="793" t="s">
        <v>555</v>
      </c>
      <c r="I170" s="575"/>
      <c r="J170" s="580"/>
      <c r="K170" s="587" t="e">
        <f>SUM(K165:K168)</f>
        <v>#REF!</v>
      </c>
    </row>
    <row r="171" spans="1:11" hidden="1">
      <c r="C171" s="575"/>
      <c r="D171" s="575"/>
      <c r="E171" s="575"/>
      <c r="I171" s="575"/>
      <c r="J171" s="580"/>
      <c r="K171" s="582" t="s">
        <v>117</v>
      </c>
    </row>
    <row r="172" spans="1:11" hidden="1">
      <c r="C172" s="575"/>
      <c r="D172" s="575"/>
      <c r="E172" s="575"/>
      <c r="F172" s="1109">
        <v>2.7</v>
      </c>
      <c r="G172" s="798" t="s">
        <v>122</v>
      </c>
      <c r="H172" s="793" t="s">
        <v>587</v>
      </c>
      <c r="I172" s="575"/>
      <c r="J172" s="580"/>
      <c r="K172" s="575"/>
    </row>
    <row r="173" spans="1:11" hidden="1">
      <c r="C173" s="575"/>
      <c r="D173" s="575"/>
      <c r="E173" s="575"/>
      <c r="H173" s="796" t="s">
        <v>117</v>
      </c>
      <c r="I173" s="575"/>
      <c r="J173" s="580"/>
      <c r="K173" s="575"/>
    </row>
    <row r="174" spans="1:11" hidden="1">
      <c r="C174" s="575"/>
      <c r="D174" s="575"/>
      <c r="E174" s="575"/>
      <c r="F174" s="800">
        <v>1</v>
      </c>
      <c r="G174" s="798" t="s">
        <v>126</v>
      </c>
      <c r="H174" s="793" t="s">
        <v>588</v>
      </c>
      <c r="I174" s="587" t="e">
        <f>AC14</f>
        <v>#REF!</v>
      </c>
      <c r="J174" s="574" t="s">
        <v>126</v>
      </c>
      <c r="K174" s="587" t="e">
        <f>(F174*I174)</f>
        <v>#REF!</v>
      </c>
    </row>
    <row r="175" spans="1:11" hidden="1">
      <c r="C175" s="575"/>
      <c r="D175" s="575"/>
      <c r="E175" s="575"/>
      <c r="F175" s="800">
        <v>1</v>
      </c>
      <c r="G175" s="798" t="s">
        <v>126</v>
      </c>
      <c r="H175" s="793" t="s">
        <v>360</v>
      </c>
      <c r="I175" s="587">
        <f>C26</f>
        <v>8.8000000000000007</v>
      </c>
      <c r="J175" s="574" t="s">
        <v>126</v>
      </c>
      <c r="K175" s="587">
        <f>(F175*I175)</f>
        <v>8.8000000000000007</v>
      </c>
    </row>
    <row r="176" spans="1:11" hidden="1">
      <c r="C176" s="575"/>
      <c r="D176" s="575"/>
      <c r="E176" s="575"/>
      <c r="G176" s="798" t="s">
        <v>129</v>
      </c>
      <c r="H176" s="793" t="s">
        <v>130</v>
      </c>
      <c r="I176" s="573" t="s">
        <v>115</v>
      </c>
      <c r="J176" s="574" t="s">
        <v>129</v>
      </c>
      <c r="K176" s="587">
        <v>0</v>
      </c>
    </row>
    <row r="177" spans="1:33" hidden="1">
      <c r="C177" s="575"/>
      <c r="D177" s="575"/>
      <c r="E177" s="575"/>
      <c r="I177" s="575"/>
      <c r="J177" s="580"/>
      <c r="K177" s="582" t="s">
        <v>117</v>
      </c>
    </row>
    <row r="178" spans="1:33" hidden="1">
      <c r="C178" s="575"/>
      <c r="D178" s="575"/>
      <c r="E178" s="575"/>
      <c r="H178" s="793" t="s">
        <v>555</v>
      </c>
      <c r="I178" s="575"/>
      <c r="J178" s="580"/>
      <c r="K178" s="587" t="e">
        <f>SUM(K173:K176)</f>
        <v>#REF!</v>
      </c>
    </row>
    <row r="179" spans="1:33" hidden="1">
      <c r="A179" s="1103">
        <f>(A144+1)</f>
        <v>88</v>
      </c>
      <c r="B179" s="793" t="s">
        <v>563</v>
      </c>
      <c r="C179" s="587">
        <v>15.25</v>
      </c>
      <c r="D179" s="573" t="s">
        <v>148</v>
      </c>
      <c r="E179" s="575"/>
      <c r="I179" s="575"/>
      <c r="J179" s="580"/>
      <c r="K179" s="582" t="s">
        <v>117</v>
      </c>
      <c r="M179" s="800">
        <v>2.5</v>
      </c>
      <c r="N179" s="793" t="s">
        <v>126</v>
      </c>
      <c r="O179" s="793" t="s">
        <v>136</v>
      </c>
      <c r="P179" s="800" t="e">
        <f>(K58)</f>
        <v>#REF!</v>
      </c>
      <c r="Q179" s="793" t="s">
        <v>126</v>
      </c>
      <c r="R179" s="800" t="e">
        <f>(M179*P179)</f>
        <v>#REF!</v>
      </c>
      <c r="AG179" s="793" t="s">
        <v>849</v>
      </c>
    </row>
    <row r="180" spans="1:33" hidden="1">
      <c r="A180" s="1103">
        <f>(A179+1)</f>
        <v>89</v>
      </c>
      <c r="B180" s="793" t="s">
        <v>762</v>
      </c>
      <c r="C180" s="587">
        <v>110</v>
      </c>
      <c r="D180" s="573" t="s">
        <v>148</v>
      </c>
      <c r="E180" s="575"/>
      <c r="H180" s="793" t="s">
        <v>115</v>
      </c>
      <c r="I180" s="575"/>
      <c r="J180" s="580"/>
      <c r="K180" s="575"/>
      <c r="M180" s="800">
        <v>3.5</v>
      </c>
      <c r="N180" s="793" t="s">
        <v>209</v>
      </c>
      <c r="O180" s="793" t="s">
        <v>144</v>
      </c>
      <c r="P180" s="800">
        <f>(C10)</f>
        <v>150</v>
      </c>
      <c r="Q180" s="793" t="s">
        <v>209</v>
      </c>
      <c r="R180" s="800">
        <f>(M180*P180)</f>
        <v>525</v>
      </c>
      <c r="AG180" s="793" t="s">
        <v>849</v>
      </c>
    </row>
    <row r="181" spans="1:33" hidden="1">
      <c r="C181" s="575"/>
      <c r="D181" s="575"/>
      <c r="E181" s="575"/>
      <c r="F181" s="1098" t="s">
        <v>592</v>
      </c>
      <c r="H181" s="793" t="s">
        <v>593</v>
      </c>
      <c r="I181" s="575"/>
      <c r="J181" s="580"/>
      <c r="K181" s="575"/>
    </row>
    <row r="182" spans="1:33" hidden="1">
      <c r="C182" s="575"/>
      <c r="D182" s="575"/>
      <c r="E182" s="575"/>
      <c r="I182" s="575"/>
      <c r="J182" s="580"/>
      <c r="K182" s="575"/>
    </row>
    <row r="183" spans="1:33" hidden="1">
      <c r="C183" s="575"/>
      <c r="D183" s="575"/>
      <c r="E183" s="575"/>
      <c r="F183" s="800">
        <v>1</v>
      </c>
      <c r="G183" s="798" t="s">
        <v>126</v>
      </c>
      <c r="H183" s="793" t="s">
        <v>594</v>
      </c>
      <c r="I183" s="587">
        <f>C35</f>
        <v>169</v>
      </c>
      <c r="J183" s="574" t="s">
        <v>126</v>
      </c>
      <c r="K183" s="587">
        <f>(F183*I183)</f>
        <v>169</v>
      </c>
    </row>
    <row r="184" spans="1:33" hidden="1">
      <c r="C184" s="575"/>
      <c r="D184" s="575"/>
      <c r="E184" s="575"/>
      <c r="F184" s="800">
        <v>1</v>
      </c>
      <c r="G184" s="798" t="s">
        <v>126</v>
      </c>
      <c r="H184" s="793" t="s">
        <v>572</v>
      </c>
      <c r="I184" s="587">
        <f>C783</f>
        <v>3.05</v>
      </c>
      <c r="J184" s="574" t="s">
        <v>126</v>
      </c>
      <c r="K184" s="587">
        <f>(F184*I184)</f>
        <v>3.05</v>
      </c>
    </row>
    <row r="185" spans="1:33" hidden="1">
      <c r="C185" s="575"/>
      <c r="D185" s="575"/>
      <c r="E185" s="575"/>
      <c r="F185" s="800">
        <v>1</v>
      </c>
      <c r="G185" s="798" t="s">
        <v>126</v>
      </c>
      <c r="H185" s="793" t="s">
        <v>574</v>
      </c>
      <c r="I185" s="587">
        <v>6.05</v>
      </c>
      <c r="J185" s="574" t="s">
        <v>126</v>
      </c>
      <c r="K185" s="587">
        <f>(F185*I185)</f>
        <v>6.05</v>
      </c>
    </row>
    <row r="186" spans="1:33" hidden="1">
      <c r="C186" s="575"/>
      <c r="D186" s="575"/>
      <c r="E186" s="575"/>
      <c r="H186" s="793" t="s">
        <v>575</v>
      </c>
      <c r="I186" s="575"/>
      <c r="J186" s="580"/>
      <c r="K186" s="575"/>
    </row>
    <row r="187" spans="1:33" hidden="1">
      <c r="C187" s="575"/>
      <c r="D187" s="575"/>
      <c r="E187" s="575"/>
      <c r="I187" s="575"/>
      <c r="J187" s="580"/>
      <c r="K187" s="582" t="s">
        <v>117</v>
      </c>
    </row>
    <row r="188" spans="1:33" hidden="1">
      <c r="C188" s="575"/>
      <c r="D188" s="575"/>
      <c r="E188" s="575"/>
      <c r="H188" s="793" t="s">
        <v>555</v>
      </c>
      <c r="I188" s="575"/>
      <c r="J188" s="580"/>
      <c r="K188" s="587">
        <f>SUM(K181:K186)</f>
        <v>178.10000000000002</v>
      </c>
    </row>
    <row r="189" spans="1:33" hidden="1">
      <c r="C189" s="575"/>
      <c r="D189" s="575"/>
      <c r="E189" s="575"/>
      <c r="F189" s="793" t="s">
        <v>115</v>
      </c>
      <c r="I189" s="575"/>
      <c r="J189" s="580"/>
      <c r="K189" s="582" t="s">
        <v>117</v>
      </c>
    </row>
    <row r="190" spans="1:33" hidden="1">
      <c r="C190" s="575"/>
      <c r="D190" s="575"/>
      <c r="E190" s="575"/>
      <c r="I190" s="575"/>
      <c r="J190" s="580"/>
      <c r="K190" s="573" t="s">
        <v>115</v>
      </c>
    </row>
    <row r="191" spans="1:33" hidden="1">
      <c r="A191" s="1103">
        <f>(A180+1)</f>
        <v>90</v>
      </c>
      <c r="B191" s="793" t="s">
        <v>596</v>
      </c>
      <c r="C191" s="587">
        <v>65</v>
      </c>
      <c r="D191" s="573" t="s">
        <v>597</v>
      </c>
      <c r="E191" s="575"/>
      <c r="F191" s="1098" t="s">
        <v>577</v>
      </c>
      <c r="G191" s="798" t="s">
        <v>122</v>
      </c>
      <c r="H191" s="793" t="s">
        <v>598</v>
      </c>
      <c r="I191" s="575"/>
      <c r="J191" s="580"/>
      <c r="K191" s="575"/>
      <c r="M191" s="800">
        <v>10.6</v>
      </c>
      <c r="N191" s="793" t="s">
        <v>209</v>
      </c>
      <c r="O191" s="793" t="s">
        <v>145</v>
      </c>
      <c r="P191" s="800">
        <f>(C11)</f>
        <v>135</v>
      </c>
      <c r="Q191" s="793" t="s">
        <v>209</v>
      </c>
      <c r="R191" s="800">
        <f>(M191*P191)</f>
        <v>1431</v>
      </c>
      <c r="AG191" s="793" t="s">
        <v>849</v>
      </c>
    </row>
    <row r="192" spans="1:33" hidden="1">
      <c r="A192" s="1103">
        <f t="shared" ref="A192:A207" si="10">(A191+1)</f>
        <v>91</v>
      </c>
      <c r="B192" s="793" t="s">
        <v>600</v>
      </c>
      <c r="C192" s="587">
        <v>25</v>
      </c>
      <c r="D192" s="573" t="s">
        <v>597</v>
      </c>
      <c r="E192" s="575"/>
      <c r="H192" s="793" t="s">
        <v>580</v>
      </c>
      <c r="I192" s="575"/>
      <c r="J192" s="580"/>
      <c r="K192" s="575"/>
      <c r="M192" s="800">
        <v>7.1</v>
      </c>
      <c r="N192" s="793" t="s">
        <v>209</v>
      </c>
      <c r="O192" s="793" t="s">
        <v>146</v>
      </c>
      <c r="P192" s="800">
        <f>(C12)</f>
        <v>95</v>
      </c>
      <c r="Q192" s="793" t="s">
        <v>209</v>
      </c>
      <c r="R192" s="800">
        <f>(M192*P192)</f>
        <v>674.5</v>
      </c>
      <c r="AG192" s="793" t="s">
        <v>849</v>
      </c>
    </row>
    <row r="193" spans="1:33" hidden="1">
      <c r="A193" s="1103">
        <f t="shared" si="10"/>
        <v>92</v>
      </c>
      <c r="B193" s="793" t="s">
        <v>3183</v>
      </c>
      <c r="C193" s="587">
        <v>210</v>
      </c>
      <c r="D193" s="573" t="s">
        <v>597</v>
      </c>
      <c r="E193" s="575"/>
      <c r="H193" s="796" t="s">
        <v>117</v>
      </c>
      <c r="I193" s="575"/>
      <c r="J193" s="580"/>
      <c r="K193" s="575"/>
      <c r="M193" s="800">
        <v>21.2</v>
      </c>
      <c r="N193" s="793" t="s">
        <v>209</v>
      </c>
      <c r="O193" s="793" t="s">
        <v>147</v>
      </c>
      <c r="P193" s="800">
        <f>(C13)</f>
        <v>85</v>
      </c>
      <c r="Q193" s="793" t="s">
        <v>209</v>
      </c>
      <c r="R193" s="800">
        <f>(M193*P193)</f>
        <v>1802</v>
      </c>
      <c r="AG193" s="793" t="s">
        <v>849</v>
      </c>
    </row>
    <row r="194" spans="1:33" hidden="1">
      <c r="A194" s="1103">
        <f t="shared" si="10"/>
        <v>93</v>
      </c>
      <c r="B194" s="793" t="s">
        <v>3184</v>
      </c>
      <c r="C194" s="587">
        <v>160</v>
      </c>
      <c r="D194" s="587">
        <v>96.11</v>
      </c>
      <c r="E194" s="575"/>
      <c r="F194" s="800">
        <v>9</v>
      </c>
      <c r="G194" s="798" t="s">
        <v>126</v>
      </c>
      <c r="H194" s="793" t="s">
        <v>581</v>
      </c>
      <c r="I194" s="587" t="e">
        <f>(C74)</f>
        <v>#REF!</v>
      </c>
      <c r="J194" s="574" t="s">
        <v>126</v>
      </c>
      <c r="K194" s="587" t="e">
        <f>(F194*I194)</f>
        <v>#REF!</v>
      </c>
      <c r="N194" s="793" t="s">
        <v>129</v>
      </c>
      <c r="O194" s="793" t="s">
        <v>130</v>
      </c>
      <c r="Q194" s="793" t="s">
        <v>129</v>
      </c>
      <c r="R194" s="800">
        <v>0</v>
      </c>
      <c r="AG194" s="793" t="s">
        <v>849</v>
      </c>
    </row>
    <row r="195" spans="1:33" hidden="1">
      <c r="A195" s="1103">
        <f t="shared" si="10"/>
        <v>94</v>
      </c>
      <c r="B195" s="793" t="s">
        <v>3185</v>
      </c>
      <c r="C195" s="587">
        <v>100</v>
      </c>
      <c r="D195" s="573" t="s">
        <v>597</v>
      </c>
      <c r="E195" s="575"/>
      <c r="F195" s="800">
        <v>4.5</v>
      </c>
      <c r="G195" s="798" t="s">
        <v>126</v>
      </c>
      <c r="H195" s="793" t="s">
        <v>135</v>
      </c>
      <c r="I195" s="587" t="e">
        <f>(K49)</f>
        <v>#REF!</v>
      </c>
      <c r="J195" s="574" t="s">
        <v>126</v>
      </c>
      <c r="K195" s="587" t="e">
        <f>(F195*I195)</f>
        <v>#REF!</v>
      </c>
      <c r="R195" s="796" t="s">
        <v>117</v>
      </c>
      <c r="AG195" s="793" t="s">
        <v>849</v>
      </c>
    </row>
    <row r="196" spans="1:33" hidden="1">
      <c r="A196" s="1103">
        <f t="shared" si="10"/>
        <v>95</v>
      </c>
      <c r="B196" s="793" t="s">
        <v>605</v>
      </c>
      <c r="C196" s="587">
        <v>0.25</v>
      </c>
      <c r="D196" s="573" t="s">
        <v>209</v>
      </c>
      <c r="E196" s="575"/>
      <c r="F196" s="800">
        <v>1.8</v>
      </c>
      <c r="G196" s="798" t="s">
        <v>209</v>
      </c>
      <c r="H196" s="793" t="s">
        <v>145</v>
      </c>
      <c r="I196" s="587">
        <f>(C11)</f>
        <v>135</v>
      </c>
      <c r="J196" s="574" t="s">
        <v>209</v>
      </c>
      <c r="K196" s="587">
        <f>(F196*I196)</f>
        <v>243</v>
      </c>
      <c r="O196" s="793" t="s">
        <v>455</v>
      </c>
      <c r="R196" s="800" t="e">
        <f>SUM(R144:R194)</f>
        <v>#REF!</v>
      </c>
      <c r="AG196" s="793" t="s">
        <v>849</v>
      </c>
    </row>
    <row r="197" spans="1:33" hidden="1">
      <c r="A197" s="1103">
        <f t="shared" si="10"/>
        <v>96</v>
      </c>
      <c r="B197" s="793" t="s">
        <v>3186</v>
      </c>
      <c r="C197" s="587">
        <v>22.6</v>
      </c>
      <c r="D197" s="573" t="s">
        <v>140</v>
      </c>
      <c r="E197" s="575"/>
      <c r="F197" s="800">
        <v>17.7</v>
      </c>
      <c r="G197" s="798" t="s">
        <v>209</v>
      </c>
      <c r="H197" s="793" t="s">
        <v>146</v>
      </c>
      <c r="I197" s="587">
        <f>(C12)</f>
        <v>95</v>
      </c>
      <c r="J197" s="574" t="s">
        <v>209</v>
      </c>
      <c r="K197" s="587">
        <f>(F197*I197)</f>
        <v>1681.5</v>
      </c>
      <c r="R197" s="796" t="s">
        <v>117</v>
      </c>
      <c r="AG197" s="793" t="s">
        <v>849</v>
      </c>
    </row>
    <row r="198" spans="1:33" hidden="1">
      <c r="A198" s="1103">
        <f t="shared" si="10"/>
        <v>97</v>
      </c>
      <c r="B198" s="793" t="s">
        <v>3187</v>
      </c>
      <c r="C198" s="587">
        <v>212</v>
      </c>
      <c r="D198" s="573" t="s">
        <v>140</v>
      </c>
      <c r="E198" s="575"/>
      <c r="F198" s="800">
        <v>14.1</v>
      </c>
      <c r="G198" s="798" t="s">
        <v>209</v>
      </c>
      <c r="H198" s="793" t="s">
        <v>147</v>
      </c>
      <c r="I198" s="587">
        <f>(C13)</f>
        <v>85</v>
      </c>
      <c r="J198" s="574" t="s">
        <v>209</v>
      </c>
      <c r="K198" s="587">
        <f>(F198*I198)</f>
        <v>1198.5</v>
      </c>
      <c r="O198" s="793" t="s">
        <v>383</v>
      </c>
      <c r="R198" s="800" t="e">
        <f>(R196/10)</f>
        <v>#REF!</v>
      </c>
      <c r="AG198" s="793" t="s">
        <v>849</v>
      </c>
    </row>
    <row r="199" spans="1:33" hidden="1">
      <c r="A199" s="1103">
        <f t="shared" si="10"/>
        <v>98</v>
      </c>
      <c r="B199" s="793" t="s">
        <v>3188</v>
      </c>
      <c r="C199" s="587">
        <v>85</v>
      </c>
      <c r="D199" s="573" t="s">
        <v>1</v>
      </c>
      <c r="E199" s="575"/>
      <c r="G199" s="798" t="s">
        <v>129</v>
      </c>
      <c r="H199" s="793" t="s">
        <v>130</v>
      </c>
      <c r="I199" s="575"/>
      <c r="J199" s="574" t="s">
        <v>129</v>
      </c>
      <c r="K199" s="587">
        <v>0</v>
      </c>
      <c r="R199" s="796" t="s">
        <v>155</v>
      </c>
      <c r="AG199" s="793" t="s">
        <v>849</v>
      </c>
    </row>
    <row r="200" spans="1:33" hidden="1">
      <c r="A200" s="1103">
        <f t="shared" si="10"/>
        <v>99</v>
      </c>
      <c r="B200" s="793" t="s">
        <v>3189</v>
      </c>
      <c r="C200" s="587">
        <v>750</v>
      </c>
      <c r="D200" s="573" t="s">
        <v>1</v>
      </c>
      <c r="E200" s="575"/>
      <c r="I200" s="575"/>
      <c r="J200" s="580"/>
      <c r="K200" s="582" t="s">
        <v>117</v>
      </c>
      <c r="AG200" s="793" t="s">
        <v>849</v>
      </c>
    </row>
    <row r="201" spans="1:33" hidden="1">
      <c r="A201" s="1103">
        <f t="shared" si="10"/>
        <v>100</v>
      </c>
      <c r="B201" s="793" t="s">
        <v>610</v>
      </c>
      <c r="C201" s="587">
        <v>47.2</v>
      </c>
      <c r="D201" s="573" t="s">
        <v>1</v>
      </c>
      <c r="E201" s="575"/>
      <c r="I201" s="575"/>
      <c r="J201" s="580"/>
      <c r="K201" s="587" t="e">
        <f>SUM(K194:K199)</f>
        <v>#REF!</v>
      </c>
      <c r="N201" s="793" t="s">
        <v>3190</v>
      </c>
      <c r="O201" s="793" t="s">
        <v>482</v>
      </c>
      <c r="R201" s="800" t="e">
        <f>(R198+C19)</f>
        <v>#REF!</v>
      </c>
      <c r="AG201" s="793" t="s">
        <v>849</v>
      </c>
    </row>
    <row r="202" spans="1:33" hidden="1">
      <c r="A202" s="1103">
        <f t="shared" si="10"/>
        <v>101</v>
      </c>
      <c r="B202" s="793" t="s">
        <v>3191</v>
      </c>
      <c r="C202" s="587">
        <v>75</v>
      </c>
      <c r="D202" s="573" t="s">
        <v>1</v>
      </c>
      <c r="E202" s="575"/>
      <c r="H202" s="793" t="s">
        <v>455</v>
      </c>
      <c r="I202" s="575"/>
      <c r="J202" s="580"/>
      <c r="K202" s="582" t="s">
        <v>117</v>
      </c>
      <c r="N202" s="793" t="s">
        <v>3192</v>
      </c>
      <c r="O202" s="793" t="s">
        <v>486</v>
      </c>
      <c r="R202" s="800" t="e">
        <f>(R201+C20)</f>
        <v>#REF!</v>
      </c>
      <c r="AG202" s="793" t="s">
        <v>636</v>
      </c>
    </row>
    <row r="203" spans="1:33" hidden="1">
      <c r="A203" s="1103">
        <f t="shared" si="10"/>
        <v>102</v>
      </c>
      <c r="B203" s="793" t="s">
        <v>3193</v>
      </c>
      <c r="C203" s="587">
        <v>40</v>
      </c>
      <c r="D203" s="573" t="s">
        <v>1</v>
      </c>
      <c r="E203" s="575"/>
      <c r="I203" s="575"/>
      <c r="J203" s="580"/>
      <c r="K203" s="587" t="e">
        <f>(K201/10)</f>
        <v>#REF!</v>
      </c>
      <c r="N203" s="793" t="s">
        <v>3194</v>
      </c>
      <c r="O203" s="793" t="s">
        <v>489</v>
      </c>
      <c r="R203" s="800" t="e">
        <f>(R202+C21)</f>
        <v>#REF!</v>
      </c>
    </row>
    <row r="204" spans="1:33" hidden="1">
      <c r="A204" s="1103">
        <f t="shared" si="10"/>
        <v>103</v>
      </c>
      <c r="B204" s="793" t="s">
        <v>613</v>
      </c>
      <c r="C204" s="587">
        <v>65</v>
      </c>
      <c r="D204" s="573" t="s">
        <v>1</v>
      </c>
      <c r="E204" s="575"/>
      <c r="H204" s="793" t="s">
        <v>383</v>
      </c>
      <c r="I204" s="575"/>
      <c r="J204" s="580"/>
      <c r="K204" s="582" t="s">
        <v>155</v>
      </c>
      <c r="N204" s="793" t="s">
        <v>3195</v>
      </c>
      <c r="O204" s="793" t="s">
        <v>491</v>
      </c>
      <c r="R204" s="800" t="e">
        <f>(R203+C21)</f>
        <v>#REF!</v>
      </c>
    </row>
    <row r="205" spans="1:33" hidden="1">
      <c r="A205" s="1103">
        <f t="shared" si="10"/>
        <v>104</v>
      </c>
      <c r="B205" s="793" t="s">
        <v>3196</v>
      </c>
      <c r="C205" s="587">
        <v>65</v>
      </c>
      <c r="D205" s="573" t="s">
        <v>1</v>
      </c>
      <c r="E205" s="575"/>
      <c r="I205" s="575"/>
      <c r="J205" s="580"/>
      <c r="K205" s="575"/>
      <c r="AG205" s="793" t="s">
        <v>849</v>
      </c>
    </row>
    <row r="206" spans="1:33" hidden="1">
      <c r="A206" s="1103">
        <f t="shared" si="10"/>
        <v>105</v>
      </c>
      <c r="B206" s="793" t="s">
        <v>3197</v>
      </c>
      <c r="C206" s="587">
        <v>150</v>
      </c>
      <c r="D206" s="573" t="s">
        <v>616</v>
      </c>
      <c r="E206" s="575"/>
      <c r="F206" s="1098" t="s">
        <v>617</v>
      </c>
      <c r="G206" s="798" t="s">
        <v>122</v>
      </c>
      <c r="H206" s="793" t="s">
        <v>618</v>
      </c>
      <c r="I206" s="575"/>
      <c r="J206" s="580"/>
      <c r="K206" s="575"/>
    </row>
    <row r="207" spans="1:33" hidden="1">
      <c r="A207" s="1103">
        <f t="shared" si="10"/>
        <v>106</v>
      </c>
      <c r="B207" s="793" t="s">
        <v>3198</v>
      </c>
      <c r="C207" s="587">
        <v>100</v>
      </c>
      <c r="D207" s="573" t="s">
        <v>1</v>
      </c>
      <c r="E207" s="575"/>
      <c r="H207" s="793" t="s">
        <v>466</v>
      </c>
      <c r="I207" s="575"/>
      <c r="J207" s="580"/>
      <c r="K207" s="575"/>
      <c r="N207" s="793" t="s">
        <v>196</v>
      </c>
      <c r="O207" s="793" t="s">
        <v>620</v>
      </c>
    </row>
    <row r="208" spans="1:33" hidden="1">
      <c r="C208" s="575"/>
      <c r="D208" s="575"/>
      <c r="E208" s="575"/>
      <c r="H208" s="796" t="s">
        <v>117</v>
      </c>
      <c r="I208" s="575"/>
      <c r="J208" s="580"/>
      <c r="K208" s="575"/>
      <c r="O208" s="796" t="s">
        <v>117</v>
      </c>
    </row>
    <row r="209" spans="3:18" hidden="1">
      <c r="C209" s="575"/>
      <c r="D209" s="575"/>
      <c r="E209" s="575"/>
      <c r="F209" s="800">
        <v>9</v>
      </c>
      <c r="G209" s="798" t="s">
        <v>126</v>
      </c>
      <c r="H209" s="793" t="s">
        <v>603</v>
      </c>
      <c r="I209" s="587" t="e">
        <f>C73</f>
        <v>#REF!</v>
      </c>
      <c r="J209" s="574" t="s">
        <v>126</v>
      </c>
      <c r="K209" s="587" t="e">
        <f>(F209*I209)</f>
        <v>#REF!</v>
      </c>
      <c r="M209" s="1118">
        <v>1.153E-2</v>
      </c>
      <c r="N209" s="793" t="s">
        <v>126</v>
      </c>
      <c r="O209" s="793" t="s">
        <v>621</v>
      </c>
      <c r="P209" s="800">
        <f>C88</f>
        <v>65420</v>
      </c>
      <c r="Q209" s="793" t="s">
        <v>126</v>
      </c>
      <c r="R209" s="800">
        <f t="shared" ref="R209:R218" si="11">(M209*P209)</f>
        <v>754.29259999999999</v>
      </c>
    </row>
    <row r="210" spans="3:18" hidden="1">
      <c r="C210" s="575"/>
      <c r="D210" s="575"/>
      <c r="E210" s="575"/>
      <c r="F210" s="800">
        <v>4.5</v>
      </c>
      <c r="G210" s="798" t="s">
        <v>126</v>
      </c>
      <c r="H210" s="793" t="s">
        <v>132</v>
      </c>
      <c r="I210" s="587" t="e">
        <f>K23</f>
        <v>#REF!</v>
      </c>
      <c r="J210" s="574" t="s">
        <v>126</v>
      </c>
      <c r="K210" s="587" t="e">
        <f>(F210*I210)</f>
        <v>#REF!</v>
      </c>
      <c r="M210" s="1118">
        <v>1.013E-2</v>
      </c>
      <c r="N210" s="793" t="s">
        <v>126</v>
      </c>
      <c r="O210" s="793" t="s">
        <v>622</v>
      </c>
      <c r="P210" s="800">
        <f>C89</f>
        <v>57165</v>
      </c>
      <c r="Q210" s="793" t="s">
        <v>126</v>
      </c>
      <c r="R210" s="800">
        <f t="shared" si="11"/>
        <v>579.08145000000002</v>
      </c>
    </row>
    <row r="211" spans="3:18" hidden="1">
      <c r="C211" s="575"/>
      <c r="D211" s="575"/>
      <c r="E211" s="575"/>
      <c r="F211" s="800">
        <v>1.8</v>
      </c>
      <c r="G211" s="798" t="s">
        <v>209</v>
      </c>
      <c r="H211" s="793" t="s">
        <v>145</v>
      </c>
      <c r="I211" s="587">
        <f>C11</f>
        <v>135</v>
      </c>
      <c r="J211" s="574" t="s">
        <v>209</v>
      </c>
      <c r="K211" s="587">
        <f>(F211*I211)</f>
        <v>243</v>
      </c>
      <c r="M211" s="1118">
        <v>0.77780000000000005</v>
      </c>
      <c r="N211" s="793" t="s">
        <v>140</v>
      </c>
      <c r="O211" s="793" t="s">
        <v>623</v>
      </c>
      <c r="P211" s="800">
        <f>C753</f>
        <v>381.37</v>
      </c>
      <c r="Q211" s="793" t="s">
        <v>140</v>
      </c>
      <c r="R211" s="800">
        <f t="shared" si="11"/>
        <v>296.62958600000002</v>
      </c>
    </row>
    <row r="212" spans="3:18" hidden="1">
      <c r="C212" s="575"/>
      <c r="D212" s="575"/>
      <c r="E212" s="575"/>
      <c r="F212" s="800">
        <v>17.7</v>
      </c>
      <c r="G212" s="798" t="s">
        <v>209</v>
      </c>
      <c r="H212" s="793" t="s">
        <v>146</v>
      </c>
      <c r="I212" s="587">
        <f>C12</f>
        <v>95</v>
      </c>
      <c r="J212" s="574" t="s">
        <v>209</v>
      </c>
      <c r="K212" s="587">
        <f>(F212*I212)</f>
        <v>1681.5</v>
      </c>
      <c r="M212" s="1118">
        <v>1.23</v>
      </c>
      <c r="N212" s="793" t="s">
        <v>140</v>
      </c>
      <c r="O212" s="793" t="s">
        <v>624</v>
      </c>
      <c r="P212" s="800">
        <f>D30</f>
        <v>287</v>
      </c>
      <c r="Q212" s="793" t="s">
        <v>140</v>
      </c>
      <c r="R212" s="800">
        <f t="shared" si="11"/>
        <v>353.01</v>
      </c>
    </row>
    <row r="213" spans="3:18" hidden="1">
      <c r="C213" s="575"/>
      <c r="D213" s="575"/>
      <c r="E213" s="575"/>
      <c r="F213" s="800">
        <v>14.1</v>
      </c>
      <c r="G213" s="798" t="s">
        <v>209</v>
      </c>
      <c r="H213" s="793" t="s">
        <v>147</v>
      </c>
      <c r="I213" s="587">
        <f>C13</f>
        <v>85</v>
      </c>
      <c r="J213" s="574" t="s">
        <v>209</v>
      </c>
      <c r="K213" s="587">
        <f>(F213*I213)</f>
        <v>1198.5</v>
      </c>
      <c r="M213" s="800">
        <v>2</v>
      </c>
      <c r="N213" s="793" t="s">
        <v>209</v>
      </c>
      <c r="O213" s="793" t="s">
        <v>625</v>
      </c>
      <c r="P213" s="800">
        <f>C283</f>
        <v>30</v>
      </c>
      <c r="Q213" s="793" t="s">
        <v>209</v>
      </c>
      <c r="R213" s="800">
        <f t="shared" si="11"/>
        <v>60</v>
      </c>
    </row>
    <row r="214" spans="3:18" hidden="1">
      <c r="C214" s="575"/>
      <c r="D214" s="575"/>
      <c r="E214" s="575"/>
      <c r="G214" s="798" t="s">
        <v>129</v>
      </c>
      <c r="H214" s="793" t="s">
        <v>130</v>
      </c>
      <c r="I214" s="575"/>
      <c r="J214" s="574" t="s">
        <v>129</v>
      </c>
      <c r="K214" s="587">
        <v>0</v>
      </c>
      <c r="M214" s="800">
        <v>3</v>
      </c>
      <c r="N214" s="793" t="s">
        <v>209</v>
      </c>
      <c r="O214" s="793" t="s">
        <v>626</v>
      </c>
      <c r="P214" s="800">
        <f>C278</f>
        <v>45</v>
      </c>
      <c r="Q214" s="793" t="s">
        <v>209</v>
      </c>
      <c r="R214" s="800">
        <f t="shared" si="11"/>
        <v>135</v>
      </c>
    </row>
    <row r="215" spans="3:18" hidden="1">
      <c r="C215" s="575"/>
      <c r="D215" s="575"/>
      <c r="E215" s="575"/>
      <c r="I215" s="575"/>
      <c r="J215" s="580"/>
      <c r="K215" s="582" t="s">
        <v>117</v>
      </c>
      <c r="M215" s="800">
        <v>1</v>
      </c>
      <c r="N215" s="793" t="s">
        <v>209</v>
      </c>
      <c r="O215" s="793" t="s">
        <v>627</v>
      </c>
      <c r="P215" s="800">
        <f>C285</f>
        <v>95</v>
      </c>
      <c r="Q215" s="793" t="s">
        <v>209</v>
      </c>
      <c r="R215" s="800">
        <f t="shared" si="11"/>
        <v>95</v>
      </c>
    </row>
    <row r="216" spans="3:18" hidden="1">
      <c r="C216" s="575"/>
      <c r="D216" s="575"/>
      <c r="E216" s="575"/>
      <c r="I216" s="575"/>
      <c r="J216" s="580"/>
      <c r="K216" s="587" t="e">
        <f>SUM(K209:K214)</f>
        <v>#REF!</v>
      </c>
      <c r="M216" s="800">
        <v>1</v>
      </c>
      <c r="N216" s="793" t="s">
        <v>209</v>
      </c>
      <c r="O216" s="793" t="s">
        <v>628</v>
      </c>
      <c r="P216" s="800">
        <f>C287</f>
        <v>8</v>
      </c>
      <c r="Q216" s="793" t="s">
        <v>209</v>
      </c>
      <c r="R216" s="800">
        <f t="shared" si="11"/>
        <v>8</v>
      </c>
    </row>
    <row r="217" spans="3:18" hidden="1">
      <c r="C217" s="575"/>
      <c r="D217" s="575"/>
      <c r="E217" s="575"/>
      <c r="H217" s="793" t="s">
        <v>455</v>
      </c>
      <c r="I217" s="575"/>
      <c r="J217" s="580"/>
      <c r="K217" s="582" t="s">
        <v>117</v>
      </c>
      <c r="M217" s="800">
        <v>1</v>
      </c>
      <c r="N217" s="793" t="s">
        <v>209</v>
      </c>
      <c r="O217" s="793" t="s">
        <v>1538</v>
      </c>
      <c r="P217" s="800">
        <f>C576</f>
        <v>30</v>
      </c>
      <c r="Q217" s="793" t="s">
        <v>209</v>
      </c>
      <c r="R217" s="800">
        <f t="shared" si="11"/>
        <v>30</v>
      </c>
    </row>
    <row r="218" spans="3:18" hidden="1">
      <c r="C218" s="575"/>
      <c r="D218" s="575"/>
      <c r="E218" s="575"/>
      <c r="I218" s="575"/>
      <c r="J218" s="580"/>
      <c r="K218" s="587" t="e">
        <f>(K216/10)</f>
        <v>#REF!</v>
      </c>
      <c r="M218" s="800">
        <v>1</v>
      </c>
      <c r="N218" s="793" t="s">
        <v>209</v>
      </c>
      <c r="O218" s="793" t="s">
        <v>630</v>
      </c>
      <c r="P218" s="800">
        <f>D576</f>
        <v>25</v>
      </c>
      <c r="Q218" s="793" t="s">
        <v>209</v>
      </c>
      <c r="R218" s="800">
        <f t="shared" si="11"/>
        <v>25</v>
      </c>
    </row>
    <row r="219" spans="3:18" hidden="1">
      <c r="C219" s="575"/>
      <c r="D219" s="575"/>
      <c r="E219" s="575"/>
      <c r="H219" s="793" t="s">
        <v>383</v>
      </c>
      <c r="I219" s="575"/>
      <c r="J219" s="580"/>
      <c r="K219" s="582" t="s">
        <v>155</v>
      </c>
      <c r="R219" s="796" t="s">
        <v>117</v>
      </c>
    </row>
    <row r="220" spans="3:18" hidden="1">
      <c r="C220" s="575"/>
      <c r="D220" s="575"/>
      <c r="E220" s="575"/>
      <c r="I220" s="575"/>
      <c r="J220" s="580"/>
      <c r="K220" s="575"/>
      <c r="O220" s="1098" t="s">
        <v>631</v>
      </c>
      <c r="R220" s="800">
        <f>SUM(R209:R218)</f>
        <v>2336.0136359999997</v>
      </c>
    </row>
    <row r="221" spans="3:18" hidden="1">
      <c r="C221" s="575"/>
      <c r="D221" s="575"/>
      <c r="E221" s="575"/>
      <c r="F221" s="1098" t="s">
        <v>632</v>
      </c>
      <c r="G221" s="798" t="s">
        <v>122</v>
      </c>
      <c r="H221" s="793" t="s">
        <v>633</v>
      </c>
      <c r="I221" s="575"/>
      <c r="J221" s="580"/>
      <c r="K221" s="575"/>
      <c r="N221" s="793" t="s">
        <v>115</v>
      </c>
      <c r="R221" s="796" t="s">
        <v>117</v>
      </c>
    </row>
    <row r="222" spans="3:18" hidden="1">
      <c r="C222" s="575"/>
      <c r="D222" s="575"/>
      <c r="E222" s="575"/>
      <c r="H222" s="793" t="s">
        <v>634</v>
      </c>
      <c r="I222" s="575"/>
      <c r="J222" s="580"/>
      <c r="K222" s="575"/>
      <c r="M222" s="793" t="s">
        <v>115</v>
      </c>
    </row>
    <row r="223" spans="3:18" hidden="1">
      <c r="C223" s="575"/>
      <c r="D223" s="575"/>
      <c r="E223" s="575"/>
      <c r="H223" s="796" t="s">
        <v>117</v>
      </c>
      <c r="I223" s="575"/>
      <c r="J223" s="580"/>
      <c r="K223" s="575"/>
      <c r="O223" s="1098" t="s">
        <v>154</v>
      </c>
      <c r="R223" s="800">
        <f>R220/M212</f>
        <v>1899.1980780487802</v>
      </c>
    </row>
    <row r="224" spans="3:18" hidden="1">
      <c r="C224" s="575"/>
      <c r="D224" s="575"/>
      <c r="E224" s="575"/>
      <c r="F224" s="800">
        <v>9</v>
      </c>
      <c r="G224" s="798" t="s">
        <v>126</v>
      </c>
      <c r="H224" s="793" t="s">
        <v>635</v>
      </c>
      <c r="I224" s="587" t="e">
        <f>AC20</f>
        <v>#REF!</v>
      </c>
      <c r="J224" s="574" t="s">
        <v>126</v>
      </c>
      <c r="K224" s="587" t="e">
        <f>(F224*I224)</f>
        <v>#REF!</v>
      </c>
      <c r="M224" s="793" t="s">
        <v>636</v>
      </c>
    </row>
    <row r="225" spans="3:11" hidden="1">
      <c r="C225" s="575"/>
      <c r="D225" s="575"/>
      <c r="E225" s="575"/>
      <c r="F225" s="800">
        <v>4.5</v>
      </c>
      <c r="G225" s="798" t="s">
        <v>126</v>
      </c>
      <c r="H225" s="793" t="s">
        <v>138</v>
      </c>
      <c r="I225" s="587" t="e">
        <f>K77</f>
        <v>#REF!</v>
      </c>
      <c r="J225" s="574" t="s">
        <v>126</v>
      </c>
      <c r="K225" s="587" t="e">
        <f>(F225*I225)</f>
        <v>#REF!</v>
      </c>
    </row>
    <row r="226" spans="3:11" hidden="1">
      <c r="C226" s="575"/>
      <c r="D226" s="575"/>
      <c r="E226" s="575"/>
      <c r="F226" s="800">
        <v>1.8</v>
      </c>
      <c r="G226" s="798" t="s">
        <v>209</v>
      </c>
      <c r="H226" s="793" t="s">
        <v>145</v>
      </c>
      <c r="I226" s="587">
        <f>C11</f>
        <v>135</v>
      </c>
      <c r="J226" s="574" t="s">
        <v>209</v>
      </c>
      <c r="K226" s="587">
        <f>(F226*I226)</f>
        <v>243</v>
      </c>
    </row>
    <row r="227" spans="3:11" hidden="1">
      <c r="C227" s="575"/>
      <c r="D227" s="575"/>
      <c r="E227" s="575"/>
      <c r="F227" s="800">
        <v>17.7</v>
      </c>
      <c r="G227" s="798" t="s">
        <v>209</v>
      </c>
      <c r="H227" s="793" t="s">
        <v>146</v>
      </c>
      <c r="I227" s="587">
        <f>C12</f>
        <v>95</v>
      </c>
      <c r="J227" s="574" t="s">
        <v>209</v>
      </c>
      <c r="K227" s="587">
        <f>(F227*I227)</f>
        <v>1681.5</v>
      </c>
    </row>
    <row r="228" spans="3:11" hidden="1">
      <c r="C228" s="575"/>
      <c r="D228" s="575"/>
      <c r="E228" s="575"/>
      <c r="F228" s="800">
        <v>14.1</v>
      </c>
      <c r="G228" s="798" t="s">
        <v>209</v>
      </c>
      <c r="H228" s="793" t="s">
        <v>147</v>
      </c>
      <c r="I228" s="587">
        <f>C13</f>
        <v>85</v>
      </c>
      <c r="J228" s="574" t="s">
        <v>209</v>
      </c>
      <c r="K228" s="587">
        <f>(F228*I228)</f>
        <v>1198.5</v>
      </c>
    </row>
    <row r="229" spans="3:11" hidden="1">
      <c r="C229" s="575"/>
      <c r="D229" s="575"/>
      <c r="E229" s="575"/>
      <c r="G229" s="798" t="s">
        <v>129</v>
      </c>
      <c r="H229" s="793" t="s">
        <v>130</v>
      </c>
      <c r="I229" s="575"/>
      <c r="J229" s="574" t="s">
        <v>129</v>
      </c>
      <c r="K229" s="587">
        <v>0</v>
      </c>
    </row>
    <row r="230" spans="3:11" hidden="1">
      <c r="C230" s="575"/>
      <c r="D230" s="575"/>
      <c r="E230" s="575"/>
      <c r="I230" s="575"/>
      <c r="J230" s="580"/>
      <c r="K230" s="582" t="s">
        <v>117</v>
      </c>
    </row>
    <row r="231" spans="3:11" hidden="1">
      <c r="C231" s="575"/>
      <c r="D231" s="575"/>
      <c r="E231" s="575"/>
      <c r="I231" s="575"/>
      <c r="J231" s="580"/>
      <c r="K231" s="587" t="e">
        <f>SUM(K224:K229)</f>
        <v>#REF!</v>
      </c>
    </row>
    <row r="232" spans="3:11" hidden="1">
      <c r="C232" s="575"/>
      <c r="D232" s="575"/>
      <c r="E232" s="575"/>
      <c r="H232" s="793" t="s">
        <v>455</v>
      </c>
      <c r="I232" s="575"/>
      <c r="J232" s="580"/>
      <c r="K232" s="582" t="s">
        <v>117</v>
      </c>
    </row>
    <row r="233" spans="3:11" hidden="1">
      <c r="C233" s="575"/>
      <c r="D233" s="575"/>
      <c r="E233" s="575"/>
      <c r="I233" s="575"/>
      <c r="J233" s="580"/>
      <c r="K233" s="587" t="e">
        <f>(K231/10)</f>
        <v>#REF!</v>
      </c>
    </row>
    <row r="234" spans="3:11" hidden="1">
      <c r="C234" s="575"/>
      <c r="D234" s="575"/>
      <c r="E234" s="575"/>
      <c r="H234" s="793" t="s">
        <v>383</v>
      </c>
      <c r="I234" s="575"/>
      <c r="J234" s="580"/>
      <c r="K234" s="582" t="s">
        <v>155</v>
      </c>
    </row>
    <row r="235" spans="3:11" hidden="1">
      <c r="C235" s="575"/>
      <c r="D235" s="575"/>
      <c r="E235" s="575"/>
      <c r="I235" s="575"/>
      <c r="J235" s="580"/>
      <c r="K235" s="575"/>
    </row>
    <row r="236" spans="3:11" hidden="1">
      <c r="C236" s="575"/>
      <c r="D236" s="575"/>
      <c r="E236" s="575"/>
      <c r="I236" s="575"/>
      <c r="J236" s="580"/>
      <c r="K236" s="575"/>
    </row>
    <row r="237" spans="3:11" hidden="1">
      <c r="C237" s="575"/>
      <c r="D237" s="575"/>
      <c r="E237" s="575"/>
      <c r="F237" s="1109">
        <v>3.6</v>
      </c>
      <c r="H237" s="793" t="s">
        <v>640</v>
      </c>
      <c r="I237" s="575"/>
      <c r="J237" s="580"/>
      <c r="K237" s="575"/>
    </row>
    <row r="238" spans="3:11" hidden="1">
      <c r="C238" s="575"/>
      <c r="D238" s="575"/>
      <c r="E238" s="575"/>
      <c r="H238" s="793" t="s">
        <v>641</v>
      </c>
      <c r="I238" s="575"/>
      <c r="J238" s="580"/>
      <c r="K238" s="575"/>
    </row>
    <row r="239" spans="3:11" hidden="1">
      <c r="C239" s="575"/>
      <c r="D239" s="575"/>
      <c r="E239" s="575"/>
      <c r="H239" s="796" t="s">
        <v>155</v>
      </c>
      <c r="I239" s="575"/>
      <c r="J239" s="580"/>
      <c r="K239" s="575"/>
    </row>
    <row r="240" spans="3:11" hidden="1">
      <c r="C240" s="575"/>
      <c r="D240" s="575"/>
      <c r="E240" s="575"/>
      <c r="F240" s="800">
        <v>1.25</v>
      </c>
      <c r="G240" s="798" t="s">
        <v>642</v>
      </c>
      <c r="H240" s="793" t="s">
        <v>643</v>
      </c>
      <c r="I240" s="587">
        <f>C783</f>
        <v>3.05</v>
      </c>
      <c r="J240" s="574" t="s">
        <v>642</v>
      </c>
      <c r="K240" s="587">
        <f>(F240*I240)</f>
        <v>3.8125</v>
      </c>
    </row>
    <row r="241" spans="3:11" hidden="1">
      <c r="C241" s="575"/>
      <c r="D241" s="575"/>
      <c r="E241" s="575"/>
      <c r="F241" s="800">
        <v>0.75</v>
      </c>
      <c r="G241" s="798" t="s">
        <v>642</v>
      </c>
      <c r="H241" s="793" t="s">
        <v>3199</v>
      </c>
      <c r="I241" s="587" t="e">
        <f>AC37</f>
        <v>#REF!</v>
      </c>
      <c r="J241" s="574" t="s">
        <v>642</v>
      </c>
      <c r="K241" s="587" t="e">
        <f>(F241*I241)</f>
        <v>#REF!</v>
      </c>
    </row>
    <row r="242" spans="3:11" hidden="1">
      <c r="C242" s="575"/>
      <c r="D242" s="575"/>
      <c r="E242" s="575"/>
      <c r="F242" s="800">
        <v>0.5</v>
      </c>
      <c r="G242" s="798" t="s">
        <v>642</v>
      </c>
      <c r="H242" s="793" t="s">
        <v>645</v>
      </c>
      <c r="I242" s="587" t="e">
        <f>AC36</f>
        <v>#REF!</v>
      </c>
      <c r="J242" s="574" t="s">
        <v>642</v>
      </c>
      <c r="K242" s="587" t="e">
        <f>(F242*I242)</f>
        <v>#REF!</v>
      </c>
    </row>
    <row r="243" spans="3:11" hidden="1">
      <c r="C243" s="575"/>
      <c r="D243" s="575"/>
      <c r="E243" s="575"/>
      <c r="F243" s="800">
        <v>0.45</v>
      </c>
      <c r="G243" s="798" t="s">
        <v>642</v>
      </c>
      <c r="H243" s="793" t="s">
        <v>646</v>
      </c>
      <c r="I243" s="587">
        <f>AC38</f>
        <v>169</v>
      </c>
      <c r="J243" s="574" t="s">
        <v>642</v>
      </c>
      <c r="K243" s="587">
        <f>(F243*I243)</f>
        <v>76.05</v>
      </c>
    </row>
    <row r="244" spans="3:11" hidden="1">
      <c r="C244" s="575"/>
      <c r="D244" s="575"/>
      <c r="E244" s="575"/>
      <c r="F244" s="800">
        <v>10</v>
      </c>
      <c r="G244" s="798" t="s">
        <v>110</v>
      </c>
      <c r="H244" s="793" t="s">
        <v>647</v>
      </c>
      <c r="I244" s="587">
        <v>17.82</v>
      </c>
      <c r="J244" s="574" t="s">
        <v>110</v>
      </c>
      <c r="K244" s="587">
        <f>(F244*I244)</f>
        <v>178.2</v>
      </c>
    </row>
    <row r="245" spans="3:11" hidden="1">
      <c r="C245" s="575"/>
      <c r="D245" s="575"/>
      <c r="E245" s="575"/>
      <c r="H245" s="793" t="s">
        <v>648</v>
      </c>
      <c r="I245" s="575"/>
      <c r="J245" s="580"/>
      <c r="K245" s="582" t="s">
        <v>117</v>
      </c>
    </row>
    <row r="246" spans="3:11" hidden="1">
      <c r="C246" s="575"/>
      <c r="D246" s="575"/>
      <c r="E246" s="575"/>
      <c r="H246" s="793" t="s">
        <v>649</v>
      </c>
      <c r="I246" s="575"/>
      <c r="J246" s="580"/>
      <c r="K246" s="587" t="e">
        <f>SUM(K240:K244)</f>
        <v>#REF!</v>
      </c>
    </row>
    <row r="247" spans="3:11" hidden="1">
      <c r="C247" s="575"/>
      <c r="D247" s="575"/>
      <c r="E247" s="575"/>
      <c r="I247" s="575"/>
      <c r="J247" s="580"/>
      <c r="K247" s="582" t="s">
        <v>117</v>
      </c>
    </row>
    <row r="248" spans="3:11" hidden="1">
      <c r="C248" s="575"/>
      <c r="D248" s="575"/>
      <c r="E248" s="575"/>
      <c r="H248" s="793" t="s">
        <v>650</v>
      </c>
      <c r="I248" s="575"/>
      <c r="J248" s="580"/>
      <c r="K248" s="587" t="e">
        <f>K246/10</f>
        <v>#REF!</v>
      </c>
    </row>
    <row r="249" spans="3:11" hidden="1">
      <c r="C249" s="575"/>
      <c r="D249" s="575"/>
      <c r="E249" s="575"/>
      <c r="I249" s="575"/>
      <c r="J249" s="580"/>
      <c r="K249" s="582" t="s">
        <v>155</v>
      </c>
    </row>
    <row r="250" spans="3:11" hidden="1">
      <c r="C250" s="575"/>
      <c r="D250" s="575"/>
      <c r="E250" s="575"/>
      <c r="I250" s="575"/>
      <c r="J250" s="580"/>
      <c r="K250" s="575"/>
    </row>
    <row r="251" spans="3:11" hidden="1">
      <c r="C251" s="575"/>
      <c r="D251" s="575"/>
      <c r="E251" s="575"/>
      <c r="F251" s="1109">
        <v>3.7</v>
      </c>
      <c r="H251" s="793" t="s">
        <v>651</v>
      </c>
      <c r="I251" s="575"/>
      <c r="J251" s="580"/>
      <c r="K251" s="575"/>
    </row>
    <row r="252" spans="3:11" hidden="1">
      <c r="C252" s="575"/>
      <c r="D252" s="575"/>
      <c r="E252" s="575"/>
      <c r="H252" s="796" t="s">
        <v>117</v>
      </c>
      <c r="I252" s="575"/>
      <c r="J252" s="580"/>
      <c r="K252" s="575"/>
    </row>
    <row r="253" spans="3:11" hidden="1">
      <c r="C253" s="575"/>
      <c r="D253" s="575"/>
      <c r="E253" s="575"/>
      <c r="F253" s="800">
        <v>2.7</v>
      </c>
      <c r="G253" s="798" t="s">
        <v>642</v>
      </c>
      <c r="H253" s="793" t="s">
        <v>652</v>
      </c>
      <c r="I253" s="587" t="e">
        <f>AC35</f>
        <v>#REF!</v>
      </c>
      <c r="J253" s="574" t="s">
        <v>642</v>
      </c>
      <c r="K253" s="587" t="e">
        <f>(F253*I253)</f>
        <v>#REF!</v>
      </c>
    </row>
    <row r="254" spans="3:11" hidden="1">
      <c r="C254" s="575"/>
      <c r="D254" s="575"/>
      <c r="E254" s="575"/>
      <c r="F254" s="1119">
        <v>0.14499999999999999</v>
      </c>
      <c r="G254" s="798" t="s">
        <v>642</v>
      </c>
      <c r="H254" s="793" t="s">
        <v>653</v>
      </c>
      <c r="I254" s="587" t="e">
        <f>AC17</f>
        <v>#REF!</v>
      </c>
      <c r="J254" s="574" t="s">
        <v>642</v>
      </c>
      <c r="K254" s="587" t="e">
        <f>(F254*I254)</f>
        <v>#REF!</v>
      </c>
    </row>
    <row r="255" spans="3:11" hidden="1">
      <c r="C255" s="575"/>
      <c r="D255" s="575"/>
      <c r="E255" s="575"/>
      <c r="F255" s="800">
        <v>218.8</v>
      </c>
      <c r="G255" s="798" t="s">
        <v>654</v>
      </c>
      <c r="H255" s="793" t="s">
        <v>655</v>
      </c>
      <c r="I255" s="587">
        <v>12224.58</v>
      </c>
      <c r="J255" s="574" t="s">
        <v>654</v>
      </c>
      <c r="K255" s="587">
        <f>(F255*I255)/1000</f>
        <v>2674.7381040000005</v>
      </c>
    </row>
    <row r="256" spans="3:11" hidden="1">
      <c r="C256" s="575"/>
      <c r="D256" s="575"/>
      <c r="E256" s="575"/>
      <c r="F256" s="800">
        <v>100</v>
      </c>
      <c r="G256" s="798" t="s">
        <v>110</v>
      </c>
      <c r="H256" s="793" t="s">
        <v>656</v>
      </c>
      <c r="I256" s="587">
        <v>14.3</v>
      </c>
      <c r="J256" s="574" t="s">
        <v>110</v>
      </c>
      <c r="K256" s="587">
        <f>(F256*I256)</f>
        <v>1430</v>
      </c>
    </row>
    <row r="257" spans="1:33" hidden="1">
      <c r="C257" s="575"/>
      <c r="D257" s="575"/>
      <c r="E257" s="575"/>
      <c r="I257" s="575"/>
      <c r="J257" s="580"/>
      <c r="K257" s="582" t="s">
        <v>117</v>
      </c>
    </row>
    <row r="258" spans="1:33" hidden="1">
      <c r="C258" s="575"/>
      <c r="D258" s="575"/>
      <c r="E258" s="575"/>
      <c r="H258" s="793" t="s">
        <v>657</v>
      </c>
      <c r="I258" s="575"/>
      <c r="J258" s="580"/>
      <c r="K258" s="587" t="e">
        <f>SUM(K253:K256)</f>
        <v>#REF!</v>
      </c>
    </row>
    <row r="259" spans="1:33" hidden="1">
      <c r="C259" s="575"/>
      <c r="D259" s="575"/>
      <c r="E259" s="575"/>
      <c r="I259" s="575"/>
      <c r="J259" s="580"/>
      <c r="K259" s="582" t="s">
        <v>117</v>
      </c>
    </row>
    <row r="260" spans="1:33" hidden="1">
      <c r="C260" s="575"/>
      <c r="D260" s="575"/>
      <c r="E260" s="575"/>
      <c r="H260" s="793" t="s">
        <v>650</v>
      </c>
      <c r="I260" s="575"/>
      <c r="J260" s="580"/>
      <c r="K260" s="587" t="e">
        <f>K258/100</f>
        <v>#REF!</v>
      </c>
    </row>
    <row r="261" spans="1:33" hidden="1">
      <c r="C261" s="575"/>
      <c r="D261" s="575"/>
      <c r="E261" s="575"/>
      <c r="F261" s="793" t="s">
        <v>115</v>
      </c>
      <c r="G261" s="798" t="s">
        <v>115</v>
      </c>
      <c r="I261" s="575"/>
      <c r="J261" s="580"/>
      <c r="K261" s="582" t="s">
        <v>155</v>
      </c>
    </row>
    <row r="262" spans="1:33" hidden="1">
      <c r="C262" s="575"/>
      <c r="D262" s="575"/>
      <c r="E262" s="575"/>
      <c r="I262" s="575"/>
      <c r="J262" s="580"/>
      <c r="K262" s="575"/>
    </row>
    <row r="263" spans="1:33" hidden="1">
      <c r="C263" s="575"/>
      <c r="D263" s="575"/>
      <c r="E263" s="575"/>
      <c r="I263" s="575"/>
      <c r="J263" s="580"/>
      <c r="K263" s="575"/>
    </row>
    <row r="264" spans="1:33" hidden="1">
      <c r="A264" s="1103">
        <f>(A205+1)</f>
        <v>105</v>
      </c>
      <c r="B264" s="793" t="s">
        <v>3200</v>
      </c>
      <c r="C264" s="587">
        <v>50.5</v>
      </c>
      <c r="D264" s="573" t="s">
        <v>1</v>
      </c>
      <c r="E264" s="575"/>
      <c r="F264" s="1098" t="s">
        <v>659</v>
      </c>
      <c r="H264" s="793" t="s">
        <v>660</v>
      </c>
      <c r="I264" s="575"/>
      <c r="J264" s="580"/>
      <c r="K264" s="575"/>
      <c r="N264" s="793" t="s">
        <v>558</v>
      </c>
      <c r="O264" s="793" t="s">
        <v>661</v>
      </c>
      <c r="AG264" s="793" t="s">
        <v>849</v>
      </c>
    </row>
    <row r="265" spans="1:33" hidden="1">
      <c r="A265" s="1103">
        <f t="shared" ref="A265:A279" si="12">(A264+1)</f>
        <v>106</v>
      </c>
      <c r="B265" s="793" t="s">
        <v>3201</v>
      </c>
      <c r="C265" s="587">
        <v>115</v>
      </c>
      <c r="D265" s="573" t="s">
        <v>1</v>
      </c>
      <c r="E265" s="575"/>
      <c r="H265" s="796" t="s">
        <v>155</v>
      </c>
      <c r="I265" s="575"/>
      <c r="J265" s="580"/>
      <c r="K265" s="575"/>
      <c r="O265" s="796" t="s">
        <v>117</v>
      </c>
      <c r="AG265" s="793" t="s">
        <v>849</v>
      </c>
    </row>
    <row r="266" spans="1:33" hidden="1">
      <c r="A266" s="1103">
        <f t="shared" si="12"/>
        <v>107</v>
      </c>
      <c r="B266" s="793" t="s">
        <v>3202</v>
      </c>
      <c r="C266" s="587">
        <v>63</v>
      </c>
      <c r="D266" s="587">
        <v>90</v>
      </c>
      <c r="E266" s="575"/>
      <c r="G266" s="798" t="s">
        <v>122</v>
      </c>
      <c r="H266" s="793" t="s">
        <v>664</v>
      </c>
      <c r="I266" s="575"/>
      <c r="J266" s="580"/>
      <c r="K266" s="575"/>
      <c r="M266" s="800">
        <v>1.1399999999999999</v>
      </c>
      <c r="N266" s="793" t="s">
        <v>126</v>
      </c>
      <c r="O266" s="793" t="s">
        <v>591</v>
      </c>
      <c r="P266" s="800" t="e">
        <f>(K419)</f>
        <v>#REF!</v>
      </c>
      <c r="Q266" s="793" t="s">
        <v>209</v>
      </c>
      <c r="R266" s="800" t="e">
        <f>(M266*P266)</f>
        <v>#REF!</v>
      </c>
      <c r="AG266" s="793" t="s">
        <v>849</v>
      </c>
    </row>
    <row r="267" spans="1:33" hidden="1">
      <c r="A267" s="1103">
        <f t="shared" si="12"/>
        <v>108</v>
      </c>
      <c r="B267" s="793" t="s">
        <v>3203</v>
      </c>
      <c r="C267" s="587">
        <v>10705</v>
      </c>
      <c r="D267" s="573" t="s">
        <v>126</v>
      </c>
      <c r="E267" s="575"/>
      <c r="H267" s="793" t="s">
        <v>666</v>
      </c>
      <c r="I267" s="575"/>
      <c r="J267" s="580"/>
      <c r="K267" s="575"/>
      <c r="M267" s="800">
        <v>1</v>
      </c>
      <c r="N267" s="793" t="s">
        <v>1</v>
      </c>
      <c r="O267" s="793" t="s">
        <v>144</v>
      </c>
      <c r="P267" s="800">
        <f>(C10)</f>
        <v>150</v>
      </c>
      <c r="Q267" s="793" t="s">
        <v>209</v>
      </c>
      <c r="R267" s="800">
        <f>(M267*P267)</f>
        <v>150</v>
      </c>
      <c r="AG267" s="793" t="s">
        <v>849</v>
      </c>
    </row>
    <row r="268" spans="1:33" hidden="1">
      <c r="A268" s="1103">
        <f t="shared" si="12"/>
        <v>109</v>
      </c>
      <c r="B268" s="793" t="s">
        <v>3204</v>
      </c>
      <c r="C268" s="587">
        <v>9395</v>
      </c>
      <c r="D268" s="573" t="s">
        <v>126</v>
      </c>
      <c r="E268" s="575"/>
      <c r="H268" s="796" t="s">
        <v>117</v>
      </c>
      <c r="I268" s="575"/>
      <c r="J268" s="580"/>
      <c r="K268" s="575"/>
      <c r="N268" s="793" t="s">
        <v>129</v>
      </c>
      <c r="O268" s="793" t="s">
        <v>130</v>
      </c>
      <c r="P268" s="793" t="s">
        <v>115</v>
      </c>
      <c r="Q268" s="793" t="s">
        <v>129</v>
      </c>
      <c r="R268" s="800">
        <v>0.05</v>
      </c>
      <c r="AG268" s="793" t="s">
        <v>849</v>
      </c>
    </row>
    <row r="269" spans="1:33" hidden="1">
      <c r="A269" s="1103">
        <f t="shared" si="12"/>
        <v>110</v>
      </c>
      <c r="B269" s="793" t="s">
        <v>3205</v>
      </c>
      <c r="C269" s="587">
        <v>15</v>
      </c>
      <c r="D269" s="573" t="s">
        <v>1</v>
      </c>
      <c r="E269" s="575"/>
      <c r="F269" s="800">
        <v>9</v>
      </c>
      <c r="G269" s="798" t="s">
        <v>126</v>
      </c>
      <c r="H269" s="793" t="s">
        <v>669</v>
      </c>
      <c r="I269" s="587" t="e">
        <f>(C73)</f>
        <v>#REF!</v>
      </c>
      <c r="J269" s="574" t="s">
        <v>126</v>
      </c>
      <c r="K269" s="587" t="e">
        <f t="shared" ref="K269:K274" si="13">(F269*I269)</f>
        <v>#REF!</v>
      </c>
      <c r="R269" s="796" t="s">
        <v>117</v>
      </c>
      <c r="AG269" s="793" t="s">
        <v>849</v>
      </c>
    </row>
    <row r="270" spans="1:33" hidden="1">
      <c r="A270" s="1103">
        <f t="shared" si="12"/>
        <v>111</v>
      </c>
      <c r="B270" s="793" t="s">
        <v>1801</v>
      </c>
      <c r="C270" s="587">
        <v>35</v>
      </c>
      <c r="D270" s="573" t="s">
        <v>148</v>
      </c>
      <c r="E270" s="612">
        <v>120</v>
      </c>
      <c r="F270" s="1108">
        <v>3.2309999999999999</v>
      </c>
      <c r="G270" s="798" t="s">
        <v>124</v>
      </c>
      <c r="H270" s="793" t="s">
        <v>125</v>
      </c>
      <c r="I270" s="587">
        <f>(C67)</f>
        <v>3800</v>
      </c>
      <c r="J270" s="574" t="s">
        <v>124</v>
      </c>
      <c r="K270" s="587">
        <f t="shared" si="13"/>
        <v>12277.8</v>
      </c>
      <c r="O270" s="793" t="s">
        <v>153</v>
      </c>
      <c r="R270" s="800" t="e">
        <f>SUM(R266:R268)</f>
        <v>#REF!</v>
      </c>
      <c r="AG270" s="793" t="s">
        <v>849</v>
      </c>
    </row>
    <row r="271" spans="1:33" hidden="1">
      <c r="A271" s="1103">
        <f t="shared" si="12"/>
        <v>112</v>
      </c>
      <c r="B271" s="793" t="s">
        <v>3206</v>
      </c>
      <c r="C271" s="587">
        <v>160</v>
      </c>
      <c r="D271" s="587">
        <v>452.09</v>
      </c>
      <c r="E271" s="575"/>
      <c r="F271" s="800">
        <v>4.5</v>
      </c>
      <c r="G271" s="798" t="s">
        <v>126</v>
      </c>
      <c r="H271" s="793" t="s">
        <v>127</v>
      </c>
      <c r="I271" s="587" t="e">
        <f>(C78)</f>
        <v>#REF!</v>
      </c>
      <c r="J271" s="574" t="s">
        <v>126</v>
      </c>
      <c r="K271" s="587" t="e">
        <f t="shared" si="13"/>
        <v>#REF!</v>
      </c>
      <c r="R271" s="796" t="s">
        <v>117</v>
      </c>
      <c r="AG271" s="793" t="s">
        <v>849</v>
      </c>
    </row>
    <row r="272" spans="1:33" hidden="1">
      <c r="A272" s="1103">
        <f t="shared" si="12"/>
        <v>113</v>
      </c>
      <c r="B272" s="793" t="s">
        <v>3207</v>
      </c>
      <c r="C272" s="587">
        <v>13.5</v>
      </c>
      <c r="D272" s="573" t="s">
        <v>203</v>
      </c>
      <c r="E272" s="575"/>
      <c r="F272" s="800">
        <v>3.5</v>
      </c>
      <c r="G272" s="798" t="s">
        <v>209</v>
      </c>
      <c r="H272" s="793" t="s">
        <v>145</v>
      </c>
      <c r="I272" s="587">
        <f>(C11)</f>
        <v>135</v>
      </c>
      <c r="J272" s="574" t="s">
        <v>209</v>
      </c>
      <c r="K272" s="587">
        <f t="shared" si="13"/>
        <v>472.5</v>
      </c>
      <c r="O272" s="793" t="s">
        <v>154</v>
      </c>
      <c r="R272" s="800" t="e">
        <f>(R270/10)</f>
        <v>#REF!</v>
      </c>
      <c r="AG272" s="793" t="s">
        <v>849</v>
      </c>
    </row>
    <row r="273" spans="1:33" hidden="1">
      <c r="A273" s="1103">
        <f t="shared" si="12"/>
        <v>114</v>
      </c>
      <c r="B273" s="793" t="s">
        <v>3208</v>
      </c>
      <c r="C273" s="587">
        <v>18.809999999999999</v>
      </c>
      <c r="D273" s="573" t="s">
        <v>1</v>
      </c>
      <c r="E273" s="575"/>
      <c r="F273" s="800">
        <v>21.2</v>
      </c>
      <c r="G273" s="798" t="s">
        <v>209</v>
      </c>
      <c r="H273" s="793" t="s">
        <v>146</v>
      </c>
      <c r="I273" s="587">
        <f>(C12)</f>
        <v>95</v>
      </c>
      <c r="J273" s="574" t="s">
        <v>209</v>
      </c>
      <c r="K273" s="587">
        <f t="shared" si="13"/>
        <v>2014</v>
      </c>
      <c r="R273" s="796" t="s">
        <v>155</v>
      </c>
      <c r="AG273" s="793" t="s">
        <v>849</v>
      </c>
    </row>
    <row r="274" spans="1:33" hidden="1">
      <c r="A274" s="1103">
        <f t="shared" si="12"/>
        <v>115</v>
      </c>
      <c r="B274" s="793" t="s">
        <v>3209</v>
      </c>
      <c r="C274" s="587">
        <v>14.15</v>
      </c>
      <c r="D274" s="573" t="s">
        <v>1</v>
      </c>
      <c r="E274" s="575"/>
      <c r="F274" s="800">
        <v>35.299999999999997</v>
      </c>
      <c r="G274" s="798" t="s">
        <v>209</v>
      </c>
      <c r="H274" s="793" t="s">
        <v>147</v>
      </c>
      <c r="I274" s="587">
        <f>(C13)</f>
        <v>85</v>
      </c>
      <c r="J274" s="574" t="s">
        <v>209</v>
      </c>
      <c r="K274" s="587">
        <f t="shared" si="13"/>
        <v>3000.4999999999995</v>
      </c>
      <c r="N274" s="793" t="s">
        <v>675</v>
      </c>
      <c r="O274" s="793" t="s">
        <v>482</v>
      </c>
      <c r="R274" s="800" t="e">
        <f>(R272+C19/10*M266)</f>
        <v>#REF!</v>
      </c>
      <c r="AG274" s="793" t="s">
        <v>849</v>
      </c>
    </row>
    <row r="275" spans="1:33" hidden="1">
      <c r="A275" s="1103">
        <f t="shared" si="12"/>
        <v>116</v>
      </c>
      <c r="B275" s="793" t="s">
        <v>676</v>
      </c>
      <c r="C275" s="587">
        <v>16.440000000000001</v>
      </c>
      <c r="D275" s="573" t="s">
        <v>1</v>
      </c>
      <c r="E275" s="575"/>
      <c r="G275" s="798" t="s">
        <v>129</v>
      </c>
      <c r="H275" s="793" t="s">
        <v>130</v>
      </c>
      <c r="I275" s="573" t="s">
        <v>115</v>
      </c>
      <c r="J275" s="574" t="s">
        <v>129</v>
      </c>
      <c r="K275" s="587">
        <v>0</v>
      </c>
      <c r="N275" s="793" t="s">
        <v>677</v>
      </c>
      <c r="O275" s="793" t="s">
        <v>486</v>
      </c>
      <c r="R275" s="800" t="e">
        <f>(R274+C20/10*M266)</f>
        <v>#REF!</v>
      </c>
      <c r="AG275" s="793" t="s">
        <v>849</v>
      </c>
    </row>
    <row r="276" spans="1:33" hidden="1">
      <c r="A276" s="1103">
        <f t="shared" si="12"/>
        <v>117</v>
      </c>
      <c r="B276" s="793" t="s">
        <v>3210</v>
      </c>
      <c r="C276" s="587">
        <v>8</v>
      </c>
      <c r="D276" s="587">
        <v>6.25</v>
      </c>
      <c r="E276" s="575"/>
      <c r="I276" s="575"/>
      <c r="J276" s="580"/>
      <c r="K276" s="582" t="s">
        <v>117</v>
      </c>
      <c r="N276" s="793" t="s">
        <v>679</v>
      </c>
      <c r="O276" s="793" t="s">
        <v>489</v>
      </c>
      <c r="R276" s="800" t="e">
        <f>(R275+C21/10*M266)</f>
        <v>#REF!</v>
      </c>
      <c r="AG276" s="793" t="s">
        <v>849</v>
      </c>
    </row>
    <row r="277" spans="1:33" hidden="1">
      <c r="A277" s="1103">
        <f t="shared" si="12"/>
        <v>118</v>
      </c>
      <c r="B277" s="793" t="s">
        <v>3211</v>
      </c>
      <c r="C277" s="587">
        <v>170.39</v>
      </c>
      <c r="D277" s="573" t="s">
        <v>140</v>
      </c>
      <c r="E277" s="575"/>
      <c r="H277" s="793" t="s">
        <v>681</v>
      </c>
      <c r="I277" s="575"/>
      <c r="J277" s="580"/>
      <c r="K277" s="587" t="e">
        <f>SUM(K269:K275)</f>
        <v>#REF!</v>
      </c>
      <c r="N277" s="793" t="s">
        <v>682</v>
      </c>
      <c r="O277" s="793" t="s">
        <v>491</v>
      </c>
      <c r="R277" s="800" t="e">
        <f>(R276+C21/10*M266)</f>
        <v>#REF!</v>
      </c>
      <c r="AG277" s="793" t="s">
        <v>849</v>
      </c>
    </row>
    <row r="278" spans="1:33" hidden="1">
      <c r="A278" s="1103">
        <f t="shared" si="12"/>
        <v>119</v>
      </c>
      <c r="B278" s="793" t="s">
        <v>3212</v>
      </c>
      <c r="C278" s="587">
        <v>45</v>
      </c>
      <c r="D278" s="573" t="s">
        <v>1</v>
      </c>
      <c r="E278" s="575"/>
      <c r="I278" s="575"/>
      <c r="J278" s="580"/>
      <c r="K278" s="582" t="s">
        <v>117</v>
      </c>
      <c r="AG278" s="793" t="s">
        <v>849</v>
      </c>
    </row>
    <row r="279" spans="1:33" hidden="1">
      <c r="A279" s="1103">
        <f t="shared" si="12"/>
        <v>120</v>
      </c>
      <c r="B279" s="793" t="s">
        <v>3213</v>
      </c>
      <c r="C279" s="587">
        <v>31.24</v>
      </c>
      <c r="D279" s="573" t="s">
        <v>1</v>
      </c>
      <c r="E279" s="575"/>
      <c r="H279" s="793" t="s">
        <v>383</v>
      </c>
      <c r="I279" s="575"/>
      <c r="J279" s="580"/>
      <c r="K279" s="587" t="e">
        <f>(K277/10)</f>
        <v>#REF!</v>
      </c>
      <c r="N279" s="793" t="s">
        <v>558</v>
      </c>
      <c r="O279" s="793" t="s">
        <v>685</v>
      </c>
      <c r="R279" s="793" t="s">
        <v>115</v>
      </c>
      <c r="AG279" s="793" t="s">
        <v>849</v>
      </c>
    </row>
    <row r="280" spans="1:33" hidden="1">
      <c r="C280" s="575"/>
      <c r="D280" s="575"/>
      <c r="E280" s="575"/>
      <c r="F280" s="793" t="s">
        <v>115</v>
      </c>
      <c r="I280" s="575"/>
      <c r="J280" s="580"/>
      <c r="K280" s="575"/>
    </row>
    <row r="281" spans="1:33" hidden="1">
      <c r="A281" s="1103">
        <f>(A279+1)</f>
        <v>121</v>
      </c>
      <c r="B281" s="793" t="s">
        <v>3214</v>
      </c>
      <c r="C281" s="587">
        <v>25</v>
      </c>
      <c r="D281" s="573" t="s">
        <v>1</v>
      </c>
      <c r="E281" s="575"/>
      <c r="I281" s="575"/>
      <c r="J281" s="580"/>
      <c r="K281" s="575"/>
      <c r="O281" s="793" t="s">
        <v>687</v>
      </c>
      <c r="AG281" s="793" t="s">
        <v>849</v>
      </c>
    </row>
    <row r="282" spans="1:33" hidden="1">
      <c r="A282" s="1103">
        <f t="shared" ref="A282:A345" si="14">(A281+1)</f>
        <v>122</v>
      </c>
      <c r="B282" s="793" t="s">
        <v>3215</v>
      </c>
      <c r="C282" s="587">
        <v>13</v>
      </c>
      <c r="D282" s="573" t="s">
        <v>1</v>
      </c>
      <c r="E282" s="575"/>
      <c r="F282" s="800">
        <v>1</v>
      </c>
      <c r="G282" s="798" t="s">
        <v>126</v>
      </c>
      <c r="H282" s="793" t="s">
        <v>689</v>
      </c>
      <c r="I282" s="575"/>
      <c r="J282" s="580"/>
      <c r="K282" s="587">
        <f>(C25)</f>
        <v>20.7</v>
      </c>
      <c r="O282" s="796" t="s">
        <v>117</v>
      </c>
      <c r="AG282" s="793" t="s">
        <v>849</v>
      </c>
    </row>
    <row r="283" spans="1:33" hidden="1">
      <c r="A283" s="1103">
        <f t="shared" si="14"/>
        <v>123</v>
      </c>
      <c r="B283" s="793" t="s">
        <v>3216</v>
      </c>
      <c r="C283" s="587">
        <v>30</v>
      </c>
      <c r="D283" s="573" t="s">
        <v>1</v>
      </c>
      <c r="E283" s="575"/>
      <c r="I283" s="575"/>
      <c r="J283" s="580"/>
      <c r="K283" s="582" t="s">
        <v>117</v>
      </c>
      <c r="M283" s="800">
        <v>10</v>
      </c>
      <c r="N283" s="793" t="s">
        <v>140</v>
      </c>
      <c r="O283" s="793" t="s">
        <v>691</v>
      </c>
      <c r="P283" s="800" t="e">
        <f>(K1191)</f>
        <v>#REF!</v>
      </c>
      <c r="Q283" s="793" t="s">
        <v>140</v>
      </c>
      <c r="R283" s="800" t="e">
        <f>(M283*P283)</f>
        <v>#REF!</v>
      </c>
      <c r="AG283" s="793" t="s">
        <v>849</v>
      </c>
    </row>
    <row r="284" spans="1:33" hidden="1">
      <c r="A284" s="1103">
        <f t="shared" si="14"/>
        <v>124</v>
      </c>
      <c r="B284" s="793" t="s">
        <v>3217</v>
      </c>
      <c r="C284" s="587">
        <v>20</v>
      </c>
      <c r="D284" s="573" t="s">
        <v>1</v>
      </c>
      <c r="E284" s="612">
        <v>25</v>
      </c>
      <c r="H284" s="793" t="s">
        <v>693</v>
      </c>
      <c r="I284" s="575"/>
      <c r="J284" s="580"/>
      <c r="K284" s="587" t="e">
        <f>SUM(K279:K282)</f>
        <v>#REF!</v>
      </c>
      <c r="M284" s="800">
        <v>1.1000000000000001</v>
      </c>
      <c r="N284" s="793" t="s">
        <v>209</v>
      </c>
      <c r="O284" s="793" t="s">
        <v>145</v>
      </c>
      <c r="P284" s="800">
        <f>(C11)</f>
        <v>135</v>
      </c>
      <c r="Q284" s="793" t="s">
        <v>209</v>
      </c>
      <c r="R284" s="800">
        <f>(M284*P284)</f>
        <v>148.5</v>
      </c>
      <c r="AG284" s="793" t="s">
        <v>849</v>
      </c>
    </row>
    <row r="285" spans="1:33" hidden="1">
      <c r="A285" s="1103">
        <f t="shared" si="14"/>
        <v>125</v>
      </c>
      <c r="B285" s="793" t="s">
        <v>3218</v>
      </c>
      <c r="C285" s="587">
        <v>95</v>
      </c>
      <c r="D285" s="573" t="s">
        <v>1</v>
      </c>
      <c r="E285" s="575"/>
      <c r="I285" s="575"/>
      <c r="J285" s="580"/>
      <c r="K285" s="582" t="s">
        <v>117</v>
      </c>
      <c r="M285" s="800">
        <v>1.1000000000000001</v>
      </c>
      <c r="N285" s="793" t="s">
        <v>209</v>
      </c>
      <c r="O285" s="793" t="s">
        <v>146</v>
      </c>
      <c r="P285" s="800">
        <f>(C12)</f>
        <v>95</v>
      </c>
      <c r="Q285" s="793" t="s">
        <v>209</v>
      </c>
      <c r="R285" s="800">
        <f>(M285*P285)</f>
        <v>104.50000000000001</v>
      </c>
      <c r="AG285" s="793" t="s">
        <v>849</v>
      </c>
    </row>
    <row r="286" spans="1:33" hidden="1">
      <c r="A286" s="1103">
        <f t="shared" si="14"/>
        <v>126</v>
      </c>
      <c r="B286" s="793" t="s">
        <v>3219</v>
      </c>
      <c r="C286" s="587">
        <v>80</v>
      </c>
      <c r="D286" s="573" t="s">
        <v>1</v>
      </c>
      <c r="E286" s="575"/>
      <c r="H286" s="793" t="s">
        <v>482</v>
      </c>
      <c r="I286" s="575"/>
      <c r="J286" s="580"/>
      <c r="K286" s="587" t="e">
        <f>(K284+C22)</f>
        <v>#REF!</v>
      </c>
      <c r="M286" s="800">
        <v>1.1000000000000001</v>
      </c>
      <c r="N286" s="793" t="s">
        <v>209</v>
      </c>
      <c r="O286" s="793" t="s">
        <v>147</v>
      </c>
      <c r="P286" s="800">
        <f>(C13)</f>
        <v>85</v>
      </c>
      <c r="Q286" s="793" t="s">
        <v>209</v>
      </c>
      <c r="R286" s="800">
        <f>(M286*P286)</f>
        <v>93.500000000000014</v>
      </c>
      <c r="AG286" s="793" t="s">
        <v>849</v>
      </c>
    </row>
    <row r="287" spans="1:33" hidden="1">
      <c r="A287" s="1103">
        <f t="shared" si="14"/>
        <v>127</v>
      </c>
      <c r="B287" s="793" t="s">
        <v>715</v>
      </c>
      <c r="C287" s="587">
        <v>8</v>
      </c>
      <c r="D287" s="573" t="s">
        <v>1</v>
      </c>
      <c r="E287" s="575"/>
      <c r="H287" s="793" t="s">
        <v>486</v>
      </c>
      <c r="I287" s="575"/>
      <c r="J287" s="580"/>
      <c r="K287" s="587" t="e">
        <f>(K286+C23)</f>
        <v>#REF!</v>
      </c>
      <c r="R287" s="796" t="s">
        <v>117</v>
      </c>
      <c r="AG287" s="793" t="s">
        <v>849</v>
      </c>
    </row>
    <row r="288" spans="1:33" hidden="1">
      <c r="A288" s="1103">
        <f t="shared" si="14"/>
        <v>128</v>
      </c>
      <c r="B288" s="793" t="s">
        <v>697</v>
      </c>
      <c r="C288" s="587">
        <v>8</v>
      </c>
      <c r="D288" s="573" t="s">
        <v>1</v>
      </c>
      <c r="E288" s="575"/>
      <c r="H288" s="793" t="s">
        <v>489</v>
      </c>
      <c r="I288" s="575"/>
      <c r="J288" s="580"/>
      <c r="K288" s="587" t="e">
        <f>(K287+C24)</f>
        <v>#REF!</v>
      </c>
      <c r="O288" s="793" t="s">
        <v>153</v>
      </c>
      <c r="R288" s="800" t="e">
        <f>SUM(R283:R286)</f>
        <v>#REF!</v>
      </c>
      <c r="AG288" s="793" t="s">
        <v>849</v>
      </c>
    </row>
    <row r="289" spans="1:33" hidden="1">
      <c r="A289" s="1103">
        <f t="shared" si="14"/>
        <v>129</v>
      </c>
      <c r="B289" s="793" t="s">
        <v>698</v>
      </c>
      <c r="C289" s="587">
        <v>2.9</v>
      </c>
      <c r="D289" s="573" t="s">
        <v>699</v>
      </c>
      <c r="E289" s="575"/>
      <c r="H289" s="793" t="s">
        <v>491</v>
      </c>
      <c r="I289" s="575"/>
      <c r="J289" s="580"/>
      <c r="K289" s="587" t="e">
        <f>(K288+C24)</f>
        <v>#REF!</v>
      </c>
      <c r="R289" s="796" t="s">
        <v>117</v>
      </c>
      <c r="AG289" s="793" t="s">
        <v>849</v>
      </c>
    </row>
    <row r="290" spans="1:33" hidden="1">
      <c r="A290" s="1103">
        <f t="shared" si="14"/>
        <v>130</v>
      </c>
      <c r="B290" s="793" t="s">
        <v>700</v>
      </c>
      <c r="C290" s="587">
        <v>20.6</v>
      </c>
      <c r="D290" s="573" t="s">
        <v>699</v>
      </c>
      <c r="E290" s="575"/>
      <c r="H290" s="793" t="s">
        <v>496</v>
      </c>
      <c r="I290" s="575"/>
      <c r="J290" s="580"/>
      <c r="K290" s="587" t="e">
        <f>(K289+C24)</f>
        <v>#REF!</v>
      </c>
      <c r="O290" s="793" t="s">
        <v>154</v>
      </c>
      <c r="R290" s="800" t="e">
        <f>(R288/10)</f>
        <v>#REF!</v>
      </c>
      <c r="AG290" s="793" t="s">
        <v>849</v>
      </c>
    </row>
    <row r="291" spans="1:33" hidden="1">
      <c r="A291" s="1103">
        <f t="shared" si="14"/>
        <v>131</v>
      </c>
      <c r="B291" s="793" t="s">
        <v>701</v>
      </c>
      <c r="C291" s="587">
        <v>15.6</v>
      </c>
      <c r="D291" s="573" t="s">
        <v>1</v>
      </c>
      <c r="E291" s="575"/>
      <c r="I291" s="575"/>
      <c r="J291" s="580"/>
      <c r="K291" s="575"/>
      <c r="R291" s="796" t="s">
        <v>155</v>
      </c>
      <c r="AG291" s="793" t="s">
        <v>849</v>
      </c>
    </row>
    <row r="292" spans="1:33" hidden="1">
      <c r="A292" s="1103">
        <f t="shared" si="14"/>
        <v>132</v>
      </c>
      <c r="B292" s="793" t="s">
        <v>702</v>
      </c>
      <c r="C292" s="587">
        <v>12.6</v>
      </c>
      <c r="D292" s="573" t="s">
        <v>1</v>
      </c>
      <c r="E292" s="575"/>
      <c r="F292" s="1098" t="s">
        <v>298</v>
      </c>
      <c r="G292" s="798" t="s">
        <v>122</v>
      </c>
      <c r="H292" s="793" t="s">
        <v>703</v>
      </c>
      <c r="I292" s="575"/>
      <c r="J292" s="580"/>
      <c r="K292" s="575"/>
      <c r="AG292" s="793" t="s">
        <v>849</v>
      </c>
    </row>
    <row r="293" spans="1:33" hidden="1">
      <c r="A293" s="1103">
        <f t="shared" si="14"/>
        <v>133</v>
      </c>
      <c r="B293" s="793" t="s">
        <v>704</v>
      </c>
      <c r="C293" s="587">
        <v>5.75</v>
      </c>
      <c r="D293" s="573" t="s">
        <v>1</v>
      </c>
      <c r="E293" s="575"/>
      <c r="H293" s="796" t="s">
        <v>155</v>
      </c>
      <c r="I293" s="575"/>
      <c r="J293" s="580"/>
      <c r="K293" s="575"/>
      <c r="N293" s="793" t="s">
        <v>122</v>
      </c>
      <c r="O293" s="793" t="s">
        <v>705</v>
      </c>
      <c r="AG293" s="793" t="s">
        <v>849</v>
      </c>
    </row>
    <row r="294" spans="1:33" hidden="1">
      <c r="A294" s="1103">
        <f t="shared" si="14"/>
        <v>134</v>
      </c>
      <c r="B294" s="793" t="s">
        <v>706</v>
      </c>
      <c r="C294" s="587">
        <v>8.5</v>
      </c>
      <c r="D294" s="573" t="s">
        <v>1</v>
      </c>
      <c r="E294" s="575"/>
      <c r="F294" s="800">
        <v>10</v>
      </c>
      <c r="G294" s="798" t="s">
        <v>126</v>
      </c>
      <c r="H294" s="793" t="s">
        <v>707</v>
      </c>
      <c r="I294" s="587" t="e">
        <f>(C68)</f>
        <v>#REF!</v>
      </c>
      <c r="J294" s="574" t="s">
        <v>126</v>
      </c>
      <c r="K294" s="587" t="e">
        <f t="shared" ref="K294:K300" si="15">(F294*I294)</f>
        <v>#REF!</v>
      </c>
      <c r="O294" s="796" t="s">
        <v>117</v>
      </c>
      <c r="AG294" s="793" t="s">
        <v>849</v>
      </c>
    </row>
    <row r="295" spans="1:33" hidden="1">
      <c r="A295" s="1103">
        <f t="shared" si="14"/>
        <v>135</v>
      </c>
      <c r="B295" s="793" t="s">
        <v>708</v>
      </c>
      <c r="C295" s="587">
        <v>10</v>
      </c>
      <c r="D295" s="573" t="s">
        <v>1</v>
      </c>
      <c r="E295" s="575"/>
      <c r="F295" s="800">
        <v>1</v>
      </c>
      <c r="G295" s="798" t="s">
        <v>126</v>
      </c>
      <c r="H295" s="793" t="s">
        <v>474</v>
      </c>
      <c r="I295" s="587" t="e">
        <f>(C69)</f>
        <v>#REF!</v>
      </c>
      <c r="J295" s="574" t="s">
        <v>126</v>
      </c>
      <c r="K295" s="587" t="e">
        <f t="shared" si="15"/>
        <v>#REF!</v>
      </c>
      <c r="M295" s="800">
        <v>0.14000000000000001</v>
      </c>
      <c r="N295" s="793" t="s">
        <v>126</v>
      </c>
      <c r="O295" s="793" t="s">
        <v>133</v>
      </c>
      <c r="P295" s="800" t="e">
        <f>(K32)</f>
        <v>#REF!</v>
      </c>
      <c r="Q295" s="793" t="s">
        <v>126</v>
      </c>
      <c r="R295" s="800" t="e">
        <f>(M295*P295)</f>
        <v>#REF!</v>
      </c>
      <c r="AG295" s="793" t="s">
        <v>849</v>
      </c>
    </row>
    <row r="296" spans="1:33" hidden="1">
      <c r="A296" s="1103">
        <f t="shared" si="14"/>
        <v>136</v>
      </c>
      <c r="B296" s="793" t="s">
        <v>709</v>
      </c>
      <c r="C296" s="587">
        <v>3.25</v>
      </c>
      <c r="D296" s="573" t="s">
        <v>1</v>
      </c>
      <c r="E296" s="575"/>
      <c r="F296" s="800">
        <v>3.4</v>
      </c>
      <c r="G296" s="798" t="s">
        <v>126</v>
      </c>
      <c r="H296" s="793" t="s">
        <v>135</v>
      </c>
      <c r="I296" s="587" t="e">
        <f>(K49)</f>
        <v>#REF!</v>
      </c>
      <c r="J296" s="574" t="s">
        <v>126</v>
      </c>
      <c r="K296" s="587" t="e">
        <f t="shared" si="15"/>
        <v>#REF!</v>
      </c>
      <c r="M296" s="800">
        <v>1.1000000000000001</v>
      </c>
      <c r="N296" s="793" t="s">
        <v>209</v>
      </c>
      <c r="O296" s="793" t="s">
        <v>144</v>
      </c>
      <c r="P296" s="800">
        <f>(C10)</f>
        <v>150</v>
      </c>
      <c r="Q296" s="793" t="s">
        <v>209</v>
      </c>
      <c r="R296" s="800">
        <f>(M296*P296)</f>
        <v>165</v>
      </c>
      <c r="AG296" s="793" t="s">
        <v>849</v>
      </c>
    </row>
    <row r="297" spans="1:33" hidden="1">
      <c r="A297" s="1103">
        <f t="shared" si="14"/>
        <v>137</v>
      </c>
      <c r="B297" s="793" t="s">
        <v>710</v>
      </c>
      <c r="C297" s="587">
        <v>2.2000000000000002</v>
      </c>
      <c r="D297" s="573" t="s">
        <v>1</v>
      </c>
      <c r="E297" s="575"/>
      <c r="F297" s="800">
        <v>7.1</v>
      </c>
      <c r="G297" s="798" t="s">
        <v>209</v>
      </c>
      <c r="H297" s="793" t="s">
        <v>144</v>
      </c>
      <c r="I297" s="587">
        <f>(C10)</f>
        <v>150</v>
      </c>
      <c r="J297" s="574" t="s">
        <v>209</v>
      </c>
      <c r="K297" s="587">
        <f t="shared" si="15"/>
        <v>1065</v>
      </c>
      <c r="M297" s="800">
        <v>0.5</v>
      </c>
      <c r="N297" s="793" t="s">
        <v>209</v>
      </c>
      <c r="O297" s="793" t="s">
        <v>146</v>
      </c>
      <c r="P297" s="800">
        <f>(C12)</f>
        <v>95</v>
      </c>
      <c r="Q297" s="793" t="s">
        <v>209</v>
      </c>
      <c r="R297" s="800">
        <f>(M297*P297)</f>
        <v>47.5</v>
      </c>
      <c r="AG297" s="793" t="s">
        <v>849</v>
      </c>
    </row>
    <row r="298" spans="1:33" hidden="1">
      <c r="A298" s="1103">
        <f t="shared" si="14"/>
        <v>138</v>
      </c>
      <c r="B298" s="793" t="s">
        <v>711</v>
      </c>
      <c r="C298" s="587">
        <v>10.5</v>
      </c>
      <c r="D298" s="573" t="s">
        <v>1</v>
      </c>
      <c r="E298" s="575"/>
      <c r="F298" s="800">
        <v>10.6</v>
      </c>
      <c r="G298" s="798" t="s">
        <v>209</v>
      </c>
      <c r="H298" s="793" t="s">
        <v>145</v>
      </c>
      <c r="I298" s="587">
        <f>(C11)</f>
        <v>135</v>
      </c>
      <c r="J298" s="574" t="s">
        <v>209</v>
      </c>
      <c r="K298" s="587">
        <f t="shared" si="15"/>
        <v>1431</v>
      </c>
      <c r="M298" s="800">
        <v>1.1000000000000001</v>
      </c>
      <c r="N298" s="793" t="s">
        <v>209</v>
      </c>
      <c r="O298" s="793" t="s">
        <v>147</v>
      </c>
      <c r="P298" s="800">
        <f>(C13)</f>
        <v>85</v>
      </c>
      <c r="Q298" s="793" t="s">
        <v>209</v>
      </c>
      <c r="R298" s="800">
        <f>(M298*P298)</f>
        <v>93.500000000000014</v>
      </c>
      <c r="AG298" s="793" t="s">
        <v>849</v>
      </c>
    </row>
    <row r="299" spans="1:33" hidden="1">
      <c r="A299" s="1103">
        <f t="shared" si="14"/>
        <v>139</v>
      </c>
      <c r="B299" s="793" t="s">
        <v>712</v>
      </c>
      <c r="C299" s="587">
        <v>5.5</v>
      </c>
      <c r="D299" s="573" t="s">
        <v>1</v>
      </c>
      <c r="E299" s="575"/>
      <c r="F299" s="800">
        <v>14.1</v>
      </c>
      <c r="G299" s="798" t="s">
        <v>209</v>
      </c>
      <c r="H299" s="793" t="s">
        <v>146</v>
      </c>
      <c r="I299" s="587">
        <f>(C12)</f>
        <v>95</v>
      </c>
      <c r="J299" s="574" t="s">
        <v>209</v>
      </c>
      <c r="K299" s="587">
        <f t="shared" si="15"/>
        <v>1339.5</v>
      </c>
      <c r="N299" s="793" t="s">
        <v>129</v>
      </c>
      <c r="O299" s="793" t="s">
        <v>130</v>
      </c>
      <c r="P299" s="793" t="s">
        <v>115</v>
      </c>
      <c r="Q299" s="793" t="s">
        <v>129</v>
      </c>
      <c r="R299" s="800">
        <v>0</v>
      </c>
      <c r="AG299" s="793" t="s">
        <v>849</v>
      </c>
    </row>
    <row r="300" spans="1:33" hidden="1">
      <c r="A300" s="1103">
        <f t="shared" si="14"/>
        <v>140</v>
      </c>
      <c r="B300" s="793" t="s">
        <v>713</v>
      </c>
      <c r="C300" s="587">
        <v>21</v>
      </c>
      <c r="D300" s="573" t="s">
        <v>1</v>
      </c>
      <c r="E300" s="575"/>
      <c r="F300" s="800">
        <v>14.1</v>
      </c>
      <c r="G300" s="798" t="s">
        <v>209</v>
      </c>
      <c r="H300" s="793" t="s">
        <v>147</v>
      </c>
      <c r="I300" s="587">
        <f>(C13)</f>
        <v>85</v>
      </c>
      <c r="J300" s="574" t="s">
        <v>209</v>
      </c>
      <c r="K300" s="587">
        <f t="shared" si="15"/>
        <v>1198.5</v>
      </c>
      <c r="R300" s="796" t="s">
        <v>117</v>
      </c>
      <c r="AG300" s="793" t="s">
        <v>849</v>
      </c>
    </row>
    <row r="301" spans="1:33" hidden="1">
      <c r="A301" s="1103">
        <f t="shared" si="14"/>
        <v>141</v>
      </c>
      <c r="B301" s="793" t="s">
        <v>714</v>
      </c>
      <c r="C301" s="587">
        <v>10</v>
      </c>
      <c r="D301" s="573" t="s">
        <v>1</v>
      </c>
      <c r="E301" s="575"/>
      <c r="G301" s="798" t="s">
        <v>129</v>
      </c>
      <c r="H301" s="793" t="s">
        <v>130</v>
      </c>
      <c r="I301" s="575"/>
      <c r="J301" s="574" t="s">
        <v>129</v>
      </c>
      <c r="K301" s="587">
        <v>0</v>
      </c>
      <c r="O301" s="793" t="s">
        <v>153</v>
      </c>
      <c r="R301" s="800" t="e">
        <f>SUM(R295:R299)</f>
        <v>#REF!</v>
      </c>
      <c r="AG301" s="793" t="s">
        <v>849</v>
      </c>
    </row>
    <row r="302" spans="1:33" hidden="1">
      <c r="A302" s="1103">
        <f t="shared" si="14"/>
        <v>142</v>
      </c>
      <c r="B302" s="793" t="s">
        <v>715</v>
      </c>
      <c r="C302" s="587">
        <v>4</v>
      </c>
      <c r="D302" s="573" t="s">
        <v>1</v>
      </c>
      <c r="E302" s="575"/>
      <c r="I302" s="575"/>
      <c r="J302" s="580"/>
      <c r="K302" s="582" t="s">
        <v>117</v>
      </c>
      <c r="R302" s="796" t="s">
        <v>117</v>
      </c>
      <c r="AG302" s="793" t="s">
        <v>849</v>
      </c>
    </row>
    <row r="303" spans="1:33" hidden="1">
      <c r="A303" s="1103">
        <f t="shared" si="14"/>
        <v>143</v>
      </c>
      <c r="B303" s="793" t="s">
        <v>697</v>
      </c>
      <c r="C303" s="587">
        <v>8</v>
      </c>
      <c r="D303" s="573" t="s">
        <v>209</v>
      </c>
      <c r="E303" s="575"/>
      <c r="H303" s="793" t="s">
        <v>455</v>
      </c>
      <c r="I303" s="575"/>
      <c r="J303" s="580"/>
      <c r="K303" s="587" t="e">
        <f>SUM(K294:K301)</f>
        <v>#REF!</v>
      </c>
      <c r="O303" s="793" t="s">
        <v>154</v>
      </c>
      <c r="R303" s="800" t="e">
        <f>(R301/10)</f>
        <v>#REF!</v>
      </c>
      <c r="AG303" s="793" t="s">
        <v>849</v>
      </c>
    </row>
    <row r="304" spans="1:33" hidden="1">
      <c r="A304" s="1103">
        <f t="shared" si="14"/>
        <v>144</v>
      </c>
      <c r="B304" s="793" t="s">
        <v>698</v>
      </c>
      <c r="C304" s="587">
        <v>8.5</v>
      </c>
      <c r="D304" s="573" t="s">
        <v>1</v>
      </c>
      <c r="E304" s="575"/>
      <c r="I304" s="575"/>
      <c r="J304" s="580"/>
      <c r="K304" s="582" t="s">
        <v>117</v>
      </c>
      <c r="N304" s="793" t="s">
        <v>122</v>
      </c>
      <c r="O304" s="793" t="s">
        <v>716</v>
      </c>
      <c r="R304" s="796" t="s">
        <v>155</v>
      </c>
      <c r="AG304" s="793" t="s">
        <v>849</v>
      </c>
    </row>
    <row r="305" spans="1:33" hidden="1">
      <c r="A305" s="1103">
        <f t="shared" si="14"/>
        <v>145</v>
      </c>
      <c r="B305" s="793" t="s">
        <v>717</v>
      </c>
      <c r="C305" s="587">
        <v>20.6</v>
      </c>
      <c r="D305" s="573" t="s">
        <v>1</v>
      </c>
      <c r="E305" s="575"/>
      <c r="H305" s="793" t="s">
        <v>383</v>
      </c>
      <c r="I305" s="575"/>
      <c r="J305" s="580"/>
      <c r="K305" s="587" t="e">
        <f>(K303/10)</f>
        <v>#REF!</v>
      </c>
      <c r="O305" s="796" t="s">
        <v>117</v>
      </c>
      <c r="AG305" s="793" t="s">
        <v>849</v>
      </c>
    </row>
    <row r="306" spans="1:33" hidden="1">
      <c r="A306" s="1103">
        <f t="shared" si="14"/>
        <v>146</v>
      </c>
      <c r="B306" s="793" t="s">
        <v>718</v>
      </c>
      <c r="C306" s="587">
        <v>15.6</v>
      </c>
      <c r="D306" s="573" t="s">
        <v>1</v>
      </c>
      <c r="E306" s="575"/>
      <c r="I306" s="575"/>
      <c r="J306" s="580"/>
      <c r="K306" s="582" t="s">
        <v>155</v>
      </c>
      <c r="M306" s="800">
        <v>0.14000000000000001</v>
      </c>
      <c r="N306" s="793" t="s">
        <v>126</v>
      </c>
      <c r="O306" s="793" t="s">
        <v>132</v>
      </c>
      <c r="P306" s="800" t="e">
        <f>(K23)</f>
        <v>#REF!</v>
      </c>
      <c r="Q306" s="793" t="s">
        <v>126</v>
      </c>
      <c r="R306" s="800" t="e">
        <f>(M306*P306)</f>
        <v>#REF!</v>
      </c>
      <c r="AG306" s="793" t="s">
        <v>849</v>
      </c>
    </row>
    <row r="307" spans="1:33" hidden="1">
      <c r="A307" s="1103">
        <f t="shared" si="14"/>
        <v>147</v>
      </c>
      <c r="B307" s="793" t="s">
        <v>3220</v>
      </c>
      <c r="C307" s="587">
        <v>0.9</v>
      </c>
      <c r="D307" s="573" t="s">
        <v>1</v>
      </c>
      <c r="E307" s="575"/>
      <c r="F307" s="1105">
        <v>6</v>
      </c>
      <c r="G307" s="798" t="s">
        <v>122</v>
      </c>
      <c r="H307" s="793" t="s">
        <v>3221</v>
      </c>
      <c r="I307" s="575"/>
      <c r="J307" s="580"/>
      <c r="K307" s="575"/>
      <c r="M307" s="800">
        <v>1.1000000000000001</v>
      </c>
      <c r="N307" s="793" t="s">
        <v>209</v>
      </c>
      <c r="O307" s="793" t="s">
        <v>144</v>
      </c>
      <c r="P307" s="800">
        <f>(C10)</f>
        <v>150</v>
      </c>
      <c r="Q307" s="793" t="s">
        <v>209</v>
      </c>
      <c r="R307" s="800">
        <f>(M307*P307)</f>
        <v>165</v>
      </c>
      <c r="AG307" s="793" t="s">
        <v>849</v>
      </c>
    </row>
    <row r="308" spans="1:33" hidden="1">
      <c r="A308" s="1103">
        <f t="shared" si="14"/>
        <v>148</v>
      </c>
      <c r="B308" s="793" t="s">
        <v>723</v>
      </c>
      <c r="C308" s="573" t="s">
        <v>115</v>
      </c>
      <c r="D308" s="575"/>
      <c r="E308" s="575"/>
      <c r="H308" s="793" t="s">
        <v>724</v>
      </c>
      <c r="I308" s="575"/>
      <c r="J308" s="580"/>
      <c r="K308" s="575"/>
      <c r="M308" s="800">
        <v>0.5</v>
      </c>
      <c r="N308" s="793" t="s">
        <v>209</v>
      </c>
      <c r="O308" s="793" t="s">
        <v>146</v>
      </c>
      <c r="P308" s="800">
        <f>(C12)</f>
        <v>95</v>
      </c>
      <c r="Q308" s="793" t="s">
        <v>209</v>
      </c>
      <c r="R308" s="800">
        <f>(M308*P308)</f>
        <v>47.5</v>
      </c>
      <c r="AG308" s="793" t="s">
        <v>849</v>
      </c>
    </row>
    <row r="309" spans="1:33" hidden="1">
      <c r="A309" s="1103">
        <f t="shared" si="14"/>
        <v>149</v>
      </c>
      <c r="B309" s="793" t="s">
        <v>727</v>
      </c>
      <c r="C309" s="587">
        <v>66.44</v>
      </c>
      <c r="D309" s="573" t="s">
        <v>203</v>
      </c>
      <c r="E309" s="575"/>
      <c r="H309" s="796" t="s">
        <v>117</v>
      </c>
      <c r="I309" s="575"/>
      <c r="J309" s="580"/>
      <c r="K309" s="575"/>
      <c r="M309" s="800">
        <v>1.1000000000000001</v>
      </c>
      <c r="N309" s="793" t="s">
        <v>209</v>
      </c>
      <c r="O309" s="793" t="s">
        <v>147</v>
      </c>
      <c r="P309" s="800">
        <f>(C13)</f>
        <v>85</v>
      </c>
      <c r="Q309" s="793" t="s">
        <v>209</v>
      </c>
      <c r="R309" s="800">
        <f>(M309*P309)</f>
        <v>93.500000000000014</v>
      </c>
      <c r="AG309" s="793" t="s">
        <v>849</v>
      </c>
    </row>
    <row r="310" spans="1:33" hidden="1">
      <c r="A310" s="1103">
        <f t="shared" si="14"/>
        <v>150</v>
      </c>
      <c r="B310" s="793" t="s">
        <v>728</v>
      </c>
      <c r="C310" s="587">
        <v>83.5</v>
      </c>
      <c r="D310" s="573" t="s">
        <v>203</v>
      </c>
      <c r="E310" s="575"/>
      <c r="F310" s="800">
        <v>4800</v>
      </c>
      <c r="G310" s="798" t="s">
        <v>467</v>
      </c>
      <c r="H310" s="800" t="str">
        <f>H308</f>
        <v>Bricks of size 22x11x7 cm</v>
      </c>
      <c r="I310" s="587" t="e">
        <f>C80</f>
        <v>#REF!</v>
      </c>
      <c r="J310" s="574" t="s">
        <v>468</v>
      </c>
      <c r="K310" s="587" t="e">
        <f>(F310*I310)/1000</f>
        <v>#REF!</v>
      </c>
      <c r="N310" s="793" t="s">
        <v>129</v>
      </c>
      <c r="O310" s="793" t="s">
        <v>130</v>
      </c>
      <c r="P310" s="793" t="s">
        <v>115</v>
      </c>
      <c r="Q310" s="793" t="s">
        <v>129</v>
      </c>
      <c r="R310" s="800">
        <v>0</v>
      </c>
      <c r="AG310" s="793" t="s">
        <v>849</v>
      </c>
    </row>
    <row r="311" spans="1:33" hidden="1">
      <c r="A311" s="1103">
        <f t="shared" si="14"/>
        <v>151</v>
      </c>
      <c r="B311" s="793" t="s">
        <v>730</v>
      </c>
      <c r="C311" s="587">
        <v>102.12</v>
      </c>
      <c r="D311" s="573" t="s">
        <v>203</v>
      </c>
      <c r="E311" s="575"/>
      <c r="F311" s="800">
        <v>2.5</v>
      </c>
      <c r="G311" s="798" t="s">
        <v>126</v>
      </c>
      <c r="H311" s="793" t="s">
        <v>135</v>
      </c>
      <c r="I311" s="587" t="e">
        <f>K49</f>
        <v>#REF!</v>
      </c>
      <c r="J311" s="574" t="s">
        <v>126</v>
      </c>
      <c r="K311" s="587" t="e">
        <f>(F311*I311)</f>
        <v>#REF!</v>
      </c>
      <c r="R311" s="796" t="s">
        <v>117</v>
      </c>
      <c r="AG311" s="793" t="s">
        <v>849</v>
      </c>
    </row>
    <row r="312" spans="1:33" hidden="1">
      <c r="A312" s="1103">
        <f t="shared" si="14"/>
        <v>152</v>
      </c>
      <c r="B312" s="793" t="s">
        <v>731</v>
      </c>
      <c r="C312" s="587">
        <v>182.52</v>
      </c>
      <c r="D312" s="573" t="s">
        <v>203</v>
      </c>
      <c r="E312" s="575"/>
      <c r="F312" s="800">
        <v>3.5</v>
      </c>
      <c r="G312" s="798" t="s">
        <v>209</v>
      </c>
      <c r="H312" s="793" t="s">
        <v>144</v>
      </c>
      <c r="I312" s="587">
        <f>C10</f>
        <v>150</v>
      </c>
      <c r="J312" s="574" t="s">
        <v>209</v>
      </c>
      <c r="K312" s="587">
        <f>(F312*I312)</f>
        <v>525</v>
      </c>
      <c r="O312" s="793" t="s">
        <v>153</v>
      </c>
      <c r="R312" s="800" t="e">
        <f>SUM(R306:R310)</f>
        <v>#REF!</v>
      </c>
      <c r="AG312" s="793" t="s">
        <v>849</v>
      </c>
    </row>
    <row r="313" spans="1:33" hidden="1">
      <c r="A313" s="1103">
        <f t="shared" si="14"/>
        <v>153</v>
      </c>
      <c r="B313" s="793" t="s">
        <v>732</v>
      </c>
      <c r="C313" s="575"/>
      <c r="D313" s="575"/>
      <c r="E313" s="575"/>
      <c r="F313" s="800">
        <v>10.6</v>
      </c>
      <c r="G313" s="798" t="s">
        <v>209</v>
      </c>
      <c r="H313" s="793" t="s">
        <v>145</v>
      </c>
      <c r="I313" s="587">
        <f>C11</f>
        <v>135</v>
      </c>
      <c r="J313" s="574" t="s">
        <v>209</v>
      </c>
      <c r="K313" s="587">
        <f>(F313*I313)</f>
        <v>1431</v>
      </c>
      <c r="R313" s="796" t="s">
        <v>117</v>
      </c>
      <c r="AG313" s="793" t="s">
        <v>849</v>
      </c>
    </row>
    <row r="314" spans="1:33" hidden="1">
      <c r="A314" s="1103">
        <f t="shared" si="14"/>
        <v>154</v>
      </c>
      <c r="B314" s="793" t="s">
        <v>727</v>
      </c>
      <c r="C314" s="587">
        <v>26.62</v>
      </c>
      <c r="D314" s="573" t="s">
        <v>1</v>
      </c>
      <c r="E314" s="575"/>
      <c r="F314" s="800">
        <v>7.1</v>
      </c>
      <c r="G314" s="798" t="s">
        <v>209</v>
      </c>
      <c r="H314" s="793" t="s">
        <v>146</v>
      </c>
      <c r="I314" s="587">
        <f>C12</f>
        <v>95</v>
      </c>
      <c r="J314" s="574" t="s">
        <v>209</v>
      </c>
      <c r="K314" s="587">
        <f>(F314*I314)</f>
        <v>674.5</v>
      </c>
      <c r="O314" s="793" t="s">
        <v>154</v>
      </c>
      <c r="R314" s="800" t="e">
        <f>(R312/10)</f>
        <v>#REF!</v>
      </c>
      <c r="AG314" s="793" t="s">
        <v>849</v>
      </c>
    </row>
    <row r="315" spans="1:33" hidden="1">
      <c r="A315" s="1103">
        <f t="shared" si="14"/>
        <v>155</v>
      </c>
      <c r="B315" s="793" t="s">
        <v>728</v>
      </c>
      <c r="C315" s="587">
        <v>34.869999999999997</v>
      </c>
      <c r="D315" s="573" t="s">
        <v>1</v>
      </c>
      <c r="E315" s="575"/>
      <c r="F315" s="800">
        <v>21.2</v>
      </c>
      <c r="G315" s="798" t="s">
        <v>209</v>
      </c>
      <c r="H315" s="793" t="s">
        <v>147</v>
      </c>
      <c r="I315" s="587">
        <f>C13</f>
        <v>85</v>
      </c>
      <c r="J315" s="574" t="s">
        <v>209</v>
      </c>
      <c r="K315" s="587">
        <f>(F315*I315)</f>
        <v>1802</v>
      </c>
      <c r="R315" s="796" t="s">
        <v>155</v>
      </c>
      <c r="AG315" s="793" t="s">
        <v>849</v>
      </c>
    </row>
    <row r="316" spans="1:33" hidden="1">
      <c r="A316" s="1103">
        <f t="shared" si="14"/>
        <v>156</v>
      </c>
      <c r="B316" s="793" t="s">
        <v>730</v>
      </c>
      <c r="C316" s="587">
        <v>45</v>
      </c>
      <c r="D316" s="573" t="s">
        <v>1</v>
      </c>
      <c r="E316" s="575"/>
      <c r="G316" s="798" t="s">
        <v>129</v>
      </c>
      <c r="H316" s="793" t="s">
        <v>130</v>
      </c>
      <c r="I316" s="575"/>
      <c r="J316" s="574" t="s">
        <v>129</v>
      </c>
      <c r="K316" s="587">
        <v>0</v>
      </c>
      <c r="N316" s="793" t="s">
        <v>122</v>
      </c>
      <c r="O316" s="793" t="s">
        <v>733</v>
      </c>
      <c r="AG316" s="793" t="s">
        <v>849</v>
      </c>
    </row>
    <row r="317" spans="1:33" hidden="1">
      <c r="A317" s="1103">
        <f t="shared" si="14"/>
        <v>157</v>
      </c>
      <c r="B317" s="793" t="s">
        <v>731</v>
      </c>
      <c r="C317" s="587">
        <v>99.75</v>
      </c>
      <c r="D317" s="573" t="s">
        <v>1</v>
      </c>
      <c r="E317" s="575"/>
      <c r="I317" s="575"/>
      <c r="J317" s="580"/>
      <c r="K317" s="582" t="s">
        <v>117</v>
      </c>
      <c r="O317" s="796" t="s">
        <v>117</v>
      </c>
      <c r="AG317" s="793" t="s">
        <v>849</v>
      </c>
    </row>
    <row r="318" spans="1:33" hidden="1">
      <c r="A318" s="1103">
        <f t="shared" si="14"/>
        <v>158</v>
      </c>
      <c r="B318" s="793" t="s">
        <v>734</v>
      </c>
      <c r="C318" s="575"/>
      <c r="D318" s="575"/>
      <c r="E318" s="575"/>
      <c r="H318" s="793" t="s">
        <v>455</v>
      </c>
      <c r="I318" s="575"/>
      <c r="J318" s="580"/>
      <c r="K318" s="587" t="e">
        <f>SUM(K310:K316)</f>
        <v>#REF!</v>
      </c>
      <c r="M318" s="800">
        <v>0.1</v>
      </c>
      <c r="N318" s="793" t="s">
        <v>126</v>
      </c>
      <c r="O318" s="793" t="s">
        <v>132</v>
      </c>
      <c r="P318" s="800" t="e">
        <f>(K23)</f>
        <v>#REF!</v>
      </c>
      <c r="Q318" s="793" t="s">
        <v>126</v>
      </c>
      <c r="R318" s="800" t="e">
        <f>(M318*P318)</f>
        <v>#REF!</v>
      </c>
      <c r="AG318" s="793" t="s">
        <v>849</v>
      </c>
    </row>
    <row r="319" spans="1:33" hidden="1">
      <c r="A319" s="1103">
        <f t="shared" si="14"/>
        <v>159</v>
      </c>
      <c r="B319" s="793" t="s">
        <v>727</v>
      </c>
      <c r="C319" s="587">
        <v>43.47</v>
      </c>
      <c r="D319" s="573" t="s">
        <v>1</v>
      </c>
      <c r="E319" s="575"/>
      <c r="I319" s="575"/>
      <c r="J319" s="580"/>
      <c r="K319" s="582" t="s">
        <v>117</v>
      </c>
      <c r="M319" s="800">
        <v>1.1000000000000001</v>
      </c>
      <c r="N319" s="793" t="s">
        <v>209</v>
      </c>
      <c r="O319" s="793" t="s">
        <v>144</v>
      </c>
      <c r="P319" s="800">
        <f>(C10)</f>
        <v>150</v>
      </c>
      <c r="Q319" s="793" t="s">
        <v>209</v>
      </c>
      <c r="R319" s="800">
        <f>(M319*P319)</f>
        <v>165</v>
      </c>
      <c r="AG319" s="793" t="s">
        <v>849</v>
      </c>
    </row>
    <row r="320" spans="1:33" hidden="1">
      <c r="A320" s="1103">
        <f t="shared" si="14"/>
        <v>160</v>
      </c>
      <c r="B320" s="793" t="s">
        <v>728</v>
      </c>
      <c r="C320" s="587">
        <v>50.34</v>
      </c>
      <c r="D320" s="573" t="s">
        <v>1</v>
      </c>
      <c r="E320" s="575"/>
      <c r="H320" s="793" t="s">
        <v>383</v>
      </c>
      <c r="I320" s="575"/>
      <c r="J320" s="580"/>
      <c r="K320" s="587" t="e">
        <f>(K318/10)</f>
        <v>#REF!</v>
      </c>
      <c r="M320" s="800">
        <v>1.1000000000000001</v>
      </c>
      <c r="N320" s="793" t="s">
        <v>209</v>
      </c>
      <c r="O320" s="793" t="s">
        <v>146</v>
      </c>
      <c r="P320" s="800">
        <f>(C12)</f>
        <v>95</v>
      </c>
      <c r="Q320" s="793" t="s">
        <v>209</v>
      </c>
      <c r="R320" s="800">
        <f>(M320*P320)</f>
        <v>104.50000000000001</v>
      </c>
      <c r="AG320" s="793" t="s">
        <v>636</v>
      </c>
    </row>
    <row r="321" spans="1:33" hidden="1">
      <c r="A321" s="1103">
        <f t="shared" si="14"/>
        <v>161</v>
      </c>
      <c r="B321" s="793" t="s">
        <v>730</v>
      </c>
      <c r="C321" s="587">
        <v>65.209999999999994</v>
      </c>
      <c r="D321" s="573" t="s">
        <v>1</v>
      </c>
      <c r="E321" s="575"/>
      <c r="I321" s="575"/>
      <c r="J321" s="580"/>
      <c r="K321" s="582" t="s">
        <v>155</v>
      </c>
      <c r="M321" s="800">
        <v>1.1000000000000001</v>
      </c>
      <c r="N321" s="793" t="s">
        <v>209</v>
      </c>
      <c r="O321" s="793" t="s">
        <v>147</v>
      </c>
      <c r="P321" s="800">
        <f>(C13)</f>
        <v>85</v>
      </c>
      <c r="Q321" s="793" t="s">
        <v>209</v>
      </c>
      <c r="R321" s="800">
        <f>(M321*P321)</f>
        <v>93.500000000000014</v>
      </c>
    </row>
    <row r="322" spans="1:33" hidden="1">
      <c r="A322" s="1103">
        <f t="shared" si="14"/>
        <v>162</v>
      </c>
      <c r="B322" s="793" t="s">
        <v>731</v>
      </c>
      <c r="C322" s="587">
        <v>145.29</v>
      </c>
      <c r="D322" s="573" t="s">
        <v>1</v>
      </c>
      <c r="E322" s="575"/>
      <c r="H322" s="793" t="s">
        <v>482</v>
      </c>
      <c r="I322" s="575"/>
      <c r="J322" s="580"/>
      <c r="K322" s="587" t="e">
        <f>(K320+C19)</f>
        <v>#REF!</v>
      </c>
      <c r="N322" s="793" t="s">
        <v>129</v>
      </c>
      <c r="O322" s="793" t="s">
        <v>130</v>
      </c>
      <c r="P322" s="793" t="s">
        <v>115</v>
      </c>
      <c r="Q322" s="793" t="s">
        <v>129</v>
      </c>
      <c r="R322" s="800">
        <v>0</v>
      </c>
    </row>
    <row r="323" spans="1:33" hidden="1">
      <c r="A323" s="1103">
        <f t="shared" si="14"/>
        <v>163</v>
      </c>
      <c r="B323" s="793" t="s">
        <v>735</v>
      </c>
      <c r="C323" s="575"/>
      <c r="D323" s="575"/>
      <c r="E323" s="575"/>
      <c r="H323" s="793" t="s">
        <v>486</v>
      </c>
      <c r="I323" s="575"/>
      <c r="J323" s="580"/>
      <c r="K323" s="587" t="e">
        <f>(K322+C20)</f>
        <v>#REF!</v>
      </c>
      <c r="R323" s="796" t="s">
        <v>117</v>
      </c>
      <c r="AG323" s="793" t="s">
        <v>849</v>
      </c>
    </row>
    <row r="324" spans="1:33" hidden="1">
      <c r="A324" s="1103">
        <f t="shared" si="14"/>
        <v>164</v>
      </c>
      <c r="B324" s="793" t="s">
        <v>727</v>
      </c>
      <c r="C324" s="587">
        <v>14.91</v>
      </c>
      <c r="D324" s="573" t="s">
        <v>203</v>
      </c>
      <c r="E324" s="575"/>
      <c r="H324" s="793" t="s">
        <v>489</v>
      </c>
      <c r="I324" s="575"/>
      <c r="J324" s="580"/>
      <c r="K324" s="587" t="e">
        <f>(K323+C21)</f>
        <v>#REF!</v>
      </c>
      <c r="O324" s="793" t="s">
        <v>153</v>
      </c>
      <c r="R324" s="800" t="e">
        <f>SUM(R318:R322)</f>
        <v>#REF!</v>
      </c>
      <c r="AG324" s="793" t="s">
        <v>849</v>
      </c>
    </row>
    <row r="325" spans="1:33" hidden="1">
      <c r="A325" s="1103">
        <f t="shared" si="14"/>
        <v>165</v>
      </c>
      <c r="B325" s="793" t="s">
        <v>728</v>
      </c>
      <c r="C325" s="587">
        <v>19.41</v>
      </c>
      <c r="D325" s="573" t="s">
        <v>203</v>
      </c>
      <c r="E325" s="575"/>
      <c r="H325" s="793" t="s">
        <v>491</v>
      </c>
      <c r="I325" s="575"/>
      <c r="J325" s="580"/>
      <c r="K325" s="587" t="e">
        <f>(K324+C21)</f>
        <v>#REF!</v>
      </c>
      <c r="R325" s="796" t="s">
        <v>117</v>
      </c>
      <c r="AG325" s="793" t="s">
        <v>849</v>
      </c>
    </row>
    <row r="326" spans="1:33" hidden="1">
      <c r="A326" s="1103">
        <f t="shared" si="14"/>
        <v>166</v>
      </c>
      <c r="B326" s="793" t="s">
        <v>730</v>
      </c>
      <c r="C326" s="587">
        <v>22.22</v>
      </c>
      <c r="D326" s="573" t="s">
        <v>203</v>
      </c>
      <c r="E326" s="575"/>
      <c r="H326" s="793" t="s">
        <v>496</v>
      </c>
      <c r="I326" s="575"/>
      <c r="J326" s="580"/>
      <c r="K326" s="587" t="e">
        <f>(K325+C21)</f>
        <v>#REF!</v>
      </c>
      <c r="O326" s="793" t="s">
        <v>154</v>
      </c>
      <c r="R326" s="800" t="e">
        <f>(R324/10)</f>
        <v>#REF!</v>
      </c>
      <c r="AG326" s="793" t="s">
        <v>849</v>
      </c>
    </row>
    <row r="327" spans="1:33" hidden="1">
      <c r="A327" s="1103"/>
      <c r="B327" s="793"/>
      <c r="C327" s="587"/>
      <c r="D327" s="573"/>
      <c r="E327" s="575"/>
      <c r="H327" s="793"/>
      <c r="I327" s="575"/>
      <c r="J327" s="580"/>
      <c r="K327" s="587"/>
      <c r="O327" s="793"/>
      <c r="R327" s="800"/>
      <c r="AG327" s="793"/>
    </row>
    <row r="328" spans="1:33" hidden="1">
      <c r="A328" s="1103"/>
      <c r="B328" s="793"/>
      <c r="C328" s="587"/>
      <c r="D328" s="573"/>
      <c r="E328" s="575"/>
      <c r="F328" s="1098" t="s">
        <v>736</v>
      </c>
      <c r="H328" s="793" t="s">
        <v>737</v>
      </c>
      <c r="I328" s="575"/>
      <c r="J328" s="580"/>
      <c r="K328" s="573" t="s">
        <v>3222</v>
      </c>
      <c r="O328" s="793"/>
      <c r="R328" s="800"/>
      <c r="AG328" s="793"/>
    </row>
    <row r="329" spans="1:33" hidden="1">
      <c r="A329" s="1103"/>
      <c r="B329" s="793"/>
      <c r="C329" s="587"/>
      <c r="D329" s="573"/>
      <c r="E329" s="575"/>
      <c r="H329" s="793" t="s">
        <v>3223</v>
      </c>
      <c r="I329" s="575"/>
      <c r="J329" s="580"/>
      <c r="K329" s="582" t="s">
        <v>155</v>
      </c>
      <c r="O329" s="793"/>
      <c r="R329" s="800"/>
      <c r="AG329" s="793"/>
    </row>
    <row r="330" spans="1:33" hidden="1">
      <c r="A330" s="1103"/>
      <c r="B330" s="793"/>
      <c r="C330" s="587"/>
      <c r="D330" s="573"/>
      <c r="E330" s="575"/>
      <c r="H330" s="793"/>
      <c r="I330" s="575"/>
      <c r="J330" s="580"/>
      <c r="K330" s="587"/>
      <c r="O330" s="793"/>
      <c r="R330" s="800"/>
      <c r="AG330" s="793"/>
    </row>
    <row r="331" spans="1:33" hidden="1">
      <c r="A331" s="1103">
        <f>(A326+1)</f>
        <v>167</v>
      </c>
      <c r="B331" s="793" t="s">
        <v>731</v>
      </c>
      <c r="C331" s="587">
        <v>46.42</v>
      </c>
      <c r="D331" s="573" t="s">
        <v>203</v>
      </c>
      <c r="E331" s="575"/>
      <c r="F331" s="1105">
        <v>9</v>
      </c>
      <c r="G331" s="798" t="s">
        <v>122</v>
      </c>
      <c r="H331" s="793" t="s">
        <v>3224</v>
      </c>
      <c r="I331" s="575"/>
      <c r="J331" s="580"/>
      <c r="K331" s="575"/>
      <c r="R331" s="796" t="s">
        <v>155</v>
      </c>
      <c r="AG331" s="793" t="s">
        <v>849</v>
      </c>
    </row>
    <row r="332" spans="1:33" hidden="1">
      <c r="A332" s="1103">
        <f t="shared" si="14"/>
        <v>168</v>
      </c>
      <c r="B332" s="793" t="s">
        <v>743</v>
      </c>
      <c r="C332" s="575"/>
      <c r="D332" s="575"/>
      <c r="E332" s="575"/>
      <c r="H332" s="800" t="str">
        <f>H308</f>
        <v>Bricks of size 22x11x7 cm</v>
      </c>
      <c r="I332" s="575"/>
      <c r="J332" s="580"/>
      <c r="K332" s="575"/>
      <c r="AG332" s="793" t="s">
        <v>849</v>
      </c>
    </row>
    <row r="333" spans="1:33" hidden="1">
      <c r="A333" s="1103">
        <f t="shared" si="14"/>
        <v>169</v>
      </c>
      <c r="B333" s="793" t="s">
        <v>727</v>
      </c>
      <c r="C333" s="587">
        <v>8.58</v>
      </c>
      <c r="D333" s="573" t="s">
        <v>1</v>
      </c>
      <c r="E333" s="575"/>
      <c r="H333" s="796" t="s">
        <v>117</v>
      </c>
      <c r="I333" s="575"/>
      <c r="J333" s="580"/>
      <c r="K333" s="575"/>
      <c r="N333" s="793" t="s">
        <v>122</v>
      </c>
      <c r="O333" s="793" t="s">
        <v>744</v>
      </c>
      <c r="AG333" s="793" t="s">
        <v>849</v>
      </c>
    </row>
    <row r="334" spans="1:33" hidden="1">
      <c r="A334" s="1103">
        <f t="shared" si="14"/>
        <v>170</v>
      </c>
      <c r="B334" s="793" t="s">
        <v>728</v>
      </c>
      <c r="C334" s="587">
        <v>12.26</v>
      </c>
      <c r="D334" s="573" t="s">
        <v>1</v>
      </c>
      <c r="E334" s="575"/>
      <c r="F334" s="800">
        <f>F310</f>
        <v>4800</v>
      </c>
      <c r="G334" s="798" t="s">
        <v>467</v>
      </c>
      <c r="H334" s="800" t="str">
        <f>H308</f>
        <v>Bricks of size 22x11x7 cm</v>
      </c>
      <c r="I334" s="587" t="e">
        <f>C80</f>
        <v>#REF!</v>
      </c>
      <c r="J334" s="574" t="s">
        <v>468</v>
      </c>
      <c r="K334" s="587" t="e">
        <f>(F334*I334)/1000</f>
        <v>#REF!</v>
      </c>
      <c r="O334" s="796" t="s">
        <v>117</v>
      </c>
      <c r="AG334" s="793" t="s">
        <v>849</v>
      </c>
    </row>
    <row r="335" spans="1:33" hidden="1">
      <c r="A335" s="1103">
        <f t="shared" si="14"/>
        <v>171</v>
      </c>
      <c r="B335" s="793" t="s">
        <v>730</v>
      </c>
      <c r="C335" s="587">
        <v>13.89</v>
      </c>
      <c r="D335" s="573" t="s">
        <v>1</v>
      </c>
      <c r="E335" s="575"/>
      <c r="F335" s="800">
        <f>F311</f>
        <v>2.5</v>
      </c>
      <c r="G335" s="798" t="s">
        <v>126</v>
      </c>
      <c r="H335" s="793" t="s">
        <v>136</v>
      </c>
      <c r="I335" s="587" t="e">
        <f>K58</f>
        <v>#REF!</v>
      </c>
      <c r="J335" s="574" t="s">
        <v>126</v>
      </c>
      <c r="K335" s="587" t="e">
        <f>(F335*I335)</f>
        <v>#REF!</v>
      </c>
      <c r="M335" s="800">
        <v>0.22</v>
      </c>
      <c r="N335" s="793" t="s">
        <v>126</v>
      </c>
      <c r="O335" s="793" t="s">
        <v>135</v>
      </c>
      <c r="P335" s="800" t="e">
        <f>(K49)</f>
        <v>#REF!</v>
      </c>
      <c r="Q335" s="793" t="s">
        <v>126</v>
      </c>
      <c r="R335" s="800" t="e">
        <f>(M335*P335)</f>
        <v>#REF!</v>
      </c>
      <c r="AG335" s="793" t="s">
        <v>849</v>
      </c>
    </row>
    <row r="336" spans="1:33" hidden="1">
      <c r="A336" s="1103">
        <f t="shared" si="14"/>
        <v>172</v>
      </c>
      <c r="B336" s="793" t="s">
        <v>731</v>
      </c>
      <c r="C336" s="587">
        <v>36.25</v>
      </c>
      <c r="D336" s="573" t="s">
        <v>1</v>
      </c>
      <c r="E336" s="575"/>
      <c r="F336" s="800">
        <v>3.5</v>
      </c>
      <c r="G336" s="798" t="s">
        <v>209</v>
      </c>
      <c r="H336" s="793" t="s">
        <v>144</v>
      </c>
      <c r="I336" s="587">
        <f>C10</f>
        <v>150</v>
      </c>
      <c r="J336" s="574" t="s">
        <v>209</v>
      </c>
      <c r="K336" s="587">
        <f>(F336*I336)</f>
        <v>525</v>
      </c>
      <c r="M336" s="800">
        <v>2.2000000000000002</v>
      </c>
      <c r="N336" s="793" t="s">
        <v>209</v>
      </c>
      <c r="O336" s="793" t="s">
        <v>144</v>
      </c>
      <c r="P336" s="800">
        <f>(C10)</f>
        <v>150</v>
      </c>
      <c r="Q336" s="793" t="s">
        <v>209</v>
      </c>
      <c r="R336" s="800">
        <f>(M336*P336)</f>
        <v>330</v>
      </c>
      <c r="AG336" s="793" t="s">
        <v>849</v>
      </c>
    </row>
    <row r="337" spans="1:33" hidden="1">
      <c r="A337" s="1103">
        <f t="shared" si="14"/>
        <v>173</v>
      </c>
      <c r="B337" s="793" t="s">
        <v>745</v>
      </c>
      <c r="C337" s="575"/>
      <c r="D337" s="575"/>
      <c r="E337" s="575"/>
      <c r="F337" s="800">
        <v>10.6</v>
      </c>
      <c r="G337" s="798" t="s">
        <v>209</v>
      </c>
      <c r="H337" s="793" t="s">
        <v>145</v>
      </c>
      <c r="I337" s="587">
        <f>C11</f>
        <v>135</v>
      </c>
      <c r="J337" s="574" t="s">
        <v>209</v>
      </c>
      <c r="K337" s="587">
        <f>(F337*I337)</f>
        <v>1431</v>
      </c>
      <c r="M337" s="800">
        <v>0.5</v>
      </c>
      <c r="N337" s="793" t="s">
        <v>209</v>
      </c>
      <c r="O337" s="793" t="s">
        <v>146</v>
      </c>
      <c r="P337" s="800">
        <f>(C12)</f>
        <v>95</v>
      </c>
      <c r="Q337" s="793" t="s">
        <v>209</v>
      </c>
      <c r="R337" s="800">
        <f>(M337*P337)</f>
        <v>47.5</v>
      </c>
      <c r="AG337" s="793" t="s">
        <v>849</v>
      </c>
    </row>
    <row r="338" spans="1:33" hidden="1">
      <c r="A338" s="1103">
        <f t="shared" si="14"/>
        <v>174</v>
      </c>
      <c r="B338" s="793" t="s">
        <v>727</v>
      </c>
      <c r="C338" s="587">
        <v>15.7</v>
      </c>
      <c r="D338" s="573" t="s">
        <v>1</v>
      </c>
      <c r="E338" s="575"/>
      <c r="F338" s="800">
        <v>7.1</v>
      </c>
      <c r="G338" s="798" t="s">
        <v>209</v>
      </c>
      <c r="H338" s="793" t="s">
        <v>146</v>
      </c>
      <c r="I338" s="587">
        <f>C12</f>
        <v>95</v>
      </c>
      <c r="J338" s="574" t="s">
        <v>209</v>
      </c>
      <c r="K338" s="587">
        <f>(F338*I338)</f>
        <v>674.5</v>
      </c>
      <c r="M338" s="800">
        <v>3.2</v>
      </c>
      <c r="N338" s="793" t="s">
        <v>209</v>
      </c>
      <c r="O338" s="793" t="s">
        <v>147</v>
      </c>
      <c r="P338" s="800">
        <f>(C13)</f>
        <v>85</v>
      </c>
      <c r="Q338" s="793" t="s">
        <v>209</v>
      </c>
      <c r="R338" s="800">
        <f>(M338*P338)</f>
        <v>272</v>
      </c>
      <c r="AG338" s="793" t="s">
        <v>849</v>
      </c>
    </row>
    <row r="339" spans="1:33" hidden="1">
      <c r="A339" s="1103">
        <f t="shared" si="14"/>
        <v>175</v>
      </c>
      <c r="B339" s="793" t="s">
        <v>728</v>
      </c>
      <c r="C339" s="587">
        <v>22.31</v>
      </c>
      <c r="D339" s="573" t="s">
        <v>1</v>
      </c>
      <c r="E339" s="575"/>
      <c r="F339" s="800">
        <v>21.2</v>
      </c>
      <c r="G339" s="798" t="s">
        <v>209</v>
      </c>
      <c r="H339" s="793" t="s">
        <v>147</v>
      </c>
      <c r="I339" s="587">
        <f>C13</f>
        <v>85</v>
      </c>
      <c r="J339" s="574" t="s">
        <v>209</v>
      </c>
      <c r="K339" s="587">
        <f>(F339*I339)</f>
        <v>1802</v>
      </c>
      <c r="N339" s="793" t="s">
        <v>129</v>
      </c>
      <c r="O339" s="793" t="s">
        <v>130</v>
      </c>
      <c r="P339" s="793" t="s">
        <v>115</v>
      </c>
      <c r="Q339" s="793" t="s">
        <v>129</v>
      </c>
      <c r="R339" s="800">
        <v>0</v>
      </c>
      <c r="AG339" s="793" t="s">
        <v>849</v>
      </c>
    </row>
    <row r="340" spans="1:33" hidden="1">
      <c r="A340" s="1103">
        <f t="shared" si="14"/>
        <v>176</v>
      </c>
      <c r="B340" s="793" t="s">
        <v>730</v>
      </c>
      <c r="C340" s="587">
        <v>25.24</v>
      </c>
      <c r="D340" s="573" t="s">
        <v>1</v>
      </c>
      <c r="E340" s="575"/>
      <c r="G340" s="798" t="s">
        <v>129</v>
      </c>
      <c r="H340" s="793" t="s">
        <v>130</v>
      </c>
      <c r="I340" s="575"/>
      <c r="J340" s="574" t="s">
        <v>129</v>
      </c>
      <c r="K340" s="587">
        <v>0</v>
      </c>
      <c r="R340" s="796" t="s">
        <v>117</v>
      </c>
      <c r="AG340" s="793" t="s">
        <v>849</v>
      </c>
    </row>
    <row r="341" spans="1:33" hidden="1">
      <c r="A341" s="1103">
        <f t="shared" si="14"/>
        <v>177</v>
      </c>
      <c r="B341" s="793" t="s">
        <v>731</v>
      </c>
      <c r="C341" s="587">
        <v>52.34</v>
      </c>
      <c r="D341" s="573" t="s">
        <v>1</v>
      </c>
      <c r="E341" s="575"/>
      <c r="I341" s="575"/>
      <c r="J341" s="580"/>
      <c r="K341" s="582" t="s">
        <v>117</v>
      </c>
      <c r="O341" s="793" t="s">
        <v>153</v>
      </c>
      <c r="R341" s="800" t="e">
        <f>SUM(R335:R339)</f>
        <v>#REF!</v>
      </c>
      <c r="AG341" s="793" t="s">
        <v>849</v>
      </c>
    </row>
    <row r="342" spans="1:33" hidden="1">
      <c r="A342" s="1103">
        <f t="shared" si="14"/>
        <v>178</v>
      </c>
      <c r="B342" s="793" t="s">
        <v>746</v>
      </c>
      <c r="C342" s="575"/>
      <c r="D342" s="575"/>
      <c r="E342" s="575"/>
      <c r="H342" s="793" t="s">
        <v>455</v>
      </c>
      <c r="I342" s="575"/>
      <c r="J342" s="580"/>
      <c r="K342" s="587" t="e">
        <f>SUM(K334:K340)</f>
        <v>#REF!</v>
      </c>
      <c r="R342" s="796" t="s">
        <v>117</v>
      </c>
      <c r="AG342" s="793" t="s">
        <v>849</v>
      </c>
    </row>
    <row r="343" spans="1:33" hidden="1">
      <c r="A343" s="1103">
        <f t="shared" si="14"/>
        <v>179</v>
      </c>
      <c r="B343" s="793" t="s">
        <v>727</v>
      </c>
      <c r="C343" s="587">
        <v>13.73</v>
      </c>
      <c r="D343" s="573" t="s">
        <v>1</v>
      </c>
      <c r="E343" s="575"/>
      <c r="I343" s="575"/>
      <c r="J343" s="580"/>
      <c r="K343" s="582" t="s">
        <v>117</v>
      </c>
      <c r="O343" s="793" t="s">
        <v>154</v>
      </c>
      <c r="R343" s="800" t="e">
        <f>(R341/10)</f>
        <v>#REF!</v>
      </c>
      <c r="AG343" s="793" t="s">
        <v>849</v>
      </c>
    </row>
    <row r="344" spans="1:33" hidden="1">
      <c r="A344" s="1103">
        <f t="shared" si="14"/>
        <v>180</v>
      </c>
      <c r="B344" s="793" t="s">
        <v>728</v>
      </c>
      <c r="C344" s="587">
        <v>20.16</v>
      </c>
      <c r="D344" s="573" t="s">
        <v>1</v>
      </c>
      <c r="E344" s="575"/>
      <c r="H344" s="793" t="s">
        <v>383</v>
      </c>
      <c r="I344" s="575"/>
      <c r="J344" s="580"/>
      <c r="K344" s="587" t="e">
        <f>(K342/10)</f>
        <v>#REF!</v>
      </c>
      <c r="R344" s="796" t="s">
        <v>155</v>
      </c>
      <c r="AG344" s="793" t="s">
        <v>849</v>
      </c>
    </row>
    <row r="345" spans="1:33" hidden="1">
      <c r="A345" s="1103">
        <f t="shared" si="14"/>
        <v>181</v>
      </c>
      <c r="B345" s="793" t="s">
        <v>730</v>
      </c>
      <c r="C345" s="587">
        <v>22.73</v>
      </c>
      <c r="D345" s="573" t="s">
        <v>1</v>
      </c>
      <c r="E345" s="575"/>
      <c r="I345" s="575"/>
      <c r="J345" s="580"/>
      <c r="K345" s="582" t="s">
        <v>155</v>
      </c>
      <c r="N345" s="793" t="s">
        <v>122</v>
      </c>
      <c r="O345" s="793" t="s">
        <v>747</v>
      </c>
      <c r="AG345" s="793" t="s">
        <v>849</v>
      </c>
    </row>
    <row r="346" spans="1:33" hidden="1">
      <c r="A346" s="1103">
        <f t="shared" ref="A346:A351" si="16">(A345+1)</f>
        <v>182</v>
      </c>
      <c r="B346" s="793" t="s">
        <v>731</v>
      </c>
      <c r="C346" s="587">
        <v>46.98</v>
      </c>
      <c r="D346" s="573" t="s">
        <v>115</v>
      </c>
      <c r="E346" s="575"/>
      <c r="H346" s="793" t="s">
        <v>482</v>
      </c>
      <c r="I346" s="575"/>
      <c r="J346" s="580"/>
      <c r="K346" s="587" t="e">
        <f>(K344+C19)</f>
        <v>#REF!</v>
      </c>
      <c r="O346" s="796" t="s">
        <v>117</v>
      </c>
      <c r="AG346" s="793" t="s">
        <v>849</v>
      </c>
    </row>
    <row r="347" spans="1:33" hidden="1">
      <c r="A347" s="1103">
        <f t="shared" si="16"/>
        <v>183</v>
      </c>
      <c r="B347" s="793" t="s">
        <v>749</v>
      </c>
      <c r="C347" s="575"/>
      <c r="D347" s="575"/>
      <c r="E347" s="575"/>
      <c r="H347" s="793" t="s">
        <v>486</v>
      </c>
      <c r="I347" s="575"/>
      <c r="J347" s="580"/>
      <c r="K347" s="587" t="e">
        <f>(K346+C20)</f>
        <v>#REF!</v>
      </c>
      <c r="M347" s="800">
        <v>0.22</v>
      </c>
      <c r="N347" s="793" t="s">
        <v>126</v>
      </c>
      <c r="O347" s="793" t="s">
        <v>133</v>
      </c>
      <c r="P347" s="800" t="e">
        <f>(K32)</f>
        <v>#REF!</v>
      </c>
      <c r="Q347" s="793" t="s">
        <v>126</v>
      </c>
      <c r="R347" s="800" t="e">
        <f>(M347*P347)</f>
        <v>#REF!</v>
      </c>
      <c r="AG347" s="793" t="s">
        <v>849</v>
      </c>
    </row>
    <row r="348" spans="1:33" hidden="1">
      <c r="A348" s="1103">
        <f t="shared" si="16"/>
        <v>184</v>
      </c>
      <c r="B348" s="793" t="s">
        <v>727</v>
      </c>
      <c r="C348" s="587">
        <v>19.3</v>
      </c>
      <c r="D348" s="573" t="s">
        <v>1</v>
      </c>
      <c r="E348" s="575"/>
      <c r="H348" s="793" t="s">
        <v>489</v>
      </c>
      <c r="I348" s="575"/>
      <c r="J348" s="580"/>
      <c r="K348" s="587" t="e">
        <f>(K347+C21)</f>
        <v>#REF!</v>
      </c>
      <c r="M348" s="800">
        <v>2.2000000000000002</v>
      </c>
      <c r="N348" s="793" t="s">
        <v>209</v>
      </c>
      <c r="O348" s="793" t="s">
        <v>144</v>
      </c>
      <c r="P348" s="800">
        <f>(C10)</f>
        <v>150</v>
      </c>
      <c r="Q348" s="793" t="s">
        <v>209</v>
      </c>
      <c r="R348" s="800">
        <f>(M348*P348)</f>
        <v>330</v>
      </c>
      <c r="AG348" s="793" t="s">
        <v>849</v>
      </c>
    </row>
    <row r="349" spans="1:33" hidden="1">
      <c r="A349" s="1103">
        <f t="shared" si="16"/>
        <v>185</v>
      </c>
      <c r="B349" s="793" t="s">
        <v>730</v>
      </c>
      <c r="C349" s="587">
        <v>33.46</v>
      </c>
      <c r="D349" s="573" t="s">
        <v>1</v>
      </c>
      <c r="E349" s="575"/>
      <c r="H349" s="793" t="s">
        <v>491</v>
      </c>
      <c r="I349" s="575"/>
      <c r="J349" s="580"/>
      <c r="K349" s="587" t="e">
        <f>(K348+C21)</f>
        <v>#REF!</v>
      </c>
      <c r="M349" s="800">
        <v>0.5</v>
      </c>
      <c r="N349" s="793" t="s">
        <v>209</v>
      </c>
      <c r="O349" s="793" t="s">
        <v>146</v>
      </c>
      <c r="P349" s="800">
        <f>(C12)</f>
        <v>95</v>
      </c>
      <c r="Q349" s="793" t="s">
        <v>209</v>
      </c>
      <c r="R349" s="800">
        <f>(M349*P349)</f>
        <v>47.5</v>
      </c>
      <c r="AG349" s="793" t="s">
        <v>849</v>
      </c>
    </row>
    <row r="350" spans="1:33" hidden="1">
      <c r="A350" s="1103">
        <f t="shared" si="16"/>
        <v>186</v>
      </c>
      <c r="B350" s="793" t="s">
        <v>731</v>
      </c>
      <c r="C350" s="587">
        <v>53.62</v>
      </c>
      <c r="D350" s="573" t="s">
        <v>1</v>
      </c>
      <c r="E350" s="575"/>
      <c r="F350" s="793" t="s">
        <v>115</v>
      </c>
      <c r="H350" s="793" t="s">
        <v>496</v>
      </c>
      <c r="I350" s="575"/>
      <c r="J350" s="580"/>
      <c r="K350" s="587" t="e">
        <f>(K349+C21)</f>
        <v>#REF!</v>
      </c>
      <c r="M350" s="800">
        <v>3.2</v>
      </c>
      <c r="N350" s="793" t="s">
        <v>209</v>
      </c>
      <c r="O350" s="793" t="s">
        <v>147</v>
      </c>
      <c r="P350" s="800">
        <f>(C13)</f>
        <v>85</v>
      </c>
      <c r="Q350" s="793" t="s">
        <v>209</v>
      </c>
      <c r="R350" s="800">
        <f>(M350*P350)</f>
        <v>272</v>
      </c>
      <c r="AG350" s="793" t="s">
        <v>849</v>
      </c>
    </row>
    <row r="351" spans="1:33" hidden="1">
      <c r="A351" s="1103">
        <f t="shared" si="16"/>
        <v>187</v>
      </c>
      <c r="B351" s="793" t="s">
        <v>750</v>
      </c>
      <c r="C351" s="575"/>
      <c r="D351" s="575"/>
      <c r="E351" s="575"/>
      <c r="F351" s="1105">
        <v>27</v>
      </c>
      <c r="G351" s="798" t="s">
        <v>122</v>
      </c>
      <c r="H351" s="793" t="s">
        <v>3225</v>
      </c>
      <c r="I351" s="575"/>
      <c r="J351" s="580"/>
      <c r="K351" s="575"/>
      <c r="N351" s="793" t="s">
        <v>129</v>
      </c>
      <c r="O351" s="793" t="s">
        <v>130</v>
      </c>
      <c r="P351" s="793" t="s">
        <v>115</v>
      </c>
      <c r="Q351" s="793" t="s">
        <v>129</v>
      </c>
      <c r="R351" s="800">
        <v>0</v>
      </c>
      <c r="AG351" s="793" t="s">
        <v>849</v>
      </c>
    </row>
    <row r="352" spans="1:33" hidden="1">
      <c r="A352" s="1103">
        <f t="shared" ref="A352:A415" si="17">(A351+1)</f>
        <v>188</v>
      </c>
      <c r="B352" s="793" t="s">
        <v>727</v>
      </c>
      <c r="C352" s="587">
        <v>13.73</v>
      </c>
      <c r="D352" s="573" t="s">
        <v>1</v>
      </c>
      <c r="E352" s="575"/>
      <c r="H352" s="800" t="str">
        <f>H308</f>
        <v>Bricks of size 22x11x7 cm</v>
      </c>
      <c r="I352" s="575"/>
      <c r="J352" s="580"/>
      <c r="K352" s="575"/>
      <c r="R352" s="796" t="s">
        <v>117</v>
      </c>
      <c r="AG352" s="793" t="s">
        <v>849</v>
      </c>
    </row>
    <row r="353" spans="1:33" hidden="1">
      <c r="A353" s="1103">
        <f t="shared" si="17"/>
        <v>189</v>
      </c>
      <c r="B353" s="793" t="s">
        <v>728</v>
      </c>
      <c r="C353" s="587">
        <v>20.16</v>
      </c>
      <c r="D353" s="573" t="s">
        <v>1</v>
      </c>
      <c r="E353" s="575"/>
      <c r="H353" s="796" t="s">
        <v>117</v>
      </c>
      <c r="I353" s="575"/>
      <c r="J353" s="580"/>
      <c r="K353" s="575"/>
      <c r="O353" s="793" t="s">
        <v>153</v>
      </c>
      <c r="R353" s="800" t="e">
        <f>SUM(R347:R351)</f>
        <v>#REF!</v>
      </c>
      <c r="AG353" s="793" t="s">
        <v>849</v>
      </c>
    </row>
    <row r="354" spans="1:33" hidden="1">
      <c r="A354" s="1103">
        <f t="shared" si="17"/>
        <v>190</v>
      </c>
      <c r="B354" s="793" t="s">
        <v>730</v>
      </c>
      <c r="C354" s="587">
        <v>22.73</v>
      </c>
      <c r="D354" s="573" t="s">
        <v>1</v>
      </c>
      <c r="E354" s="575"/>
      <c r="F354" s="800">
        <f>F310</f>
        <v>4800</v>
      </c>
      <c r="G354" s="798" t="s">
        <v>467</v>
      </c>
      <c r="H354" s="800" t="str">
        <f>H308</f>
        <v>Bricks of size 22x11x7 cm</v>
      </c>
      <c r="I354" s="587" t="e">
        <f>C80</f>
        <v>#REF!</v>
      </c>
      <c r="J354" s="574" t="s">
        <v>468</v>
      </c>
      <c r="K354" s="587" t="e">
        <f>(F354*I354)/1000</f>
        <v>#REF!</v>
      </c>
      <c r="R354" s="796" t="s">
        <v>117</v>
      </c>
      <c r="AG354" s="793" t="s">
        <v>849</v>
      </c>
    </row>
    <row r="355" spans="1:33" hidden="1">
      <c r="A355" s="1103">
        <f t="shared" si="17"/>
        <v>191</v>
      </c>
      <c r="B355" s="793" t="s">
        <v>731</v>
      </c>
      <c r="C355" s="587">
        <v>46.98</v>
      </c>
      <c r="D355" s="573" t="s">
        <v>1</v>
      </c>
      <c r="E355" s="575"/>
      <c r="F355" s="800">
        <f>F311</f>
        <v>2.5</v>
      </c>
      <c r="G355" s="798" t="s">
        <v>126</v>
      </c>
      <c r="H355" s="793" t="s">
        <v>134</v>
      </c>
      <c r="I355" s="587" t="e">
        <f>K40</f>
        <v>#REF!</v>
      </c>
      <c r="J355" s="574" t="s">
        <v>126</v>
      </c>
      <c r="K355" s="587" t="e">
        <f>(F355*I355)</f>
        <v>#REF!</v>
      </c>
      <c r="O355" s="793" t="s">
        <v>154</v>
      </c>
      <c r="R355" s="800" t="e">
        <f>(R353/10)</f>
        <v>#REF!</v>
      </c>
      <c r="AG355" s="793" t="s">
        <v>849</v>
      </c>
    </row>
    <row r="356" spans="1:33" hidden="1">
      <c r="A356" s="1103">
        <f t="shared" si="17"/>
        <v>192</v>
      </c>
      <c r="B356" s="793" t="s">
        <v>753</v>
      </c>
      <c r="C356" s="575"/>
      <c r="D356" s="575"/>
      <c r="E356" s="575"/>
      <c r="F356" s="800">
        <v>3.5</v>
      </c>
      <c r="G356" s="798" t="s">
        <v>209</v>
      </c>
      <c r="H356" s="793" t="s">
        <v>144</v>
      </c>
      <c r="I356" s="587">
        <f>(C10)</f>
        <v>150</v>
      </c>
      <c r="J356" s="574" t="s">
        <v>209</v>
      </c>
      <c r="K356" s="587">
        <f>(F356*I356)</f>
        <v>525</v>
      </c>
      <c r="R356" s="796" t="s">
        <v>155</v>
      </c>
      <c r="AG356" s="793" t="s">
        <v>849</v>
      </c>
    </row>
    <row r="357" spans="1:33" hidden="1">
      <c r="A357" s="1103">
        <f t="shared" si="17"/>
        <v>193</v>
      </c>
      <c r="B357" s="793" t="s">
        <v>727</v>
      </c>
      <c r="C357" s="587">
        <v>19.3</v>
      </c>
      <c r="D357" s="573" t="s">
        <v>1</v>
      </c>
      <c r="E357" s="575"/>
      <c r="F357" s="800">
        <v>10.6</v>
      </c>
      <c r="G357" s="798" t="s">
        <v>209</v>
      </c>
      <c r="H357" s="793" t="s">
        <v>145</v>
      </c>
      <c r="I357" s="587">
        <f>(C11)</f>
        <v>135</v>
      </c>
      <c r="J357" s="574" t="s">
        <v>209</v>
      </c>
      <c r="K357" s="587">
        <f>(F357*I357)</f>
        <v>1431</v>
      </c>
      <c r="N357" s="793" t="s">
        <v>122</v>
      </c>
      <c r="O357" s="793" t="s">
        <v>754</v>
      </c>
      <c r="AG357" s="793" t="s">
        <v>849</v>
      </c>
    </row>
    <row r="358" spans="1:33" hidden="1">
      <c r="A358" s="1103">
        <f t="shared" si="17"/>
        <v>194</v>
      </c>
      <c r="B358" s="793" t="s">
        <v>728</v>
      </c>
      <c r="C358" s="587">
        <v>25.74</v>
      </c>
      <c r="D358" s="573" t="s">
        <v>1</v>
      </c>
      <c r="E358" s="575"/>
      <c r="F358" s="800">
        <v>7.1</v>
      </c>
      <c r="G358" s="798" t="s">
        <v>209</v>
      </c>
      <c r="H358" s="793" t="s">
        <v>146</v>
      </c>
      <c r="I358" s="587">
        <f>(C12)</f>
        <v>95</v>
      </c>
      <c r="J358" s="574" t="s">
        <v>209</v>
      </c>
      <c r="K358" s="587">
        <f>(F358*I358)</f>
        <v>674.5</v>
      </c>
      <c r="O358" s="793" t="s">
        <v>755</v>
      </c>
      <c r="AG358" s="793" t="s">
        <v>849</v>
      </c>
    </row>
    <row r="359" spans="1:33" hidden="1">
      <c r="A359" s="1103">
        <f t="shared" si="17"/>
        <v>195</v>
      </c>
      <c r="B359" s="793" t="s">
        <v>730</v>
      </c>
      <c r="C359" s="587">
        <v>33.46</v>
      </c>
      <c r="D359" s="573" t="s">
        <v>1</v>
      </c>
      <c r="E359" s="575"/>
      <c r="F359" s="800">
        <v>21.2</v>
      </c>
      <c r="G359" s="798" t="s">
        <v>209</v>
      </c>
      <c r="H359" s="793" t="s">
        <v>147</v>
      </c>
      <c r="I359" s="587">
        <f>(C13)</f>
        <v>85</v>
      </c>
      <c r="J359" s="574" t="s">
        <v>209</v>
      </c>
      <c r="K359" s="587">
        <f>(F359*I359)</f>
        <v>1802</v>
      </c>
      <c r="O359" s="793" t="s">
        <v>756</v>
      </c>
      <c r="AG359" s="793" t="s">
        <v>849</v>
      </c>
    </row>
    <row r="360" spans="1:33" hidden="1">
      <c r="A360" s="1103">
        <f t="shared" si="17"/>
        <v>196</v>
      </c>
      <c r="B360" s="793" t="s">
        <v>731</v>
      </c>
      <c r="C360" s="587">
        <v>53.62</v>
      </c>
      <c r="D360" s="573" t="s">
        <v>115</v>
      </c>
      <c r="E360" s="575"/>
      <c r="G360" s="798" t="s">
        <v>129</v>
      </c>
      <c r="H360" s="793" t="s">
        <v>130</v>
      </c>
      <c r="I360" s="575"/>
      <c r="J360" s="574" t="s">
        <v>129</v>
      </c>
      <c r="K360" s="587">
        <v>0</v>
      </c>
      <c r="O360" s="796" t="s">
        <v>117</v>
      </c>
      <c r="AG360" s="793" t="s">
        <v>849</v>
      </c>
    </row>
    <row r="361" spans="1:33" hidden="1">
      <c r="A361" s="1103">
        <f t="shared" si="17"/>
        <v>197</v>
      </c>
      <c r="B361" s="793" t="s">
        <v>758</v>
      </c>
      <c r="C361" s="575"/>
      <c r="D361" s="575"/>
      <c r="E361" s="575"/>
      <c r="I361" s="575"/>
      <c r="J361" s="580"/>
      <c r="K361" s="582" t="s">
        <v>117</v>
      </c>
      <c r="M361" s="800">
        <v>0.22</v>
      </c>
      <c r="N361" s="793" t="s">
        <v>126</v>
      </c>
      <c r="O361" s="793" t="s">
        <v>134</v>
      </c>
      <c r="P361" s="800" t="e">
        <f>(K40)</f>
        <v>#REF!</v>
      </c>
      <c r="Q361" s="793" t="s">
        <v>126</v>
      </c>
      <c r="R361" s="800" t="e">
        <f t="shared" ref="R361:R366" si="18">(M361*P361)</f>
        <v>#REF!</v>
      </c>
      <c r="AG361" s="793" t="s">
        <v>849</v>
      </c>
    </row>
    <row r="362" spans="1:33" hidden="1">
      <c r="A362" s="1103">
        <f t="shared" si="17"/>
        <v>198</v>
      </c>
      <c r="B362" s="793" t="s">
        <v>727</v>
      </c>
      <c r="C362" s="587">
        <v>26.16</v>
      </c>
      <c r="D362" s="573" t="s">
        <v>1</v>
      </c>
      <c r="E362" s="575"/>
      <c r="H362" s="793" t="s">
        <v>455</v>
      </c>
      <c r="I362" s="575"/>
      <c r="J362" s="580"/>
      <c r="K362" s="587" t="e">
        <f>SUM(K354:K360)</f>
        <v>#REF!</v>
      </c>
      <c r="M362" s="800">
        <v>2.2000000000000002</v>
      </c>
      <c r="N362" s="793" t="s">
        <v>209</v>
      </c>
      <c r="O362" s="793" t="s">
        <v>144</v>
      </c>
      <c r="P362" s="800">
        <f>(C10)</f>
        <v>150</v>
      </c>
      <c r="Q362" s="793" t="s">
        <v>209</v>
      </c>
      <c r="R362" s="800">
        <f t="shared" si="18"/>
        <v>330</v>
      </c>
      <c r="AG362" s="793" t="s">
        <v>849</v>
      </c>
    </row>
    <row r="363" spans="1:33" hidden="1">
      <c r="A363" s="1103">
        <f t="shared" si="17"/>
        <v>199</v>
      </c>
      <c r="B363" s="793" t="s">
        <v>728</v>
      </c>
      <c r="C363" s="587">
        <v>34.32</v>
      </c>
      <c r="D363" s="573" t="s">
        <v>1</v>
      </c>
      <c r="E363" s="575"/>
      <c r="I363" s="575"/>
      <c r="J363" s="580"/>
      <c r="K363" s="582" t="s">
        <v>117</v>
      </c>
      <c r="M363" s="800">
        <v>0.5</v>
      </c>
      <c r="N363" s="793" t="s">
        <v>209</v>
      </c>
      <c r="O363" s="793" t="s">
        <v>146</v>
      </c>
      <c r="P363" s="800">
        <f>(C12)</f>
        <v>95</v>
      </c>
      <c r="Q363" s="793" t="s">
        <v>209</v>
      </c>
      <c r="R363" s="800">
        <f t="shared" si="18"/>
        <v>47.5</v>
      </c>
      <c r="AG363" s="793" t="s">
        <v>849</v>
      </c>
    </row>
    <row r="364" spans="1:33" hidden="1">
      <c r="A364" s="1103">
        <f t="shared" si="17"/>
        <v>200</v>
      </c>
      <c r="B364" s="793" t="s">
        <v>730</v>
      </c>
      <c r="C364" s="587">
        <v>40.33</v>
      </c>
      <c r="D364" s="573" t="s">
        <v>1</v>
      </c>
      <c r="E364" s="575"/>
      <c r="H364" s="793" t="s">
        <v>383</v>
      </c>
      <c r="I364" s="575"/>
      <c r="J364" s="580"/>
      <c r="K364" s="587" t="e">
        <f>(K362/10)</f>
        <v>#REF!</v>
      </c>
      <c r="M364" s="800">
        <v>1.1000000000000001</v>
      </c>
      <c r="N364" s="793" t="s">
        <v>759</v>
      </c>
      <c r="O364" s="793" t="s">
        <v>760</v>
      </c>
      <c r="P364" s="800">
        <f>(C10)</f>
        <v>150</v>
      </c>
      <c r="Q364" s="793" t="s">
        <v>209</v>
      </c>
      <c r="R364" s="800">
        <f t="shared" si="18"/>
        <v>165</v>
      </c>
      <c r="AG364" s="793" t="s">
        <v>849</v>
      </c>
    </row>
    <row r="365" spans="1:33" hidden="1">
      <c r="A365" s="1103">
        <f t="shared" si="17"/>
        <v>201</v>
      </c>
      <c r="B365" s="793" t="s">
        <v>761</v>
      </c>
      <c r="C365" s="575"/>
      <c r="D365" s="573" t="s">
        <v>115</v>
      </c>
      <c r="E365" s="575"/>
      <c r="I365" s="575"/>
      <c r="J365" s="580"/>
      <c r="K365" s="582" t="s">
        <v>155</v>
      </c>
      <c r="M365" s="800">
        <v>3.2</v>
      </c>
      <c r="N365" s="793" t="s">
        <v>209</v>
      </c>
      <c r="O365" s="793" t="s">
        <v>147</v>
      </c>
      <c r="P365" s="800">
        <f>(C13)</f>
        <v>85</v>
      </c>
      <c r="Q365" s="793" t="s">
        <v>209</v>
      </c>
      <c r="R365" s="800">
        <f t="shared" si="18"/>
        <v>272</v>
      </c>
      <c r="AG365" s="793" t="s">
        <v>849</v>
      </c>
    </row>
    <row r="366" spans="1:33" hidden="1">
      <c r="A366" s="1103">
        <f t="shared" si="17"/>
        <v>202</v>
      </c>
      <c r="B366" s="793" t="s">
        <v>727</v>
      </c>
      <c r="C366" s="587">
        <v>20.329999999999998</v>
      </c>
      <c r="D366" s="573" t="s">
        <v>1</v>
      </c>
      <c r="E366" s="575"/>
      <c r="H366" s="793" t="s">
        <v>482</v>
      </c>
      <c r="I366" s="575"/>
      <c r="J366" s="580"/>
      <c r="K366" s="587" t="e">
        <f>(K364+C19)</f>
        <v>#REF!</v>
      </c>
      <c r="M366" s="800">
        <v>9.8000000000000007</v>
      </c>
      <c r="N366" s="793" t="s">
        <v>148</v>
      </c>
      <c r="O366" s="793" t="s">
        <v>762</v>
      </c>
      <c r="P366" s="800">
        <f>(C180)</f>
        <v>110</v>
      </c>
      <c r="Q366" s="793" t="s">
        <v>148</v>
      </c>
      <c r="R366" s="800">
        <f t="shared" si="18"/>
        <v>1078</v>
      </c>
      <c r="AG366" s="793" t="s">
        <v>849</v>
      </c>
    </row>
    <row r="367" spans="1:33" hidden="1">
      <c r="A367" s="1103">
        <f t="shared" si="17"/>
        <v>203</v>
      </c>
      <c r="B367" s="793" t="s">
        <v>728</v>
      </c>
      <c r="C367" s="587">
        <v>26.6</v>
      </c>
      <c r="D367" s="573" t="s">
        <v>1</v>
      </c>
      <c r="E367" s="575"/>
      <c r="H367" s="793" t="s">
        <v>486</v>
      </c>
      <c r="I367" s="575"/>
      <c r="J367" s="580"/>
      <c r="K367" s="587" t="e">
        <f>(K366+C20)</f>
        <v>#REF!</v>
      </c>
      <c r="N367" s="793" t="s">
        <v>129</v>
      </c>
      <c r="O367" s="793" t="s">
        <v>130</v>
      </c>
      <c r="P367" s="793" t="s">
        <v>115</v>
      </c>
      <c r="Q367" s="793" t="s">
        <v>129</v>
      </c>
      <c r="R367" s="800">
        <v>0</v>
      </c>
      <c r="AG367" s="793" t="s">
        <v>849</v>
      </c>
    </row>
    <row r="368" spans="1:33" hidden="1">
      <c r="A368" s="1103">
        <f t="shared" si="17"/>
        <v>204</v>
      </c>
      <c r="B368" s="793" t="s">
        <v>730</v>
      </c>
      <c r="C368" s="587">
        <v>33.89</v>
      </c>
      <c r="D368" s="573" t="s">
        <v>1</v>
      </c>
      <c r="E368" s="575"/>
      <c r="H368" s="793" t="s">
        <v>489</v>
      </c>
      <c r="I368" s="575"/>
      <c r="J368" s="580"/>
      <c r="K368" s="587" t="e">
        <f>(K367+C21)</f>
        <v>#REF!</v>
      </c>
      <c r="R368" s="796" t="s">
        <v>117</v>
      </c>
      <c r="AG368" s="793" t="s">
        <v>849</v>
      </c>
    </row>
    <row r="369" spans="1:33" hidden="1">
      <c r="A369" s="1103">
        <f t="shared" si="17"/>
        <v>205</v>
      </c>
      <c r="B369" s="793" t="s">
        <v>763</v>
      </c>
      <c r="C369" s="575"/>
      <c r="D369" s="575"/>
      <c r="E369" s="575"/>
      <c r="H369" s="793" t="s">
        <v>491</v>
      </c>
      <c r="I369" s="575"/>
      <c r="J369" s="580"/>
      <c r="K369" s="587" t="e">
        <f>(K368+C21)</f>
        <v>#REF!</v>
      </c>
      <c r="O369" s="793" t="s">
        <v>153</v>
      </c>
      <c r="R369" s="800" t="e">
        <f>SUM(R361:R367)</f>
        <v>#REF!</v>
      </c>
      <c r="AG369" s="793" t="s">
        <v>849</v>
      </c>
    </row>
    <row r="370" spans="1:33" hidden="1">
      <c r="A370" s="1103">
        <f t="shared" si="17"/>
        <v>206</v>
      </c>
      <c r="B370" s="793" t="s">
        <v>727</v>
      </c>
      <c r="C370" s="587">
        <v>13.29</v>
      </c>
      <c r="D370" s="573" t="s">
        <v>1</v>
      </c>
      <c r="E370" s="575"/>
      <c r="H370" s="793" t="s">
        <v>496</v>
      </c>
      <c r="I370" s="575"/>
      <c r="J370" s="580"/>
      <c r="K370" s="587" t="e">
        <f>(K369+C21)</f>
        <v>#REF!</v>
      </c>
      <c r="R370" s="796" t="s">
        <v>117</v>
      </c>
      <c r="AG370" s="793" t="s">
        <v>849</v>
      </c>
    </row>
    <row r="371" spans="1:33" hidden="1">
      <c r="A371" s="1103">
        <f t="shared" si="17"/>
        <v>207</v>
      </c>
      <c r="B371" s="793" t="s">
        <v>728</v>
      </c>
      <c r="C371" s="587">
        <v>18.02</v>
      </c>
      <c r="D371" s="573" t="s">
        <v>1</v>
      </c>
      <c r="E371" s="575"/>
      <c r="H371" s="793" t="s">
        <v>535</v>
      </c>
      <c r="I371" s="575"/>
      <c r="J371" s="580"/>
      <c r="K371" s="587" t="e">
        <f>(K366+K367+K368)/3</f>
        <v>#REF!</v>
      </c>
      <c r="O371" s="793" t="s">
        <v>154</v>
      </c>
      <c r="R371" s="800" t="e">
        <f>(R369/10)</f>
        <v>#REF!</v>
      </c>
      <c r="AG371" s="793" t="s">
        <v>849</v>
      </c>
    </row>
    <row r="372" spans="1:33" hidden="1">
      <c r="A372" s="1103">
        <f t="shared" si="17"/>
        <v>208</v>
      </c>
      <c r="B372" s="793" t="s">
        <v>730</v>
      </c>
      <c r="C372" s="587">
        <v>23.17</v>
      </c>
      <c r="D372" s="573" t="s">
        <v>1</v>
      </c>
      <c r="E372" s="575"/>
      <c r="I372" s="575"/>
      <c r="J372" s="580"/>
      <c r="K372" s="575"/>
      <c r="R372" s="796" t="s">
        <v>155</v>
      </c>
      <c r="AG372" s="793" t="s">
        <v>849</v>
      </c>
    </row>
    <row r="373" spans="1:33" hidden="1">
      <c r="A373" s="1103">
        <f t="shared" si="17"/>
        <v>209</v>
      </c>
      <c r="B373" s="793" t="s">
        <v>764</v>
      </c>
      <c r="C373" s="575"/>
      <c r="D373" s="573" t="s">
        <v>115</v>
      </c>
      <c r="E373" s="575"/>
      <c r="H373" s="1098" t="s">
        <v>537</v>
      </c>
      <c r="I373" s="575"/>
      <c r="J373" s="580"/>
      <c r="K373" s="575"/>
      <c r="N373" s="793" t="s">
        <v>122</v>
      </c>
      <c r="O373" s="793" t="s">
        <v>765</v>
      </c>
      <c r="AG373" s="793" t="s">
        <v>849</v>
      </c>
    </row>
    <row r="374" spans="1:33" hidden="1">
      <c r="A374" s="1103">
        <f t="shared" si="17"/>
        <v>210</v>
      </c>
      <c r="B374" s="793" t="s">
        <v>727</v>
      </c>
      <c r="C374" s="587">
        <v>9</v>
      </c>
      <c r="D374" s="573" t="s">
        <v>1</v>
      </c>
      <c r="E374" s="575"/>
      <c r="H374" s="796" t="s">
        <v>117</v>
      </c>
      <c r="I374" s="575"/>
      <c r="J374" s="580"/>
      <c r="K374" s="575"/>
      <c r="O374" s="796" t="s">
        <v>117</v>
      </c>
      <c r="AG374" s="793" t="s">
        <v>849</v>
      </c>
    </row>
    <row r="375" spans="1:33" hidden="1">
      <c r="A375" s="1103">
        <f t="shared" si="17"/>
        <v>211</v>
      </c>
      <c r="B375" s="793" t="s">
        <v>728</v>
      </c>
      <c r="C375" s="587">
        <v>11.58</v>
      </c>
      <c r="D375" s="573" t="s">
        <v>1</v>
      </c>
      <c r="E375" s="575"/>
      <c r="F375" s="1105">
        <v>10</v>
      </c>
      <c r="G375" s="798" t="s">
        <v>122</v>
      </c>
      <c r="H375" s="793" t="s">
        <v>3225</v>
      </c>
      <c r="I375" s="575"/>
      <c r="J375" s="580"/>
      <c r="K375" s="575"/>
      <c r="M375" s="800">
        <v>0.05</v>
      </c>
      <c r="N375" s="793" t="s">
        <v>126</v>
      </c>
      <c r="O375" s="793" t="s">
        <v>508</v>
      </c>
      <c r="P375" s="800">
        <f>(C84)</f>
        <v>773</v>
      </c>
      <c r="Q375" s="793" t="s">
        <v>126</v>
      </c>
      <c r="R375" s="800">
        <f>(M375*P375)</f>
        <v>38.650000000000006</v>
      </c>
      <c r="AG375" s="793" t="s">
        <v>849</v>
      </c>
    </row>
    <row r="376" spans="1:33" hidden="1">
      <c r="A376" s="1103">
        <f t="shared" si="17"/>
        <v>212</v>
      </c>
      <c r="B376" s="793" t="s">
        <v>730</v>
      </c>
      <c r="C376" s="587">
        <v>14.15</v>
      </c>
      <c r="D376" s="573" t="s">
        <v>1</v>
      </c>
      <c r="E376" s="575"/>
      <c r="H376" s="800" t="str">
        <f>H308</f>
        <v>Bricks of size 22x11x7 cm</v>
      </c>
      <c r="I376" s="575"/>
      <c r="J376" s="580"/>
      <c r="K376" s="575"/>
      <c r="M376" s="800">
        <v>1.1000000000000001</v>
      </c>
      <c r="N376" s="793" t="s">
        <v>209</v>
      </c>
      <c r="O376" s="793" t="s">
        <v>145</v>
      </c>
      <c r="P376" s="800">
        <f>(C11)</f>
        <v>135</v>
      </c>
      <c r="Q376" s="793" t="s">
        <v>209</v>
      </c>
      <c r="R376" s="800">
        <f>(M376*P376)</f>
        <v>148.5</v>
      </c>
      <c r="AG376" s="793" t="s">
        <v>849</v>
      </c>
    </row>
    <row r="377" spans="1:33" hidden="1">
      <c r="A377" s="1103">
        <f t="shared" si="17"/>
        <v>213</v>
      </c>
      <c r="B377" s="793" t="s">
        <v>768</v>
      </c>
      <c r="C377" s="575"/>
      <c r="D377" s="575"/>
      <c r="E377" s="575"/>
      <c r="H377" s="796" t="s">
        <v>117</v>
      </c>
      <c r="I377" s="575"/>
      <c r="J377" s="580"/>
      <c r="K377" s="575"/>
      <c r="M377" s="800">
        <v>0.3</v>
      </c>
      <c r="N377" s="793" t="s">
        <v>209</v>
      </c>
      <c r="O377" s="793" t="s">
        <v>146</v>
      </c>
      <c r="P377" s="800">
        <f>(C12)</f>
        <v>95</v>
      </c>
      <c r="Q377" s="793" t="s">
        <v>209</v>
      </c>
      <c r="R377" s="800">
        <f>(M377*P377)</f>
        <v>28.5</v>
      </c>
      <c r="AG377" s="793" t="s">
        <v>849</v>
      </c>
    </row>
    <row r="378" spans="1:33" hidden="1">
      <c r="A378" s="1103">
        <f t="shared" si="17"/>
        <v>214</v>
      </c>
      <c r="B378" s="793" t="s">
        <v>727</v>
      </c>
      <c r="C378" s="587">
        <v>4.29</v>
      </c>
      <c r="D378" s="573" t="s">
        <v>1</v>
      </c>
      <c r="E378" s="575"/>
      <c r="F378" s="800">
        <f>F310</f>
        <v>4800</v>
      </c>
      <c r="G378" s="798" t="s">
        <v>467</v>
      </c>
      <c r="H378" s="800" t="str">
        <f>H308</f>
        <v>Bricks of size 22x11x7 cm</v>
      </c>
      <c r="I378" s="587" t="e">
        <f>(C80)</f>
        <v>#REF!</v>
      </c>
      <c r="J378" s="574" t="s">
        <v>468</v>
      </c>
      <c r="K378" s="587" t="e">
        <f>(F378*I378)/1000</f>
        <v>#REF!</v>
      </c>
      <c r="M378" s="800">
        <v>1.9</v>
      </c>
      <c r="N378" s="793" t="s">
        <v>209</v>
      </c>
      <c r="O378" s="793" t="s">
        <v>147</v>
      </c>
      <c r="P378" s="800">
        <f>(C13)</f>
        <v>85</v>
      </c>
      <c r="Q378" s="793" t="s">
        <v>209</v>
      </c>
      <c r="R378" s="800">
        <f>(M378*P378)</f>
        <v>161.5</v>
      </c>
      <c r="AG378" s="793" t="s">
        <v>849</v>
      </c>
    </row>
    <row r="379" spans="1:33" hidden="1">
      <c r="A379" s="1103">
        <f t="shared" si="17"/>
        <v>215</v>
      </c>
      <c r="B379" s="793" t="s">
        <v>728</v>
      </c>
      <c r="C379" s="587">
        <v>6.01</v>
      </c>
      <c r="D379" s="573" t="s">
        <v>1</v>
      </c>
      <c r="E379" s="575"/>
      <c r="F379" s="800">
        <v>1.59</v>
      </c>
      <c r="G379" s="798" t="s">
        <v>126</v>
      </c>
      <c r="H379" s="793" t="s">
        <v>134</v>
      </c>
      <c r="I379" s="587" t="e">
        <f>(K40)</f>
        <v>#REF!</v>
      </c>
      <c r="J379" s="574" t="s">
        <v>126</v>
      </c>
      <c r="K379" s="587" t="e">
        <f>(F379*I379)</f>
        <v>#REF!</v>
      </c>
      <c r="N379" s="793" t="s">
        <v>129</v>
      </c>
      <c r="O379" s="793" t="s">
        <v>769</v>
      </c>
      <c r="P379" s="793" t="s">
        <v>115</v>
      </c>
      <c r="Q379" s="793" t="s">
        <v>129</v>
      </c>
      <c r="R379" s="800">
        <v>1.46</v>
      </c>
      <c r="AG379" s="793" t="s">
        <v>849</v>
      </c>
    </row>
    <row r="380" spans="1:33" hidden="1">
      <c r="A380" s="1103">
        <f t="shared" si="17"/>
        <v>216</v>
      </c>
      <c r="B380" s="793" t="s">
        <v>730</v>
      </c>
      <c r="C380" s="587">
        <v>6.86</v>
      </c>
      <c r="D380" s="573" t="s">
        <v>1</v>
      </c>
      <c r="E380" s="575"/>
      <c r="F380" s="800">
        <v>7</v>
      </c>
      <c r="G380" s="798" t="s">
        <v>209</v>
      </c>
      <c r="H380" s="793" t="s">
        <v>144</v>
      </c>
      <c r="I380" s="587">
        <f>(C10)</f>
        <v>150</v>
      </c>
      <c r="J380" s="574" t="s">
        <v>209</v>
      </c>
      <c r="K380" s="587">
        <f>(F380*I380)</f>
        <v>1050</v>
      </c>
      <c r="R380" s="796" t="s">
        <v>117</v>
      </c>
      <c r="AG380" s="793" t="s">
        <v>849</v>
      </c>
    </row>
    <row r="381" spans="1:33" hidden="1">
      <c r="A381" s="1103">
        <f t="shared" si="17"/>
        <v>217</v>
      </c>
      <c r="B381" s="793" t="s">
        <v>770</v>
      </c>
      <c r="C381" s="575"/>
      <c r="D381" s="573" t="s">
        <v>115</v>
      </c>
      <c r="E381" s="575"/>
      <c r="F381" s="800">
        <v>7.1</v>
      </c>
      <c r="G381" s="798" t="s">
        <v>209</v>
      </c>
      <c r="H381" s="793" t="s">
        <v>145</v>
      </c>
      <c r="I381" s="587">
        <f>(C11)</f>
        <v>135</v>
      </c>
      <c r="J381" s="574" t="s">
        <v>209</v>
      </c>
      <c r="K381" s="587">
        <f>(F381*I381)</f>
        <v>958.5</v>
      </c>
      <c r="O381" s="793" t="s">
        <v>771</v>
      </c>
      <c r="R381" s="800">
        <f>SUM(R374:R379)</f>
        <v>378.60999999999996</v>
      </c>
      <c r="AG381" s="793" t="s">
        <v>849</v>
      </c>
    </row>
    <row r="382" spans="1:33" hidden="1">
      <c r="A382" s="1103">
        <f t="shared" si="17"/>
        <v>218</v>
      </c>
      <c r="B382" s="793" t="s">
        <v>727</v>
      </c>
      <c r="C382" s="587">
        <v>14.91</v>
      </c>
      <c r="D382" s="573" t="s">
        <v>1</v>
      </c>
      <c r="E382" s="575"/>
      <c r="F382" s="800">
        <v>7.1</v>
      </c>
      <c r="G382" s="798" t="s">
        <v>209</v>
      </c>
      <c r="H382" s="793" t="s">
        <v>146</v>
      </c>
      <c r="I382" s="587">
        <f>(C12)</f>
        <v>95</v>
      </c>
      <c r="J382" s="574" t="s">
        <v>209</v>
      </c>
      <c r="K382" s="587">
        <f>(F382*I382)</f>
        <v>674.5</v>
      </c>
      <c r="R382" s="796" t="s">
        <v>117</v>
      </c>
      <c r="AG382" s="793" t="s">
        <v>849</v>
      </c>
    </row>
    <row r="383" spans="1:33" hidden="1">
      <c r="A383" s="1103">
        <f t="shared" si="17"/>
        <v>219</v>
      </c>
      <c r="B383" s="793" t="s">
        <v>728</v>
      </c>
      <c r="C383" s="587">
        <v>17.579999999999998</v>
      </c>
      <c r="D383" s="573" t="s">
        <v>1</v>
      </c>
      <c r="E383" s="575"/>
      <c r="F383" s="800">
        <v>21.2</v>
      </c>
      <c r="G383" s="798" t="s">
        <v>209</v>
      </c>
      <c r="H383" s="793" t="s">
        <v>147</v>
      </c>
      <c r="I383" s="587">
        <f>(C13)</f>
        <v>85</v>
      </c>
      <c r="J383" s="574" t="s">
        <v>209</v>
      </c>
      <c r="K383" s="587">
        <f>(F383*I383)</f>
        <v>1802</v>
      </c>
      <c r="O383" s="793" t="s">
        <v>154</v>
      </c>
      <c r="R383" s="800">
        <f>(R381/100)</f>
        <v>3.7860999999999994</v>
      </c>
      <c r="AG383" s="793" t="s">
        <v>849</v>
      </c>
    </row>
    <row r="384" spans="1:33" hidden="1">
      <c r="A384" s="1103">
        <f t="shared" si="17"/>
        <v>220</v>
      </c>
      <c r="B384" s="793" t="s">
        <v>730</v>
      </c>
      <c r="C384" s="587">
        <v>19.3</v>
      </c>
      <c r="D384" s="573" t="s">
        <v>1</v>
      </c>
      <c r="E384" s="575"/>
      <c r="G384" s="798" t="s">
        <v>129</v>
      </c>
      <c r="H384" s="793" t="s">
        <v>130</v>
      </c>
      <c r="I384" s="573" t="s">
        <v>115</v>
      </c>
      <c r="J384" s="574" t="s">
        <v>129</v>
      </c>
      <c r="K384" s="587">
        <v>0</v>
      </c>
      <c r="R384" s="796" t="s">
        <v>155</v>
      </c>
      <c r="AG384" s="793" t="s">
        <v>849</v>
      </c>
    </row>
    <row r="385" spans="1:33" hidden="1">
      <c r="A385" s="1103">
        <f t="shared" si="17"/>
        <v>221</v>
      </c>
      <c r="B385" s="793" t="s">
        <v>773</v>
      </c>
      <c r="C385" s="575"/>
      <c r="D385" s="575"/>
      <c r="E385" s="575"/>
      <c r="I385" s="575"/>
      <c r="J385" s="580"/>
      <c r="K385" s="582" t="s">
        <v>117</v>
      </c>
      <c r="AG385" s="793" t="s">
        <v>636</v>
      </c>
    </row>
    <row r="386" spans="1:33" hidden="1">
      <c r="A386" s="1103">
        <f t="shared" si="17"/>
        <v>222</v>
      </c>
      <c r="B386" s="793" t="s">
        <v>727</v>
      </c>
      <c r="C386" s="587">
        <v>15.87</v>
      </c>
      <c r="D386" s="573" t="s">
        <v>1</v>
      </c>
      <c r="E386" s="575"/>
      <c r="H386" s="793" t="s">
        <v>455</v>
      </c>
      <c r="I386" s="575"/>
      <c r="J386" s="580"/>
      <c r="K386" s="587" t="e">
        <f>SUM(K378:K384)</f>
        <v>#REF!</v>
      </c>
    </row>
    <row r="387" spans="1:33" hidden="1">
      <c r="A387" s="1103">
        <f t="shared" si="17"/>
        <v>223</v>
      </c>
      <c r="B387" s="793" t="s">
        <v>728</v>
      </c>
      <c r="C387" s="587">
        <v>20.16</v>
      </c>
      <c r="D387" s="573" t="s">
        <v>1</v>
      </c>
      <c r="E387" s="575"/>
      <c r="I387" s="575"/>
      <c r="J387" s="580"/>
      <c r="K387" s="582" t="s">
        <v>117</v>
      </c>
      <c r="N387" s="793" t="s">
        <v>558</v>
      </c>
      <c r="O387" s="793" t="s">
        <v>775</v>
      </c>
    </row>
    <row r="388" spans="1:33" hidden="1">
      <c r="A388" s="1103">
        <f t="shared" si="17"/>
        <v>224</v>
      </c>
      <c r="B388" s="793" t="s">
        <v>730</v>
      </c>
      <c r="C388" s="587">
        <v>22.31</v>
      </c>
      <c r="D388" s="573" t="s">
        <v>1</v>
      </c>
      <c r="E388" s="575"/>
      <c r="H388" s="793" t="s">
        <v>383</v>
      </c>
      <c r="I388" s="575"/>
      <c r="J388" s="580"/>
      <c r="K388" s="587" t="e">
        <f>(K386/10)</f>
        <v>#REF!</v>
      </c>
      <c r="O388" s="796" t="s">
        <v>117</v>
      </c>
      <c r="AG388" s="793" t="s">
        <v>849</v>
      </c>
    </row>
    <row r="389" spans="1:33" hidden="1">
      <c r="A389" s="1103">
        <f t="shared" si="17"/>
        <v>225</v>
      </c>
      <c r="B389" s="793" t="s">
        <v>3226</v>
      </c>
      <c r="C389" s="575"/>
      <c r="D389" s="573" t="s">
        <v>115</v>
      </c>
      <c r="E389" s="575"/>
      <c r="I389" s="575"/>
      <c r="J389" s="580"/>
      <c r="K389" s="582" t="s">
        <v>155</v>
      </c>
      <c r="M389" s="800">
        <v>7.0000000000000007E-2</v>
      </c>
      <c r="N389" s="793" t="s">
        <v>126</v>
      </c>
      <c r="O389" s="793" t="s">
        <v>508</v>
      </c>
      <c r="P389" s="800">
        <f>(C84)</f>
        <v>773</v>
      </c>
      <c r="Q389" s="793" t="s">
        <v>126</v>
      </c>
      <c r="R389" s="800">
        <f>(M389*P389)</f>
        <v>54.110000000000007</v>
      </c>
      <c r="AG389" s="793" t="s">
        <v>849</v>
      </c>
    </row>
    <row r="390" spans="1:33" hidden="1">
      <c r="A390" s="1103">
        <f t="shared" si="17"/>
        <v>226</v>
      </c>
      <c r="B390" s="793" t="s">
        <v>786</v>
      </c>
      <c r="C390" s="587">
        <v>26.4</v>
      </c>
      <c r="D390" s="573" t="s">
        <v>203</v>
      </c>
      <c r="E390" s="575"/>
      <c r="I390" s="575"/>
      <c r="J390" s="580"/>
      <c r="K390" s="575"/>
      <c r="M390" s="800">
        <v>1.6</v>
      </c>
      <c r="N390" s="793" t="s">
        <v>209</v>
      </c>
      <c r="O390" s="793" t="s">
        <v>145</v>
      </c>
      <c r="P390" s="800">
        <f>(C11)</f>
        <v>135</v>
      </c>
      <c r="Q390" s="793" t="s">
        <v>209</v>
      </c>
      <c r="R390" s="800">
        <f>(M390*P390)</f>
        <v>216</v>
      </c>
      <c r="AG390" s="793" t="s">
        <v>849</v>
      </c>
    </row>
    <row r="391" spans="1:33" hidden="1">
      <c r="A391" s="1103">
        <f t="shared" si="17"/>
        <v>227</v>
      </c>
      <c r="B391" s="793" t="s">
        <v>779</v>
      </c>
      <c r="C391" s="587">
        <v>35.26</v>
      </c>
      <c r="D391" s="573" t="s">
        <v>203</v>
      </c>
      <c r="E391" s="575"/>
      <c r="G391" s="798" t="s">
        <v>558</v>
      </c>
      <c r="H391" s="793" t="s">
        <v>559</v>
      </c>
      <c r="I391" s="575"/>
      <c r="J391" s="580"/>
      <c r="K391" s="575"/>
      <c r="M391" s="800">
        <v>0.5</v>
      </c>
      <c r="N391" s="793" t="s">
        <v>209</v>
      </c>
      <c r="O391" s="793" t="s">
        <v>146</v>
      </c>
      <c r="P391" s="800">
        <f>(C12)</f>
        <v>95</v>
      </c>
      <c r="Q391" s="793" t="s">
        <v>209</v>
      </c>
      <c r="R391" s="800">
        <f>(M391*P391)</f>
        <v>47.5</v>
      </c>
      <c r="AG391" s="793" t="s">
        <v>849</v>
      </c>
    </row>
    <row r="392" spans="1:33" hidden="1">
      <c r="A392" s="1103">
        <f t="shared" si="17"/>
        <v>228</v>
      </c>
      <c r="B392" s="793" t="s">
        <v>781</v>
      </c>
      <c r="C392" s="587">
        <v>48.71</v>
      </c>
      <c r="D392" s="573" t="s">
        <v>203</v>
      </c>
      <c r="E392" s="575"/>
      <c r="H392" s="796" t="s">
        <v>117</v>
      </c>
      <c r="I392" s="575"/>
      <c r="J392" s="580"/>
      <c r="K392" s="575"/>
      <c r="M392" s="800">
        <v>2.7</v>
      </c>
      <c r="N392" s="793" t="s">
        <v>209</v>
      </c>
      <c r="O392" s="793" t="s">
        <v>147</v>
      </c>
      <c r="P392" s="800">
        <f>(C13)</f>
        <v>85</v>
      </c>
      <c r="Q392" s="793" t="s">
        <v>209</v>
      </c>
      <c r="R392" s="800">
        <f>(M392*P392)</f>
        <v>229.50000000000003</v>
      </c>
      <c r="AG392" s="793" t="s">
        <v>849</v>
      </c>
    </row>
    <row r="393" spans="1:33" hidden="1">
      <c r="A393" s="1103">
        <f t="shared" si="17"/>
        <v>229</v>
      </c>
      <c r="B393" s="793" t="s">
        <v>782</v>
      </c>
      <c r="C393" s="587">
        <v>58.75</v>
      </c>
      <c r="D393" s="573" t="s">
        <v>203</v>
      </c>
      <c r="E393" s="575"/>
      <c r="F393" s="800">
        <v>1.1000000000000001</v>
      </c>
      <c r="G393" s="798" t="s">
        <v>126</v>
      </c>
      <c r="H393" s="793" t="s">
        <v>565</v>
      </c>
      <c r="I393" s="587" t="e">
        <f>(K388)</f>
        <v>#REF!</v>
      </c>
      <c r="J393" s="574" t="s">
        <v>209</v>
      </c>
      <c r="K393" s="587" t="e">
        <f>(F393*I393)</f>
        <v>#REF!</v>
      </c>
      <c r="N393" s="793" t="s">
        <v>129</v>
      </c>
      <c r="O393" s="793" t="s">
        <v>769</v>
      </c>
      <c r="P393" s="793" t="s">
        <v>115</v>
      </c>
      <c r="Q393" s="793" t="s">
        <v>129</v>
      </c>
      <c r="R393" s="800">
        <v>2.09</v>
      </c>
      <c r="AG393" s="793" t="s">
        <v>849</v>
      </c>
    </row>
    <row r="394" spans="1:33" hidden="1">
      <c r="A394" s="1103">
        <f t="shared" si="17"/>
        <v>230</v>
      </c>
      <c r="B394" s="793" t="s">
        <v>783</v>
      </c>
      <c r="C394" s="587">
        <v>70.2</v>
      </c>
      <c r="D394" s="573" t="s">
        <v>203</v>
      </c>
      <c r="E394" s="575"/>
      <c r="F394" s="800">
        <v>1</v>
      </c>
      <c r="G394" s="798" t="s">
        <v>1</v>
      </c>
      <c r="H394" s="793" t="s">
        <v>144</v>
      </c>
      <c r="I394" s="587">
        <f>(C10)</f>
        <v>150</v>
      </c>
      <c r="J394" s="574" t="s">
        <v>209</v>
      </c>
      <c r="K394" s="587">
        <f>(F394*I394)</f>
        <v>150</v>
      </c>
      <c r="R394" s="796" t="s">
        <v>117</v>
      </c>
      <c r="AG394" s="793" t="s">
        <v>849</v>
      </c>
    </row>
    <row r="395" spans="1:33" hidden="1">
      <c r="A395" s="1103">
        <f t="shared" si="17"/>
        <v>231</v>
      </c>
      <c r="B395" s="793" t="s">
        <v>727</v>
      </c>
      <c r="C395" s="587">
        <v>91.85</v>
      </c>
      <c r="D395" s="573" t="s">
        <v>203</v>
      </c>
      <c r="E395" s="575"/>
      <c r="G395" s="798" t="s">
        <v>129</v>
      </c>
      <c r="H395" s="793" t="s">
        <v>130</v>
      </c>
      <c r="I395" s="573" t="s">
        <v>115</v>
      </c>
      <c r="J395" s="574" t="s">
        <v>129</v>
      </c>
      <c r="K395" s="587">
        <v>0</v>
      </c>
      <c r="O395" s="793" t="s">
        <v>771</v>
      </c>
      <c r="R395" s="800">
        <f>SUM(R388:R393)</f>
        <v>549.20000000000005</v>
      </c>
      <c r="AG395" s="793" t="s">
        <v>849</v>
      </c>
    </row>
    <row r="396" spans="1:33" hidden="1">
      <c r="A396" s="1103">
        <f t="shared" si="17"/>
        <v>232</v>
      </c>
      <c r="B396" s="793" t="s">
        <v>812</v>
      </c>
      <c r="C396" s="587">
        <v>128</v>
      </c>
      <c r="D396" s="573" t="s">
        <v>203</v>
      </c>
      <c r="E396" s="575"/>
      <c r="I396" s="575"/>
      <c r="J396" s="580"/>
      <c r="K396" s="582" t="s">
        <v>117</v>
      </c>
      <c r="R396" s="796" t="s">
        <v>117</v>
      </c>
      <c r="AG396" s="793" t="s">
        <v>849</v>
      </c>
    </row>
    <row r="397" spans="1:33" hidden="1">
      <c r="A397" s="1103">
        <f t="shared" si="17"/>
        <v>233</v>
      </c>
      <c r="B397" s="793" t="s">
        <v>3227</v>
      </c>
      <c r="C397" s="575"/>
      <c r="D397" s="575"/>
      <c r="E397" s="575"/>
      <c r="H397" s="793" t="s">
        <v>153</v>
      </c>
      <c r="I397" s="575"/>
      <c r="J397" s="580"/>
      <c r="K397" s="587" t="e">
        <f>SUM(K393:K395)</f>
        <v>#REF!</v>
      </c>
      <c r="O397" s="793" t="s">
        <v>154</v>
      </c>
      <c r="R397" s="800">
        <f>(R395/100)</f>
        <v>5.4920000000000009</v>
      </c>
      <c r="AG397" s="793" t="s">
        <v>849</v>
      </c>
    </row>
    <row r="398" spans="1:33" hidden="1">
      <c r="A398" s="1103">
        <f t="shared" si="17"/>
        <v>234</v>
      </c>
      <c r="B398" s="793" t="s">
        <v>786</v>
      </c>
      <c r="C398" s="587">
        <v>9</v>
      </c>
      <c r="D398" s="573" t="s">
        <v>209</v>
      </c>
      <c r="E398" s="575"/>
      <c r="I398" s="575"/>
      <c r="J398" s="580"/>
      <c r="K398" s="582" t="s">
        <v>117</v>
      </c>
      <c r="R398" s="796" t="s">
        <v>155</v>
      </c>
      <c r="AG398" s="793" t="s">
        <v>849</v>
      </c>
    </row>
    <row r="399" spans="1:33" hidden="1">
      <c r="A399" s="1103">
        <f t="shared" si="17"/>
        <v>235</v>
      </c>
      <c r="B399" s="793" t="s">
        <v>779</v>
      </c>
      <c r="C399" s="587">
        <v>11</v>
      </c>
      <c r="D399" s="573" t="s">
        <v>209</v>
      </c>
      <c r="E399" s="575"/>
      <c r="H399" s="793" t="s">
        <v>154</v>
      </c>
      <c r="I399" s="575"/>
      <c r="J399" s="580"/>
      <c r="K399" s="587" t="e">
        <f>(K397/10)</f>
        <v>#REF!</v>
      </c>
      <c r="N399" s="793" t="s">
        <v>558</v>
      </c>
      <c r="O399" s="793" t="s">
        <v>787</v>
      </c>
      <c r="AG399" s="793" t="s">
        <v>849</v>
      </c>
    </row>
    <row r="400" spans="1:33" hidden="1">
      <c r="A400" s="1103">
        <f t="shared" si="17"/>
        <v>236</v>
      </c>
      <c r="B400" s="793" t="s">
        <v>781</v>
      </c>
      <c r="C400" s="587">
        <v>18</v>
      </c>
      <c r="D400" s="573" t="s">
        <v>209</v>
      </c>
      <c r="E400" s="575"/>
      <c r="I400" s="575"/>
      <c r="J400" s="580"/>
      <c r="K400" s="582" t="s">
        <v>155</v>
      </c>
      <c r="O400" s="796" t="s">
        <v>117</v>
      </c>
      <c r="AG400" s="793" t="s">
        <v>849</v>
      </c>
    </row>
    <row r="401" spans="1:33" hidden="1">
      <c r="A401" s="1103">
        <f t="shared" si="17"/>
        <v>237</v>
      </c>
      <c r="B401" s="793" t="s">
        <v>782</v>
      </c>
      <c r="C401" s="587">
        <v>24.6</v>
      </c>
      <c r="D401" s="573" t="s">
        <v>209</v>
      </c>
      <c r="E401" s="575"/>
      <c r="H401" s="793" t="s">
        <v>482</v>
      </c>
      <c r="I401" s="575"/>
      <c r="J401" s="580"/>
      <c r="K401" s="587" t="e">
        <f>(K399+C19/10*F393)</f>
        <v>#REF!</v>
      </c>
      <c r="M401" s="800">
        <v>10</v>
      </c>
      <c r="N401" s="793" t="s">
        <v>140</v>
      </c>
      <c r="O401" s="793" t="s">
        <v>775</v>
      </c>
      <c r="P401" s="800">
        <f>(R397)</f>
        <v>5.4920000000000009</v>
      </c>
      <c r="Q401" s="793" t="s">
        <v>140</v>
      </c>
      <c r="R401" s="800">
        <f>(M401*P401)</f>
        <v>54.920000000000009</v>
      </c>
      <c r="AG401" s="793" t="s">
        <v>849</v>
      </c>
    </row>
    <row r="402" spans="1:33" hidden="1">
      <c r="A402" s="1103">
        <f t="shared" si="17"/>
        <v>238</v>
      </c>
      <c r="B402" s="793" t="s">
        <v>783</v>
      </c>
      <c r="C402" s="587">
        <v>31.46</v>
      </c>
      <c r="D402" s="573" t="s">
        <v>209</v>
      </c>
      <c r="E402" s="575"/>
      <c r="H402" s="793" t="s">
        <v>486</v>
      </c>
      <c r="I402" s="575"/>
      <c r="J402" s="580"/>
      <c r="K402" s="587" t="e">
        <f>(K401+C20/10*F393)</f>
        <v>#REF!</v>
      </c>
      <c r="M402" s="800">
        <v>10</v>
      </c>
      <c r="N402" s="793" t="s">
        <v>140</v>
      </c>
      <c r="O402" s="793" t="s">
        <v>789</v>
      </c>
      <c r="P402" s="800">
        <f>(R397/2)</f>
        <v>2.7460000000000004</v>
      </c>
      <c r="Q402" s="793" t="s">
        <v>140</v>
      </c>
      <c r="R402" s="800">
        <f>(M402*P402)</f>
        <v>27.460000000000004</v>
      </c>
      <c r="AG402" s="793" t="s">
        <v>849</v>
      </c>
    </row>
    <row r="403" spans="1:33" hidden="1">
      <c r="A403" s="1103">
        <f t="shared" si="17"/>
        <v>239</v>
      </c>
      <c r="B403" s="793" t="s">
        <v>727</v>
      </c>
      <c r="C403" s="587">
        <v>53.2</v>
      </c>
      <c r="D403" s="573" t="s">
        <v>209</v>
      </c>
      <c r="E403" s="575"/>
      <c r="H403" s="793" t="s">
        <v>489</v>
      </c>
      <c r="I403" s="575"/>
      <c r="J403" s="580"/>
      <c r="K403" s="587" t="e">
        <f>(K402+C21/10*F393)</f>
        <v>#REF!</v>
      </c>
      <c r="O403" s="793" t="s">
        <v>790</v>
      </c>
      <c r="R403" s="796" t="s">
        <v>117</v>
      </c>
      <c r="AG403" s="793" t="s">
        <v>849</v>
      </c>
    </row>
    <row r="404" spans="1:33" hidden="1">
      <c r="A404" s="1103">
        <f t="shared" si="17"/>
        <v>240</v>
      </c>
      <c r="B404" s="793" t="s">
        <v>812</v>
      </c>
      <c r="C404" s="587">
        <v>76.36</v>
      </c>
      <c r="D404" s="573" t="s">
        <v>209</v>
      </c>
      <c r="E404" s="575"/>
      <c r="H404" s="793" t="s">
        <v>491</v>
      </c>
      <c r="I404" s="575"/>
      <c r="J404" s="580"/>
      <c r="K404" s="587" t="e">
        <f>(K403+C21/10*F393)</f>
        <v>#REF!</v>
      </c>
      <c r="R404" s="800">
        <f>SUM(R401:R402)</f>
        <v>82.38000000000001</v>
      </c>
      <c r="AG404" s="793" t="s">
        <v>849</v>
      </c>
    </row>
    <row r="405" spans="1:33" hidden="1">
      <c r="A405" s="1103">
        <f t="shared" si="17"/>
        <v>241</v>
      </c>
      <c r="B405" s="793" t="s">
        <v>3228</v>
      </c>
      <c r="C405" s="575"/>
      <c r="D405" s="573" t="s">
        <v>115</v>
      </c>
      <c r="E405" s="575"/>
      <c r="H405" s="793" t="s">
        <v>576</v>
      </c>
      <c r="I405" s="575"/>
      <c r="J405" s="580"/>
      <c r="K405" s="587" t="e">
        <f>(K404+C21/10*F393)</f>
        <v>#REF!</v>
      </c>
      <c r="O405" s="793" t="s">
        <v>153</v>
      </c>
      <c r="R405" s="796" t="s">
        <v>117</v>
      </c>
      <c r="AG405" s="793" t="s">
        <v>849</v>
      </c>
    </row>
    <row r="406" spans="1:33" hidden="1">
      <c r="A406" s="1103">
        <f t="shared" si="17"/>
        <v>242</v>
      </c>
      <c r="B406" s="793" t="s">
        <v>786</v>
      </c>
      <c r="C406" s="587">
        <v>5.5</v>
      </c>
      <c r="D406" s="573" t="s">
        <v>209</v>
      </c>
      <c r="E406" s="575"/>
      <c r="F406" s="1105">
        <v>11</v>
      </c>
      <c r="G406" s="798" t="s">
        <v>122</v>
      </c>
      <c r="H406" s="793" t="s">
        <v>3225</v>
      </c>
      <c r="I406" s="575"/>
      <c r="J406" s="580"/>
      <c r="K406" s="575"/>
      <c r="R406" s="800">
        <f>(R404/10)</f>
        <v>8.2380000000000013</v>
      </c>
      <c r="AG406" s="793" t="s">
        <v>849</v>
      </c>
    </row>
    <row r="407" spans="1:33" hidden="1">
      <c r="A407" s="1103">
        <f t="shared" si="17"/>
        <v>243</v>
      </c>
      <c r="B407" s="793" t="s">
        <v>779</v>
      </c>
      <c r="C407" s="587">
        <v>8</v>
      </c>
      <c r="D407" s="573" t="s">
        <v>209</v>
      </c>
      <c r="E407" s="575"/>
      <c r="H407" s="800" t="str">
        <f>H308</f>
        <v>Bricks of size 22x11x7 cm</v>
      </c>
      <c r="I407" s="575"/>
      <c r="J407" s="580"/>
      <c r="K407" s="575"/>
      <c r="O407" s="793" t="s">
        <v>154</v>
      </c>
      <c r="R407" s="796" t="s">
        <v>155</v>
      </c>
      <c r="AG407" s="793" t="s">
        <v>849</v>
      </c>
    </row>
    <row r="408" spans="1:33" hidden="1">
      <c r="A408" s="1103">
        <f t="shared" si="17"/>
        <v>244</v>
      </c>
      <c r="B408" s="793" t="s">
        <v>781</v>
      </c>
      <c r="C408" s="587">
        <v>10.4</v>
      </c>
      <c r="D408" s="573" t="s">
        <v>209</v>
      </c>
      <c r="E408" s="575"/>
      <c r="H408" s="796" t="s">
        <v>117</v>
      </c>
      <c r="I408" s="575"/>
      <c r="J408" s="580"/>
      <c r="K408" s="575"/>
      <c r="AG408" s="793" t="s">
        <v>849</v>
      </c>
    </row>
    <row r="409" spans="1:33" hidden="1">
      <c r="A409" s="1103">
        <f t="shared" si="17"/>
        <v>245</v>
      </c>
      <c r="B409" s="793" t="s">
        <v>782</v>
      </c>
      <c r="C409" s="587">
        <v>22.06</v>
      </c>
      <c r="D409" s="573" t="s">
        <v>209</v>
      </c>
      <c r="E409" s="575"/>
      <c r="F409" s="800">
        <f>F310</f>
        <v>4800</v>
      </c>
      <c r="G409" s="798" t="s">
        <v>467</v>
      </c>
      <c r="H409" s="800" t="str">
        <f>H308</f>
        <v>Bricks of size 22x11x7 cm</v>
      </c>
      <c r="I409" s="587" t="e">
        <f>(C80)</f>
        <v>#REF!</v>
      </c>
      <c r="J409" s="574" t="s">
        <v>582</v>
      </c>
      <c r="K409" s="587" t="e">
        <f>(F409*I409)/1000</f>
        <v>#REF!</v>
      </c>
      <c r="N409" s="793" t="s">
        <v>122</v>
      </c>
      <c r="O409" s="793" t="s">
        <v>794</v>
      </c>
      <c r="AG409" s="793" t="s">
        <v>849</v>
      </c>
    </row>
    <row r="410" spans="1:33" hidden="1">
      <c r="A410" s="1103">
        <f t="shared" si="17"/>
        <v>246</v>
      </c>
      <c r="B410" s="793" t="s">
        <v>783</v>
      </c>
      <c r="C410" s="587">
        <v>27.91</v>
      </c>
      <c r="D410" s="573" t="s">
        <v>209</v>
      </c>
      <c r="E410" s="575"/>
      <c r="F410" s="800">
        <v>1.59</v>
      </c>
      <c r="G410" s="798" t="s">
        <v>126</v>
      </c>
      <c r="H410" s="793" t="s">
        <v>134</v>
      </c>
      <c r="I410" s="587" t="e">
        <f>(K40)</f>
        <v>#REF!</v>
      </c>
      <c r="J410" s="574" t="s">
        <v>126</v>
      </c>
      <c r="K410" s="587" t="e">
        <f>(F410*I410)</f>
        <v>#REF!</v>
      </c>
      <c r="O410" s="793" t="s">
        <v>795</v>
      </c>
      <c r="AG410" s="793" t="s">
        <v>849</v>
      </c>
    </row>
    <row r="411" spans="1:33" hidden="1">
      <c r="A411" s="1103">
        <f t="shared" si="17"/>
        <v>247</v>
      </c>
      <c r="B411" s="793" t="s">
        <v>727</v>
      </c>
      <c r="C411" s="587">
        <v>49.42</v>
      </c>
      <c r="D411" s="573" t="s">
        <v>209</v>
      </c>
      <c r="E411" s="575"/>
      <c r="F411" s="800">
        <v>7</v>
      </c>
      <c r="G411" s="798" t="s">
        <v>209</v>
      </c>
      <c r="H411" s="793" t="s">
        <v>144</v>
      </c>
      <c r="I411" s="587">
        <f>(C10)</f>
        <v>150</v>
      </c>
      <c r="J411" s="574" t="s">
        <v>209</v>
      </c>
      <c r="K411" s="587">
        <f>(F411*I411)</f>
        <v>1050</v>
      </c>
      <c r="O411" s="796" t="s">
        <v>117</v>
      </c>
      <c r="AG411" s="793" t="s">
        <v>849</v>
      </c>
    </row>
    <row r="412" spans="1:33" hidden="1">
      <c r="A412" s="1103">
        <f t="shared" si="17"/>
        <v>248</v>
      </c>
      <c r="B412" s="793" t="s">
        <v>812</v>
      </c>
      <c r="C412" s="587">
        <v>86.94</v>
      </c>
      <c r="D412" s="573" t="s">
        <v>209</v>
      </c>
      <c r="E412" s="575"/>
      <c r="F412" s="800">
        <v>7.1</v>
      </c>
      <c r="G412" s="798" t="s">
        <v>209</v>
      </c>
      <c r="H412" s="793" t="s">
        <v>145</v>
      </c>
      <c r="I412" s="587">
        <f>(C11)</f>
        <v>135</v>
      </c>
      <c r="J412" s="574" t="s">
        <v>209</v>
      </c>
      <c r="K412" s="587">
        <f>(F412*I412)</f>
        <v>958.5</v>
      </c>
      <c r="M412" s="800">
        <v>10</v>
      </c>
      <c r="N412" s="793" t="s">
        <v>140</v>
      </c>
      <c r="O412" s="793" t="s">
        <v>765</v>
      </c>
      <c r="P412" s="800">
        <f>(R383)</f>
        <v>3.7860999999999994</v>
      </c>
      <c r="Q412" s="793" t="s">
        <v>140</v>
      </c>
      <c r="R412" s="800">
        <f>(M412*P412)</f>
        <v>37.86099999999999</v>
      </c>
      <c r="AG412" s="793" t="s">
        <v>849</v>
      </c>
    </row>
    <row r="413" spans="1:33" hidden="1">
      <c r="A413" s="1103">
        <f t="shared" si="17"/>
        <v>249</v>
      </c>
      <c r="B413" s="793" t="s">
        <v>3229</v>
      </c>
      <c r="C413" s="575"/>
      <c r="D413" s="573" t="s">
        <v>115</v>
      </c>
      <c r="E413" s="575"/>
      <c r="F413" s="800">
        <v>7.1</v>
      </c>
      <c r="G413" s="798" t="s">
        <v>209</v>
      </c>
      <c r="H413" s="793" t="s">
        <v>146</v>
      </c>
      <c r="I413" s="587">
        <f>(C12)</f>
        <v>95</v>
      </c>
      <c r="J413" s="574" t="s">
        <v>209</v>
      </c>
      <c r="K413" s="587">
        <f>(F413*I413)</f>
        <v>674.5</v>
      </c>
      <c r="M413" s="800">
        <v>10</v>
      </c>
      <c r="N413" s="793" t="s">
        <v>140</v>
      </c>
      <c r="O413" s="793" t="s">
        <v>787</v>
      </c>
      <c r="P413" s="800">
        <f>(R406)</f>
        <v>8.2380000000000013</v>
      </c>
      <c r="Q413" s="793" t="s">
        <v>140</v>
      </c>
      <c r="R413" s="800">
        <f>(M413*P413)</f>
        <v>82.38000000000001</v>
      </c>
      <c r="AG413" s="793" t="s">
        <v>849</v>
      </c>
    </row>
    <row r="414" spans="1:33" hidden="1">
      <c r="A414" s="1103">
        <f t="shared" si="17"/>
        <v>250</v>
      </c>
      <c r="B414" s="793" t="s">
        <v>786</v>
      </c>
      <c r="C414" s="587">
        <v>5.75</v>
      </c>
      <c r="D414" s="573" t="s">
        <v>209</v>
      </c>
      <c r="E414" s="575"/>
      <c r="F414" s="800">
        <v>21.2</v>
      </c>
      <c r="G414" s="798" t="s">
        <v>209</v>
      </c>
      <c r="H414" s="793" t="s">
        <v>147</v>
      </c>
      <c r="I414" s="587">
        <f>(C13)</f>
        <v>85</v>
      </c>
      <c r="J414" s="574" t="s">
        <v>209</v>
      </c>
      <c r="K414" s="587">
        <f>(F414*I414)</f>
        <v>1802</v>
      </c>
      <c r="O414" s="793" t="s">
        <v>115</v>
      </c>
      <c r="R414" s="796" t="s">
        <v>117</v>
      </c>
      <c r="AG414" s="793" t="s">
        <v>849</v>
      </c>
    </row>
    <row r="415" spans="1:33" hidden="1">
      <c r="A415" s="1103">
        <f t="shared" si="17"/>
        <v>251</v>
      </c>
      <c r="B415" s="793" t="s">
        <v>779</v>
      </c>
      <c r="C415" s="587">
        <v>8.5</v>
      </c>
      <c r="D415" s="573" t="s">
        <v>209</v>
      </c>
      <c r="E415" s="575"/>
      <c r="G415" s="798" t="s">
        <v>129</v>
      </c>
      <c r="H415" s="793" t="s">
        <v>130</v>
      </c>
      <c r="I415" s="573" t="s">
        <v>115</v>
      </c>
      <c r="J415" s="574" t="s">
        <v>129</v>
      </c>
      <c r="K415" s="587">
        <v>0</v>
      </c>
      <c r="R415" s="800">
        <f>SUM(R412:R413)</f>
        <v>120.241</v>
      </c>
      <c r="AG415" s="793" t="s">
        <v>849</v>
      </c>
    </row>
    <row r="416" spans="1:33" hidden="1">
      <c r="A416" s="1103">
        <f>(A415+1)</f>
        <v>252</v>
      </c>
      <c r="B416" s="793" t="s">
        <v>781</v>
      </c>
      <c r="C416" s="587">
        <v>14</v>
      </c>
      <c r="D416" s="573" t="s">
        <v>209</v>
      </c>
      <c r="E416" s="575"/>
      <c r="I416" s="575"/>
      <c r="J416" s="580"/>
      <c r="K416" s="582" t="s">
        <v>117</v>
      </c>
      <c r="O416" s="793" t="s">
        <v>153</v>
      </c>
      <c r="R416" s="796" t="s">
        <v>117</v>
      </c>
      <c r="AG416" s="793" t="s">
        <v>849</v>
      </c>
    </row>
    <row r="417" spans="1:33" hidden="1">
      <c r="A417" s="1103">
        <f>(A416+1)</f>
        <v>253</v>
      </c>
      <c r="B417" s="793" t="s">
        <v>782</v>
      </c>
      <c r="C417" s="587">
        <v>30.11</v>
      </c>
      <c r="D417" s="573" t="s">
        <v>209</v>
      </c>
      <c r="E417" s="575"/>
      <c r="H417" s="793" t="s">
        <v>455</v>
      </c>
      <c r="I417" s="575"/>
      <c r="J417" s="580"/>
      <c r="K417" s="587" t="e">
        <f>SUM(K409:K415)</f>
        <v>#REF!</v>
      </c>
      <c r="R417" s="800">
        <f>(R415/10)</f>
        <v>12.024100000000001</v>
      </c>
      <c r="AG417" s="793" t="s">
        <v>849</v>
      </c>
    </row>
    <row r="418" spans="1:33" hidden="1">
      <c r="A418" s="1103">
        <f>(A417+1)</f>
        <v>254</v>
      </c>
      <c r="B418" s="793" t="s">
        <v>783</v>
      </c>
      <c r="C418" s="587">
        <v>47.25</v>
      </c>
      <c r="D418" s="573" t="s">
        <v>209</v>
      </c>
      <c r="E418" s="575"/>
      <c r="I418" s="575"/>
      <c r="J418" s="580"/>
      <c r="K418" s="582" t="s">
        <v>117</v>
      </c>
      <c r="O418" s="793" t="s">
        <v>154</v>
      </c>
      <c r="R418" s="796" t="s">
        <v>155</v>
      </c>
      <c r="AG418" s="793" t="s">
        <v>849</v>
      </c>
    </row>
    <row r="419" spans="1:33" hidden="1">
      <c r="A419" s="1103">
        <f>(A418+1)</f>
        <v>255</v>
      </c>
      <c r="B419" s="793" t="s">
        <v>727</v>
      </c>
      <c r="C419" s="587">
        <v>71.16</v>
      </c>
      <c r="D419" s="573" t="s">
        <v>209</v>
      </c>
      <c r="E419" s="575"/>
      <c r="H419" s="793" t="s">
        <v>383</v>
      </c>
      <c r="I419" s="575"/>
      <c r="J419" s="580"/>
      <c r="K419" s="587" t="e">
        <f>(K417/10)</f>
        <v>#REF!</v>
      </c>
      <c r="AG419" s="793" t="s">
        <v>849</v>
      </c>
    </row>
    <row r="420" spans="1:33" hidden="1">
      <c r="A420" s="1103">
        <f>(A419+1)</f>
        <v>256</v>
      </c>
      <c r="B420" s="793" t="s">
        <v>812</v>
      </c>
      <c r="C420" s="587">
        <v>125.84</v>
      </c>
      <c r="D420" s="573" t="s">
        <v>209</v>
      </c>
      <c r="E420" s="575"/>
      <c r="I420" s="575"/>
      <c r="J420" s="580"/>
      <c r="K420" s="582" t="s">
        <v>155</v>
      </c>
      <c r="AG420" s="793" t="s">
        <v>849</v>
      </c>
    </row>
    <row r="421" spans="1:33" hidden="1">
      <c r="C421" s="575"/>
      <c r="D421" s="575"/>
      <c r="E421" s="575"/>
      <c r="F421" s="793" t="s">
        <v>251</v>
      </c>
      <c r="I421" s="575"/>
      <c r="J421" s="580"/>
      <c r="K421" s="575"/>
    </row>
    <row r="422" spans="1:33" hidden="1">
      <c r="A422" s="1103">
        <f>(A420+1)</f>
        <v>257</v>
      </c>
      <c r="B422" s="793" t="s">
        <v>3230</v>
      </c>
      <c r="C422" s="575"/>
      <c r="D422" s="573" t="s">
        <v>115</v>
      </c>
      <c r="E422" s="575"/>
      <c r="I422" s="575"/>
      <c r="J422" s="580"/>
      <c r="K422" s="575"/>
      <c r="O422" s="1098" t="s">
        <v>805</v>
      </c>
      <c r="AG422" s="793" t="s">
        <v>849</v>
      </c>
    </row>
    <row r="423" spans="1:33" hidden="1">
      <c r="A423" s="1103">
        <f t="shared" ref="A423:A486" si="19">(A422+1)</f>
        <v>258</v>
      </c>
      <c r="B423" s="793" t="s">
        <v>786</v>
      </c>
      <c r="C423" s="587">
        <v>17</v>
      </c>
      <c r="D423" s="573" t="s">
        <v>209</v>
      </c>
      <c r="E423" s="575"/>
      <c r="G423" s="798" t="s">
        <v>589</v>
      </c>
      <c r="H423" s="793" t="s">
        <v>590</v>
      </c>
      <c r="I423" s="575"/>
      <c r="J423" s="580"/>
      <c r="K423" s="575"/>
      <c r="O423" s="796" t="s">
        <v>117</v>
      </c>
      <c r="AG423" s="793" t="s">
        <v>849</v>
      </c>
    </row>
    <row r="424" spans="1:33" hidden="1">
      <c r="A424" s="1103">
        <f t="shared" si="19"/>
        <v>259</v>
      </c>
      <c r="B424" s="793" t="s">
        <v>779</v>
      </c>
      <c r="C424" s="587">
        <v>23.4</v>
      </c>
      <c r="D424" s="573" t="s">
        <v>209</v>
      </c>
      <c r="E424" s="575"/>
      <c r="H424" s="796" t="s">
        <v>117</v>
      </c>
      <c r="I424" s="575"/>
      <c r="J424" s="580"/>
      <c r="K424" s="575"/>
      <c r="N424" s="793" t="s">
        <v>122</v>
      </c>
      <c r="O424" s="793" t="s">
        <v>807</v>
      </c>
      <c r="AG424" s="793" t="s">
        <v>849</v>
      </c>
    </row>
    <row r="425" spans="1:33" hidden="1">
      <c r="A425" s="1103">
        <f t="shared" si="19"/>
        <v>260</v>
      </c>
      <c r="B425" s="793" t="s">
        <v>781</v>
      </c>
      <c r="C425" s="587">
        <v>33</v>
      </c>
      <c r="D425" s="573" t="s">
        <v>209</v>
      </c>
      <c r="E425" s="575"/>
      <c r="F425" s="800">
        <v>0.7</v>
      </c>
      <c r="G425" s="798" t="s">
        <v>126</v>
      </c>
      <c r="H425" s="793" t="s">
        <v>591</v>
      </c>
      <c r="I425" s="587" t="e">
        <f>(K419)</f>
        <v>#REF!</v>
      </c>
      <c r="J425" s="574" t="s">
        <v>209</v>
      </c>
      <c r="K425" s="587" t="e">
        <f>(F425*I425)</f>
        <v>#REF!</v>
      </c>
      <c r="O425" s="793" t="s">
        <v>808</v>
      </c>
      <c r="AG425" s="793" t="s">
        <v>849</v>
      </c>
    </row>
    <row r="426" spans="1:33" hidden="1">
      <c r="A426" s="1103">
        <f t="shared" si="19"/>
        <v>261</v>
      </c>
      <c r="B426" s="793" t="s">
        <v>782</v>
      </c>
      <c r="C426" s="587">
        <v>34.22</v>
      </c>
      <c r="D426" s="573" t="s">
        <v>209</v>
      </c>
      <c r="E426" s="575"/>
      <c r="F426" s="800">
        <v>1</v>
      </c>
      <c r="G426" s="798" t="s">
        <v>1</v>
      </c>
      <c r="H426" s="793" t="s">
        <v>144</v>
      </c>
      <c r="I426" s="587">
        <f>(C10)</f>
        <v>150</v>
      </c>
      <c r="J426" s="574" t="s">
        <v>209</v>
      </c>
      <c r="K426" s="587">
        <f>(F426*I426)</f>
        <v>150</v>
      </c>
      <c r="O426" s="793" t="s">
        <v>809</v>
      </c>
      <c r="AG426" s="793" t="s">
        <v>849</v>
      </c>
    </row>
    <row r="427" spans="1:33" hidden="1">
      <c r="A427" s="1103">
        <f t="shared" si="19"/>
        <v>262</v>
      </c>
      <c r="B427" s="793" t="s">
        <v>783</v>
      </c>
      <c r="C427" s="587">
        <v>75.28</v>
      </c>
      <c r="D427" s="573" t="s">
        <v>209</v>
      </c>
      <c r="E427" s="575"/>
      <c r="G427" s="798" t="s">
        <v>129</v>
      </c>
      <c r="H427" s="793" t="s">
        <v>130</v>
      </c>
      <c r="I427" s="573" t="s">
        <v>115</v>
      </c>
      <c r="J427" s="574" t="s">
        <v>129</v>
      </c>
      <c r="K427" s="587">
        <v>0</v>
      </c>
      <c r="O427" s="796" t="s">
        <v>117</v>
      </c>
      <c r="AG427" s="793" t="s">
        <v>849</v>
      </c>
    </row>
    <row r="428" spans="1:33" hidden="1">
      <c r="A428" s="1103">
        <f t="shared" si="19"/>
        <v>263</v>
      </c>
      <c r="B428" s="793" t="s">
        <v>727</v>
      </c>
      <c r="C428" s="587">
        <v>92.66</v>
      </c>
      <c r="D428" s="573" t="s">
        <v>209</v>
      </c>
      <c r="E428" s="575"/>
      <c r="I428" s="575"/>
      <c r="J428" s="580"/>
      <c r="K428" s="582" t="s">
        <v>117</v>
      </c>
      <c r="N428" s="793" t="s">
        <v>810</v>
      </c>
      <c r="O428" s="1098" t="s">
        <v>811</v>
      </c>
      <c r="AG428" s="793" t="s">
        <v>849</v>
      </c>
    </row>
    <row r="429" spans="1:33" hidden="1">
      <c r="A429" s="1103">
        <f t="shared" si="19"/>
        <v>264</v>
      </c>
      <c r="B429" s="793" t="s">
        <v>812</v>
      </c>
      <c r="C429" s="587">
        <v>141.86000000000001</v>
      </c>
      <c r="D429" s="573" t="s">
        <v>209</v>
      </c>
      <c r="E429" s="575"/>
      <c r="H429" s="793" t="s">
        <v>153</v>
      </c>
      <c r="I429" s="575"/>
      <c r="J429" s="580"/>
      <c r="K429" s="587" t="e">
        <f>SUM(K425:K427)</f>
        <v>#REF!</v>
      </c>
      <c r="O429" s="796" t="s">
        <v>117</v>
      </c>
      <c r="AG429" s="793" t="s">
        <v>849</v>
      </c>
    </row>
    <row r="430" spans="1:33" hidden="1">
      <c r="A430" s="1103">
        <f t="shared" si="19"/>
        <v>265</v>
      </c>
      <c r="B430" s="793" t="s">
        <v>813</v>
      </c>
      <c r="C430" s="575"/>
      <c r="D430" s="573" t="s">
        <v>115</v>
      </c>
      <c r="E430" s="575"/>
      <c r="I430" s="575"/>
      <c r="J430" s="580"/>
      <c r="K430" s="582" t="s">
        <v>117</v>
      </c>
      <c r="M430" s="800">
        <v>8.1</v>
      </c>
      <c r="N430" s="793" t="s">
        <v>126</v>
      </c>
      <c r="O430" s="793" t="s">
        <v>814</v>
      </c>
      <c r="P430" s="800">
        <f>(C61)*2</f>
        <v>50</v>
      </c>
      <c r="Q430" s="793" t="s">
        <v>126</v>
      </c>
      <c r="R430" s="800">
        <f>(M430*P430)</f>
        <v>405</v>
      </c>
      <c r="AG430" s="793" t="s">
        <v>849</v>
      </c>
    </row>
    <row r="431" spans="1:33" hidden="1">
      <c r="A431" s="1103">
        <f t="shared" si="19"/>
        <v>266</v>
      </c>
      <c r="B431" s="793" t="s">
        <v>786</v>
      </c>
      <c r="C431" s="587">
        <v>1.8</v>
      </c>
      <c r="D431" s="573" t="s">
        <v>209</v>
      </c>
      <c r="E431" s="575"/>
      <c r="H431" s="793" t="s">
        <v>154</v>
      </c>
      <c r="I431" s="575"/>
      <c r="J431" s="580"/>
      <c r="K431" s="587" t="e">
        <f>(K429/10)</f>
        <v>#REF!</v>
      </c>
      <c r="M431" s="800">
        <v>8.1</v>
      </c>
      <c r="N431" s="793" t="s">
        <v>126</v>
      </c>
      <c r="O431" s="793" t="s">
        <v>815</v>
      </c>
      <c r="P431" s="800">
        <f>(C26)</f>
        <v>8.8000000000000007</v>
      </c>
      <c r="Q431" s="793" t="s">
        <v>126</v>
      </c>
      <c r="R431" s="800">
        <f>(M431*P431)</f>
        <v>71.28</v>
      </c>
      <c r="AG431" s="793" t="s">
        <v>849</v>
      </c>
    </row>
    <row r="432" spans="1:33" hidden="1">
      <c r="A432" s="1103">
        <f t="shared" si="19"/>
        <v>267</v>
      </c>
      <c r="B432" s="793" t="s">
        <v>779</v>
      </c>
      <c r="C432" s="587">
        <v>2.9</v>
      </c>
      <c r="D432" s="573" t="s">
        <v>209</v>
      </c>
      <c r="E432" s="575"/>
      <c r="I432" s="575"/>
      <c r="J432" s="580"/>
      <c r="K432" s="582" t="s">
        <v>155</v>
      </c>
      <c r="M432" s="800">
        <v>30</v>
      </c>
      <c r="N432" s="793" t="s">
        <v>203</v>
      </c>
      <c r="O432" s="793" t="s">
        <v>816</v>
      </c>
      <c r="P432" s="800">
        <f>(C42)</f>
        <v>1.75</v>
      </c>
      <c r="Q432" s="793" t="s">
        <v>203</v>
      </c>
      <c r="R432" s="800">
        <f>(M432*P432)</f>
        <v>52.5</v>
      </c>
      <c r="AG432" s="793" t="s">
        <v>849</v>
      </c>
    </row>
    <row r="433" spans="1:33" hidden="1">
      <c r="A433" s="1103">
        <f t="shared" si="19"/>
        <v>268</v>
      </c>
      <c r="B433" s="793" t="s">
        <v>781</v>
      </c>
      <c r="C433" s="587">
        <v>4</v>
      </c>
      <c r="D433" s="573" t="s">
        <v>209</v>
      </c>
      <c r="E433" s="575"/>
      <c r="H433" s="793" t="s">
        <v>482</v>
      </c>
      <c r="I433" s="575"/>
      <c r="J433" s="580"/>
      <c r="K433" s="587" t="e">
        <f>(K431+C19/10*F425)</f>
        <v>#REF!</v>
      </c>
      <c r="O433" s="793" t="s">
        <v>817</v>
      </c>
      <c r="AG433" s="793" t="s">
        <v>849</v>
      </c>
    </row>
    <row r="434" spans="1:33" hidden="1">
      <c r="A434" s="1103">
        <f t="shared" si="19"/>
        <v>269</v>
      </c>
      <c r="B434" s="793" t="s">
        <v>782</v>
      </c>
      <c r="C434" s="587">
        <v>6.86</v>
      </c>
      <c r="D434" s="573" t="s">
        <v>209</v>
      </c>
      <c r="E434" s="575"/>
      <c r="H434" s="793" t="s">
        <v>486</v>
      </c>
      <c r="I434" s="575"/>
      <c r="J434" s="580"/>
      <c r="K434" s="587" t="e">
        <f>(K433+C20/10*F425)</f>
        <v>#REF!</v>
      </c>
      <c r="O434" s="793" t="s">
        <v>818</v>
      </c>
      <c r="AG434" s="793" t="s">
        <v>849</v>
      </c>
    </row>
    <row r="435" spans="1:33" hidden="1">
      <c r="A435" s="1103">
        <f t="shared" si="19"/>
        <v>270</v>
      </c>
      <c r="B435" s="793" t="s">
        <v>783</v>
      </c>
      <c r="C435" s="587">
        <v>9.15</v>
      </c>
      <c r="D435" s="573" t="s">
        <v>209</v>
      </c>
      <c r="E435" s="575"/>
      <c r="H435" s="793" t="s">
        <v>489</v>
      </c>
      <c r="I435" s="575"/>
      <c r="J435" s="580"/>
      <c r="K435" s="587" t="e">
        <f>(K434+C21/10*F425)</f>
        <v>#REF!</v>
      </c>
      <c r="O435" s="793" t="s">
        <v>819</v>
      </c>
      <c r="AG435" s="793" t="s">
        <v>849</v>
      </c>
    </row>
    <row r="436" spans="1:33" hidden="1">
      <c r="A436" s="1103">
        <f t="shared" si="19"/>
        <v>271</v>
      </c>
      <c r="B436" s="793" t="s">
        <v>727</v>
      </c>
      <c r="C436" s="587">
        <v>14.59</v>
      </c>
      <c r="D436" s="573" t="s">
        <v>209</v>
      </c>
      <c r="E436" s="575"/>
      <c r="H436" s="793" t="s">
        <v>491</v>
      </c>
      <c r="I436" s="575"/>
      <c r="J436" s="580"/>
      <c r="K436" s="587" t="e">
        <f>(K435+C21/10*F425)</f>
        <v>#REF!</v>
      </c>
      <c r="O436" s="793" t="s">
        <v>820</v>
      </c>
      <c r="AG436" s="793" t="s">
        <v>849</v>
      </c>
    </row>
    <row r="437" spans="1:33" hidden="1">
      <c r="A437" s="1103"/>
      <c r="B437" s="793"/>
      <c r="C437" s="587"/>
      <c r="D437" s="573"/>
      <c r="E437" s="575"/>
      <c r="H437" s="793" t="s">
        <v>595</v>
      </c>
      <c r="I437" s="575"/>
      <c r="J437" s="580"/>
      <c r="K437" s="587" t="e">
        <f>(K436+C22/10*F426)</f>
        <v>#REF!</v>
      </c>
      <c r="O437" s="793"/>
      <c r="AG437" s="793"/>
    </row>
    <row r="438" spans="1:33" hidden="1">
      <c r="A438" s="1103">
        <f>(A436+1)</f>
        <v>272</v>
      </c>
      <c r="B438" s="793" t="s">
        <v>812</v>
      </c>
      <c r="C438" s="587">
        <v>21.74</v>
      </c>
      <c r="D438" s="573" t="s">
        <v>209</v>
      </c>
      <c r="E438" s="575"/>
      <c r="H438" s="1098" t="s">
        <v>822</v>
      </c>
      <c r="I438" s="575"/>
      <c r="J438" s="580"/>
      <c r="K438" s="575"/>
      <c r="M438" s="800">
        <v>8</v>
      </c>
      <c r="N438" s="793" t="s">
        <v>1</v>
      </c>
      <c r="O438" s="793" t="s">
        <v>823</v>
      </c>
      <c r="P438" s="800">
        <f>(C43)</f>
        <v>2.2000000000000002</v>
      </c>
      <c r="Q438" s="793" t="s">
        <v>1</v>
      </c>
      <c r="R438" s="800">
        <f>(M438*P438)</f>
        <v>17.600000000000001</v>
      </c>
      <c r="AG438" s="793" t="s">
        <v>849</v>
      </c>
    </row>
    <row r="439" spans="1:33" hidden="1">
      <c r="A439" s="1103">
        <f t="shared" si="19"/>
        <v>273</v>
      </c>
      <c r="B439" s="793" t="s">
        <v>3231</v>
      </c>
      <c r="C439" s="575"/>
      <c r="D439" s="573" t="s">
        <v>115</v>
      </c>
      <c r="E439" s="575"/>
      <c r="H439" s="1098" t="s">
        <v>825</v>
      </c>
      <c r="I439" s="575"/>
      <c r="J439" s="580"/>
      <c r="K439" s="575"/>
      <c r="M439" s="800">
        <v>8</v>
      </c>
      <c r="N439" s="793" t="s">
        <v>1</v>
      </c>
      <c r="O439" s="793" t="s">
        <v>826</v>
      </c>
      <c r="P439" s="800">
        <f>(C50)</f>
        <v>3.2</v>
      </c>
      <c r="Q439" s="793" t="s">
        <v>1</v>
      </c>
      <c r="R439" s="800">
        <f>(M439*P439)</f>
        <v>25.6</v>
      </c>
      <c r="AG439" s="793" t="s">
        <v>849</v>
      </c>
    </row>
    <row r="440" spans="1:33" hidden="1">
      <c r="A440" s="1103">
        <f t="shared" si="19"/>
        <v>274</v>
      </c>
      <c r="B440" s="793" t="s">
        <v>786</v>
      </c>
      <c r="C440" s="587">
        <v>8.85</v>
      </c>
      <c r="D440" s="573" t="s">
        <v>209</v>
      </c>
      <c r="E440" s="575"/>
      <c r="F440" s="1105">
        <v>12</v>
      </c>
      <c r="G440" s="798" t="s">
        <v>122</v>
      </c>
      <c r="H440" s="793" t="s">
        <v>827</v>
      </c>
      <c r="I440" s="575"/>
      <c r="J440" s="580"/>
      <c r="K440" s="575"/>
      <c r="M440" s="800">
        <v>1</v>
      </c>
      <c r="N440" s="793" t="s">
        <v>129</v>
      </c>
      <c r="O440" s="793" t="s">
        <v>828</v>
      </c>
      <c r="P440" s="800">
        <f>(C56)</f>
        <v>12.1</v>
      </c>
      <c r="Q440" s="793" t="s">
        <v>129</v>
      </c>
      <c r="R440" s="800">
        <f>(M440*P440)</f>
        <v>12.1</v>
      </c>
      <c r="AG440" s="793" t="s">
        <v>849</v>
      </c>
    </row>
    <row r="441" spans="1:33" hidden="1">
      <c r="A441" s="1103">
        <f t="shared" si="19"/>
        <v>275</v>
      </c>
      <c r="B441" s="793" t="s">
        <v>779</v>
      </c>
      <c r="C441" s="587">
        <v>14</v>
      </c>
      <c r="D441" s="573" t="s">
        <v>209</v>
      </c>
      <c r="E441" s="575"/>
      <c r="H441" s="793" t="s">
        <v>494</v>
      </c>
      <c r="I441" s="575"/>
      <c r="J441" s="580"/>
      <c r="K441" s="575"/>
      <c r="M441" s="800">
        <v>1</v>
      </c>
      <c r="N441" s="793" t="s">
        <v>129</v>
      </c>
      <c r="O441" s="793" t="s">
        <v>130</v>
      </c>
      <c r="Q441" s="793" t="s">
        <v>129</v>
      </c>
      <c r="R441" s="800">
        <v>0</v>
      </c>
      <c r="AG441" s="793" t="s">
        <v>849</v>
      </c>
    </row>
    <row r="442" spans="1:33" hidden="1">
      <c r="A442" s="1103">
        <f t="shared" si="19"/>
        <v>276</v>
      </c>
      <c r="B442" s="793" t="s">
        <v>781</v>
      </c>
      <c r="C442" s="587">
        <v>20.7</v>
      </c>
      <c r="D442" s="573" t="s">
        <v>209</v>
      </c>
      <c r="E442" s="575"/>
      <c r="H442" s="796" t="s">
        <v>117</v>
      </c>
      <c r="I442" s="575"/>
      <c r="J442" s="580"/>
      <c r="K442" s="575"/>
      <c r="R442" s="796" t="s">
        <v>117</v>
      </c>
      <c r="AG442" s="793" t="s">
        <v>849</v>
      </c>
    </row>
    <row r="443" spans="1:33" hidden="1">
      <c r="A443" s="1103">
        <f t="shared" si="19"/>
        <v>277</v>
      </c>
      <c r="B443" s="793" t="s">
        <v>782</v>
      </c>
      <c r="C443" s="587">
        <v>41.82</v>
      </c>
      <c r="D443" s="573" t="s">
        <v>209</v>
      </c>
      <c r="E443" s="575"/>
      <c r="F443" s="800">
        <v>6570</v>
      </c>
      <c r="G443" s="798" t="s">
        <v>467</v>
      </c>
      <c r="H443" s="793" t="s">
        <v>829</v>
      </c>
      <c r="I443" s="587" t="e">
        <f>(C77)</f>
        <v>#REF!</v>
      </c>
      <c r="J443" s="574" t="s">
        <v>468</v>
      </c>
      <c r="K443" s="587" t="e">
        <f>(F443*I443)/1000</f>
        <v>#REF!</v>
      </c>
      <c r="O443" s="793" t="s">
        <v>830</v>
      </c>
      <c r="R443" s="800">
        <f>SUM(R430:R441)</f>
        <v>584.08000000000004</v>
      </c>
      <c r="AG443" s="793" t="s">
        <v>636</v>
      </c>
    </row>
    <row r="444" spans="1:33" hidden="1">
      <c r="A444" s="1103">
        <f t="shared" si="19"/>
        <v>278</v>
      </c>
      <c r="B444" s="793" t="s">
        <v>783</v>
      </c>
      <c r="C444" s="587">
        <v>61.78</v>
      </c>
      <c r="D444" s="573" t="s">
        <v>209</v>
      </c>
      <c r="E444" s="575"/>
      <c r="F444" s="800">
        <v>1.91</v>
      </c>
      <c r="G444" s="798" t="s">
        <v>126</v>
      </c>
      <c r="H444" s="793" t="s">
        <v>134</v>
      </c>
      <c r="I444" s="587" t="e">
        <f>(K40)</f>
        <v>#REF!</v>
      </c>
      <c r="J444" s="574" t="s">
        <v>126</v>
      </c>
      <c r="K444" s="587" t="e">
        <f>(F444*I444)</f>
        <v>#REF!</v>
      </c>
      <c r="R444" s="796" t="s">
        <v>117</v>
      </c>
    </row>
    <row r="445" spans="1:33" hidden="1">
      <c r="A445" s="1103">
        <f t="shared" si="19"/>
        <v>279</v>
      </c>
      <c r="B445" s="793" t="s">
        <v>727</v>
      </c>
      <c r="C445" s="587">
        <v>97.93</v>
      </c>
      <c r="D445" s="573" t="s">
        <v>209</v>
      </c>
      <c r="E445" s="575"/>
      <c r="F445" s="800">
        <v>7</v>
      </c>
      <c r="G445" s="798" t="s">
        <v>209</v>
      </c>
      <c r="H445" s="793" t="s">
        <v>144</v>
      </c>
      <c r="I445" s="587">
        <f>(C10)</f>
        <v>150</v>
      </c>
      <c r="J445" s="574" t="s">
        <v>209</v>
      </c>
      <c r="K445" s="587">
        <f>(F445*I445)</f>
        <v>1050</v>
      </c>
      <c r="O445" s="793" t="s">
        <v>216</v>
      </c>
      <c r="R445" s="800">
        <f>(R443/30)</f>
        <v>19.469333333333335</v>
      </c>
    </row>
    <row r="446" spans="1:33" hidden="1">
      <c r="A446" s="1103">
        <f t="shared" si="19"/>
        <v>280</v>
      </c>
      <c r="B446" s="793" t="s">
        <v>812</v>
      </c>
      <c r="C446" s="587">
        <v>156.5</v>
      </c>
      <c r="D446" s="573" t="s">
        <v>209</v>
      </c>
      <c r="E446" s="575"/>
      <c r="F446" s="800">
        <v>3.6</v>
      </c>
      <c r="G446" s="798" t="s">
        <v>209</v>
      </c>
      <c r="H446" s="793" t="s">
        <v>145</v>
      </c>
      <c r="I446" s="587">
        <f>(C11)</f>
        <v>135</v>
      </c>
      <c r="J446" s="574" t="s">
        <v>209</v>
      </c>
      <c r="K446" s="587">
        <f>(F446*I446)</f>
        <v>486</v>
      </c>
      <c r="R446" s="796" t="s">
        <v>117</v>
      </c>
      <c r="AG446" s="793" t="s">
        <v>849</v>
      </c>
    </row>
    <row r="447" spans="1:33" hidden="1">
      <c r="A447" s="1103">
        <f t="shared" si="19"/>
        <v>281</v>
      </c>
      <c r="B447" s="793" t="s">
        <v>3232</v>
      </c>
      <c r="C447" s="575"/>
      <c r="D447" s="573" t="s">
        <v>115</v>
      </c>
      <c r="E447" s="575"/>
      <c r="F447" s="800">
        <v>7.1</v>
      </c>
      <c r="G447" s="798" t="s">
        <v>209</v>
      </c>
      <c r="H447" s="793" t="s">
        <v>146</v>
      </c>
      <c r="I447" s="587">
        <f>(C12)</f>
        <v>95</v>
      </c>
      <c r="J447" s="574" t="s">
        <v>209</v>
      </c>
      <c r="K447" s="587">
        <f>(F447*I447)</f>
        <v>674.5</v>
      </c>
      <c r="N447" s="793" t="s">
        <v>2</v>
      </c>
      <c r="O447" s="1098" t="s">
        <v>833</v>
      </c>
      <c r="AG447" s="793" t="s">
        <v>849</v>
      </c>
    </row>
    <row r="448" spans="1:33" hidden="1">
      <c r="A448" s="1103">
        <f t="shared" si="19"/>
        <v>282</v>
      </c>
      <c r="B448" s="793" t="s">
        <v>786</v>
      </c>
      <c r="C448" s="587">
        <v>3.2</v>
      </c>
      <c r="D448" s="573" t="s">
        <v>209</v>
      </c>
      <c r="E448" s="575"/>
      <c r="F448" s="800">
        <v>14.1</v>
      </c>
      <c r="G448" s="798" t="s">
        <v>209</v>
      </c>
      <c r="H448" s="793" t="s">
        <v>147</v>
      </c>
      <c r="I448" s="587">
        <f>(C13)</f>
        <v>85</v>
      </c>
      <c r="J448" s="574" t="s">
        <v>209</v>
      </c>
      <c r="K448" s="587">
        <f>(F448*I448)</f>
        <v>1198.5</v>
      </c>
      <c r="O448" s="796" t="s">
        <v>117</v>
      </c>
      <c r="AG448" s="793" t="s">
        <v>849</v>
      </c>
    </row>
    <row r="449" spans="1:33" hidden="1">
      <c r="A449" s="1103">
        <f t="shared" si="19"/>
        <v>283</v>
      </c>
      <c r="B449" s="793" t="s">
        <v>779</v>
      </c>
      <c r="C449" s="587">
        <v>4.7</v>
      </c>
      <c r="D449" s="573" t="s">
        <v>209</v>
      </c>
      <c r="E449" s="575"/>
      <c r="G449" s="798" t="s">
        <v>129</v>
      </c>
      <c r="H449" s="793" t="s">
        <v>130</v>
      </c>
      <c r="I449" s="573" t="s">
        <v>115</v>
      </c>
      <c r="J449" s="574" t="s">
        <v>129</v>
      </c>
      <c r="K449" s="587">
        <v>0</v>
      </c>
      <c r="M449" s="800">
        <v>8.1</v>
      </c>
      <c r="N449" s="793" t="s">
        <v>126</v>
      </c>
      <c r="O449" s="793" t="s">
        <v>814</v>
      </c>
      <c r="P449" s="800">
        <f>(C61)*2</f>
        <v>50</v>
      </c>
      <c r="Q449" s="793" t="s">
        <v>126</v>
      </c>
      <c r="R449" s="800">
        <f>(M449*P449)</f>
        <v>405</v>
      </c>
      <c r="AG449" s="793" t="s">
        <v>849</v>
      </c>
    </row>
    <row r="450" spans="1:33" hidden="1">
      <c r="A450" s="1103">
        <f t="shared" si="19"/>
        <v>284</v>
      </c>
      <c r="B450" s="793" t="s">
        <v>781</v>
      </c>
      <c r="C450" s="587">
        <v>7.65</v>
      </c>
      <c r="D450" s="573" t="s">
        <v>209</v>
      </c>
      <c r="E450" s="575"/>
      <c r="I450" s="575"/>
      <c r="J450" s="580"/>
      <c r="K450" s="582" t="s">
        <v>117</v>
      </c>
      <c r="M450" s="800">
        <v>8.1</v>
      </c>
      <c r="N450" s="793" t="s">
        <v>126</v>
      </c>
      <c r="O450" s="793" t="s">
        <v>815</v>
      </c>
      <c r="P450" s="800">
        <f>(C26)</f>
        <v>8.8000000000000007</v>
      </c>
      <c r="Q450" s="793" t="s">
        <v>126</v>
      </c>
      <c r="R450" s="800">
        <f>(M450*P450)</f>
        <v>71.28</v>
      </c>
      <c r="AG450" s="793" t="s">
        <v>849</v>
      </c>
    </row>
    <row r="451" spans="1:33" hidden="1">
      <c r="A451" s="1103">
        <f t="shared" si="19"/>
        <v>285</v>
      </c>
      <c r="B451" s="793" t="s">
        <v>782</v>
      </c>
      <c r="C451" s="587">
        <v>30.93</v>
      </c>
      <c r="D451" s="573" t="s">
        <v>209</v>
      </c>
      <c r="E451" s="575"/>
      <c r="H451" s="793" t="s">
        <v>455</v>
      </c>
      <c r="I451" s="575"/>
      <c r="J451" s="580"/>
      <c r="K451" s="587" t="e">
        <f>SUM(K443:K449)</f>
        <v>#REF!</v>
      </c>
      <c r="M451" s="800">
        <v>30</v>
      </c>
      <c r="N451" s="793" t="s">
        <v>203</v>
      </c>
      <c r="O451" s="793" t="s">
        <v>816</v>
      </c>
      <c r="P451" s="800">
        <f>(C42)</f>
        <v>1.75</v>
      </c>
      <c r="Q451" s="793" t="s">
        <v>203</v>
      </c>
      <c r="R451" s="800">
        <f>(M451*P451)</f>
        <v>52.5</v>
      </c>
      <c r="AG451" s="793" t="s">
        <v>849</v>
      </c>
    </row>
    <row r="452" spans="1:33" hidden="1">
      <c r="A452" s="1103">
        <f t="shared" si="19"/>
        <v>286</v>
      </c>
      <c r="B452" s="793" t="s">
        <v>783</v>
      </c>
      <c r="C452" s="587">
        <v>39.630000000000003</v>
      </c>
      <c r="D452" s="573" t="s">
        <v>209</v>
      </c>
      <c r="E452" s="575"/>
      <c r="I452" s="575"/>
      <c r="J452" s="580"/>
      <c r="K452" s="582" t="s">
        <v>117</v>
      </c>
      <c r="O452" s="793" t="s">
        <v>817</v>
      </c>
      <c r="AG452" s="793" t="s">
        <v>849</v>
      </c>
    </row>
    <row r="453" spans="1:33" hidden="1">
      <c r="A453" s="1103">
        <f t="shared" si="19"/>
        <v>287</v>
      </c>
      <c r="B453" s="793" t="s">
        <v>727</v>
      </c>
      <c r="C453" s="587">
        <v>70.47</v>
      </c>
      <c r="D453" s="573" t="s">
        <v>209</v>
      </c>
      <c r="E453" s="575"/>
      <c r="H453" s="793" t="s">
        <v>383</v>
      </c>
      <c r="I453" s="575"/>
      <c r="J453" s="580"/>
      <c r="K453" s="587" t="e">
        <f>(K451/10)</f>
        <v>#REF!</v>
      </c>
      <c r="O453" s="793" t="s">
        <v>818</v>
      </c>
      <c r="AG453" s="793" t="s">
        <v>849</v>
      </c>
    </row>
    <row r="454" spans="1:33" hidden="1">
      <c r="A454" s="1103">
        <f t="shared" si="19"/>
        <v>288</v>
      </c>
      <c r="B454" s="793" t="s">
        <v>812</v>
      </c>
      <c r="C454" s="587">
        <v>70.47</v>
      </c>
      <c r="D454" s="573" t="s">
        <v>209</v>
      </c>
      <c r="E454" s="575"/>
      <c r="I454" s="575"/>
      <c r="J454" s="580"/>
      <c r="K454" s="582" t="s">
        <v>155</v>
      </c>
      <c r="O454" s="793" t="s">
        <v>819</v>
      </c>
      <c r="AG454" s="793" t="s">
        <v>849</v>
      </c>
    </row>
    <row r="455" spans="1:33" hidden="1">
      <c r="A455" s="1103">
        <f t="shared" si="19"/>
        <v>289</v>
      </c>
      <c r="B455" s="793" t="s">
        <v>834</v>
      </c>
      <c r="C455" s="575"/>
      <c r="D455" s="573" t="s">
        <v>115</v>
      </c>
      <c r="E455" s="575"/>
      <c r="I455" s="575"/>
      <c r="J455" s="580"/>
      <c r="K455" s="575"/>
      <c r="O455" s="793" t="s">
        <v>820</v>
      </c>
      <c r="AG455" s="793" t="s">
        <v>849</v>
      </c>
    </row>
    <row r="456" spans="1:33" hidden="1">
      <c r="A456" s="1103">
        <f t="shared" si="19"/>
        <v>290</v>
      </c>
      <c r="B456" s="793" t="s">
        <v>786</v>
      </c>
      <c r="C456" s="587">
        <v>158.91999999999999</v>
      </c>
      <c r="D456" s="573" t="s">
        <v>209</v>
      </c>
      <c r="E456" s="575"/>
      <c r="G456" s="798" t="s">
        <v>122</v>
      </c>
      <c r="H456" s="793" t="s">
        <v>835</v>
      </c>
      <c r="I456" s="575"/>
      <c r="J456" s="580"/>
      <c r="K456" s="575"/>
      <c r="M456" s="800">
        <v>8</v>
      </c>
      <c r="N456" s="793" t="s">
        <v>1</v>
      </c>
      <c r="O456" s="793" t="s">
        <v>823</v>
      </c>
      <c r="P456" s="800">
        <f>(C44)</f>
        <v>2.2000000000000002</v>
      </c>
      <c r="Q456" s="793" t="s">
        <v>1</v>
      </c>
      <c r="R456" s="800">
        <f>(M456*P456)</f>
        <v>17.600000000000001</v>
      </c>
      <c r="AG456" s="793" t="s">
        <v>849</v>
      </c>
    </row>
    <row r="457" spans="1:33" hidden="1">
      <c r="A457" s="1103">
        <f t="shared" si="19"/>
        <v>291</v>
      </c>
      <c r="B457" s="793" t="s">
        <v>779</v>
      </c>
      <c r="C457" s="587">
        <v>263.04000000000002</v>
      </c>
      <c r="D457" s="573" t="s">
        <v>209</v>
      </c>
      <c r="E457" s="575"/>
      <c r="H457" s="796" t="s">
        <v>117</v>
      </c>
      <c r="I457" s="575"/>
      <c r="J457" s="580"/>
      <c r="K457" s="575"/>
      <c r="M457" s="800">
        <v>8</v>
      </c>
      <c r="N457" s="793" t="s">
        <v>1</v>
      </c>
      <c r="O457" s="793" t="s">
        <v>826</v>
      </c>
      <c r="P457" s="800">
        <f>(C51)</f>
        <v>3.2</v>
      </c>
      <c r="Q457" s="793" t="s">
        <v>1</v>
      </c>
      <c r="R457" s="800">
        <f>(M457*P457)</f>
        <v>25.6</v>
      </c>
      <c r="AG457" s="793" t="s">
        <v>849</v>
      </c>
    </row>
    <row r="458" spans="1:33" hidden="1">
      <c r="A458" s="1103">
        <f t="shared" si="19"/>
        <v>292</v>
      </c>
      <c r="B458" s="793" t="s">
        <v>781</v>
      </c>
      <c r="C458" s="575"/>
      <c r="D458" s="573" t="s">
        <v>115</v>
      </c>
      <c r="E458" s="575"/>
      <c r="F458" s="800">
        <v>0.5</v>
      </c>
      <c r="G458" s="798" t="s">
        <v>126</v>
      </c>
      <c r="H458" s="793" t="s">
        <v>591</v>
      </c>
      <c r="I458" s="587" t="e">
        <f>(K453)</f>
        <v>#REF!</v>
      </c>
      <c r="J458" s="574" t="s">
        <v>209</v>
      </c>
      <c r="K458" s="587" t="e">
        <f>(F458*I458)</f>
        <v>#REF!</v>
      </c>
      <c r="M458" s="800">
        <v>1</v>
      </c>
      <c r="N458" s="793" t="s">
        <v>129</v>
      </c>
      <c r="O458" s="793" t="s">
        <v>828</v>
      </c>
      <c r="P458" s="800">
        <f>(C56)</f>
        <v>12.1</v>
      </c>
      <c r="Q458" s="793" t="s">
        <v>129</v>
      </c>
      <c r="R458" s="800">
        <f>(M458*P458)</f>
        <v>12.1</v>
      </c>
      <c r="AG458" s="793" t="s">
        <v>849</v>
      </c>
    </row>
    <row r="459" spans="1:33" hidden="1">
      <c r="A459" s="1103">
        <f t="shared" si="19"/>
        <v>293</v>
      </c>
      <c r="B459" s="793" t="s">
        <v>3233</v>
      </c>
      <c r="C459" s="587">
        <v>1.2</v>
      </c>
      <c r="D459" s="573" t="s">
        <v>209</v>
      </c>
      <c r="E459" s="575"/>
      <c r="F459" s="800">
        <v>1</v>
      </c>
      <c r="G459" s="798" t="s">
        <v>1</v>
      </c>
      <c r="H459" s="793" t="s">
        <v>144</v>
      </c>
      <c r="I459" s="587">
        <f>(C10)</f>
        <v>150</v>
      </c>
      <c r="J459" s="574" t="s">
        <v>209</v>
      </c>
      <c r="K459" s="587">
        <f>(F459*I459)</f>
        <v>150</v>
      </c>
      <c r="M459" s="800">
        <v>1</v>
      </c>
      <c r="N459" s="793" t="s">
        <v>129</v>
      </c>
      <c r="O459" s="793" t="s">
        <v>130</v>
      </c>
      <c r="Q459" s="793" t="s">
        <v>129</v>
      </c>
      <c r="R459" s="800">
        <v>0</v>
      </c>
      <c r="AG459" s="793" t="s">
        <v>849</v>
      </c>
    </row>
    <row r="460" spans="1:33" hidden="1">
      <c r="A460" s="1103">
        <f t="shared" si="19"/>
        <v>294</v>
      </c>
      <c r="B460" s="793" t="s">
        <v>3234</v>
      </c>
      <c r="C460" s="587">
        <v>0.85</v>
      </c>
      <c r="D460" s="573" t="s">
        <v>209</v>
      </c>
      <c r="E460" s="575"/>
      <c r="G460" s="798" t="s">
        <v>129</v>
      </c>
      <c r="H460" s="793" t="s">
        <v>130</v>
      </c>
      <c r="I460" s="573" t="s">
        <v>115</v>
      </c>
      <c r="J460" s="574" t="s">
        <v>129</v>
      </c>
      <c r="K460" s="587">
        <v>0</v>
      </c>
      <c r="R460" s="796" t="s">
        <v>117</v>
      </c>
      <c r="AG460" s="793" t="s">
        <v>849</v>
      </c>
    </row>
    <row r="461" spans="1:33" hidden="1">
      <c r="A461" s="1103">
        <f t="shared" si="19"/>
        <v>295</v>
      </c>
      <c r="B461" s="793" t="s">
        <v>843</v>
      </c>
      <c r="C461" s="587">
        <v>350</v>
      </c>
      <c r="D461" s="587">
        <v>375</v>
      </c>
      <c r="E461" s="575"/>
      <c r="I461" s="575"/>
      <c r="J461" s="580"/>
      <c r="K461" s="582" t="s">
        <v>117</v>
      </c>
      <c r="O461" s="793" t="s">
        <v>830</v>
      </c>
      <c r="R461" s="800">
        <f>SUM(R449:R459)</f>
        <v>584.08000000000004</v>
      </c>
      <c r="AG461" s="793" t="s">
        <v>849</v>
      </c>
    </row>
    <row r="462" spans="1:33" hidden="1">
      <c r="A462" s="1103">
        <f t="shared" si="19"/>
        <v>296</v>
      </c>
      <c r="B462" s="793" t="s">
        <v>845</v>
      </c>
      <c r="C462" s="587">
        <v>400</v>
      </c>
      <c r="D462" s="587">
        <v>425</v>
      </c>
      <c r="E462" s="575"/>
      <c r="H462" s="793" t="s">
        <v>153</v>
      </c>
      <c r="I462" s="575"/>
      <c r="J462" s="580"/>
      <c r="K462" s="587" t="e">
        <f>SUM(K458:K460)</f>
        <v>#REF!</v>
      </c>
      <c r="R462" s="796" t="s">
        <v>117</v>
      </c>
      <c r="AG462" s="793" t="s">
        <v>849</v>
      </c>
    </row>
    <row r="463" spans="1:33" hidden="1">
      <c r="A463" s="1103">
        <f t="shared" si="19"/>
        <v>297</v>
      </c>
      <c r="B463" s="793" t="s">
        <v>846</v>
      </c>
      <c r="C463" s="587">
        <v>450</v>
      </c>
      <c r="D463" s="587">
        <v>500</v>
      </c>
      <c r="E463" s="575"/>
      <c r="I463" s="575"/>
      <c r="J463" s="580"/>
      <c r="K463" s="582" t="s">
        <v>117</v>
      </c>
      <c r="O463" s="793" t="s">
        <v>216</v>
      </c>
      <c r="R463" s="800">
        <f>(R461/30)</f>
        <v>19.469333333333335</v>
      </c>
      <c r="AG463" s="793" t="s">
        <v>849</v>
      </c>
    </row>
    <row r="464" spans="1:33" hidden="1">
      <c r="A464" s="1103">
        <f t="shared" si="19"/>
        <v>298</v>
      </c>
      <c r="B464" s="793" t="s">
        <v>850</v>
      </c>
      <c r="C464" s="587">
        <v>77.819999999999993</v>
      </c>
      <c r="D464" s="573" t="s">
        <v>209</v>
      </c>
      <c r="E464" s="575"/>
      <c r="H464" s="793" t="s">
        <v>154</v>
      </c>
      <c r="I464" s="575"/>
      <c r="J464" s="580"/>
      <c r="K464" s="587" t="e">
        <f>(K462/10)</f>
        <v>#REF!</v>
      </c>
      <c r="R464" s="796" t="s">
        <v>117</v>
      </c>
      <c r="AG464" s="793" t="s">
        <v>849</v>
      </c>
    </row>
    <row r="465" spans="1:33" hidden="1">
      <c r="A465" s="1103">
        <f t="shared" si="19"/>
        <v>299</v>
      </c>
      <c r="B465" s="793" t="s">
        <v>852</v>
      </c>
      <c r="C465" s="587">
        <v>99.74</v>
      </c>
      <c r="D465" s="573" t="s">
        <v>209</v>
      </c>
      <c r="E465" s="575"/>
      <c r="I465" s="575"/>
      <c r="J465" s="580"/>
      <c r="K465" s="582" t="s">
        <v>155</v>
      </c>
      <c r="N465" s="793" t="s">
        <v>853</v>
      </c>
      <c r="O465" s="1098" t="s">
        <v>854</v>
      </c>
      <c r="AG465" s="793" t="s">
        <v>849</v>
      </c>
    </row>
    <row r="466" spans="1:33" hidden="1">
      <c r="A466" s="1103">
        <f t="shared" si="19"/>
        <v>300</v>
      </c>
      <c r="B466" s="793" t="s">
        <v>781</v>
      </c>
      <c r="C466" s="587">
        <v>165</v>
      </c>
      <c r="D466" s="573" t="s">
        <v>209</v>
      </c>
      <c r="E466" s="575"/>
      <c r="H466" s="793" t="s">
        <v>482</v>
      </c>
      <c r="I466" s="575"/>
      <c r="J466" s="580"/>
      <c r="K466" s="587" t="e">
        <f>(K464+C19/10*F458)</f>
        <v>#REF!</v>
      </c>
      <c r="O466" s="796" t="s">
        <v>117</v>
      </c>
      <c r="AG466" s="793" t="s">
        <v>849</v>
      </c>
    </row>
    <row r="467" spans="1:33" hidden="1">
      <c r="A467" s="1103">
        <f t="shared" si="19"/>
        <v>301</v>
      </c>
      <c r="B467" s="793" t="s">
        <v>782</v>
      </c>
      <c r="C467" s="587">
        <v>258</v>
      </c>
      <c r="D467" s="573" t="s">
        <v>209</v>
      </c>
      <c r="E467" s="575"/>
      <c r="H467" s="793" t="s">
        <v>486</v>
      </c>
      <c r="I467" s="575"/>
      <c r="J467" s="580"/>
      <c r="K467" s="587" t="e">
        <f>(K466+C20/10*F458)</f>
        <v>#REF!</v>
      </c>
      <c r="M467" s="800">
        <v>8.1</v>
      </c>
      <c r="N467" s="793" t="s">
        <v>126</v>
      </c>
      <c r="O467" s="793" t="s">
        <v>814</v>
      </c>
      <c r="P467" s="800">
        <f>(C61)*2</f>
        <v>50</v>
      </c>
      <c r="Q467" s="793" t="s">
        <v>126</v>
      </c>
      <c r="R467" s="800">
        <f>(M467*P467)</f>
        <v>405</v>
      </c>
      <c r="AG467" s="793" t="s">
        <v>849</v>
      </c>
    </row>
    <row r="468" spans="1:33" hidden="1">
      <c r="A468" s="1103">
        <f t="shared" si="19"/>
        <v>302</v>
      </c>
      <c r="B468" s="793" t="s">
        <v>783</v>
      </c>
      <c r="C468" s="587">
        <v>298</v>
      </c>
      <c r="D468" s="573" t="s">
        <v>209</v>
      </c>
      <c r="E468" s="575"/>
      <c r="H468" s="793" t="s">
        <v>489</v>
      </c>
      <c r="I468" s="575"/>
      <c r="J468" s="580"/>
      <c r="K468" s="587" t="e">
        <f>(K467+C21/10*F458)</f>
        <v>#REF!</v>
      </c>
      <c r="M468" s="800">
        <v>8.1</v>
      </c>
      <c r="N468" s="793" t="s">
        <v>126</v>
      </c>
      <c r="O468" s="793" t="s">
        <v>815</v>
      </c>
      <c r="P468" s="800">
        <f>(C26)</f>
        <v>8.8000000000000007</v>
      </c>
      <c r="Q468" s="793" t="s">
        <v>126</v>
      </c>
      <c r="R468" s="800">
        <f>(M468*P468)</f>
        <v>71.28</v>
      </c>
      <c r="AG468" s="793" t="s">
        <v>849</v>
      </c>
    </row>
    <row r="469" spans="1:33" hidden="1">
      <c r="A469" s="1103">
        <f t="shared" si="19"/>
        <v>303</v>
      </c>
      <c r="B469" s="793" t="s">
        <v>727</v>
      </c>
      <c r="C469" s="587">
        <v>398</v>
      </c>
      <c r="D469" s="573" t="s">
        <v>209</v>
      </c>
      <c r="E469" s="575"/>
      <c r="H469" s="793" t="s">
        <v>491</v>
      </c>
      <c r="I469" s="575"/>
      <c r="J469" s="580"/>
      <c r="K469" s="587" t="e">
        <f>(K468+C21/10*F458)</f>
        <v>#REF!</v>
      </c>
      <c r="M469" s="800">
        <v>30</v>
      </c>
      <c r="N469" s="793" t="s">
        <v>203</v>
      </c>
      <c r="O469" s="793" t="s">
        <v>816</v>
      </c>
      <c r="P469" s="800">
        <f>(C42)</f>
        <v>1.75</v>
      </c>
      <c r="Q469" s="793" t="s">
        <v>203</v>
      </c>
      <c r="R469" s="800">
        <f>(M469*P469)</f>
        <v>52.5</v>
      </c>
      <c r="AG469" s="793" t="s">
        <v>849</v>
      </c>
    </row>
    <row r="470" spans="1:33" hidden="1">
      <c r="A470" s="1103">
        <f t="shared" si="19"/>
        <v>304</v>
      </c>
      <c r="B470" s="793" t="s">
        <v>812</v>
      </c>
      <c r="C470" s="575"/>
      <c r="D470" s="573" t="s">
        <v>209</v>
      </c>
      <c r="E470" s="575"/>
      <c r="H470" s="793" t="s">
        <v>576</v>
      </c>
      <c r="I470" s="575"/>
      <c r="J470" s="580"/>
      <c r="K470" s="587" t="e">
        <f>(K469+C22/10*F459)</f>
        <v>#REF!</v>
      </c>
      <c r="O470" s="793" t="s">
        <v>817</v>
      </c>
      <c r="AG470" s="793" t="s">
        <v>849</v>
      </c>
    </row>
    <row r="471" spans="1:33" hidden="1">
      <c r="A471" s="1103">
        <f t="shared" si="19"/>
        <v>305</v>
      </c>
      <c r="B471" s="793" t="s">
        <v>3235</v>
      </c>
      <c r="C471" s="575"/>
      <c r="D471" s="573" t="s">
        <v>209</v>
      </c>
      <c r="E471" s="575"/>
      <c r="F471" s="1098" t="s">
        <v>862</v>
      </c>
      <c r="G471" s="798" t="s">
        <v>122</v>
      </c>
      <c r="H471" s="793" t="s">
        <v>863</v>
      </c>
      <c r="I471" s="575"/>
      <c r="J471" s="580"/>
      <c r="K471" s="575"/>
      <c r="O471" s="793" t="s">
        <v>818</v>
      </c>
      <c r="AG471" s="793" t="s">
        <v>849</v>
      </c>
    </row>
    <row r="472" spans="1:33" hidden="1">
      <c r="A472" s="1103">
        <f t="shared" si="19"/>
        <v>306</v>
      </c>
      <c r="B472" s="793" t="s">
        <v>786</v>
      </c>
      <c r="C472" s="587">
        <v>130</v>
      </c>
      <c r="D472" s="573" t="s">
        <v>209</v>
      </c>
      <c r="E472" s="575"/>
      <c r="H472" s="793" t="s">
        <v>864</v>
      </c>
      <c r="I472" s="575"/>
      <c r="J472" s="580"/>
      <c r="K472" s="575"/>
      <c r="O472" s="793" t="s">
        <v>819</v>
      </c>
      <c r="AG472" s="793" t="s">
        <v>849</v>
      </c>
    </row>
    <row r="473" spans="1:33" hidden="1">
      <c r="A473" s="1103">
        <f t="shared" si="19"/>
        <v>307</v>
      </c>
      <c r="B473" s="793" t="s">
        <v>779</v>
      </c>
      <c r="C473" s="587">
        <v>178</v>
      </c>
      <c r="D473" s="573" t="s">
        <v>209</v>
      </c>
      <c r="E473" s="575"/>
      <c r="H473" s="796" t="s">
        <v>117</v>
      </c>
      <c r="I473" s="575"/>
      <c r="J473" s="580"/>
      <c r="K473" s="575"/>
      <c r="O473" s="793" t="s">
        <v>820</v>
      </c>
      <c r="AG473" s="793" t="s">
        <v>849</v>
      </c>
    </row>
    <row r="474" spans="1:33" hidden="1">
      <c r="A474" s="1103">
        <f t="shared" si="19"/>
        <v>308</v>
      </c>
      <c r="B474" s="793" t="s">
        <v>781</v>
      </c>
      <c r="C474" s="587">
        <v>279</v>
      </c>
      <c r="D474" s="573" t="s">
        <v>209</v>
      </c>
      <c r="E474" s="575"/>
      <c r="F474" s="800">
        <v>1</v>
      </c>
      <c r="G474" s="798" t="s">
        <v>126</v>
      </c>
      <c r="H474" s="793" t="s">
        <v>865</v>
      </c>
      <c r="I474" s="587">
        <f>(C26)</f>
        <v>8.8000000000000007</v>
      </c>
      <c r="J474" s="574" t="s">
        <v>126</v>
      </c>
      <c r="K474" s="587">
        <f>(F474*I474)</f>
        <v>8.8000000000000007</v>
      </c>
      <c r="M474" s="800">
        <v>8</v>
      </c>
      <c r="N474" s="793" t="s">
        <v>1</v>
      </c>
      <c r="O474" s="793" t="s">
        <v>823</v>
      </c>
      <c r="P474" s="800">
        <f>(C45)</f>
        <v>2.7</v>
      </c>
      <c r="Q474" s="793" t="s">
        <v>1</v>
      </c>
      <c r="R474" s="800">
        <f>(M474*P474)</f>
        <v>21.6</v>
      </c>
      <c r="AG474" s="793" t="s">
        <v>849</v>
      </c>
    </row>
    <row r="475" spans="1:33" hidden="1">
      <c r="A475" s="1103">
        <f t="shared" si="19"/>
        <v>309</v>
      </c>
      <c r="B475" s="793" t="s">
        <v>782</v>
      </c>
      <c r="C475" s="587">
        <v>394</v>
      </c>
      <c r="D475" s="573" t="s">
        <v>209</v>
      </c>
      <c r="E475" s="575"/>
      <c r="I475" s="575"/>
      <c r="J475" s="580"/>
      <c r="K475" s="582" t="s">
        <v>155</v>
      </c>
      <c r="M475" s="800">
        <v>8</v>
      </c>
      <c r="N475" s="793" t="s">
        <v>1</v>
      </c>
      <c r="O475" s="793" t="s">
        <v>826</v>
      </c>
      <c r="P475" s="800">
        <f>(C52)</f>
        <v>6.4</v>
      </c>
      <c r="Q475" s="793" t="s">
        <v>1</v>
      </c>
      <c r="R475" s="800">
        <f>(M475*P475)</f>
        <v>51.2</v>
      </c>
      <c r="AG475" s="793" t="s">
        <v>849</v>
      </c>
    </row>
    <row r="476" spans="1:33" hidden="1">
      <c r="A476" s="1103">
        <f t="shared" si="19"/>
        <v>310</v>
      </c>
      <c r="B476" s="793" t="s">
        <v>783</v>
      </c>
      <c r="C476" s="587">
        <v>508</v>
      </c>
      <c r="D476" s="573" t="s">
        <v>209</v>
      </c>
      <c r="E476" s="575"/>
      <c r="F476" s="1109">
        <v>7.3</v>
      </c>
      <c r="G476" s="798" t="s">
        <v>122</v>
      </c>
      <c r="H476" s="793" t="s">
        <v>867</v>
      </c>
      <c r="I476" s="575"/>
      <c r="J476" s="580"/>
      <c r="K476" s="575"/>
      <c r="M476" s="800">
        <v>1</v>
      </c>
      <c r="N476" s="793" t="s">
        <v>129</v>
      </c>
      <c r="O476" s="793" t="s">
        <v>828</v>
      </c>
      <c r="P476" s="800">
        <f>(C56)</f>
        <v>12.1</v>
      </c>
      <c r="Q476" s="793" t="s">
        <v>129</v>
      </c>
      <c r="R476" s="800">
        <f>(M476*P476)</f>
        <v>12.1</v>
      </c>
      <c r="AG476" s="793" t="s">
        <v>849</v>
      </c>
    </row>
    <row r="477" spans="1:33" hidden="1">
      <c r="A477" s="1103">
        <f t="shared" si="19"/>
        <v>311</v>
      </c>
      <c r="B477" s="793" t="s">
        <v>727</v>
      </c>
      <c r="C477" s="587">
        <v>709</v>
      </c>
      <c r="D477" s="573" t="s">
        <v>209</v>
      </c>
      <c r="E477" s="575"/>
      <c r="F477" s="793" t="s">
        <v>115</v>
      </c>
      <c r="H477" s="793" t="s">
        <v>868</v>
      </c>
      <c r="I477" s="575"/>
      <c r="J477" s="580"/>
      <c r="K477" s="575"/>
      <c r="M477" s="800">
        <v>1</v>
      </c>
      <c r="N477" s="793" t="s">
        <v>129</v>
      </c>
      <c r="O477" s="793" t="s">
        <v>130</v>
      </c>
      <c r="Q477" s="793" t="s">
        <v>129</v>
      </c>
      <c r="R477" s="800">
        <v>0</v>
      </c>
      <c r="AG477" s="793" t="s">
        <v>849</v>
      </c>
    </row>
    <row r="478" spans="1:33" hidden="1">
      <c r="A478" s="1103">
        <f t="shared" si="19"/>
        <v>312</v>
      </c>
      <c r="B478" s="793" t="s">
        <v>812</v>
      </c>
      <c r="C478" s="575"/>
      <c r="D478" s="573" t="s">
        <v>209</v>
      </c>
      <c r="E478" s="575"/>
      <c r="F478" s="793" t="s">
        <v>115</v>
      </c>
      <c r="H478" s="796" t="s">
        <v>117</v>
      </c>
      <c r="I478" s="575"/>
      <c r="J478" s="580"/>
      <c r="K478" s="575"/>
      <c r="R478" s="796" t="s">
        <v>117</v>
      </c>
      <c r="AG478" s="793" t="s">
        <v>849</v>
      </c>
    </row>
    <row r="479" spans="1:33" hidden="1">
      <c r="A479" s="1103">
        <f t="shared" si="19"/>
        <v>313</v>
      </c>
      <c r="B479" s="793" t="s">
        <v>3236</v>
      </c>
      <c r="C479" s="575"/>
      <c r="D479" s="573" t="s">
        <v>209</v>
      </c>
      <c r="E479" s="575"/>
      <c r="F479" s="800">
        <v>0.13</v>
      </c>
      <c r="G479" s="798" t="s">
        <v>126</v>
      </c>
      <c r="H479" s="793" t="s">
        <v>134</v>
      </c>
      <c r="I479" s="587" t="e">
        <f>(K40)</f>
        <v>#REF!</v>
      </c>
      <c r="J479" s="574" t="s">
        <v>126</v>
      </c>
      <c r="K479" s="587" t="e">
        <f t="shared" ref="K479:K484" si="20">(F479*I479)</f>
        <v>#REF!</v>
      </c>
      <c r="O479" s="793" t="s">
        <v>830</v>
      </c>
      <c r="R479" s="800">
        <f>SUM(R467:R477)</f>
        <v>613.68000000000006</v>
      </c>
      <c r="AG479" s="793" t="s">
        <v>849</v>
      </c>
    </row>
    <row r="480" spans="1:33" hidden="1">
      <c r="A480" s="1103">
        <f t="shared" si="19"/>
        <v>314</v>
      </c>
      <c r="B480" s="793" t="s">
        <v>786</v>
      </c>
      <c r="C480" s="587">
        <v>77</v>
      </c>
      <c r="D480" s="573" t="s">
        <v>209</v>
      </c>
      <c r="E480" s="575"/>
      <c r="F480" s="800">
        <v>0.7</v>
      </c>
      <c r="G480" s="798" t="s">
        <v>1</v>
      </c>
      <c r="H480" s="793" t="s">
        <v>144</v>
      </c>
      <c r="I480" s="587">
        <f>(C10)</f>
        <v>150</v>
      </c>
      <c r="J480" s="574" t="s">
        <v>1</v>
      </c>
      <c r="K480" s="587">
        <f t="shared" si="20"/>
        <v>105</v>
      </c>
      <c r="R480" s="796" t="s">
        <v>117</v>
      </c>
      <c r="AG480" s="793" t="s">
        <v>849</v>
      </c>
    </row>
    <row r="481" spans="1:33" hidden="1">
      <c r="A481" s="1103">
        <f t="shared" si="19"/>
        <v>315</v>
      </c>
      <c r="B481" s="793" t="s">
        <v>779</v>
      </c>
      <c r="C481" s="587">
        <v>119</v>
      </c>
      <c r="D481" s="573" t="s">
        <v>209</v>
      </c>
      <c r="E481" s="575"/>
      <c r="F481" s="800">
        <v>0.7</v>
      </c>
      <c r="G481" s="798" t="s">
        <v>1</v>
      </c>
      <c r="H481" s="793" t="s">
        <v>145</v>
      </c>
      <c r="I481" s="587">
        <f>(C11)</f>
        <v>135</v>
      </c>
      <c r="J481" s="574" t="s">
        <v>1</v>
      </c>
      <c r="K481" s="587">
        <f t="shared" si="20"/>
        <v>94.5</v>
      </c>
      <c r="O481" s="793" t="s">
        <v>216</v>
      </c>
      <c r="R481" s="800">
        <f>(R479/30)</f>
        <v>20.456000000000003</v>
      </c>
      <c r="AG481" s="793" t="s">
        <v>849</v>
      </c>
    </row>
    <row r="482" spans="1:33" hidden="1">
      <c r="A482" s="1103">
        <f t="shared" si="19"/>
        <v>316</v>
      </c>
      <c r="B482" s="793" t="s">
        <v>781</v>
      </c>
      <c r="C482" s="587">
        <v>175</v>
      </c>
      <c r="D482" s="573" t="s">
        <v>209</v>
      </c>
      <c r="E482" s="575"/>
      <c r="F482" s="800">
        <v>1.5</v>
      </c>
      <c r="G482" s="798" t="s">
        <v>1</v>
      </c>
      <c r="H482" s="793" t="s">
        <v>146</v>
      </c>
      <c r="I482" s="587">
        <f>(C12)</f>
        <v>95</v>
      </c>
      <c r="J482" s="574" t="s">
        <v>1</v>
      </c>
      <c r="K482" s="587">
        <f t="shared" si="20"/>
        <v>142.5</v>
      </c>
      <c r="R482" s="796" t="s">
        <v>117</v>
      </c>
      <c r="AG482" s="793" t="s">
        <v>849</v>
      </c>
    </row>
    <row r="483" spans="1:33" hidden="1">
      <c r="A483" s="1103">
        <f t="shared" si="19"/>
        <v>317</v>
      </c>
      <c r="B483" s="793" t="s">
        <v>782</v>
      </c>
      <c r="C483" s="587">
        <v>277</v>
      </c>
      <c r="D483" s="573" t="s">
        <v>209</v>
      </c>
      <c r="E483" s="575"/>
      <c r="F483" s="800">
        <v>0.5</v>
      </c>
      <c r="G483" s="798" t="s">
        <v>1</v>
      </c>
      <c r="H483" s="793" t="s">
        <v>147</v>
      </c>
      <c r="I483" s="587">
        <f>(C13)</f>
        <v>85</v>
      </c>
      <c r="J483" s="574" t="s">
        <v>1</v>
      </c>
      <c r="K483" s="587">
        <f t="shared" si="20"/>
        <v>42.5</v>
      </c>
      <c r="M483" s="793" t="s">
        <v>115</v>
      </c>
      <c r="AG483" s="793" t="s">
        <v>849</v>
      </c>
    </row>
    <row r="484" spans="1:33" hidden="1">
      <c r="A484" s="1103">
        <f t="shared" si="19"/>
        <v>318</v>
      </c>
      <c r="B484" s="793" t="s">
        <v>783</v>
      </c>
      <c r="C484" s="587">
        <v>353</v>
      </c>
      <c r="D484" s="573" t="s">
        <v>209</v>
      </c>
      <c r="E484" s="575"/>
      <c r="F484" s="800">
        <v>0.94</v>
      </c>
      <c r="G484" s="798" t="s">
        <v>148</v>
      </c>
      <c r="H484" s="793" t="s">
        <v>872</v>
      </c>
      <c r="I484" s="587">
        <f>C631</f>
        <v>30</v>
      </c>
      <c r="J484" s="574" t="s">
        <v>148</v>
      </c>
      <c r="K484" s="587">
        <f t="shared" si="20"/>
        <v>28.2</v>
      </c>
      <c r="N484" s="793" t="s">
        <v>122</v>
      </c>
      <c r="O484" s="793" t="s">
        <v>807</v>
      </c>
      <c r="AG484" s="793" t="s">
        <v>849</v>
      </c>
    </row>
    <row r="485" spans="1:33" hidden="1">
      <c r="A485" s="1103">
        <f t="shared" si="19"/>
        <v>319</v>
      </c>
      <c r="B485" s="793" t="s">
        <v>727</v>
      </c>
      <c r="C485" s="587">
        <v>584</v>
      </c>
      <c r="D485" s="573" t="s">
        <v>209</v>
      </c>
      <c r="E485" s="575"/>
      <c r="H485" s="793" t="s">
        <v>130</v>
      </c>
      <c r="I485" s="573" t="s">
        <v>115</v>
      </c>
      <c r="J485" s="574" t="s">
        <v>129</v>
      </c>
      <c r="K485" s="587">
        <v>0</v>
      </c>
      <c r="O485" s="793" t="s">
        <v>808</v>
      </c>
      <c r="AG485" s="793" t="s">
        <v>849</v>
      </c>
    </row>
    <row r="486" spans="1:33" hidden="1">
      <c r="A486" s="1103">
        <f t="shared" si="19"/>
        <v>320</v>
      </c>
      <c r="B486" s="793" t="s">
        <v>812</v>
      </c>
      <c r="C486" s="575"/>
      <c r="D486" s="573" t="s">
        <v>209</v>
      </c>
      <c r="E486" s="575"/>
      <c r="I486" s="575"/>
      <c r="J486" s="580"/>
      <c r="K486" s="582" t="s">
        <v>117</v>
      </c>
      <c r="O486" s="793" t="s">
        <v>873</v>
      </c>
      <c r="AG486" s="793" t="s">
        <v>849</v>
      </c>
    </row>
    <row r="487" spans="1:33" hidden="1">
      <c r="A487" s="1103">
        <f>(A486+1)</f>
        <v>321</v>
      </c>
      <c r="B487" s="793" t="s">
        <v>3237</v>
      </c>
      <c r="C487" s="575"/>
      <c r="D487" s="573" t="s">
        <v>209</v>
      </c>
      <c r="E487" s="575"/>
      <c r="H487" s="793" t="s">
        <v>455</v>
      </c>
      <c r="I487" s="575"/>
      <c r="J487" s="580"/>
      <c r="K487" s="587" t="e">
        <f>SUM(K478:K485)</f>
        <v>#REF!</v>
      </c>
      <c r="O487" s="796" t="s">
        <v>117</v>
      </c>
      <c r="AG487" s="793" t="s">
        <v>849</v>
      </c>
    </row>
    <row r="488" spans="1:33" hidden="1">
      <c r="A488" s="1103">
        <f>(A487+1)</f>
        <v>322</v>
      </c>
      <c r="B488" s="793" t="s">
        <v>885</v>
      </c>
      <c r="C488" s="587">
        <v>8.75</v>
      </c>
      <c r="D488" s="573" t="s">
        <v>209</v>
      </c>
      <c r="E488" s="575"/>
      <c r="I488" s="575"/>
      <c r="J488" s="580"/>
      <c r="K488" s="582" t="s">
        <v>117</v>
      </c>
      <c r="N488" s="793" t="s">
        <v>810</v>
      </c>
      <c r="O488" s="1098" t="s">
        <v>876</v>
      </c>
      <c r="AG488" s="793" t="s">
        <v>849</v>
      </c>
    </row>
    <row r="489" spans="1:33" hidden="1">
      <c r="A489" s="1103">
        <f>(A488+1)</f>
        <v>323</v>
      </c>
      <c r="B489" s="793" t="s">
        <v>877</v>
      </c>
      <c r="C489" s="587">
        <v>11.5</v>
      </c>
      <c r="D489" s="573" t="s">
        <v>209</v>
      </c>
      <c r="E489" s="575"/>
      <c r="H489" s="793" t="s">
        <v>383</v>
      </c>
      <c r="I489" s="575"/>
      <c r="J489" s="580"/>
      <c r="K489" s="587" t="e">
        <f>(K487/10)</f>
        <v>#REF!</v>
      </c>
      <c r="O489" s="796" t="s">
        <v>117</v>
      </c>
      <c r="AG489" s="793" t="s">
        <v>849</v>
      </c>
    </row>
    <row r="490" spans="1:33" hidden="1">
      <c r="C490" s="575"/>
      <c r="D490" s="575"/>
      <c r="E490" s="575"/>
      <c r="F490" s="793" t="s">
        <v>115</v>
      </c>
      <c r="I490" s="575"/>
      <c r="J490" s="580"/>
      <c r="K490" s="575"/>
    </row>
    <row r="491" spans="1:33" hidden="1">
      <c r="A491" s="1103">
        <f>(A489+1)</f>
        <v>324</v>
      </c>
      <c r="B491" s="793" t="s">
        <v>889</v>
      </c>
      <c r="C491" s="587">
        <v>11.5</v>
      </c>
      <c r="D491" s="573" t="s">
        <v>209</v>
      </c>
      <c r="E491" s="575"/>
      <c r="I491" s="575"/>
      <c r="J491" s="580"/>
      <c r="K491" s="582" t="s">
        <v>155</v>
      </c>
      <c r="M491" s="800">
        <v>30</v>
      </c>
      <c r="N491" s="793" t="s">
        <v>203</v>
      </c>
      <c r="O491" s="793" t="s">
        <v>879</v>
      </c>
      <c r="P491" s="800">
        <f>(C42)</f>
        <v>1.75</v>
      </c>
      <c r="Q491" s="793" t="s">
        <v>203</v>
      </c>
      <c r="R491" s="800">
        <f>(M491*P491)</f>
        <v>52.5</v>
      </c>
      <c r="AG491" s="793" t="s">
        <v>849</v>
      </c>
    </row>
    <row r="492" spans="1:33" hidden="1">
      <c r="A492" s="1103">
        <f t="shared" ref="A492:A546" si="21">(A491+1)</f>
        <v>325</v>
      </c>
      <c r="B492" s="793" t="s">
        <v>880</v>
      </c>
      <c r="C492" s="587">
        <v>56.74</v>
      </c>
      <c r="D492" s="573" t="s">
        <v>209</v>
      </c>
      <c r="E492" s="575"/>
      <c r="F492" s="1098"/>
      <c r="G492" s="798" t="s">
        <v>122</v>
      </c>
      <c r="H492" s="793" t="s">
        <v>881</v>
      </c>
      <c r="I492" s="575"/>
      <c r="J492" s="580"/>
      <c r="K492" s="575"/>
      <c r="M492" s="793" t="s">
        <v>115</v>
      </c>
      <c r="O492" s="793" t="s">
        <v>882</v>
      </c>
      <c r="P492" s="793" t="s">
        <v>115</v>
      </c>
      <c r="R492" s="793" t="s">
        <v>115</v>
      </c>
      <c r="AG492" s="793" t="s">
        <v>849</v>
      </c>
    </row>
    <row r="493" spans="1:33" hidden="1">
      <c r="A493" s="1103">
        <f t="shared" si="21"/>
        <v>326</v>
      </c>
      <c r="B493" s="793" t="s">
        <v>883</v>
      </c>
      <c r="C493" s="587">
        <v>56.74</v>
      </c>
      <c r="D493" s="573" t="s">
        <v>209</v>
      </c>
      <c r="E493" s="575"/>
      <c r="H493" s="793" t="s">
        <v>666</v>
      </c>
      <c r="I493" s="575"/>
      <c r="J493" s="580"/>
      <c r="K493" s="575"/>
      <c r="M493" s="800">
        <v>8</v>
      </c>
      <c r="N493" s="793" t="s">
        <v>209</v>
      </c>
      <c r="O493" s="793" t="s">
        <v>823</v>
      </c>
      <c r="P493" s="800">
        <f>(C43)</f>
        <v>2.2000000000000002</v>
      </c>
      <c r="Q493" s="793" t="s">
        <v>209</v>
      </c>
      <c r="R493" s="800">
        <f t="shared" ref="R493:R498" si="22">(M493*P493)</f>
        <v>17.600000000000001</v>
      </c>
      <c r="AG493" s="793" t="s">
        <v>849</v>
      </c>
    </row>
    <row r="494" spans="1:33" hidden="1">
      <c r="A494" s="1103">
        <f t="shared" si="21"/>
        <v>327</v>
      </c>
      <c r="B494" s="793" t="s">
        <v>3238</v>
      </c>
      <c r="C494" s="575"/>
      <c r="D494" s="573" t="s">
        <v>115</v>
      </c>
      <c r="E494" s="575"/>
      <c r="H494" s="796" t="s">
        <v>117</v>
      </c>
      <c r="I494" s="575"/>
      <c r="J494" s="580"/>
      <c r="K494" s="575"/>
      <c r="M494" s="800">
        <v>8</v>
      </c>
      <c r="N494" s="793" t="s">
        <v>209</v>
      </c>
      <c r="O494" s="793" t="s">
        <v>826</v>
      </c>
      <c r="P494" s="800">
        <f>(C50)</f>
        <v>3.2</v>
      </c>
      <c r="Q494" s="793" t="s">
        <v>209</v>
      </c>
      <c r="R494" s="800">
        <f t="shared" si="22"/>
        <v>25.6</v>
      </c>
      <c r="AG494" s="793" t="s">
        <v>849</v>
      </c>
    </row>
    <row r="495" spans="1:33" hidden="1">
      <c r="A495" s="1103">
        <f t="shared" si="21"/>
        <v>328</v>
      </c>
      <c r="B495" s="793" t="s">
        <v>885</v>
      </c>
      <c r="C495" s="587">
        <v>15.6</v>
      </c>
      <c r="D495" s="573" t="s">
        <v>209</v>
      </c>
      <c r="E495" s="575"/>
      <c r="F495" s="800">
        <v>9</v>
      </c>
      <c r="G495" s="798" t="s">
        <v>126</v>
      </c>
      <c r="H495" s="793" t="s">
        <v>886</v>
      </c>
      <c r="I495" s="587" t="e">
        <f>(C70)</f>
        <v>#REF!</v>
      </c>
      <c r="J495" s="574" t="s">
        <v>126</v>
      </c>
      <c r="K495" s="587" t="e">
        <f t="shared" ref="K495:K500" si="23">(F495*I495)</f>
        <v>#REF!</v>
      </c>
      <c r="M495" s="800">
        <v>3</v>
      </c>
      <c r="N495" s="793" t="s">
        <v>209</v>
      </c>
      <c r="O495" s="793" t="s">
        <v>887</v>
      </c>
      <c r="P495" s="800">
        <f>(C41)</f>
        <v>110</v>
      </c>
      <c r="Q495" s="793" t="s">
        <v>209</v>
      </c>
      <c r="R495" s="800">
        <f t="shared" si="22"/>
        <v>330</v>
      </c>
      <c r="AG495" s="793" t="s">
        <v>849</v>
      </c>
    </row>
    <row r="496" spans="1:33" hidden="1">
      <c r="A496" s="1103">
        <f t="shared" si="21"/>
        <v>329</v>
      </c>
      <c r="B496" s="793" t="s">
        <v>877</v>
      </c>
      <c r="C496" s="587">
        <v>15.6</v>
      </c>
      <c r="D496" s="573" t="s">
        <v>209</v>
      </c>
      <c r="E496" s="575"/>
      <c r="F496" s="1108">
        <v>3.2309999999999999</v>
      </c>
      <c r="G496" s="798" t="s">
        <v>124</v>
      </c>
      <c r="H496" s="793" t="s">
        <v>125</v>
      </c>
      <c r="I496" s="587">
        <f>(C67)</f>
        <v>3800</v>
      </c>
      <c r="J496" s="574" t="s">
        <v>124</v>
      </c>
      <c r="K496" s="587">
        <f t="shared" si="23"/>
        <v>12277.8</v>
      </c>
      <c r="M496" s="800">
        <v>1</v>
      </c>
      <c r="N496" s="793" t="s">
        <v>209</v>
      </c>
      <c r="O496" s="793" t="s">
        <v>888</v>
      </c>
      <c r="P496" s="800">
        <f>(C10)</f>
        <v>150</v>
      </c>
      <c r="Q496" s="793" t="s">
        <v>209</v>
      </c>
      <c r="R496" s="800">
        <f t="shared" si="22"/>
        <v>150</v>
      </c>
      <c r="AG496" s="793" t="s">
        <v>849</v>
      </c>
    </row>
    <row r="497" spans="1:33" hidden="1">
      <c r="A497" s="1103">
        <f t="shared" si="21"/>
        <v>330</v>
      </c>
      <c r="B497" s="793" t="s">
        <v>889</v>
      </c>
      <c r="C497" s="587">
        <v>15.6</v>
      </c>
      <c r="D497" s="573" t="s">
        <v>209</v>
      </c>
      <c r="E497" s="575"/>
      <c r="F497" s="800">
        <v>4.5</v>
      </c>
      <c r="G497" s="798" t="s">
        <v>126</v>
      </c>
      <c r="H497" s="793" t="s">
        <v>127</v>
      </c>
      <c r="I497" s="587" t="e">
        <f>(C78)</f>
        <v>#REF!</v>
      </c>
      <c r="J497" s="574" t="s">
        <v>126</v>
      </c>
      <c r="K497" s="587" t="e">
        <f t="shared" si="23"/>
        <v>#REF!</v>
      </c>
      <c r="M497" s="800">
        <v>2</v>
      </c>
      <c r="N497" s="793" t="s">
        <v>209</v>
      </c>
      <c r="O497" s="793" t="s">
        <v>146</v>
      </c>
      <c r="P497" s="800">
        <f>(C12)</f>
        <v>95</v>
      </c>
      <c r="Q497" s="793" t="s">
        <v>209</v>
      </c>
      <c r="R497" s="800">
        <f t="shared" si="22"/>
        <v>190</v>
      </c>
      <c r="AG497" s="793" t="s">
        <v>849</v>
      </c>
    </row>
    <row r="498" spans="1:33" hidden="1">
      <c r="A498" s="1103">
        <f t="shared" si="21"/>
        <v>331</v>
      </c>
      <c r="B498" s="793" t="s">
        <v>880</v>
      </c>
      <c r="C498" s="587">
        <v>100.3</v>
      </c>
      <c r="D498" s="573" t="s">
        <v>209</v>
      </c>
      <c r="E498" s="575"/>
      <c r="F498" s="800">
        <v>3.5</v>
      </c>
      <c r="G498" s="798" t="s">
        <v>209</v>
      </c>
      <c r="H498" s="793" t="s">
        <v>145</v>
      </c>
      <c r="I498" s="587">
        <f>(C11)</f>
        <v>135</v>
      </c>
      <c r="J498" s="574" t="s">
        <v>209</v>
      </c>
      <c r="K498" s="587">
        <f t="shared" si="23"/>
        <v>472.5</v>
      </c>
      <c r="M498" s="800">
        <v>1</v>
      </c>
      <c r="N498" s="793" t="s">
        <v>209</v>
      </c>
      <c r="O498" s="793" t="s">
        <v>147</v>
      </c>
      <c r="P498" s="800">
        <f>(C13)</f>
        <v>85</v>
      </c>
      <c r="Q498" s="793" t="s">
        <v>209</v>
      </c>
      <c r="R498" s="800">
        <f t="shared" si="22"/>
        <v>85</v>
      </c>
      <c r="AG498" s="793" t="s">
        <v>636</v>
      </c>
    </row>
    <row r="499" spans="1:33" hidden="1">
      <c r="A499" s="1103">
        <f t="shared" si="21"/>
        <v>332</v>
      </c>
      <c r="B499" s="793" t="s">
        <v>883</v>
      </c>
      <c r="C499" s="587">
        <v>100.3</v>
      </c>
      <c r="D499" s="573" t="s">
        <v>209</v>
      </c>
      <c r="E499" s="575"/>
      <c r="F499" s="800">
        <v>21.2</v>
      </c>
      <c r="G499" s="798" t="s">
        <v>209</v>
      </c>
      <c r="H499" s="793" t="s">
        <v>146</v>
      </c>
      <c r="I499" s="587">
        <f>(C12)</f>
        <v>95</v>
      </c>
      <c r="J499" s="574" t="s">
        <v>209</v>
      </c>
      <c r="K499" s="587">
        <f t="shared" si="23"/>
        <v>2014</v>
      </c>
      <c r="N499" s="793" t="s">
        <v>129</v>
      </c>
      <c r="O499" s="793" t="s">
        <v>890</v>
      </c>
      <c r="P499" s="793" t="s">
        <v>115</v>
      </c>
      <c r="Q499" s="793" t="s">
        <v>129</v>
      </c>
      <c r="R499" s="800">
        <f>(C56)</f>
        <v>12.1</v>
      </c>
    </row>
    <row r="500" spans="1:33" hidden="1">
      <c r="A500" s="1103">
        <f t="shared" si="21"/>
        <v>333</v>
      </c>
      <c r="B500" s="793" t="s">
        <v>3239</v>
      </c>
      <c r="C500" s="575"/>
      <c r="D500" s="573" t="s">
        <v>115</v>
      </c>
      <c r="E500" s="575"/>
      <c r="F500" s="800">
        <v>35.299999999999997</v>
      </c>
      <c r="G500" s="798" t="s">
        <v>209</v>
      </c>
      <c r="H500" s="793" t="s">
        <v>147</v>
      </c>
      <c r="I500" s="587">
        <f>(C13)</f>
        <v>85</v>
      </c>
      <c r="J500" s="574" t="s">
        <v>209</v>
      </c>
      <c r="K500" s="587">
        <f t="shared" si="23"/>
        <v>3000.4999999999995</v>
      </c>
      <c r="O500" s="793" t="s">
        <v>892</v>
      </c>
      <c r="P500" s="793" t="s">
        <v>115</v>
      </c>
      <c r="R500" s="793" t="s">
        <v>115</v>
      </c>
    </row>
    <row r="501" spans="1:33" hidden="1">
      <c r="A501" s="1103">
        <f t="shared" si="21"/>
        <v>334</v>
      </c>
      <c r="B501" s="793" t="s">
        <v>885</v>
      </c>
      <c r="C501" s="587">
        <v>9.4499999999999993</v>
      </c>
      <c r="D501" s="573" t="s">
        <v>209</v>
      </c>
      <c r="E501" s="575"/>
      <c r="G501" s="798" t="s">
        <v>129</v>
      </c>
      <c r="H501" s="793" t="s">
        <v>130</v>
      </c>
      <c r="I501" s="573" t="s">
        <v>115</v>
      </c>
      <c r="J501" s="574" t="s">
        <v>129</v>
      </c>
      <c r="K501" s="587">
        <v>0</v>
      </c>
      <c r="N501" s="793" t="s">
        <v>129</v>
      </c>
      <c r="O501" s="793" t="s">
        <v>130</v>
      </c>
      <c r="Q501" s="793" t="s">
        <v>129</v>
      </c>
      <c r="R501" s="800">
        <v>0</v>
      </c>
      <c r="AG501" s="793" t="s">
        <v>849</v>
      </c>
    </row>
    <row r="502" spans="1:33" hidden="1">
      <c r="A502" s="1103">
        <f t="shared" si="21"/>
        <v>335</v>
      </c>
      <c r="B502" s="793" t="s">
        <v>877</v>
      </c>
      <c r="C502" s="587">
        <v>15.6</v>
      </c>
      <c r="D502" s="573" t="s">
        <v>209</v>
      </c>
      <c r="E502" s="575"/>
      <c r="I502" s="575"/>
      <c r="J502" s="580"/>
      <c r="K502" s="582" t="s">
        <v>117</v>
      </c>
      <c r="R502" s="796" t="s">
        <v>117</v>
      </c>
      <c r="AG502" s="793" t="s">
        <v>849</v>
      </c>
    </row>
    <row r="503" spans="1:33" hidden="1">
      <c r="A503" s="1103">
        <f t="shared" si="21"/>
        <v>336</v>
      </c>
      <c r="B503" s="793" t="s">
        <v>889</v>
      </c>
      <c r="C503" s="587">
        <v>15.6</v>
      </c>
      <c r="D503" s="573" t="s">
        <v>209</v>
      </c>
      <c r="E503" s="575"/>
      <c r="H503" s="793" t="s">
        <v>681</v>
      </c>
      <c r="I503" s="575"/>
      <c r="J503" s="580"/>
      <c r="K503" s="587" t="e">
        <f>SUM(K495:K501)</f>
        <v>#REF!</v>
      </c>
      <c r="O503" s="793" t="s">
        <v>893</v>
      </c>
      <c r="R503" s="800">
        <f>SUM(R491:R501)</f>
        <v>862.80000000000007</v>
      </c>
      <c r="AG503" s="793" t="s">
        <v>849</v>
      </c>
    </row>
    <row r="504" spans="1:33" hidden="1">
      <c r="A504" s="1103">
        <f t="shared" si="21"/>
        <v>337</v>
      </c>
      <c r="B504" s="793" t="s">
        <v>894</v>
      </c>
      <c r="C504" s="587">
        <v>36.61</v>
      </c>
      <c r="D504" s="573" t="s">
        <v>209</v>
      </c>
      <c r="E504" s="575"/>
      <c r="I504" s="575"/>
      <c r="J504" s="580"/>
      <c r="K504" s="582" t="s">
        <v>117</v>
      </c>
      <c r="R504" s="796" t="s">
        <v>117</v>
      </c>
      <c r="AG504" s="793" t="s">
        <v>849</v>
      </c>
    </row>
    <row r="505" spans="1:33" hidden="1">
      <c r="A505" s="1103">
        <f t="shared" si="21"/>
        <v>338</v>
      </c>
      <c r="B505" s="793" t="s">
        <v>880</v>
      </c>
      <c r="C505" s="587">
        <v>78.709999999999994</v>
      </c>
      <c r="D505" s="573" t="s">
        <v>209</v>
      </c>
      <c r="E505" s="575"/>
      <c r="H505" s="793" t="s">
        <v>383</v>
      </c>
      <c r="I505" s="575"/>
      <c r="J505" s="580"/>
      <c r="K505" s="587" t="e">
        <f>(K503/10)</f>
        <v>#REF!</v>
      </c>
      <c r="O505" s="793" t="s">
        <v>216</v>
      </c>
      <c r="R505" s="800">
        <f>(R503/30)</f>
        <v>28.76</v>
      </c>
      <c r="AG505" s="793" t="s">
        <v>849</v>
      </c>
    </row>
    <row r="506" spans="1:33" hidden="1">
      <c r="A506" s="1103">
        <f t="shared" si="21"/>
        <v>339</v>
      </c>
      <c r="B506" s="793" t="s">
        <v>883</v>
      </c>
      <c r="C506" s="587">
        <v>78.709999999999994</v>
      </c>
      <c r="D506" s="573" t="s">
        <v>209</v>
      </c>
      <c r="E506" s="575"/>
      <c r="I506" s="575"/>
      <c r="J506" s="580"/>
      <c r="K506" s="575"/>
      <c r="R506" s="796" t="s">
        <v>117</v>
      </c>
      <c r="AG506" s="793" t="s">
        <v>849</v>
      </c>
    </row>
    <row r="507" spans="1:33" hidden="1">
      <c r="A507" s="1103">
        <f t="shared" si="21"/>
        <v>340</v>
      </c>
      <c r="B507" s="793" t="s">
        <v>895</v>
      </c>
      <c r="C507" s="575"/>
      <c r="D507" s="573" t="s">
        <v>896</v>
      </c>
      <c r="E507" s="575"/>
      <c r="F507" s="800">
        <v>1</v>
      </c>
      <c r="G507" s="798" t="s">
        <v>126</v>
      </c>
      <c r="H507" s="793" t="s">
        <v>689</v>
      </c>
      <c r="I507" s="575"/>
      <c r="J507" s="580"/>
      <c r="K507" s="587">
        <f>(C25)</f>
        <v>20.7</v>
      </c>
      <c r="N507" s="793" t="s">
        <v>2</v>
      </c>
      <c r="O507" s="1098" t="s">
        <v>897</v>
      </c>
      <c r="AG507" s="793" t="s">
        <v>849</v>
      </c>
    </row>
    <row r="508" spans="1:33" hidden="1">
      <c r="A508" s="1103">
        <f t="shared" si="21"/>
        <v>341</v>
      </c>
      <c r="B508" s="793" t="s">
        <v>3240</v>
      </c>
      <c r="C508" s="587">
        <v>20.55</v>
      </c>
      <c r="D508" s="573" t="s">
        <v>203</v>
      </c>
      <c r="E508" s="575"/>
      <c r="I508" s="575"/>
      <c r="J508" s="580"/>
      <c r="K508" s="582" t="s">
        <v>117</v>
      </c>
      <c r="O508" s="796" t="s">
        <v>117</v>
      </c>
      <c r="AG508" s="793" t="s">
        <v>849</v>
      </c>
    </row>
    <row r="509" spans="1:33" hidden="1">
      <c r="A509" s="1103">
        <f t="shared" si="21"/>
        <v>342</v>
      </c>
      <c r="B509" s="793" t="s">
        <v>3241</v>
      </c>
      <c r="C509" s="587">
        <v>32.9</v>
      </c>
      <c r="D509" s="573" t="s">
        <v>203</v>
      </c>
      <c r="E509" s="575">
        <v>70</v>
      </c>
      <c r="H509" s="793" t="s">
        <v>900</v>
      </c>
      <c r="I509" s="575"/>
      <c r="J509" s="580"/>
      <c r="K509" s="587" t="e">
        <f>SUM(K505:K507)</f>
        <v>#REF!</v>
      </c>
      <c r="M509" s="800">
        <v>30</v>
      </c>
      <c r="N509" s="793" t="s">
        <v>203</v>
      </c>
      <c r="O509" s="793" t="s">
        <v>879</v>
      </c>
      <c r="P509" s="800">
        <f>(C42)</f>
        <v>1.75</v>
      </c>
      <c r="Q509" s="793" t="s">
        <v>203</v>
      </c>
      <c r="R509" s="800">
        <f>(M509*P509)</f>
        <v>52.5</v>
      </c>
      <c r="AG509" s="793" t="s">
        <v>849</v>
      </c>
    </row>
    <row r="510" spans="1:33" hidden="1">
      <c r="A510" s="1103">
        <f t="shared" si="21"/>
        <v>343</v>
      </c>
      <c r="B510" s="793" t="s">
        <v>901</v>
      </c>
      <c r="C510" s="587">
        <v>48.8</v>
      </c>
      <c r="D510" s="573" t="s">
        <v>203</v>
      </c>
      <c r="E510" s="575"/>
      <c r="I510" s="575"/>
      <c r="J510" s="580"/>
      <c r="K510" s="582" t="s">
        <v>117</v>
      </c>
      <c r="M510" s="793" t="s">
        <v>115</v>
      </c>
      <c r="O510" s="793" t="s">
        <v>882</v>
      </c>
      <c r="P510" s="793" t="s">
        <v>115</v>
      </c>
      <c r="R510" s="793" t="s">
        <v>115</v>
      </c>
      <c r="AG510" s="793" t="s">
        <v>849</v>
      </c>
    </row>
    <row r="511" spans="1:33" hidden="1">
      <c r="A511" s="1103">
        <f t="shared" si="21"/>
        <v>344</v>
      </c>
      <c r="B511" s="793" t="s">
        <v>902</v>
      </c>
      <c r="C511" s="587">
        <v>65.7</v>
      </c>
      <c r="D511" s="573" t="s">
        <v>203</v>
      </c>
      <c r="E511" s="575"/>
      <c r="G511" s="798" t="s">
        <v>903</v>
      </c>
      <c r="H511" s="793" t="s">
        <v>482</v>
      </c>
      <c r="I511" s="575"/>
      <c r="J511" s="580"/>
      <c r="K511" s="587" t="e">
        <f>(K509+C22)</f>
        <v>#REF!</v>
      </c>
      <c r="M511" s="800">
        <v>8</v>
      </c>
      <c r="N511" s="793" t="s">
        <v>209</v>
      </c>
      <c r="O511" s="793" t="s">
        <v>823</v>
      </c>
      <c r="P511" s="800">
        <f>(C44)</f>
        <v>2.2000000000000002</v>
      </c>
      <c r="Q511" s="793" t="s">
        <v>209</v>
      </c>
      <c r="R511" s="800">
        <f t="shared" ref="R511:R516" si="24">(M511*P511)</f>
        <v>17.600000000000001</v>
      </c>
      <c r="AG511" s="793" t="s">
        <v>849</v>
      </c>
    </row>
    <row r="512" spans="1:33" hidden="1">
      <c r="A512" s="1103">
        <f t="shared" si="21"/>
        <v>345</v>
      </c>
      <c r="B512" s="793" t="s">
        <v>904</v>
      </c>
      <c r="C512" s="587">
        <v>69.099999999999994</v>
      </c>
      <c r="D512" s="587">
        <v>21</v>
      </c>
      <c r="E512" s="575"/>
      <c r="G512" s="798" t="s">
        <v>905</v>
      </c>
      <c r="H512" s="793" t="s">
        <v>486</v>
      </c>
      <c r="I512" s="575"/>
      <c r="J512" s="580"/>
      <c r="K512" s="587" t="e">
        <f>(K511+C23)</f>
        <v>#REF!</v>
      </c>
      <c r="M512" s="800">
        <v>8</v>
      </c>
      <c r="N512" s="793" t="s">
        <v>209</v>
      </c>
      <c r="O512" s="793" t="s">
        <v>826</v>
      </c>
      <c r="P512" s="800">
        <f>(C51)</f>
        <v>3.2</v>
      </c>
      <c r="Q512" s="793" t="s">
        <v>209</v>
      </c>
      <c r="R512" s="800">
        <f t="shared" si="24"/>
        <v>25.6</v>
      </c>
      <c r="AG512" s="793" t="s">
        <v>849</v>
      </c>
    </row>
    <row r="513" spans="1:33" hidden="1">
      <c r="A513" s="1103">
        <f t="shared" si="21"/>
        <v>346</v>
      </c>
      <c r="B513" s="793" t="s">
        <v>906</v>
      </c>
      <c r="C513" s="587">
        <v>94.12</v>
      </c>
      <c r="D513" s="587">
        <v>37.15</v>
      </c>
      <c r="E513" s="575"/>
      <c r="G513" s="798" t="s">
        <v>907</v>
      </c>
      <c r="H513" s="793" t="s">
        <v>489</v>
      </c>
      <c r="I513" s="575"/>
      <c r="J513" s="580"/>
      <c r="K513" s="587" t="e">
        <f>(K512+C24)</f>
        <v>#REF!</v>
      </c>
      <c r="M513" s="800">
        <v>3</v>
      </c>
      <c r="N513" s="793" t="s">
        <v>209</v>
      </c>
      <c r="O513" s="793" t="s">
        <v>887</v>
      </c>
      <c r="P513" s="800">
        <f>(C41)</f>
        <v>110</v>
      </c>
      <c r="Q513" s="793" t="s">
        <v>209</v>
      </c>
      <c r="R513" s="800">
        <f t="shared" si="24"/>
        <v>330</v>
      </c>
      <c r="AG513" s="793" t="s">
        <v>849</v>
      </c>
    </row>
    <row r="514" spans="1:33" hidden="1">
      <c r="A514" s="1103">
        <f t="shared" si="21"/>
        <v>347</v>
      </c>
      <c r="B514" s="793" t="s">
        <v>908</v>
      </c>
      <c r="C514" s="575"/>
      <c r="D514" s="573" t="s">
        <v>115</v>
      </c>
      <c r="E514" s="575"/>
      <c r="G514" s="798" t="s">
        <v>909</v>
      </c>
      <c r="H514" s="793" t="s">
        <v>491</v>
      </c>
      <c r="I514" s="575"/>
      <c r="J514" s="580"/>
      <c r="K514" s="587" t="e">
        <f>(K513+C24)</f>
        <v>#REF!</v>
      </c>
      <c r="M514" s="800">
        <v>1</v>
      </c>
      <c r="N514" s="793" t="s">
        <v>209</v>
      </c>
      <c r="O514" s="793" t="s">
        <v>888</v>
      </c>
      <c r="P514" s="800">
        <f>(C10)</f>
        <v>150</v>
      </c>
      <c r="Q514" s="793" t="s">
        <v>209</v>
      </c>
      <c r="R514" s="800">
        <f t="shared" si="24"/>
        <v>150</v>
      </c>
      <c r="AG514" s="793" t="s">
        <v>849</v>
      </c>
    </row>
    <row r="515" spans="1:33" hidden="1">
      <c r="A515" s="1103">
        <f t="shared" si="21"/>
        <v>348</v>
      </c>
      <c r="B515" s="793" t="s">
        <v>786</v>
      </c>
      <c r="C515" s="587">
        <v>4.1900000000000004</v>
      </c>
      <c r="D515" s="573" t="s">
        <v>209</v>
      </c>
      <c r="E515" s="575"/>
      <c r="I515" s="575"/>
      <c r="J515" s="580"/>
      <c r="K515" s="575"/>
      <c r="M515" s="800">
        <v>2</v>
      </c>
      <c r="N515" s="793" t="s">
        <v>209</v>
      </c>
      <c r="O515" s="793" t="s">
        <v>146</v>
      </c>
      <c r="P515" s="800">
        <f>(C12)</f>
        <v>95</v>
      </c>
      <c r="Q515" s="793" t="s">
        <v>209</v>
      </c>
      <c r="R515" s="800">
        <f t="shared" si="24"/>
        <v>190</v>
      </c>
      <c r="AG515" s="793" t="s">
        <v>849</v>
      </c>
    </row>
    <row r="516" spans="1:33" hidden="1">
      <c r="A516" s="1103">
        <f t="shared" si="21"/>
        <v>349</v>
      </c>
      <c r="B516" s="793" t="s">
        <v>779</v>
      </c>
      <c r="C516" s="587">
        <v>5</v>
      </c>
      <c r="D516" s="573" t="s">
        <v>209</v>
      </c>
      <c r="E516" s="575"/>
      <c r="F516" s="1098" t="s">
        <v>910</v>
      </c>
      <c r="G516" s="798" t="s">
        <v>122</v>
      </c>
      <c r="H516" s="793" t="s">
        <v>911</v>
      </c>
      <c r="I516" s="575"/>
      <c r="J516" s="580"/>
      <c r="K516" s="575"/>
      <c r="M516" s="800">
        <v>1</v>
      </c>
      <c r="N516" s="793" t="s">
        <v>209</v>
      </c>
      <c r="O516" s="793" t="s">
        <v>147</v>
      </c>
      <c r="P516" s="800">
        <f>(C13)</f>
        <v>85</v>
      </c>
      <c r="Q516" s="793" t="s">
        <v>209</v>
      </c>
      <c r="R516" s="800">
        <f t="shared" si="24"/>
        <v>85</v>
      </c>
      <c r="AG516" s="793" t="s">
        <v>849</v>
      </c>
    </row>
    <row r="517" spans="1:33" hidden="1">
      <c r="A517" s="1103">
        <f t="shared" si="21"/>
        <v>350</v>
      </c>
      <c r="B517" s="793" t="s">
        <v>781</v>
      </c>
      <c r="C517" s="587">
        <v>8.06</v>
      </c>
      <c r="D517" s="573" t="s">
        <v>209</v>
      </c>
      <c r="E517" s="575"/>
      <c r="H517" s="796" t="s">
        <v>117</v>
      </c>
      <c r="I517" s="575"/>
      <c r="J517" s="580"/>
      <c r="K517" s="575"/>
      <c r="N517" s="793" t="s">
        <v>129</v>
      </c>
      <c r="O517" s="793" t="s">
        <v>890</v>
      </c>
      <c r="P517" s="793" t="s">
        <v>115</v>
      </c>
      <c r="Q517" s="793" t="s">
        <v>129</v>
      </c>
      <c r="R517" s="800">
        <f>(C56)</f>
        <v>12.1</v>
      </c>
      <c r="AG517" s="793" t="s">
        <v>849</v>
      </c>
    </row>
    <row r="518" spans="1:33" hidden="1">
      <c r="A518" s="1103">
        <f t="shared" si="21"/>
        <v>351</v>
      </c>
      <c r="B518" s="793" t="s">
        <v>782</v>
      </c>
      <c r="C518" s="587">
        <v>11.86</v>
      </c>
      <c r="D518" s="573" t="s">
        <v>209</v>
      </c>
      <c r="E518" s="575"/>
      <c r="F518" s="1108">
        <v>1.4999999999999999E-2</v>
      </c>
      <c r="G518" s="798" t="s">
        <v>126</v>
      </c>
      <c r="H518" s="793" t="s">
        <v>914</v>
      </c>
      <c r="I518" s="587" t="e">
        <f>(K505)</f>
        <v>#REF!</v>
      </c>
      <c r="J518" s="574" t="s">
        <v>126</v>
      </c>
      <c r="K518" s="587" t="e">
        <f>(F518*I518)</f>
        <v>#REF!</v>
      </c>
      <c r="O518" s="793" t="s">
        <v>892</v>
      </c>
      <c r="P518" s="793" t="s">
        <v>115</v>
      </c>
      <c r="R518" s="793" t="s">
        <v>115</v>
      </c>
      <c r="AG518" s="793" t="s">
        <v>849</v>
      </c>
    </row>
    <row r="519" spans="1:33" hidden="1">
      <c r="A519" s="1103">
        <f t="shared" si="21"/>
        <v>352</v>
      </c>
      <c r="B519" s="793" t="s">
        <v>783</v>
      </c>
      <c r="C519" s="587">
        <v>18.88</v>
      </c>
      <c r="D519" s="573" t="s">
        <v>209</v>
      </c>
      <c r="E519" s="575"/>
      <c r="F519" s="800">
        <v>0.5</v>
      </c>
      <c r="G519" s="798" t="s">
        <v>1</v>
      </c>
      <c r="H519" s="793" t="s">
        <v>144</v>
      </c>
      <c r="I519" s="587">
        <f>(C10)</f>
        <v>150</v>
      </c>
      <c r="J519" s="574" t="s">
        <v>1</v>
      </c>
      <c r="K519" s="587">
        <f>(F519*I519)</f>
        <v>75</v>
      </c>
      <c r="N519" s="793" t="s">
        <v>129</v>
      </c>
      <c r="O519" s="793" t="s">
        <v>130</v>
      </c>
      <c r="Q519" s="793" t="s">
        <v>129</v>
      </c>
      <c r="R519" s="800">
        <v>0</v>
      </c>
      <c r="AG519" s="793" t="s">
        <v>849</v>
      </c>
    </row>
    <row r="520" spans="1:33" hidden="1">
      <c r="A520" s="1103">
        <f t="shared" si="21"/>
        <v>353</v>
      </c>
      <c r="B520" s="793" t="s">
        <v>727</v>
      </c>
      <c r="C520" s="587">
        <v>26</v>
      </c>
      <c r="D520" s="573" t="s">
        <v>209</v>
      </c>
      <c r="E520" s="575"/>
      <c r="F520" s="800">
        <v>0.75</v>
      </c>
      <c r="G520" s="798" t="s">
        <v>1</v>
      </c>
      <c r="H520" s="793" t="s">
        <v>146</v>
      </c>
      <c r="I520" s="587">
        <f>(C12)</f>
        <v>95</v>
      </c>
      <c r="J520" s="574" t="s">
        <v>1</v>
      </c>
      <c r="K520" s="587">
        <f>(F520*I520)</f>
        <v>71.25</v>
      </c>
      <c r="R520" s="796" t="s">
        <v>117</v>
      </c>
      <c r="AG520" s="793" t="s">
        <v>849</v>
      </c>
    </row>
    <row r="521" spans="1:33" hidden="1">
      <c r="A521" s="1103">
        <f t="shared" si="21"/>
        <v>354</v>
      </c>
      <c r="B521" s="793" t="s">
        <v>917</v>
      </c>
      <c r="C521" s="575"/>
      <c r="D521" s="573" t="s">
        <v>115</v>
      </c>
      <c r="E521" s="575"/>
      <c r="G521" s="798" t="s">
        <v>129</v>
      </c>
      <c r="H521" s="793" t="s">
        <v>130</v>
      </c>
      <c r="I521" s="575"/>
      <c r="J521" s="574" t="s">
        <v>129</v>
      </c>
      <c r="K521" s="587">
        <v>0</v>
      </c>
      <c r="O521" s="793" t="s">
        <v>893</v>
      </c>
      <c r="R521" s="800">
        <f>SUM(R509:R519)</f>
        <v>862.80000000000007</v>
      </c>
      <c r="AG521" s="793" t="s">
        <v>849</v>
      </c>
    </row>
    <row r="522" spans="1:33" hidden="1">
      <c r="A522" s="1103">
        <f t="shared" si="21"/>
        <v>355</v>
      </c>
      <c r="B522" s="793" t="s">
        <v>786</v>
      </c>
      <c r="C522" s="587">
        <v>4.62</v>
      </c>
      <c r="D522" s="573" t="s">
        <v>209</v>
      </c>
      <c r="E522" s="575"/>
      <c r="I522" s="575"/>
      <c r="J522" s="580"/>
      <c r="K522" s="582" t="s">
        <v>117</v>
      </c>
      <c r="R522" s="796" t="s">
        <v>117</v>
      </c>
      <c r="AG522" s="793" t="s">
        <v>849</v>
      </c>
    </row>
    <row r="523" spans="1:33" hidden="1">
      <c r="A523" s="1103">
        <f t="shared" si="21"/>
        <v>356</v>
      </c>
      <c r="B523" s="793" t="s">
        <v>779</v>
      </c>
      <c r="C523" s="587">
        <v>7.83</v>
      </c>
      <c r="D523" s="573" t="s">
        <v>209</v>
      </c>
      <c r="E523" s="575"/>
      <c r="H523" s="793" t="s">
        <v>918</v>
      </c>
      <c r="I523" s="575"/>
      <c r="J523" s="580"/>
      <c r="K523" s="587" t="e">
        <f>SUM(K518:K521)</f>
        <v>#REF!</v>
      </c>
      <c r="O523" s="793" t="s">
        <v>216</v>
      </c>
      <c r="R523" s="800">
        <f>(R521/30)</f>
        <v>28.76</v>
      </c>
      <c r="AG523" s="793" t="s">
        <v>849</v>
      </c>
    </row>
    <row r="524" spans="1:33" hidden="1">
      <c r="A524" s="1103">
        <f t="shared" si="21"/>
        <v>357</v>
      </c>
      <c r="B524" s="793" t="s">
        <v>781</v>
      </c>
      <c r="C524" s="587">
        <v>11.38</v>
      </c>
      <c r="D524" s="573" t="s">
        <v>209</v>
      </c>
      <c r="E524" s="575"/>
      <c r="I524" s="575"/>
      <c r="J524" s="580"/>
      <c r="K524" s="582" t="s">
        <v>117</v>
      </c>
      <c r="R524" s="796" t="s">
        <v>117</v>
      </c>
      <c r="AG524" s="793" t="s">
        <v>849</v>
      </c>
    </row>
    <row r="525" spans="1:33" hidden="1">
      <c r="A525" s="1103">
        <f t="shared" si="21"/>
        <v>358</v>
      </c>
      <c r="B525" s="793" t="s">
        <v>782</v>
      </c>
      <c r="C525" s="587">
        <v>18.75</v>
      </c>
      <c r="D525" s="573" t="s">
        <v>209</v>
      </c>
      <c r="E525" s="575"/>
      <c r="H525" s="793" t="s">
        <v>154</v>
      </c>
      <c r="I525" s="575"/>
      <c r="J525" s="580"/>
      <c r="K525" s="587" t="e">
        <f>(K523/0.743)</f>
        <v>#REF!</v>
      </c>
      <c r="AG525" s="793" t="s">
        <v>849</v>
      </c>
    </row>
    <row r="526" spans="1:33" hidden="1">
      <c r="A526" s="1103">
        <f t="shared" si="21"/>
        <v>359</v>
      </c>
      <c r="B526" s="793" t="s">
        <v>783</v>
      </c>
      <c r="C526" s="587">
        <v>35.1</v>
      </c>
      <c r="D526" s="573" t="s">
        <v>209</v>
      </c>
      <c r="E526" s="575"/>
      <c r="I526" s="575"/>
      <c r="J526" s="580"/>
      <c r="K526" s="582" t="s">
        <v>155</v>
      </c>
      <c r="AG526" s="793" t="s">
        <v>849</v>
      </c>
    </row>
    <row r="527" spans="1:33" hidden="1">
      <c r="A527" s="1103">
        <f t="shared" si="21"/>
        <v>360</v>
      </c>
      <c r="B527" s="793" t="s">
        <v>727</v>
      </c>
      <c r="C527" s="587">
        <v>45.57</v>
      </c>
      <c r="D527" s="573" t="s">
        <v>209</v>
      </c>
      <c r="E527" s="575"/>
      <c r="H527" s="793" t="s">
        <v>482</v>
      </c>
      <c r="I527" s="587" t="e">
        <f>K525</f>
        <v>#REF!</v>
      </c>
      <c r="J527" s="574">
        <f>C22*0.02</f>
        <v>0.52900000000000003</v>
      </c>
      <c r="K527" s="587" t="e">
        <f>I527+J527</f>
        <v>#REF!</v>
      </c>
      <c r="N527" s="793" t="s">
        <v>853</v>
      </c>
      <c r="O527" s="1098" t="s">
        <v>919</v>
      </c>
      <c r="AG527" s="793" t="s">
        <v>849</v>
      </c>
    </row>
    <row r="528" spans="1:33" hidden="1">
      <c r="A528" s="1103">
        <f t="shared" si="21"/>
        <v>361</v>
      </c>
      <c r="B528" s="793" t="s">
        <v>920</v>
      </c>
      <c r="C528" s="575"/>
      <c r="D528" s="573" t="s">
        <v>115</v>
      </c>
      <c r="E528" s="575"/>
      <c r="H528" s="793" t="s">
        <v>486</v>
      </c>
      <c r="I528" s="587" t="e">
        <f>K527</f>
        <v>#REF!</v>
      </c>
      <c r="J528" s="574">
        <f>C23*0.02</f>
        <v>1.0569999999999999</v>
      </c>
      <c r="K528" s="587" t="e">
        <f>I528+J528</f>
        <v>#REF!</v>
      </c>
      <c r="O528" s="796" t="s">
        <v>117</v>
      </c>
      <c r="AG528" s="793" t="s">
        <v>849</v>
      </c>
    </row>
    <row r="529" spans="1:33" hidden="1">
      <c r="A529" s="1103">
        <f t="shared" si="21"/>
        <v>362</v>
      </c>
      <c r="B529" s="793" t="s">
        <v>786</v>
      </c>
      <c r="C529" s="587">
        <v>7.8</v>
      </c>
      <c r="D529" s="573" t="s">
        <v>209</v>
      </c>
      <c r="E529" s="575"/>
      <c r="H529" s="793" t="s">
        <v>489</v>
      </c>
      <c r="I529" s="587" t="e">
        <f>K528</f>
        <v>#REF!</v>
      </c>
      <c r="J529" s="574">
        <f>C23*0.02</f>
        <v>1.0569999999999999</v>
      </c>
      <c r="K529" s="587" t="e">
        <f>I529+J529</f>
        <v>#REF!</v>
      </c>
      <c r="M529" s="800">
        <v>30</v>
      </c>
      <c r="N529" s="793" t="s">
        <v>203</v>
      </c>
      <c r="O529" s="793" t="s">
        <v>879</v>
      </c>
      <c r="P529" s="800">
        <f>(C42)</f>
        <v>1.75</v>
      </c>
      <c r="Q529" s="793" t="s">
        <v>203</v>
      </c>
      <c r="R529" s="800">
        <f>(M529*P529)</f>
        <v>52.5</v>
      </c>
      <c r="AG529" s="793" t="s">
        <v>849</v>
      </c>
    </row>
    <row r="530" spans="1:33" hidden="1">
      <c r="A530" s="1103">
        <f t="shared" si="21"/>
        <v>363</v>
      </c>
      <c r="B530" s="793" t="s">
        <v>779</v>
      </c>
      <c r="C530" s="587">
        <v>9.49</v>
      </c>
      <c r="D530" s="573" t="s">
        <v>209</v>
      </c>
      <c r="E530" s="575"/>
      <c r="H530" s="793" t="s">
        <v>491</v>
      </c>
      <c r="I530" s="587" t="e">
        <f>K529</f>
        <v>#REF!</v>
      </c>
      <c r="J530" s="574">
        <f>C23*0.02</f>
        <v>1.0569999999999999</v>
      </c>
      <c r="K530" s="587" t="e">
        <f>I530+J530</f>
        <v>#REF!</v>
      </c>
      <c r="M530" s="793" t="s">
        <v>115</v>
      </c>
      <c r="O530" s="793" t="s">
        <v>882</v>
      </c>
      <c r="P530" s="793" t="s">
        <v>115</v>
      </c>
      <c r="R530" s="793" t="s">
        <v>115</v>
      </c>
      <c r="AG530" s="793" t="s">
        <v>849</v>
      </c>
    </row>
    <row r="531" spans="1:33" hidden="1">
      <c r="A531" s="1103">
        <f t="shared" si="21"/>
        <v>364</v>
      </c>
      <c r="B531" s="793" t="s">
        <v>781</v>
      </c>
      <c r="C531" s="587">
        <v>13.91</v>
      </c>
      <c r="D531" s="573" t="s">
        <v>209</v>
      </c>
      <c r="E531" s="575"/>
      <c r="H531" s="793" t="s">
        <v>486</v>
      </c>
      <c r="I531" s="587" t="e">
        <f>K530</f>
        <v>#REF!</v>
      </c>
      <c r="J531" s="574">
        <f>C24*0.02</f>
        <v>1.0569999999999999</v>
      </c>
      <c r="K531" s="587" t="e">
        <f>I531+J531</f>
        <v>#REF!</v>
      </c>
      <c r="M531" s="800">
        <v>8</v>
      </c>
      <c r="N531" s="793" t="s">
        <v>209</v>
      </c>
      <c r="O531" s="793" t="s">
        <v>823</v>
      </c>
      <c r="P531" s="800">
        <f>(C45)</f>
        <v>2.7</v>
      </c>
      <c r="Q531" s="793" t="s">
        <v>209</v>
      </c>
      <c r="R531" s="800">
        <f t="shared" ref="R531:R536" si="25">(M531*P531)</f>
        <v>21.6</v>
      </c>
      <c r="AG531" s="793" t="s">
        <v>849</v>
      </c>
    </row>
    <row r="532" spans="1:33" hidden="1">
      <c r="A532" s="1103">
        <f t="shared" si="21"/>
        <v>365</v>
      </c>
      <c r="B532" s="793" t="s">
        <v>782</v>
      </c>
      <c r="C532" s="587">
        <v>26.59</v>
      </c>
      <c r="D532" s="573" t="s">
        <v>209</v>
      </c>
      <c r="E532" s="575"/>
      <c r="F532" s="1098" t="s">
        <v>921</v>
      </c>
      <c r="G532" s="798" t="s">
        <v>122</v>
      </c>
      <c r="H532" s="793" t="s">
        <v>922</v>
      </c>
      <c r="I532" s="575"/>
      <c r="J532" s="580"/>
      <c r="K532" s="575"/>
      <c r="M532" s="800">
        <v>8</v>
      </c>
      <c r="N532" s="793" t="s">
        <v>209</v>
      </c>
      <c r="O532" s="793" t="s">
        <v>826</v>
      </c>
      <c r="P532" s="800">
        <f>(C52)</f>
        <v>6.4</v>
      </c>
      <c r="Q532" s="793" t="s">
        <v>209</v>
      </c>
      <c r="R532" s="800">
        <f t="shared" si="25"/>
        <v>51.2</v>
      </c>
      <c r="AG532" s="793" t="s">
        <v>849</v>
      </c>
    </row>
    <row r="533" spans="1:33" hidden="1">
      <c r="A533" s="1103">
        <f t="shared" si="21"/>
        <v>366</v>
      </c>
      <c r="B533" s="793" t="s">
        <v>783</v>
      </c>
      <c r="C533" s="587">
        <v>39.909999999999997</v>
      </c>
      <c r="D533" s="573" t="s">
        <v>209</v>
      </c>
      <c r="E533" s="575"/>
      <c r="H533" s="796" t="s">
        <v>117</v>
      </c>
      <c r="I533" s="575"/>
      <c r="J533" s="580"/>
      <c r="K533" s="575"/>
      <c r="M533" s="800">
        <v>3</v>
      </c>
      <c r="N533" s="793" t="s">
        <v>209</v>
      </c>
      <c r="O533" s="793" t="s">
        <v>887</v>
      </c>
      <c r="P533" s="800">
        <f>(C41)</f>
        <v>110</v>
      </c>
      <c r="Q533" s="793" t="s">
        <v>209</v>
      </c>
      <c r="R533" s="800">
        <f t="shared" si="25"/>
        <v>330</v>
      </c>
      <c r="AG533" s="793" t="s">
        <v>849</v>
      </c>
    </row>
    <row r="534" spans="1:33" hidden="1">
      <c r="A534" s="1103">
        <f t="shared" si="21"/>
        <v>367</v>
      </c>
      <c r="B534" s="793" t="s">
        <v>727</v>
      </c>
      <c r="C534" s="587">
        <v>66</v>
      </c>
      <c r="D534" s="573" t="s">
        <v>209</v>
      </c>
      <c r="E534" s="575"/>
      <c r="F534" s="800">
        <v>0.03</v>
      </c>
      <c r="G534" s="798" t="s">
        <v>126</v>
      </c>
      <c r="H534" s="793" t="s">
        <v>914</v>
      </c>
      <c r="I534" s="587" t="e">
        <f>(K505)</f>
        <v>#REF!</v>
      </c>
      <c r="J534" s="574" t="s">
        <v>126</v>
      </c>
      <c r="K534" s="587" t="e">
        <f>(F534*I534)</f>
        <v>#REF!</v>
      </c>
      <c r="M534" s="800">
        <v>1</v>
      </c>
      <c r="N534" s="793" t="s">
        <v>209</v>
      </c>
      <c r="O534" s="793" t="s">
        <v>888</v>
      </c>
      <c r="P534" s="800">
        <f>(C10)</f>
        <v>150</v>
      </c>
      <c r="Q534" s="793" t="s">
        <v>209</v>
      </c>
      <c r="R534" s="800">
        <f t="shared" si="25"/>
        <v>150</v>
      </c>
      <c r="AG534" s="793" t="s">
        <v>849</v>
      </c>
    </row>
    <row r="535" spans="1:33" hidden="1">
      <c r="A535" s="1103">
        <f t="shared" si="21"/>
        <v>368</v>
      </c>
      <c r="B535" s="793" t="s">
        <v>924</v>
      </c>
      <c r="C535" s="575"/>
      <c r="D535" s="573" t="s">
        <v>115</v>
      </c>
      <c r="E535" s="575"/>
      <c r="F535" s="800">
        <v>0.5</v>
      </c>
      <c r="G535" s="798" t="s">
        <v>1</v>
      </c>
      <c r="H535" s="793" t="s">
        <v>144</v>
      </c>
      <c r="I535" s="587">
        <f>(C10)</f>
        <v>150</v>
      </c>
      <c r="J535" s="574" t="s">
        <v>1</v>
      </c>
      <c r="K535" s="587">
        <f>(F535*I535)</f>
        <v>75</v>
      </c>
      <c r="M535" s="800">
        <v>2</v>
      </c>
      <c r="N535" s="793" t="s">
        <v>209</v>
      </c>
      <c r="O535" s="793" t="s">
        <v>146</v>
      </c>
      <c r="P535" s="800">
        <f>(C12)</f>
        <v>95</v>
      </c>
      <c r="Q535" s="793" t="s">
        <v>209</v>
      </c>
      <c r="R535" s="800">
        <f t="shared" si="25"/>
        <v>190</v>
      </c>
      <c r="AG535" s="793" t="s">
        <v>849</v>
      </c>
    </row>
    <row r="536" spans="1:33" hidden="1">
      <c r="A536" s="1103">
        <f t="shared" si="21"/>
        <v>369</v>
      </c>
      <c r="B536" s="793" t="s">
        <v>885</v>
      </c>
      <c r="C536" s="587">
        <v>4.75</v>
      </c>
      <c r="D536" s="573" t="s">
        <v>209</v>
      </c>
      <c r="E536" s="575"/>
      <c r="F536" s="800">
        <v>0.75</v>
      </c>
      <c r="G536" s="798" t="s">
        <v>1</v>
      </c>
      <c r="H536" s="793" t="s">
        <v>146</v>
      </c>
      <c r="I536" s="587">
        <f>(C12)</f>
        <v>95</v>
      </c>
      <c r="J536" s="574" t="s">
        <v>1</v>
      </c>
      <c r="K536" s="587">
        <f>(F536*I536)</f>
        <v>71.25</v>
      </c>
      <c r="M536" s="800">
        <v>1</v>
      </c>
      <c r="N536" s="793" t="s">
        <v>209</v>
      </c>
      <c r="O536" s="793" t="s">
        <v>147</v>
      </c>
      <c r="P536" s="800">
        <f>(C13)</f>
        <v>85</v>
      </c>
      <c r="Q536" s="793" t="s">
        <v>209</v>
      </c>
      <c r="R536" s="800">
        <f t="shared" si="25"/>
        <v>85</v>
      </c>
      <c r="AG536" s="793" t="s">
        <v>849</v>
      </c>
    </row>
    <row r="537" spans="1:33" hidden="1">
      <c r="A537" s="1103">
        <f t="shared" si="21"/>
        <v>370</v>
      </c>
      <c r="B537" s="793" t="s">
        <v>877</v>
      </c>
      <c r="C537" s="587">
        <v>6.89</v>
      </c>
      <c r="D537" s="573" t="s">
        <v>209</v>
      </c>
      <c r="E537" s="575"/>
      <c r="G537" s="798" t="s">
        <v>129</v>
      </c>
      <c r="H537" s="793" t="s">
        <v>130</v>
      </c>
      <c r="I537" s="575"/>
      <c r="J537" s="574" t="s">
        <v>129</v>
      </c>
      <c r="K537" s="587">
        <v>0</v>
      </c>
      <c r="N537" s="793" t="s">
        <v>129</v>
      </c>
      <c r="O537" s="793" t="s">
        <v>890</v>
      </c>
      <c r="P537" s="793" t="s">
        <v>115</v>
      </c>
      <c r="Q537" s="793" t="s">
        <v>129</v>
      </c>
      <c r="R537" s="800">
        <f>(C56)</f>
        <v>12.1</v>
      </c>
      <c r="AG537" s="793" t="s">
        <v>849</v>
      </c>
    </row>
    <row r="538" spans="1:33" hidden="1">
      <c r="A538" s="1103">
        <f t="shared" si="21"/>
        <v>371</v>
      </c>
      <c r="B538" s="793" t="s">
        <v>889</v>
      </c>
      <c r="C538" s="587">
        <v>6.18</v>
      </c>
      <c r="D538" s="573" t="s">
        <v>209</v>
      </c>
      <c r="E538" s="575"/>
      <c r="I538" s="575"/>
      <c r="J538" s="580"/>
      <c r="K538" s="582" t="s">
        <v>117</v>
      </c>
      <c r="O538" s="793" t="s">
        <v>892</v>
      </c>
      <c r="P538" s="793" t="s">
        <v>115</v>
      </c>
      <c r="R538" s="793" t="s">
        <v>115</v>
      </c>
      <c r="AG538" s="793" t="s">
        <v>849</v>
      </c>
    </row>
    <row r="539" spans="1:33" hidden="1">
      <c r="A539" s="1103">
        <f t="shared" si="21"/>
        <v>372</v>
      </c>
      <c r="B539" s="793" t="s">
        <v>926</v>
      </c>
      <c r="C539" s="587">
        <v>13.29</v>
      </c>
      <c r="D539" s="573" t="s">
        <v>209</v>
      </c>
      <c r="E539" s="575"/>
      <c r="H539" s="793" t="s">
        <v>918</v>
      </c>
      <c r="I539" s="575"/>
      <c r="J539" s="580"/>
      <c r="K539" s="587" t="e">
        <f>SUM(K534:K537)</f>
        <v>#REF!</v>
      </c>
      <c r="N539" s="793" t="s">
        <v>129</v>
      </c>
      <c r="O539" s="793" t="s">
        <v>130</v>
      </c>
      <c r="Q539" s="793" t="s">
        <v>129</v>
      </c>
      <c r="R539" s="800">
        <v>0</v>
      </c>
      <c r="AG539" s="793" t="s">
        <v>849</v>
      </c>
    </row>
    <row r="540" spans="1:33" hidden="1">
      <c r="A540" s="1103">
        <f t="shared" si="21"/>
        <v>373</v>
      </c>
      <c r="B540" s="793" t="s">
        <v>927</v>
      </c>
      <c r="C540" s="587">
        <v>14.11</v>
      </c>
      <c r="D540" s="573" t="s">
        <v>209</v>
      </c>
      <c r="E540" s="575"/>
      <c r="I540" s="575"/>
      <c r="J540" s="580"/>
      <c r="K540" s="582" t="s">
        <v>117</v>
      </c>
      <c r="R540" s="796" t="s">
        <v>117</v>
      </c>
      <c r="AG540" s="793" t="s">
        <v>849</v>
      </c>
    </row>
    <row r="541" spans="1:33" hidden="1">
      <c r="A541" s="1103">
        <f t="shared" si="21"/>
        <v>374</v>
      </c>
      <c r="B541" s="793" t="s">
        <v>928</v>
      </c>
      <c r="C541" s="587">
        <v>14.69</v>
      </c>
      <c r="D541" s="573" t="s">
        <v>209</v>
      </c>
      <c r="E541" s="575"/>
      <c r="H541" s="793" t="s">
        <v>154</v>
      </c>
      <c r="I541" s="575"/>
      <c r="J541" s="580"/>
      <c r="K541" s="587" t="e">
        <f>(K539/0.743)</f>
        <v>#REF!</v>
      </c>
      <c r="O541" s="793" t="s">
        <v>893</v>
      </c>
      <c r="R541" s="800">
        <f>SUM(R529:R539)</f>
        <v>892.4</v>
      </c>
      <c r="AG541" s="793" t="s">
        <v>849</v>
      </c>
    </row>
    <row r="542" spans="1:33" hidden="1">
      <c r="A542" s="1103">
        <f t="shared" si="21"/>
        <v>375</v>
      </c>
      <c r="B542" s="793" t="s">
        <v>929</v>
      </c>
      <c r="C542" s="575"/>
      <c r="D542" s="573" t="s">
        <v>115</v>
      </c>
      <c r="E542" s="575"/>
      <c r="I542" s="575"/>
      <c r="J542" s="580"/>
      <c r="K542" s="582" t="s">
        <v>155</v>
      </c>
      <c r="R542" s="796" t="s">
        <v>117</v>
      </c>
      <c r="AG542" s="793" t="s">
        <v>849</v>
      </c>
    </row>
    <row r="543" spans="1:33" hidden="1">
      <c r="A543" s="1103">
        <f t="shared" si="21"/>
        <v>376</v>
      </c>
      <c r="B543" s="793" t="s">
        <v>885</v>
      </c>
      <c r="C543" s="587">
        <v>10.3</v>
      </c>
      <c r="D543" s="573" t="s">
        <v>209</v>
      </c>
      <c r="E543" s="575"/>
      <c r="H543" s="793" t="s">
        <v>482</v>
      </c>
      <c r="I543" s="587" t="e">
        <f>K541</f>
        <v>#REF!</v>
      </c>
      <c r="J543" s="574">
        <f>C22*0.04</f>
        <v>1.0580000000000001</v>
      </c>
      <c r="K543" s="587" t="e">
        <f>I543+J543</f>
        <v>#REF!</v>
      </c>
      <c r="O543" s="793" t="s">
        <v>216</v>
      </c>
      <c r="R543" s="800">
        <f>(R541/30)</f>
        <v>29.746666666666666</v>
      </c>
      <c r="AG543" s="793" t="s">
        <v>849</v>
      </c>
    </row>
    <row r="544" spans="1:33" hidden="1">
      <c r="A544" s="1103">
        <f t="shared" si="21"/>
        <v>377</v>
      </c>
      <c r="B544" s="793" t="s">
        <v>877</v>
      </c>
      <c r="C544" s="587">
        <v>19.05</v>
      </c>
      <c r="D544" s="573" t="s">
        <v>209</v>
      </c>
      <c r="E544" s="575"/>
      <c r="H544" s="793" t="s">
        <v>486</v>
      </c>
      <c r="I544" s="587" t="e">
        <f>K543</f>
        <v>#REF!</v>
      </c>
      <c r="J544" s="574">
        <f>C23*0.04</f>
        <v>2.1139999999999999</v>
      </c>
      <c r="K544" s="587" t="e">
        <f>I544+J544</f>
        <v>#REF!</v>
      </c>
      <c r="R544" s="796" t="s">
        <v>117</v>
      </c>
      <c r="AG544" s="793" t="s">
        <v>849</v>
      </c>
    </row>
    <row r="545" spans="1:33" hidden="1">
      <c r="A545" s="1103">
        <f t="shared" si="21"/>
        <v>378</v>
      </c>
      <c r="B545" s="793" t="s">
        <v>889</v>
      </c>
      <c r="C545" s="587">
        <v>15.34</v>
      </c>
      <c r="D545" s="573" t="s">
        <v>209</v>
      </c>
      <c r="E545" s="575"/>
      <c r="H545" s="793" t="s">
        <v>489</v>
      </c>
      <c r="I545" s="587" t="e">
        <f>K544</f>
        <v>#REF!</v>
      </c>
      <c r="J545" s="574">
        <f>C23*0.04</f>
        <v>2.1139999999999999</v>
      </c>
      <c r="K545" s="587" t="e">
        <f>I545+J545</f>
        <v>#REF!</v>
      </c>
      <c r="N545" s="793" t="s">
        <v>122</v>
      </c>
      <c r="O545" s="793" t="s">
        <v>807</v>
      </c>
      <c r="AG545" s="793" t="s">
        <v>849</v>
      </c>
    </row>
    <row r="546" spans="1:33" hidden="1">
      <c r="A546" s="1103">
        <f t="shared" si="21"/>
        <v>379</v>
      </c>
      <c r="B546" s="793" t="s">
        <v>931</v>
      </c>
      <c r="C546" s="587">
        <v>29.41</v>
      </c>
      <c r="D546" s="573" t="s">
        <v>209</v>
      </c>
      <c r="E546" s="575"/>
      <c r="H546" s="793" t="s">
        <v>491</v>
      </c>
      <c r="I546" s="587" t="e">
        <f>K545</f>
        <v>#REF!</v>
      </c>
      <c r="J546" s="574">
        <f>C23*0.04</f>
        <v>2.1139999999999999</v>
      </c>
      <c r="K546" s="587" t="e">
        <f>I546+J546</f>
        <v>#REF!</v>
      </c>
      <c r="O546" s="793" t="s">
        <v>932</v>
      </c>
      <c r="AG546" s="793" t="s">
        <v>849</v>
      </c>
    </row>
    <row r="547" spans="1:33" hidden="1">
      <c r="C547" s="575"/>
      <c r="D547" s="575"/>
      <c r="E547" s="575"/>
      <c r="F547" s="793" t="s">
        <v>115</v>
      </c>
      <c r="H547" s="793" t="s">
        <v>486</v>
      </c>
      <c r="I547" s="587" t="e">
        <f>K546</f>
        <v>#REF!</v>
      </c>
      <c r="J547" s="574">
        <f>C24*0.04</f>
        <v>2.1139999999999999</v>
      </c>
      <c r="K547" s="587" t="e">
        <f>I547+J547</f>
        <v>#REF!</v>
      </c>
    </row>
    <row r="548" spans="1:33" hidden="1">
      <c r="A548" s="1103">
        <f>(A546+1)</f>
        <v>380</v>
      </c>
      <c r="B548" s="793" t="s">
        <v>927</v>
      </c>
      <c r="C548" s="587">
        <v>38.35</v>
      </c>
      <c r="D548" s="573" t="s">
        <v>209</v>
      </c>
      <c r="E548" s="575"/>
      <c r="I548" s="575"/>
      <c r="J548" s="580"/>
      <c r="K548" s="575"/>
      <c r="O548" s="793" t="s">
        <v>809</v>
      </c>
      <c r="AG548" s="793" t="s">
        <v>849</v>
      </c>
    </row>
    <row r="549" spans="1:33" hidden="1">
      <c r="A549" s="1103">
        <f t="shared" ref="A549:A564" si="26">(A548+1)</f>
        <v>381</v>
      </c>
      <c r="B549" s="793" t="s">
        <v>928</v>
      </c>
      <c r="C549" s="587">
        <v>37.96</v>
      </c>
      <c r="D549" s="573" t="s">
        <v>209</v>
      </c>
      <c r="E549" s="575"/>
      <c r="F549" s="1109"/>
      <c r="G549" s="798" t="s">
        <v>115</v>
      </c>
      <c r="H549" s="793" t="s">
        <v>934</v>
      </c>
      <c r="I549" s="575"/>
      <c r="J549" s="580"/>
      <c r="K549" s="575"/>
      <c r="O549" s="796" t="s">
        <v>117</v>
      </c>
      <c r="AG549" s="793" t="s">
        <v>849</v>
      </c>
    </row>
    <row r="550" spans="1:33" hidden="1">
      <c r="A550" s="1103">
        <f t="shared" si="26"/>
        <v>382</v>
      </c>
      <c r="B550" s="793" t="s">
        <v>935</v>
      </c>
      <c r="C550" s="575"/>
      <c r="D550" s="573" t="s">
        <v>115</v>
      </c>
      <c r="E550" s="575"/>
      <c r="H550" s="793" t="s">
        <v>936</v>
      </c>
      <c r="I550" s="575"/>
      <c r="J550" s="580"/>
      <c r="K550" s="575"/>
      <c r="AG550" s="793" t="s">
        <v>849</v>
      </c>
    </row>
    <row r="551" spans="1:33" hidden="1">
      <c r="A551" s="1103">
        <f t="shared" si="26"/>
        <v>383</v>
      </c>
      <c r="B551" s="793" t="s">
        <v>885</v>
      </c>
      <c r="C551" s="587">
        <v>6.68</v>
      </c>
      <c r="D551" s="573" t="s">
        <v>209</v>
      </c>
      <c r="E551" s="575"/>
      <c r="H551" s="793" t="s">
        <v>937</v>
      </c>
      <c r="I551" s="575"/>
      <c r="J551" s="580"/>
      <c r="K551" s="575"/>
      <c r="N551" s="793" t="s">
        <v>810</v>
      </c>
      <c r="O551" s="793" t="s">
        <v>938</v>
      </c>
      <c r="AG551" s="793" t="s">
        <v>849</v>
      </c>
    </row>
    <row r="552" spans="1:33" hidden="1">
      <c r="A552" s="1103">
        <f t="shared" si="26"/>
        <v>384</v>
      </c>
      <c r="B552" s="793" t="s">
        <v>877</v>
      </c>
      <c r="C552" s="587">
        <v>9.4499999999999993</v>
      </c>
      <c r="D552" s="573" t="s">
        <v>209</v>
      </c>
      <c r="E552" s="575"/>
      <c r="H552" s="793" t="s">
        <v>939</v>
      </c>
      <c r="I552" s="575"/>
      <c r="J552" s="580"/>
      <c r="K552" s="575"/>
      <c r="O552" s="796" t="s">
        <v>117</v>
      </c>
      <c r="AG552" s="793" t="s">
        <v>849</v>
      </c>
    </row>
    <row r="553" spans="1:33" hidden="1">
      <c r="A553" s="1103">
        <f t="shared" si="26"/>
        <v>385</v>
      </c>
      <c r="B553" s="793" t="s">
        <v>889</v>
      </c>
      <c r="C553" s="587">
        <v>33.04</v>
      </c>
      <c r="D553" s="573" t="s">
        <v>209</v>
      </c>
      <c r="E553" s="575"/>
      <c r="H553" s="793" t="s">
        <v>940</v>
      </c>
      <c r="I553" s="575"/>
      <c r="J553" s="580"/>
      <c r="K553" s="575"/>
      <c r="M553" s="800">
        <v>8.1</v>
      </c>
      <c r="N553" s="793" t="s">
        <v>126</v>
      </c>
      <c r="O553" s="793" t="s">
        <v>814</v>
      </c>
      <c r="P553" s="800">
        <f>(C61)*2</f>
        <v>50</v>
      </c>
      <c r="Q553" s="793" t="s">
        <v>126</v>
      </c>
      <c r="R553" s="800">
        <f>(M553*P553)</f>
        <v>405</v>
      </c>
      <c r="AG553" s="793" t="s">
        <v>849</v>
      </c>
    </row>
    <row r="554" spans="1:33" hidden="1">
      <c r="A554" s="1103">
        <f t="shared" si="26"/>
        <v>386</v>
      </c>
      <c r="B554" s="793" t="s">
        <v>931</v>
      </c>
      <c r="C554" s="587">
        <v>33.04</v>
      </c>
      <c r="D554" s="573" t="s">
        <v>209</v>
      </c>
      <c r="E554" s="575"/>
      <c r="H554" s="793" t="s">
        <v>941</v>
      </c>
      <c r="I554" s="575"/>
      <c r="J554" s="580"/>
      <c r="K554" s="575"/>
      <c r="M554" s="800">
        <v>8.1</v>
      </c>
      <c r="N554" s="793" t="s">
        <v>126</v>
      </c>
      <c r="O554" s="793" t="s">
        <v>815</v>
      </c>
      <c r="P554" s="800">
        <f>(C26)</f>
        <v>8.8000000000000007</v>
      </c>
      <c r="Q554" s="793" t="s">
        <v>126</v>
      </c>
      <c r="R554" s="800">
        <f>(M554*P554)</f>
        <v>71.28</v>
      </c>
      <c r="AG554" s="793" t="s">
        <v>849</v>
      </c>
    </row>
    <row r="555" spans="1:33" hidden="1">
      <c r="A555" s="1103">
        <f t="shared" si="26"/>
        <v>387</v>
      </c>
      <c r="B555" s="793" t="s">
        <v>942</v>
      </c>
      <c r="C555" s="587">
        <v>33.04</v>
      </c>
      <c r="D555" s="573" t="s">
        <v>209</v>
      </c>
      <c r="E555" s="575"/>
      <c r="H555" s="793" t="s">
        <v>3242</v>
      </c>
      <c r="I555" s="575"/>
      <c r="J555" s="580"/>
      <c r="K555" s="575"/>
      <c r="M555" s="800">
        <v>30</v>
      </c>
      <c r="N555" s="793" t="s">
        <v>203</v>
      </c>
      <c r="O555" s="793" t="s">
        <v>816</v>
      </c>
      <c r="P555" s="800">
        <f>(C639)</f>
        <v>3</v>
      </c>
      <c r="Q555" s="793" t="s">
        <v>203</v>
      </c>
      <c r="R555" s="800">
        <f>(M555*P555)</f>
        <v>90</v>
      </c>
      <c r="AG555" s="793" t="s">
        <v>636</v>
      </c>
    </row>
    <row r="556" spans="1:33" hidden="1">
      <c r="A556" s="1103">
        <f t="shared" si="26"/>
        <v>388</v>
      </c>
      <c r="B556" s="793" t="s">
        <v>944</v>
      </c>
      <c r="C556" s="587">
        <v>33.04</v>
      </c>
      <c r="D556" s="573" t="s">
        <v>209</v>
      </c>
      <c r="E556" s="575"/>
      <c r="H556" s="796" t="s">
        <v>117</v>
      </c>
      <c r="I556" s="582" t="s">
        <v>117</v>
      </c>
      <c r="J556" s="580"/>
      <c r="K556" s="575"/>
      <c r="O556" s="793" t="s">
        <v>945</v>
      </c>
    </row>
    <row r="557" spans="1:33" hidden="1">
      <c r="A557" s="1103">
        <f t="shared" si="26"/>
        <v>389</v>
      </c>
      <c r="B557" s="793" t="s">
        <v>946</v>
      </c>
      <c r="C557" s="587">
        <v>538</v>
      </c>
      <c r="D557" s="573" t="s">
        <v>209</v>
      </c>
      <c r="E557" s="575"/>
      <c r="G557" s="798" t="s">
        <v>196</v>
      </c>
      <c r="H557" s="793" t="s">
        <v>947</v>
      </c>
      <c r="I557" s="575"/>
      <c r="J557" s="580"/>
      <c r="K557" s="575"/>
      <c r="O557" s="793" t="s">
        <v>818</v>
      </c>
    </row>
    <row r="558" spans="1:33" hidden="1">
      <c r="A558" s="1103">
        <f t="shared" si="26"/>
        <v>390</v>
      </c>
      <c r="B558" s="793" t="s">
        <v>949</v>
      </c>
      <c r="C558" s="587">
        <v>340</v>
      </c>
      <c r="D558" s="573" t="s">
        <v>209</v>
      </c>
      <c r="E558" s="575"/>
      <c r="H558" s="793" t="s">
        <v>950</v>
      </c>
      <c r="I558" s="575"/>
      <c r="J558" s="580"/>
      <c r="K558" s="575"/>
      <c r="O558" s="793" t="s">
        <v>819</v>
      </c>
      <c r="AG558" s="793" t="s">
        <v>849</v>
      </c>
    </row>
    <row r="559" spans="1:33" hidden="1">
      <c r="A559" s="1103">
        <f t="shared" si="26"/>
        <v>391</v>
      </c>
      <c r="B559" s="793" t="s">
        <v>951</v>
      </c>
      <c r="C559" s="587">
        <v>1039</v>
      </c>
      <c r="D559" s="573" t="s">
        <v>209</v>
      </c>
      <c r="E559" s="575"/>
      <c r="F559" s="800">
        <v>10</v>
      </c>
      <c r="G559" s="798" t="s">
        <v>174</v>
      </c>
      <c r="H559" s="793" t="s">
        <v>952</v>
      </c>
      <c r="I559" s="587">
        <f>C721</f>
        <v>227</v>
      </c>
      <c r="J559" s="574" t="s">
        <v>174</v>
      </c>
      <c r="K559" s="587">
        <f>(F559*I559)</f>
        <v>2270</v>
      </c>
      <c r="O559" s="793" t="s">
        <v>820</v>
      </c>
      <c r="AG559" s="793" t="s">
        <v>849</v>
      </c>
    </row>
    <row r="560" spans="1:33" hidden="1">
      <c r="A560" s="1103">
        <f t="shared" si="26"/>
        <v>392</v>
      </c>
      <c r="B560" s="793" t="s">
        <v>953</v>
      </c>
      <c r="C560" s="587">
        <v>100.44</v>
      </c>
      <c r="D560" s="573" t="s">
        <v>209</v>
      </c>
      <c r="E560" s="575"/>
      <c r="F560" s="800">
        <v>1</v>
      </c>
      <c r="G560" s="798" t="s">
        <v>233</v>
      </c>
      <c r="H560" s="793" t="s">
        <v>954</v>
      </c>
      <c r="I560" s="587">
        <f>C10</f>
        <v>150</v>
      </c>
      <c r="J560" s="574" t="s">
        <v>227</v>
      </c>
      <c r="K560" s="587">
        <f>(F560*I560)</f>
        <v>150</v>
      </c>
      <c r="M560" s="800">
        <v>8</v>
      </c>
      <c r="N560" s="793" t="s">
        <v>1</v>
      </c>
      <c r="O560" s="793" t="s">
        <v>823</v>
      </c>
      <c r="P560" s="800">
        <f>(C641)</f>
        <v>2.2000000000000002</v>
      </c>
      <c r="Q560" s="793" t="s">
        <v>1</v>
      </c>
      <c r="R560" s="800">
        <f>(M560*P560)</f>
        <v>17.600000000000001</v>
      </c>
      <c r="AG560" s="793" t="s">
        <v>849</v>
      </c>
    </row>
    <row r="561" spans="1:33" hidden="1">
      <c r="A561" s="1103">
        <f t="shared" si="26"/>
        <v>393</v>
      </c>
      <c r="B561" s="793" t="s">
        <v>955</v>
      </c>
      <c r="C561" s="587">
        <v>31</v>
      </c>
      <c r="D561" s="573" t="s">
        <v>699</v>
      </c>
      <c r="E561" s="575"/>
      <c r="F561" s="800">
        <v>1</v>
      </c>
      <c r="G561" s="798" t="s">
        <v>233</v>
      </c>
      <c r="H561" s="793" t="s">
        <v>956</v>
      </c>
      <c r="I561" s="587">
        <f>C12</f>
        <v>95</v>
      </c>
      <c r="J561" s="574" t="s">
        <v>227</v>
      </c>
      <c r="K561" s="587">
        <f>(F561*I561)</f>
        <v>95</v>
      </c>
      <c r="M561" s="800">
        <v>8</v>
      </c>
      <c r="N561" s="793" t="s">
        <v>1</v>
      </c>
      <c r="O561" s="793" t="s">
        <v>826</v>
      </c>
      <c r="P561" s="800">
        <f>(C642)</f>
        <v>3.2</v>
      </c>
      <c r="Q561" s="793" t="s">
        <v>1</v>
      </c>
      <c r="R561" s="800">
        <f>(M561*P561)</f>
        <v>25.6</v>
      </c>
      <c r="AG561" s="793" t="s">
        <v>849</v>
      </c>
    </row>
    <row r="562" spans="1:33" hidden="1">
      <c r="A562" s="1103">
        <f t="shared" si="26"/>
        <v>394</v>
      </c>
      <c r="B562" s="793" t="s">
        <v>3243</v>
      </c>
      <c r="C562" s="587">
        <v>71.239999999999995</v>
      </c>
      <c r="D562" s="573" t="s">
        <v>209</v>
      </c>
      <c r="E562" s="575"/>
      <c r="G562" s="798" t="s">
        <v>129</v>
      </c>
      <c r="H562" s="793" t="s">
        <v>958</v>
      </c>
      <c r="I562" s="575"/>
      <c r="J562" s="574" t="s">
        <v>129</v>
      </c>
      <c r="K562" s="587">
        <v>120</v>
      </c>
      <c r="M562" s="800">
        <v>1</v>
      </c>
      <c r="N562" s="793" t="s">
        <v>129</v>
      </c>
      <c r="O562" s="793" t="s">
        <v>828</v>
      </c>
      <c r="P562" s="800">
        <f>(C643)</f>
        <v>4</v>
      </c>
      <c r="Q562" s="793" t="s">
        <v>129</v>
      </c>
      <c r="R562" s="800">
        <f>(M562*P562)</f>
        <v>4</v>
      </c>
      <c r="AG562" s="793" t="s">
        <v>849</v>
      </c>
    </row>
    <row r="563" spans="1:33" hidden="1">
      <c r="A563" s="1103">
        <f t="shared" si="26"/>
        <v>395</v>
      </c>
      <c r="B563" s="793" t="s">
        <v>959</v>
      </c>
      <c r="C563" s="587">
        <v>82.2</v>
      </c>
      <c r="D563" s="573" t="s">
        <v>209</v>
      </c>
      <c r="E563" s="575"/>
      <c r="H563" s="793" t="s">
        <v>960</v>
      </c>
      <c r="I563" s="575"/>
      <c r="J563" s="580"/>
      <c r="K563" s="582" t="s">
        <v>117</v>
      </c>
      <c r="M563" s="800">
        <v>1</v>
      </c>
      <c r="N563" s="793" t="s">
        <v>129</v>
      </c>
      <c r="O563" s="793" t="s">
        <v>130</v>
      </c>
      <c r="Q563" s="793" t="s">
        <v>129</v>
      </c>
      <c r="R563" s="800">
        <v>0</v>
      </c>
      <c r="AG563" s="793" t="s">
        <v>849</v>
      </c>
    </row>
    <row r="564" spans="1:33" hidden="1">
      <c r="A564" s="1103">
        <f t="shared" si="26"/>
        <v>396</v>
      </c>
      <c r="B564" s="793" t="s">
        <v>961</v>
      </c>
      <c r="C564" s="587">
        <v>57.51</v>
      </c>
      <c r="D564" s="573" t="s">
        <v>209</v>
      </c>
      <c r="E564" s="575"/>
      <c r="H564" s="1098" t="s">
        <v>962</v>
      </c>
      <c r="I564" s="575"/>
      <c r="J564" s="580"/>
      <c r="K564" s="587">
        <f>SUM(K559:K562)</f>
        <v>2635</v>
      </c>
      <c r="R564" s="796" t="s">
        <v>117</v>
      </c>
      <c r="AG564" s="793" t="s">
        <v>849</v>
      </c>
    </row>
    <row r="565" spans="1:33" hidden="1">
      <c r="C565" s="575"/>
      <c r="D565" s="575"/>
      <c r="E565" s="575"/>
      <c r="F565" s="793" t="s">
        <v>115</v>
      </c>
      <c r="I565" s="575"/>
      <c r="J565" s="580"/>
      <c r="K565" s="575"/>
    </row>
    <row r="566" spans="1:33" hidden="1">
      <c r="A566" s="1103">
        <f>(A564+1)</f>
        <v>397</v>
      </c>
      <c r="B566" s="793" t="s">
        <v>963</v>
      </c>
      <c r="C566" s="587">
        <v>28.5</v>
      </c>
      <c r="D566" s="573" t="s">
        <v>209</v>
      </c>
      <c r="E566" s="575"/>
      <c r="I566" s="575"/>
      <c r="J566" s="580"/>
      <c r="K566" s="582" t="s">
        <v>117</v>
      </c>
      <c r="O566" s="793" t="s">
        <v>830</v>
      </c>
      <c r="R566" s="800">
        <f>SUM(R553:R563)</f>
        <v>613.48</v>
      </c>
      <c r="AG566" s="793" t="s">
        <v>849</v>
      </c>
    </row>
    <row r="567" spans="1:33" hidden="1">
      <c r="A567" s="1103">
        <f t="shared" ref="A567:A614" si="27">(A566+1)</f>
        <v>398</v>
      </c>
      <c r="B567" s="793" t="s">
        <v>964</v>
      </c>
      <c r="C567" s="587">
        <v>57.51</v>
      </c>
      <c r="D567" s="573" t="s">
        <v>209</v>
      </c>
      <c r="E567" s="575"/>
      <c r="H567" s="1098" t="s">
        <v>965</v>
      </c>
      <c r="I567" s="575"/>
      <c r="J567" s="580"/>
      <c r="K567" s="587">
        <f>K564/10</f>
        <v>263.5</v>
      </c>
      <c r="R567" s="796" t="s">
        <v>117</v>
      </c>
      <c r="AG567" s="793" t="s">
        <v>849</v>
      </c>
    </row>
    <row r="568" spans="1:33" hidden="1">
      <c r="A568" s="1103">
        <f t="shared" si="27"/>
        <v>399</v>
      </c>
      <c r="B568" s="793" t="s">
        <v>966</v>
      </c>
      <c r="C568" s="587">
        <v>20</v>
      </c>
      <c r="D568" s="573" t="s">
        <v>209</v>
      </c>
      <c r="E568" s="575"/>
      <c r="H568" s="793" t="s">
        <v>482</v>
      </c>
      <c r="I568" s="587">
        <f>K567</f>
        <v>263.5</v>
      </c>
      <c r="J568" s="574">
        <f>C22*0.02</f>
        <v>0.52900000000000003</v>
      </c>
      <c r="K568" s="587">
        <f>I568+J568</f>
        <v>264.029</v>
      </c>
      <c r="O568" s="793" t="s">
        <v>216</v>
      </c>
      <c r="R568" s="800">
        <f>(R566/30)</f>
        <v>20.449333333333335</v>
      </c>
      <c r="AG568" s="793" t="s">
        <v>849</v>
      </c>
    </row>
    <row r="569" spans="1:33" hidden="1">
      <c r="A569" s="1103">
        <f t="shared" si="27"/>
        <v>400</v>
      </c>
      <c r="B569" s="793" t="s">
        <v>967</v>
      </c>
      <c r="C569" s="587">
        <v>21.92</v>
      </c>
      <c r="D569" s="573" t="s">
        <v>209</v>
      </c>
      <c r="E569" s="575"/>
      <c r="H569" s="793" t="s">
        <v>486</v>
      </c>
      <c r="I569" s="587">
        <f>K568</f>
        <v>264.029</v>
      </c>
      <c r="J569" s="574">
        <f>C23*0.02</f>
        <v>1.0569999999999999</v>
      </c>
      <c r="K569" s="587">
        <f>I569+J569</f>
        <v>265.08600000000001</v>
      </c>
      <c r="N569" s="793" t="s">
        <v>122</v>
      </c>
      <c r="O569" s="793" t="s">
        <v>968</v>
      </c>
      <c r="AG569" s="793" t="s">
        <v>849</v>
      </c>
    </row>
    <row r="570" spans="1:33" hidden="1">
      <c r="A570" s="1103">
        <f t="shared" si="27"/>
        <v>401</v>
      </c>
      <c r="B570" s="793" t="s">
        <v>969</v>
      </c>
      <c r="C570" s="587">
        <v>28.5</v>
      </c>
      <c r="D570" s="573" t="s">
        <v>209</v>
      </c>
      <c r="E570" s="575"/>
      <c r="H570" s="793" t="s">
        <v>489</v>
      </c>
      <c r="I570" s="587">
        <f>K569</f>
        <v>265.08600000000001</v>
      </c>
      <c r="J570" s="574">
        <f>C23*0.02</f>
        <v>1.0569999999999999</v>
      </c>
      <c r="K570" s="587">
        <f>I570+J570</f>
        <v>266.14300000000003</v>
      </c>
      <c r="O570" s="793" t="s">
        <v>970</v>
      </c>
      <c r="AG570" s="793" t="s">
        <v>849</v>
      </c>
    </row>
    <row r="571" spans="1:33" hidden="1">
      <c r="A571" s="1103">
        <f t="shared" si="27"/>
        <v>402</v>
      </c>
      <c r="B571" s="793" t="s">
        <v>3244</v>
      </c>
      <c r="C571" s="587">
        <v>535</v>
      </c>
      <c r="D571" s="573" t="s">
        <v>209</v>
      </c>
      <c r="E571" s="575"/>
      <c r="H571" s="793" t="s">
        <v>491</v>
      </c>
      <c r="I571" s="587">
        <f>K570</f>
        <v>266.14300000000003</v>
      </c>
      <c r="J571" s="574">
        <f>C23*0.02</f>
        <v>1.0569999999999999</v>
      </c>
      <c r="K571" s="587">
        <f>I571+J571</f>
        <v>267.20000000000005</v>
      </c>
      <c r="O571" s="796" t="s">
        <v>117</v>
      </c>
      <c r="AG571" s="793" t="s">
        <v>849</v>
      </c>
    </row>
    <row r="572" spans="1:33" hidden="1">
      <c r="A572" s="1103"/>
      <c r="B572" s="793"/>
      <c r="C572" s="587"/>
      <c r="D572" s="573"/>
      <c r="E572" s="575"/>
      <c r="H572" s="793" t="s">
        <v>871</v>
      </c>
      <c r="I572" s="587">
        <f>K571</f>
        <v>267.20000000000005</v>
      </c>
      <c r="J572" s="574">
        <f>C24*0.02</f>
        <v>1.0569999999999999</v>
      </c>
      <c r="K572" s="587">
        <f>I572+J572</f>
        <v>268.25700000000006</v>
      </c>
      <c r="O572" s="796"/>
      <c r="AG572" s="793"/>
    </row>
    <row r="573" spans="1:33" hidden="1">
      <c r="A573" s="1103">
        <f>(A571+1)</f>
        <v>403</v>
      </c>
      <c r="B573" s="793" t="s">
        <v>972</v>
      </c>
      <c r="C573" s="587">
        <v>21</v>
      </c>
      <c r="D573" s="573" t="s">
        <v>209</v>
      </c>
      <c r="E573" s="575"/>
      <c r="F573" s="1109">
        <v>15.2</v>
      </c>
      <c r="G573" s="798" t="s">
        <v>196</v>
      </c>
      <c r="H573" s="793" t="s">
        <v>974</v>
      </c>
      <c r="I573" s="575"/>
      <c r="J573" s="580"/>
      <c r="K573" s="575"/>
      <c r="M573" s="800">
        <v>1.08</v>
      </c>
      <c r="N573" s="793" t="s">
        <v>126</v>
      </c>
      <c r="O573" s="793" t="s">
        <v>973</v>
      </c>
      <c r="P573" s="800">
        <f>(K88)</f>
        <v>52.933333333333337</v>
      </c>
      <c r="Q573" s="793" t="s">
        <v>126</v>
      </c>
      <c r="R573" s="800">
        <f>(M573*P573)</f>
        <v>57.168000000000006</v>
      </c>
      <c r="AG573" s="793" t="s">
        <v>849</v>
      </c>
    </row>
    <row r="574" spans="1:33" hidden="1">
      <c r="A574" s="1103">
        <f t="shared" si="27"/>
        <v>404</v>
      </c>
      <c r="B574" s="793" t="s">
        <v>975</v>
      </c>
      <c r="C574" s="587">
        <v>150</v>
      </c>
      <c r="D574" s="573" t="s">
        <v>209</v>
      </c>
      <c r="E574" s="575"/>
      <c r="H574" s="793" t="s">
        <v>950</v>
      </c>
      <c r="I574" s="575"/>
      <c r="J574" s="580"/>
      <c r="K574" s="575"/>
      <c r="M574" s="1108">
        <v>0.216</v>
      </c>
      <c r="N574" s="793" t="s">
        <v>126</v>
      </c>
      <c r="O574" s="793" t="s">
        <v>976</v>
      </c>
      <c r="P574" s="800" t="e">
        <f>(R60)</f>
        <v>#REF!</v>
      </c>
      <c r="Q574" s="793" t="s">
        <v>126</v>
      </c>
      <c r="R574" s="800" t="e">
        <f>(M574*P574)</f>
        <v>#REF!</v>
      </c>
      <c r="AG574" s="793" t="s">
        <v>849</v>
      </c>
    </row>
    <row r="575" spans="1:33" hidden="1">
      <c r="A575" s="1103">
        <f t="shared" si="27"/>
        <v>405</v>
      </c>
      <c r="B575" s="793" t="s">
        <v>3245</v>
      </c>
      <c r="C575" s="587">
        <v>16.440000000000001</v>
      </c>
      <c r="D575" s="573" t="s">
        <v>209</v>
      </c>
      <c r="E575" s="575"/>
      <c r="F575" s="800">
        <v>1</v>
      </c>
      <c r="G575" s="798" t="s">
        <v>174</v>
      </c>
      <c r="H575" s="793" t="s">
        <v>952</v>
      </c>
      <c r="I575" s="587">
        <f>D721</f>
        <v>247</v>
      </c>
      <c r="J575" s="574" t="s">
        <v>174</v>
      </c>
      <c r="K575" s="587">
        <f>(F575*I575)</f>
        <v>247</v>
      </c>
      <c r="M575" s="1108">
        <v>0.48699999999999999</v>
      </c>
      <c r="N575" s="793" t="s">
        <v>126</v>
      </c>
      <c r="O575" s="793" t="s">
        <v>978</v>
      </c>
      <c r="P575" s="800" t="e">
        <f>(R89)</f>
        <v>#REF!</v>
      </c>
      <c r="Q575" s="793" t="s">
        <v>126</v>
      </c>
      <c r="R575" s="800" t="e">
        <f>(M575*P575)</f>
        <v>#REF!</v>
      </c>
      <c r="AG575" s="793" t="s">
        <v>849</v>
      </c>
    </row>
    <row r="576" spans="1:33" hidden="1">
      <c r="A576" s="1103">
        <f t="shared" si="27"/>
        <v>406</v>
      </c>
      <c r="B576" s="793" t="s">
        <v>3246</v>
      </c>
      <c r="C576" s="587">
        <v>30</v>
      </c>
      <c r="D576" s="587">
        <v>25</v>
      </c>
      <c r="E576" s="575"/>
      <c r="F576" s="800">
        <v>0.75</v>
      </c>
      <c r="G576" s="798" t="s">
        <v>233</v>
      </c>
      <c r="H576" s="793" t="s">
        <v>954</v>
      </c>
      <c r="I576" s="587">
        <f>C10</f>
        <v>150</v>
      </c>
      <c r="J576" s="574" t="s">
        <v>227</v>
      </c>
      <c r="K576" s="587">
        <f>(F576*I576)</f>
        <v>112.5</v>
      </c>
      <c r="M576" s="1108">
        <v>5.36</v>
      </c>
      <c r="N576" s="793" t="s">
        <v>140</v>
      </c>
      <c r="O576" s="793" t="s">
        <v>982</v>
      </c>
      <c r="P576" s="800" t="e">
        <f>(R303)</f>
        <v>#REF!</v>
      </c>
      <c r="Q576" s="793" t="s">
        <v>140</v>
      </c>
      <c r="R576" s="800" t="e">
        <f>(M576*P576)</f>
        <v>#REF!</v>
      </c>
      <c r="AG576" s="793" t="s">
        <v>849</v>
      </c>
    </row>
    <row r="577" spans="1:33" hidden="1">
      <c r="A577" s="1103">
        <f t="shared" si="27"/>
        <v>407</v>
      </c>
      <c r="B577" s="793" t="s">
        <v>983</v>
      </c>
      <c r="C577" s="587">
        <v>208.5</v>
      </c>
      <c r="D577" s="573" t="s">
        <v>209</v>
      </c>
      <c r="E577" s="575"/>
      <c r="F577" s="800">
        <v>0.75</v>
      </c>
      <c r="G577" s="798" t="s">
        <v>233</v>
      </c>
      <c r="H577" s="793" t="s">
        <v>956</v>
      </c>
      <c r="I577" s="587">
        <f>C12</f>
        <v>95</v>
      </c>
      <c r="J577" s="574" t="s">
        <v>227</v>
      </c>
      <c r="K577" s="587">
        <f>(F577*I577)</f>
        <v>71.25</v>
      </c>
      <c r="M577" s="1108">
        <v>3.2000000000000001E-2</v>
      </c>
      <c r="N577" s="793" t="s">
        <v>126</v>
      </c>
      <c r="O577" s="793" t="s">
        <v>984</v>
      </c>
      <c r="P577" s="800" t="e">
        <f>(K614)</f>
        <v>#REF!</v>
      </c>
      <c r="Q577" s="793" t="s">
        <v>126</v>
      </c>
      <c r="R577" s="800" t="e">
        <f>(M577*P577)</f>
        <v>#REF!</v>
      </c>
      <c r="AG577" s="793" t="s">
        <v>849</v>
      </c>
    </row>
    <row r="578" spans="1:33" hidden="1">
      <c r="A578" s="1103">
        <f t="shared" si="27"/>
        <v>408</v>
      </c>
      <c r="B578" s="793" t="s">
        <v>3247</v>
      </c>
      <c r="C578" s="587">
        <v>95</v>
      </c>
      <c r="D578" s="573" t="s">
        <v>209</v>
      </c>
      <c r="E578" s="575"/>
      <c r="F578" s="800">
        <v>0.5</v>
      </c>
      <c r="G578" s="798" t="s">
        <v>233</v>
      </c>
      <c r="H578" s="793" t="s">
        <v>997</v>
      </c>
      <c r="I578" s="587">
        <f>C41</f>
        <v>110</v>
      </c>
      <c r="J578" s="574" t="s">
        <v>227</v>
      </c>
      <c r="K578" s="587">
        <f>(F578*I578)</f>
        <v>55</v>
      </c>
      <c r="O578" s="793" t="s">
        <v>986</v>
      </c>
      <c r="R578" s="793" t="s">
        <v>115</v>
      </c>
      <c r="AG578" s="793" t="s">
        <v>849</v>
      </c>
    </row>
    <row r="579" spans="1:33" hidden="1">
      <c r="A579" s="1103">
        <f t="shared" si="27"/>
        <v>409</v>
      </c>
      <c r="B579" s="793" t="s">
        <v>3248</v>
      </c>
      <c r="C579" s="685">
        <v>301</v>
      </c>
      <c r="D579" s="573" t="s">
        <v>140</v>
      </c>
      <c r="E579" s="575"/>
      <c r="G579" s="798" t="s">
        <v>129</v>
      </c>
      <c r="H579" s="793" t="s">
        <v>958</v>
      </c>
      <c r="I579" s="575"/>
      <c r="J579" s="574" t="s">
        <v>129</v>
      </c>
      <c r="K579" s="587">
        <v>53.5</v>
      </c>
      <c r="N579" s="793" t="s">
        <v>129</v>
      </c>
      <c r="O579" s="793" t="s">
        <v>988</v>
      </c>
      <c r="Q579" s="793" t="s">
        <v>129</v>
      </c>
      <c r="R579" s="800">
        <v>2.92</v>
      </c>
      <c r="AG579" s="793" t="s">
        <v>849</v>
      </c>
    </row>
    <row r="580" spans="1:33" hidden="1">
      <c r="A580" s="1103">
        <f t="shared" si="27"/>
        <v>410</v>
      </c>
      <c r="B580" s="793" t="s">
        <v>3249</v>
      </c>
      <c r="C580" s="587">
        <v>325</v>
      </c>
      <c r="D580" s="573" t="s">
        <v>140</v>
      </c>
      <c r="E580" s="573" t="s">
        <v>115</v>
      </c>
      <c r="H580" s="793" t="s">
        <v>960</v>
      </c>
      <c r="I580" s="575"/>
      <c r="J580" s="580"/>
      <c r="K580" s="582" t="s">
        <v>117</v>
      </c>
      <c r="R580" s="796" t="s">
        <v>117</v>
      </c>
      <c r="AG580" s="793" t="s">
        <v>849</v>
      </c>
    </row>
    <row r="581" spans="1:33" hidden="1">
      <c r="A581" s="1103">
        <f t="shared" si="27"/>
        <v>411</v>
      </c>
      <c r="B581" s="793" t="s">
        <v>990</v>
      </c>
      <c r="C581" s="587">
        <v>75</v>
      </c>
      <c r="D581" s="573" t="s">
        <v>209</v>
      </c>
      <c r="E581" s="575"/>
      <c r="H581" s="1098" t="s">
        <v>1001</v>
      </c>
      <c r="I581" s="575"/>
      <c r="J581" s="580"/>
      <c r="K581" s="587">
        <f>SUM(K575:K579)</f>
        <v>539.25</v>
      </c>
      <c r="O581" s="793" t="s">
        <v>991</v>
      </c>
      <c r="R581" s="800" t="e">
        <f>SUM(R573:R579)</f>
        <v>#REF!</v>
      </c>
      <c r="AG581" s="793" t="s">
        <v>849</v>
      </c>
    </row>
    <row r="582" spans="1:33" hidden="1">
      <c r="A582" s="1103">
        <f t="shared" si="27"/>
        <v>412</v>
      </c>
      <c r="B582" s="793" t="s">
        <v>992</v>
      </c>
      <c r="C582" s="587">
        <v>125</v>
      </c>
      <c r="D582" s="573" t="s">
        <v>209</v>
      </c>
      <c r="E582" s="575"/>
      <c r="I582" s="575"/>
      <c r="J582" s="580"/>
      <c r="K582" s="582" t="s">
        <v>117</v>
      </c>
      <c r="R582" s="796" t="s">
        <v>117</v>
      </c>
      <c r="AG582" s="793" t="s">
        <v>849</v>
      </c>
    </row>
    <row r="583" spans="1:33" hidden="1">
      <c r="A583" s="1103">
        <f t="shared" si="27"/>
        <v>413</v>
      </c>
      <c r="B583" s="793" t="s">
        <v>993</v>
      </c>
      <c r="C583" s="587">
        <v>190</v>
      </c>
      <c r="D583" s="573" t="s">
        <v>209</v>
      </c>
      <c r="E583" s="575"/>
      <c r="H583" s="793" t="s">
        <v>482</v>
      </c>
      <c r="I583" s="587">
        <f>K581</f>
        <v>539.25</v>
      </c>
      <c r="J583" s="574">
        <f>C22*0.04</f>
        <v>1.0580000000000001</v>
      </c>
      <c r="K583" s="587">
        <f>(K581+C22*0.04)</f>
        <v>540.30799999999999</v>
      </c>
      <c r="N583" s="793" t="s">
        <v>122</v>
      </c>
      <c r="O583" s="793" t="s">
        <v>968</v>
      </c>
      <c r="AG583" s="793" t="s">
        <v>849</v>
      </c>
    </row>
    <row r="584" spans="1:33" hidden="1">
      <c r="A584" s="1103">
        <f t="shared" si="27"/>
        <v>414</v>
      </c>
      <c r="B584" s="793" t="s">
        <v>994</v>
      </c>
      <c r="C584" s="587">
        <v>16</v>
      </c>
      <c r="D584" s="573" t="s">
        <v>209</v>
      </c>
      <c r="E584" s="575"/>
      <c r="H584" s="793" t="s">
        <v>486</v>
      </c>
      <c r="I584" s="587">
        <f>K583</f>
        <v>540.30799999999999</v>
      </c>
      <c r="J584" s="574">
        <f>C23*0.04</f>
        <v>2.1139999999999999</v>
      </c>
      <c r="K584" s="587">
        <f>(K583+C23*0.04)</f>
        <v>542.42200000000003</v>
      </c>
      <c r="O584" s="793" t="s">
        <v>995</v>
      </c>
      <c r="AG584" s="793" t="s">
        <v>849</v>
      </c>
    </row>
    <row r="585" spans="1:33" hidden="1">
      <c r="A585" s="1103">
        <f t="shared" si="27"/>
        <v>415</v>
      </c>
      <c r="B585" s="793" t="s">
        <v>3250</v>
      </c>
      <c r="C585" s="587">
        <v>7</v>
      </c>
      <c r="D585" s="573" t="s">
        <v>148</v>
      </c>
      <c r="E585" s="575"/>
      <c r="H585" s="793" t="s">
        <v>489</v>
      </c>
      <c r="I585" s="587">
        <f>K584</f>
        <v>542.42200000000003</v>
      </c>
      <c r="J585" s="574">
        <f>C23*0.04</f>
        <v>2.1139999999999999</v>
      </c>
      <c r="K585" s="587">
        <f>(K584+C24*0.04)</f>
        <v>544.53600000000006</v>
      </c>
      <c r="O585" s="796" t="s">
        <v>117</v>
      </c>
      <c r="AG585" s="793" t="s">
        <v>849</v>
      </c>
    </row>
    <row r="586" spans="1:33" hidden="1">
      <c r="A586" s="1103">
        <f t="shared" si="27"/>
        <v>416</v>
      </c>
      <c r="B586" s="793" t="s">
        <v>3251</v>
      </c>
      <c r="C586" s="587">
        <v>19</v>
      </c>
      <c r="D586" s="573" t="s">
        <v>148</v>
      </c>
      <c r="E586" s="575"/>
      <c r="H586" s="793" t="s">
        <v>491</v>
      </c>
      <c r="I586" s="587">
        <f>K585</f>
        <v>544.53600000000006</v>
      </c>
      <c r="J586" s="574">
        <f>C23*0.04</f>
        <v>2.1139999999999999</v>
      </c>
      <c r="K586" s="587">
        <f>(K585+C24*0.04)</f>
        <v>546.65000000000009</v>
      </c>
      <c r="M586" s="800">
        <v>1.3</v>
      </c>
      <c r="N586" s="793" t="s">
        <v>126</v>
      </c>
      <c r="O586" s="793" t="s">
        <v>973</v>
      </c>
      <c r="P586" s="800">
        <f>(K88)</f>
        <v>52.933333333333337</v>
      </c>
      <c r="Q586" s="793" t="s">
        <v>126</v>
      </c>
      <c r="R586" s="800">
        <f>(M586*P586)</f>
        <v>68.813333333333347</v>
      </c>
      <c r="AG586" s="793" t="s">
        <v>849</v>
      </c>
    </row>
    <row r="587" spans="1:33" hidden="1">
      <c r="A587" s="1103"/>
      <c r="B587" s="793"/>
      <c r="C587" s="587"/>
      <c r="D587" s="573"/>
      <c r="E587" s="575"/>
      <c r="H587" s="793" t="s">
        <v>871</v>
      </c>
      <c r="I587" s="587">
        <f>K586</f>
        <v>546.65000000000009</v>
      </c>
      <c r="J587" s="574">
        <f>C24*0.04</f>
        <v>2.1139999999999999</v>
      </c>
      <c r="K587" s="587">
        <f>(K586+C25*0.04)</f>
        <v>547.47800000000007</v>
      </c>
      <c r="M587" s="800"/>
      <c r="N587" s="793"/>
      <c r="O587" s="793"/>
      <c r="P587" s="800"/>
      <c r="Q587" s="793"/>
      <c r="R587" s="800"/>
      <c r="AG587" s="793"/>
    </row>
    <row r="588" spans="1:33" hidden="1">
      <c r="A588" s="1103">
        <f>(A586+1)</f>
        <v>417</v>
      </c>
      <c r="B588" s="793" t="s">
        <v>3252</v>
      </c>
      <c r="C588" s="587">
        <v>20</v>
      </c>
      <c r="D588" s="573" t="s">
        <v>148</v>
      </c>
      <c r="E588" s="575"/>
      <c r="F588" s="1120">
        <v>15.1</v>
      </c>
      <c r="G588" s="798" t="s">
        <v>1011</v>
      </c>
      <c r="H588" s="793" t="s">
        <v>1012</v>
      </c>
      <c r="I588" s="575"/>
      <c r="J588" s="580"/>
      <c r="K588" s="575"/>
      <c r="M588" s="1108">
        <v>0.216</v>
      </c>
      <c r="N588" s="793" t="s">
        <v>126</v>
      </c>
      <c r="O588" s="793" t="s">
        <v>976</v>
      </c>
      <c r="P588" s="800" t="e">
        <f>(R60)</f>
        <v>#REF!</v>
      </c>
      <c r="Q588" s="793" t="s">
        <v>126</v>
      </c>
      <c r="R588" s="800" t="e">
        <f>(M588*P588)</f>
        <v>#REF!</v>
      </c>
      <c r="AG588" s="793" t="s">
        <v>849</v>
      </c>
    </row>
    <row r="589" spans="1:33" hidden="1">
      <c r="A589" s="1103">
        <f t="shared" si="27"/>
        <v>418</v>
      </c>
      <c r="B589" s="793" t="s">
        <v>3253</v>
      </c>
      <c r="C589" s="587">
        <v>7.5</v>
      </c>
      <c r="D589" s="573" t="s">
        <v>1</v>
      </c>
      <c r="E589" s="575"/>
      <c r="H589" s="793" t="s">
        <v>950</v>
      </c>
      <c r="I589" s="575"/>
      <c r="J589" s="580"/>
      <c r="K589" s="575"/>
      <c r="M589" s="1108">
        <v>0.60099999999999998</v>
      </c>
      <c r="N589" s="793" t="s">
        <v>126</v>
      </c>
      <c r="O589" s="793" t="s">
        <v>978</v>
      </c>
      <c r="P589" s="800" t="e">
        <f>(R89)</f>
        <v>#REF!</v>
      </c>
      <c r="Q589" s="793" t="s">
        <v>126</v>
      </c>
      <c r="R589" s="800" t="e">
        <f>(M589*P589)</f>
        <v>#REF!</v>
      </c>
      <c r="AG589" s="793" t="s">
        <v>849</v>
      </c>
    </row>
    <row r="590" spans="1:33" hidden="1">
      <c r="A590" s="1103">
        <f t="shared" si="27"/>
        <v>419</v>
      </c>
      <c r="B590" s="793" t="s">
        <v>3254</v>
      </c>
      <c r="C590" s="587">
        <v>16</v>
      </c>
      <c r="D590" s="573" t="s">
        <v>1</v>
      </c>
      <c r="E590" s="575" t="s">
        <v>1004</v>
      </c>
      <c r="F590" s="800">
        <v>10</v>
      </c>
      <c r="G590" s="798" t="s">
        <v>174</v>
      </c>
      <c r="H590" s="793" t="s">
        <v>952</v>
      </c>
      <c r="I590" s="587">
        <f>C721</f>
        <v>227</v>
      </c>
      <c r="J590" s="574" t="s">
        <v>174</v>
      </c>
      <c r="K590" s="587">
        <f>(F590*I590)</f>
        <v>2270</v>
      </c>
      <c r="M590" s="1108">
        <v>6.35</v>
      </c>
      <c r="N590" s="793" t="s">
        <v>140</v>
      </c>
      <c r="O590" s="793" t="s">
        <v>982</v>
      </c>
      <c r="P590" s="800" t="e">
        <f>(R303)</f>
        <v>#REF!</v>
      </c>
      <c r="Q590" s="793" t="s">
        <v>140</v>
      </c>
      <c r="R590" s="800" t="e">
        <f>(M590*P590)</f>
        <v>#REF!</v>
      </c>
      <c r="AG590" s="793" t="s">
        <v>849</v>
      </c>
    </row>
    <row r="591" spans="1:33" hidden="1">
      <c r="A591" s="1103">
        <f t="shared" si="27"/>
        <v>420</v>
      </c>
      <c r="B591" s="793" t="s">
        <v>3255</v>
      </c>
      <c r="C591" s="587">
        <v>1700</v>
      </c>
      <c r="D591" s="573" t="s">
        <v>1006</v>
      </c>
      <c r="E591" s="575">
        <v>2000</v>
      </c>
      <c r="F591" s="800">
        <v>0.12</v>
      </c>
      <c r="G591" s="798" t="s">
        <v>126</v>
      </c>
      <c r="H591" s="793" t="s">
        <v>1018</v>
      </c>
      <c r="I591" s="587" t="e">
        <f>K32</f>
        <v>#REF!</v>
      </c>
      <c r="J591" s="574" t="s">
        <v>126</v>
      </c>
      <c r="K591" s="587" t="e">
        <f>(F591*I591)</f>
        <v>#REF!</v>
      </c>
      <c r="M591" s="1108">
        <v>3.2000000000000001E-2</v>
      </c>
      <c r="N591" s="793" t="s">
        <v>126</v>
      </c>
      <c r="O591" s="793" t="s">
        <v>984</v>
      </c>
      <c r="P591" s="800" t="e">
        <f>(K614)</f>
        <v>#REF!</v>
      </c>
      <c r="Q591" s="793" t="s">
        <v>126</v>
      </c>
      <c r="R591" s="800" t="e">
        <f>(M591*P591)</f>
        <v>#REF!</v>
      </c>
      <c r="AG591" s="793" t="s">
        <v>849</v>
      </c>
    </row>
    <row r="592" spans="1:33" hidden="1">
      <c r="A592" s="1103">
        <f t="shared" si="27"/>
        <v>421</v>
      </c>
      <c r="B592" s="793" t="s">
        <v>1007</v>
      </c>
      <c r="C592" s="587">
        <v>805</v>
      </c>
      <c r="D592" s="573" t="s">
        <v>1006</v>
      </c>
      <c r="E592" s="575"/>
      <c r="F592" s="800">
        <v>1</v>
      </c>
      <c r="G592" s="798" t="s">
        <v>233</v>
      </c>
      <c r="H592" s="793" t="s">
        <v>954</v>
      </c>
      <c r="I592" s="587">
        <f>C10</f>
        <v>150</v>
      </c>
      <c r="J592" s="574" t="s">
        <v>227</v>
      </c>
      <c r="K592" s="587">
        <f>(F592*I592)</f>
        <v>150</v>
      </c>
      <c r="O592" s="793" t="s">
        <v>986</v>
      </c>
      <c r="R592" s="793" t="s">
        <v>115</v>
      </c>
      <c r="AG592" s="793" t="s">
        <v>849</v>
      </c>
    </row>
    <row r="593" spans="1:33" hidden="1">
      <c r="A593" s="1103">
        <f t="shared" si="27"/>
        <v>422</v>
      </c>
      <c r="B593" s="793" t="s">
        <v>1008</v>
      </c>
      <c r="C593" s="587">
        <f>204+53</f>
        <v>257</v>
      </c>
      <c r="D593" s="573" t="s">
        <v>1006</v>
      </c>
      <c r="E593" s="575"/>
      <c r="F593" s="800">
        <v>1</v>
      </c>
      <c r="G593" s="798" t="s">
        <v>233</v>
      </c>
      <c r="H593" s="793" t="s">
        <v>956</v>
      </c>
      <c r="I593" s="587">
        <f>C12</f>
        <v>95</v>
      </c>
      <c r="J593" s="574" t="s">
        <v>227</v>
      </c>
      <c r="K593" s="587">
        <f>(F593*I593)</f>
        <v>95</v>
      </c>
      <c r="N593" s="793" t="s">
        <v>129</v>
      </c>
      <c r="O593" s="793" t="s">
        <v>988</v>
      </c>
      <c r="Q593" s="793" t="s">
        <v>129</v>
      </c>
      <c r="R593" s="800">
        <v>2.1</v>
      </c>
      <c r="AG593" s="793" t="s">
        <v>849</v>
      </c>
    </row>
    <row r="594" spans="1:33" hidden="1">
      <c r="A594" s="1103">
        <f t="shared" si="27"/>
        <v>423</v>
      </c>
      <c r="B594" s="793" t="s">
        <v>3256</v>
      </c>
      <c r="C594" s="587">
        <v>53</v>
      </c>
      <c r="D594" s="573" t="s">
        <v>1</v>
      </c>
      <c r="E594" s="575"/>
      <c r="G594" s="798" t="s">
        <v>129</v>
      </c>
      <c r="H594" s="793" t="s">
        <v>958</v>
      </c>
      <c r="I594" s="575"/>
      <c r="J594" s="574" t="s">
        <v>129</v>
      </c>
      <c r="K594" s="587">
        <v>0.33</v>
      </c>
      <c r="R594" s="796" t="s">
        <v>117</v>
      </c>
      <c r="AG594" s="793" t="s">
        <v>849</v>
      </c>
    </row>
    <row r="595" spans="1:33" hidden="1">
      <c r="A595" s="1103">
        <f t="shared" si="27"/>
        <v>424</v>
      </c>
      <c r="B595" s="793" t="s">
        <v>3257</v>
      </c>
      <c r="C595" s="587">
        <v>1050</v>
      </c>
      <c r="D595" s="573" t="s">
        <v>1</v>
      </c>
      <c r="E595" s="575"/>
      <c r="H595" s="793" t="s">
        <v>960</v>
      </c>
      <c r="I595" s="575"/>
      <c r="J595" s="580"/>
      <c r="K595" s="582" t="s">
        <v>117</v>
      </c>
      <c r="O595" s="793" t="s">
        <v>991</v>
      </c>
      <c r="R595" s="800" t="e">
        <f>SUM(R586:R593)</f>
        <v>#REF!</v>
      </c>
      <c r="AG595" s="793" t="s">
        <v>849</v>
      </c>
    </row>
    <row r="596" spans="1:33" hidden="1">
      <c r="A596" s="1103">
        <f t="shared" si="27"/>
        <v>425</v>
      </c>
      <c r="B596" s="793" t="s">
        <v>1013</v>
      </c>
      <c r="C596" s="587">
        <v>196</v>
      </c>
      <c r="D596" s="573" t="s">
        <v>1</v>
      </c>
      <c r="E596" s="575"/>
      <c r="H596" s="1098" t="s">
        <v>1028</v>
      </c>
      <c r="I596" s="575"/>
      <c r="J596" s="580"/>
      <c r="K596" s="587" t="e">
        <f>SUM(K590:K594)</f>
        <v>#REF!</v>
      </c>
      <c r="R596" s="796" t="s">
        <v>117</v>
      </c>
      <c r="AG596" s="793" t="s">
        <v>849</v>
      </c>
    </row>
    <row r="597" spans="1:33" hidden="1">
      <c r="A597" s="1103">
        <f t="shared" si="27"/>
        <v>426</v>
      </c>
      <c r="B597" s="793" t="s">
        <v>3258</v>
      </c>
      <c r="C597" s="587">
        <v>206.9</v>
      </c>
      <c r="D597" s="573" t="s">
        <v>1</v>
      </c>
      <c r="E597" s="575"/>
      <c r="I597" s="575"/>
      <c r="J597" s="580"/>
      <c r="K597" s="582" t="s">
        <v>117</v>
      </c>
      <c r="N597" s="793" t="s">
        <v>122</v>
      </c>
      <c r="O597" s="793" t="s">
        <v>1016</v>
      </c>
      <c r="AG597" s="793" t="s">
        <v>849</v>
      </c>
    </row>
    <row r="598" spans="1:33" hidden="1">
      <c r="A598" s="1103">
        <f t="shared" si="27"/>
        <v>427</v>
      </c>
      <c r="B598" s="793" t="s">
        <v>1017</v>
      </c>
      <c r="C598" s="587">
        <v>120</v>
      </c>
      <c r="D598" s="573" t="s">
        <v>203</v>
      </c>
      <c r="E598" s="575"/>
      <c r="H598" s="1098" t="s">
        <v>1033</v>
      </c>
      <c r="I598" s="575"/>
      <c r="J598" s="580"/>
      <c r="K598" s="587" t="e">
        <f>K596/10</f>
        <v>#REF!</v>
      </c>
      <c r="O598" s="793" t="s">
        <v>1019</v>
      </c>
      <c r="AG598" s="793" t="s">
        <v>849</v>
      </c>
    </row>
    <row r="599" spans="1:33" hidden="1">
      <c r="A599" s="1103">
        <f t="shared" si="27"/>
        <v>428</v>
      </c>
      <c r="B599" s="793" t="s">
        <v>1020</v>
      </c>
      <c r="C599" s="587">
        <v>80</v>
      </c>
      <c r="D599" s="573" t="s">
        <v>203</v>
      </c>
      <c r="E599" s="575"/>
      <c r="H599" s="793" t="s">
        <v>482</v>
      </c>
      <c r="I599" s="575"/>
      <c r="J599" s="580"/>
      <c r="K599" s="587" t="e">
        <f>(K598+C22*0.02)</f>
        <v>#REF!</v>
      </c>
      <c r="O599" s="796" t="s">
        <v>117</v>
      </c>
      <c r="AG599" s="793" t="s">
        <v>849</v>
      </c>
    </row>
    <row r="600" spans="1:33" hidden="1">
      <c r="A600" s="1103">
        <f t="shared" si="27"/>
        <v>429</v>
      </c>
      <c r="B600" s="793" t="s">
        <v>1021</v>
      </c>
      <c r="C600" s="575"/>
      <c r="D600" s="573" t="s">
        <v>203</v>
      </c>
      <c r="E600" s="575"/>
      <c r="H600" s="793" t="s">
        <v>486</v>
      </c>
      <c r="I600" s="575"/>
      <c r="J600" s="580"/>
      <c r="K600" s="587" t="e">
        <f>(K599+C24*0.02)</f>
        <v>#REF!</v>
      </c>
      <c r="M600" s="800">
        <v>10.37</v>
      </c>
      <c r="N600" s="793" t="s">
        <v>126</v>
      </c>
      <c r="O600" s="793" t="s">
        <v>1022</v>
      </c>
      <c r="P600" s="800">
        <f>(C61*2)</f>
        <v>50</v>
      </c>
      <c r="Q600" s="793" t="s">
        <v>126</v>
      </c>
      <c r="R600" s="800">
        <f t="shared" ref="R600:R608" si="28">(M600*P600)</f>
        <v>518.5</v>
      </c>
      <c r="AG600" s="793" t="s">
        <v>849</v>
      </c>
    </row>
    <row r="601" spans="1:33" hidden="1">
      <c r="A601" s="1103">
        <f t="shared" si="27"/>
        <v>430</v>
      </c>
      <c r="B601" s="793" t="s">
        <v>3259</v>
      </c>
      <c r="C601" s="587">
        <v>65</v>
      </c>
      <c r="D601" s="573" t="s">
        <v>209</v>
      </c>
      <c r="E601" s="575"/>
      <c r="H601" s="793" t="s">
        <v>489</v>
      </c>
      <c r="I601" s="575"/>
      <c r="J601" s="580"/>
      <c r="K601" s="587" t="e">
        <f>(K600+C24*0.02)</f>
        <v>#REF!</v>
      </c>
      <c r="M601" s="800">
        <v>0.65</v>
      </c>
      <c r="N601" s="793" t="s">
        <v>126</v>
      </c>
      <c r="O601" s="793" t="s">
        <v>1024</v>
      </c>
      <c r="P601" s="800" t="e">
        <f>R60</f>
        <v>#REF!</v>
      </c>
      <c r="Q601" s="793" t="s">
        <v>126</v>
      </c>
      <c r="R601" s="800" t="e">
        <f t="shared" si="28"/>
        <v>#REF!</v>
      </c>
      <c r="AG601" s="793" t="s">
        <v>849</v>
      </c>
    </row>
    <row r="602" spans="1:33" hidden="1">
      <c r="A602" s="1103">
        <f t="shared" si="27"/>
        <v>431</v>
      </c>
      <c r="B602" s="793" t="s">
        <v>1025</v>
      </c>
      <c r="C602" s="587">
        <v>40</v>
      </c>
      <c r="D602" s="573" t="s">
        <v>209</v>
      </c>
      <c r="E602" s="575"/>
      <c r="H602" s="793" t="s">
        <v>491</v>
      </c>
      <c r="I602" s="575"/>
      <c r="J602" s="580"/>
      <c r="K602" s="587" t="e">
        <f>(K601+C24*0.02)</f>
        <v>#REF!</v>
      </c>
      <c r="M602" s="800">
        <v>1.1399999999999999</v>
      </c>
      <c r="N602" s="793" t="s">
        <v>126</v>
      </c>
      <c r="O602" s="793" t="s">
        <v>1026</v>
      </c>
      <c r="P602" s="800" t="e">
        <f>K320</f>
        <v>#REF!</v>
      </c>
      <c r="Q602" s="793" t="s">
        <v>126</v>
      </c>
      <c r="R602" s="800" t="e">
        <f t="shared" si="28"/>
        <v>#REF!</v>
      </c>
      <c r="AG602" s="793" t="s">
        <v>849</v>
      </c>
    </row>
    <row r="603" spans="1:33" hidden="1">
      <c r="A603" s="1103">
        <f t="shared" si="27"/>
        <v>432</v>
      </c>
      <c r="B603" s="793" t="s">
        <v>1027</v>
      </c>
      <c r="C603" s="575"/>
      <c r="D603" s="573" t="s">
        <v>209</v>
      </c>
      <c r="E603" s="575"/>
      <c r="H603" s="793" t="s">
        <v>871</v>
      </c>
      <c r="I603" s="575"/>
      <c r="J603" s="580"/>
      <c r="K603" s="587" t="e">
        <f>(K602+C25*0.02)</f>
        <v>#REF!</v>
      </c>
      <c r="M603" s="800">
        <v>0.85</v>
      </c>
      <c r="N603" s="793" t="s">
        <v>126</v>
      </c>
      <c r="O603" s="793" t="s">
        <v>1029</v>
      </c>
      <c r="P603" s="800" t="e">
        <f>K320-K311/10</f>
        <v>#REF!</v>
      </c>
      <c r="Q603" s="793" t="s">
        <v>126</v>
      </c>
      <c r="R603" s="800" t="e">
        <f t="shared" si="28"/>
        <v>#REF!</v>
      </c>
      <c r="AG603" s="793" t="s">
        <v>849</v>
      </c>
    </row>
    <row r="604" spans="1:33" hidden="1">
      <c r="A604" s="1103">
        <f t="shared" si="27"/>
        <v>433</v>
      </c>
      <c r="B604" s="793" t="s">
        <v>3260</v>
      </c>
      <c r="C604" s="587">
        <v>45</v>
      </c>
      <c r="D604" s="573" t="s">
        <v>209</v>
      </c>
      <c r="E604" s="575"/>
      <c r="F604" s="1098" t="s">
        <v>839</v>
      </c>
      <c r="G604" s="798" t="s">
        <v>122</v>
      </c>
      <c r="H604" s="793" t="s">
        <v>840</v>
      </c>
      <c r="I604" s="575"/>
      <c r="J604" s="580"/>
      <c r="K604" s="575"/>
      <c r="M604" s="800">
        <v>0.98</v>
      </c>
      <c r="N604" s="793" t="s">
        <v>126</v>
      </c>
      <c r="O604" s="793" t="s">
        <v>1031</v>
      </c>
      <c r="P604" s="800" t="e">
        <f>(C73)</f>
        <v>#REF!</v>
      </c>
      <c r="Q604" s="793" t="s">
        <v>126</v>
      </c>
      <c r="R604" s="800" t="e">
        <f t="shared" si="28"/>
        <v>#REF!</v>
      </c>
      <c r="AG604" s="793" t="s">
        <v>849</v>
      </c>
    </row>
    <row r="605" spans="1:33" hidden="1">
      <c r="A605" s="1103">
        <f t="shared" si="27"/>
        <v>434</v>
      </c>
      <c r="B605" s="793" t="s">
        <v>1032</v>
      </c>
      <c r="C605" s="587">
        <v>36.520000000000003</v>
      </c>
      <c r="D605" s="573" t="s">
        <v>209</v>
      </c>
      <c r="E605" s="575"/>
      <c r="H605" s="793" t="s">
        <v>842</v>
      </c>
      <c r="I605" s="575"/>
      <c r="J605" s="580"/>
      <c r="K605" s="575"/>
      <c r="M605" s="800">
        <v>2.68</v>
      </c>
      <c r="N605" s="793" t="s">
        <v>126</v>
      </c>
      <c r="O605" s="793" t="s">
        <v>492</v>
      </c>
      <c r="P605" s="800" t="e">
        <f>(C79)</f>
        <v>#REF!</v>
      </c>
      <c r="Q605" s="793" t="s">
        <v>126</v>
      </c>
      <c r="R605" s="800" t="e">
        <f t="shared" si="28"/>
        <v>#REF!</v>
      </c>
      <c r="AG605" s="793" t="s">
        <v>849</v>
      </c>
    </row>
    <row r="606" spans="1:33" hidden="1">
      <c r="A606" s="1103">
        <f t="shared" si="27"/>
        <v>435</v>
      </c>
      <c r="B606" s="793" t="s">
        <v>1034</v>
      </c>
      <c r="C606" s="575"/>
      <c r="D606" s="573" t="s">
        <v>209</v>
      </c>
      <c r="E606" s="575"/>
      <c r="H606" s="793" t="s">
        <v>1046</v>
      </c>
      <c r="I606" s="575"/>
      <c r="J606" s="580"/>
      <c r="K606" s="575"/>
      <c r="M606" s="800">
        <v>7.24</v>
      </c>
      <c r="N606" s="793" t="s">
        <v>140</v>
      </c>
      <c r="O606" s="793" t="s">
        <v>1035</v>
      </c>
      <c r="P606" s="800" t="e">
        <f>(K1332)</f>
        <v>#REF!</v>
      </c>
      <c r="Q606" s="793" t="s">
        <v>140</v>
      </c>
      <c r="R606" s="800" t="e">
        <f t="shared" si="28"/>
        <v>#REF!</v>
      </c>
      <c r="AG606" s="793" t="s">
        <v>849</v>
      </c>
    </row>
    <row r="607" spans="1:33" hidden="1">
      <c r="A607" s="1103">
        <f t="shared" si="27"/>
        <v>436</v>
      </c>
      <c r="B607" s="793" t="s">
        <v>3261</v>
      </c>
      <c r="C607" s="587">
        <v>73.48</v>
      </c>
      <c r="D607" s="587">
        <v>93.72</v>
      </c>
      <c r="E607" s="575"/>
      <c r="H607" s="796" t="s">
        <v>117</v>
      </c>
      <c r="I607" s="575"/>
      <c r="J607" s="580"/>
      <c r="K607" s="575"/>
      <c r="M607" s="800">
        <v>1</v>
      </c>
      <c r="N607" s="793" t="s">
        <v>209</v>
      </c>
      <c r="O607" s="793" t="s">
        <v>1037</v>
      </c>
      <c r="P607" s="800">
        <f>(C202)</f>
        <v>75</v>
      </c>
      <c r="Q607" s="793" t="s">
        <v>209</v>
      </c>
      <c r="R607" s="800">
        <f t="shared" si="28"/>
        <v>75</v>
      </c>
      <c r="AG607" s="793" t="s">
        <v>849</v>
      </c>
    </row>
    <row r="608" spans="1:33" hidden="1">
      <c r="A608" s="1103">
        <f t="shared" si="27"/>
        <v>437</v>
      </c>
      <c r="B608" s="793" t="s">
        <v>1038</v>
      </c>
      <c r="C608" s="587">
        <v>43.12</v>
      </c>
      <c r="D608" s="573" t="s">
        <v>209</v>
      </c>
      <c r="E608" s="575"/>
      <c r="F608" s="800">
        <v>0.01</v>
      </c>
      <c r="G608" s="798" t="s">
        <v>126</v>
      </c>
      <c r="H608" s="793" t="s">
        <v>1049</v>
      </c>
      <c r="I608" s="587" t="e">
        <f>(K279)</f>
        <v>#REF!</v>
      </c>
      <c r="J608" s="574" t="s">
        <v>126</v>
      </c>
      <c r="K608" s="587" t="e">
        <f>(F608*I608)</f>
        <v>#REF!</v>
      </c>
      <c r="M608" s="1108">
        <v>0.13600000000000001</v>
      </c>
      <c r="N608" s="793" t="s">
        <v>126</v>
      </c>
      <c r="O608" s="793" t="s">
        <v>1039</v>
      </c>
      <c r="P608" s="800" t="e">
        <f>(K614)</f>
        <v>#REF!</v>
      </c>
      <c r="Q608" s="793" t="s">
        <v>126</v>
      </c>
      <c r="R608" s="800" t="e">
        <f t="shared" si="28"/>
        <v>#REF!</v>
      </c>
      <c r="AG608" s="793" t="s">
        <v>849</v>
      </c>
    </row>
    <row r="609" spans="1:33" hidden="1">
      <c r="A609" s="1103">
        <f t="shared" si="27"/>
        <v>438</v>
      </c>
      <c r="B609" s="793" t="s">
        <v>1040</v>
      </c>
      <c r="C609" s="575"/>
      <c r="D609" s="573" t="s">
        <v>209</v>
      </c>
      <c r="E609" s="575"/>
      <c r="F609" s="800">
        <v>0.01</v>
      </c>
      <c r="G609" s="798" t="s">
        <v>126</v>
      </c>
      <c r="H609" s="793" t="s">
        <v>851</v>
      </c>
      <c r="I609" s="575"/>
      <c r="J609" s="574" t="s">
        <v>129</v>
      </c>
      <c r="K609" s="587">
        <v>1.1499999999999999</v>
      </c>
      <c r="O609" s="793" t="s">
        <v>1041</v>
      </c>
      <c r="AG609" s="793" t="s">
        <v>849</v>
      </c>
    </row>
    <row r="610" spans="1:33" hidden="1">
      <c r="A610" s="1103">
        <f t="shared" si="27"/>
        <v>439</v>
      </c>
      <c r="B610" s="793" t="s">
        <v>3262</v>
      </c>
      <c r="C610" s="587">
        <v>121.88</v>
      </c>
      <c r="D610" s="573" t="s">
        <v>209</v>
      </c>
      <c r="E610" s="575"/>
      <c r="H610" s="793" t="s">
        <v>855</v>
      </c>
      <c r="I610" s="575"/>
      <c r="J610" s="580"/>
      <c r="K610" s="575"/>
      <c r="N610" s="793" t="s">
        <v>129</v>
      </c>
      <c r="O610" s="793" t="s">
        <v>988</v>
      </c>
      <c r="Q610" s="793" t="s">
        <v>129</v>
      </c>
      <c r="R610" s="800">
        <v>1.5</v>
      </c>
      <c r="AG610" s="793" t="s">
        <v>849</v>
      </c>
    </row>
    <row r="611" spans="1:33" hidden="1">
      <c r="A611" s="1103">
        <f t="shared" si="27"/>
        <v>440</v>
      </c>
      <c r="B611" s="793" t="s">
        <v>1043</v>
      </c>
      <c r="C611" s="587">
        <v>66</v>
      </c>
      <c r="D611" s="573" t="s">
        <v>209</v>
      </c>
      <c r="E611" s="575"/>
      <c r="I611" s="575"/>
      <c r="J611" s="580"/>
      <c r="K611" s="582" t="s">
        <v>117</v>
      </c>
      <c r="R611" s="796" t="s">
        <v>117</v>
      </c>
      <c r="AG611" s="793" t="s">
        <v>849</v>
      </c>
    </row>
    <row r="612" spans="1:33" hidden="1">
      <c r="A612" s="1103">
        <f t="shared" si="27"/>
        <v>441</v>
      </c>
      <c r="B612" s="793" t="s">
        <v>1044</v>
      </c>
      <c r="C612" s="575"/>
      <c r="D612" s="573" t="s">
        <v>209</v>
      </c>
      <c r="E612" s="575"/>
      <c r="H612" s="793" t="s">
        <v>856</v>
      </c>
      <c r="I612" s="575"/>
      <c r="J612" s="580"/>
      <c r="K612" s="587" t="e">
        <f>SUM(K608:K610)</f>
        <v>#REF!</v>
      </c>
      <c r="O612" s="793" t="s">
        <v>991</v>
      </c>
      <c r="R612" s="800" t="e">
        <f>SUM(R600:R610)</f>
        <v>#REF!</v>
      </c>
      <c r="AG612" s="793" t="s">
        <v>636</v>
      </c>
    </row>
    <row r="613" spans="1:33" hidden="1">
      <c r="A613" s="1103">
        <f t="shared" si="27"/>
        <v>442</v>
      </c>
      <c r="B613" s="793" t="s">
        <v>3263</v>
      </c>
      <c r="C613" s="587">
        <v>149.16</v>
      </c>
      <c r="D613" s="573" t="s">
        <v>209</v>
      </c>
      <c r="E613" s="575"/>
      <c r="I613" s="575"/>
      <c r="J613" s="580"/>
      <c r="K613" s="582" t="s">
        <v>117</v>
      </c>
      <c r="R613" s="796" t="s">
        <v>117</v>
      </c>
    </row>
    <row r="614" spans="1:33" hidden="1">
      <c r="A614" s="1103">
        <f t="shared" si="27"/>
        <v>443</v>
      </c>
      <c r="B614" s="793" t="s">
        <v>1047</v>
      </c>
      <c r="C614" s="587">
        <v>84.92</v>
      </c>
      <c r="D614" s="573" t="s">
        <v>209</v>
      </c>
      <c r="E614" s="575"/>
      <c r="H614" s="793" t="s">
        <v>383</v>
      </c>
      <c r="I614" s="575"/>
      <c r="J614" s="580"/>
      <c r="K614" s="587" t="e">
        <f>ROUND(K612*100,0)</f>
        <v>#REF!</v>
      </c>
      <c r="N614" s="793" t="s">
        <v>122</v>
      </c>
      <c r="O614" s="793" t="s">
        <v>1048</v>
      </c>
    </row>
    <row r="615" spans="1:33" hidden="1">
      <c r="C615" s="575"/>
      <c r="D615" s="575"/>
      <c r="E615" s="575"/>
      <c r="F615" s="793" t="s">
        <v>115</v>
      </c>
      <c r="I615" s="575"/>
      <c r="J615" s="580"/>
      <c r="K615" s="575"/>
    </row>
    <row r="616" spans="1:33" hidden="1">
      <c r="A616" s="1103">
        <f>(A614+1)</f>
        <v>444</v>
      </c>
      <c r="B616" s="793" t="s">
        <v>1050</v>
      </c>
      <c r="C616" s="575"/>
      <c r="D616" s="573" t="s">
        <v>209</v>
      </c>
      <c r="E616" s="575"/>
      <c r="I616" s="575"/>
      <c r="J616" s="580"/>
      <c r="K616" s="582" t="s">
        <v>155</v>
      </c>
      <c r="O616" s="793" t="s">
        <v>1051</v>
      </c>
      <c r="AG616" s="793" t="s">
        <v>849</v>
      </c>
    </row>
    <row r="617" spans="1:33" hidden="1">
      <c r="A617" s="1103">
        <f t="shared" ref="A617:A673" si="29">(A616+1)</f>
        <v>445</v>
      </c>
      <c r="B617" s="793" t="s">
        <v>3264</v>
      </c>
      <c r="C617" s="587">
        <v>195.36</v>
      </c>
      <c r="D617" s="573" t="s">
        <v>209</v>
      </c>
      <c r="E617" s="575"/>
      <c r="G617" s="798" t="s">
        <v>558</v>
      </c>
      <c r="H617" s="793" t="s">
        <v>857</v>
      </c>
      <c r="I617" s="575"/>
      <c r="J617" s="580"/>
      <c r="K617" s="575"/>
      <c r="O617" s="796" t="s">
        <v>117</v>
      </c>
      <c r="AG617" s="793" t="s">
        <v>849</v>
      </c>
    </row>
    <row r="618" spans="1:33" hidden="1">
      <c r="A618" s="1103">
        <f t="shared" si="29"/>
        <v>446</v>
      </c>
      <c r="B618" s="793" t="s">
        <v>1055</v>
      </c>
      <c r="C618" s="587">
        <v>137.28</v>
      </c>
      <c r="D618" s="573" t="s">
        <v>209</v>
      </c>
      <c r="E618" s="575"/>
      <c r="H618" s="793" t="s">
        <v>858</v>
      </c>
      <c r="I618" s="575"/>
      <c r="J618" s="580"/>
      <c r="K618" s="575"/>
      <c r="M618" s="800">
        <v>3</v>
      </c>
      <c r="N618" s="793" t="s">
        <v>126</v>
      </c>
      <c r="O618" s="793" t="s">
        <v>1056</v>
      </c>
      <c r="P618" s="800">
        <f>(C61*2)</f>
        <v>50</v>
      </c>
      <c r="Q618" s="793" t="s">
        <v>126</v>
      </c>
      <c r="R618" s="800">
        <f>(M618*P618)</f>
        <v>150</v>
      </c>
      <c r="AG618" s="793" t="s">
        <v>849</v>
      </c>
    </row>
    <row r="619" spans="1:33" hidden="1">
      <c r="A619" s="1103">
        <f t="shared" si="29"/>
        <v>447</v>
      </c>
      <c r="B619" s="793" t="s">
        <v>1058</v>
      </c>
      <c r="C619" s="575"/>
      <c r="D619" s="573" t="s">
        <v>209</v>
      </c>
      <c r="E619" s="575"/>
      <c r="H619" s="796" t="s">
        <v>117</v>
      </c>
      <c r="I619" s="575"/>
      <c r="J619" s="580"/>
      <c r="K619" s="575"/>
      <c r="M619" s="800">
        <v>2.4</v>
      </c>
      <c r="N619" s="793" t="s">
        <v>126</v>
      </c>
      <c r="O619" s="793" t="s">
        <v>1059</v>
      </c>
      <c r="P619" s="800" t="e">
        <f>(C81)</f>
        <v>#REF!</v>
      </c>
      <c r="Q619" s="793" t="s">
        <v>126</v>
      </c>
      <c r="R619" s="800" t="e">
        <f>(M619*P619)</f>
        <v>#REF!</v>
      </c>
      <c r="AG619" s="793" t="s">
        <v>849</v>
      </c>
    </row>
    <row r="620" spans="1:33" hidden="1">
      <c r="A620" s="1103">
        <f t="shared" si="29"/>
        <v>448</v>
      </c>
      <c r="B620" s="793" t="s">
        <v>3265</v>
      </c>
      <c r="C620" s="587">
        <v>97.68</v>
      </c>
      <c r="D620" s="573" t="s">
        <v>209</v>
      </c>
      <c r="E620" s="575"/>
      <c r="F620" s="1108">
        <v>1.4E-2</v>
      </c>
      <c r="G620" s="798" t="s">
        <v>126</v>
      </c>
      <c r="H620" s="793" t="s">
        <v>859</v>
      </c>
      <c r="I620" s="587" t="e">
        <f>(K614)</f>
        <v>#REF!</v>
      </c>
      <c r="J620" s="574" t="s">
        <v>126</v>
      </c>
      <c r="K620" s="587" t="e">
        <f>(F620*I620)</f>
        <v>#REF!</v>
      </c>
      <c r="M620" s="800">
        <v>5</v>
      </c>
      <c r="N620" s="793" t="s">
        <v>209</v>
      </c>
      <c r="O620" s="793" t="s">
        <v>1061</v>
      </c>
      <c r="P620" s="800">
        <f>(C203)</f>
        <v>40</v>
      </c>
      <c r="Q620" s="793" t="s">
        <v>209</v>
      </c>
      <c r="R620" s="800">
        <f>(M620*P620)</f>
        <v>200</v>
      </c>
      <c r="AG620" s="793" t="s">
        <v>849</v>
      </c>
    </row>
    <row r="621" spans="1:33" hidden="1">
      <c r="A621" s="1103">
        <f t="shared" si="29"/>
        <v>449</v>
      </c>
      <c r="B621" s="793" t="s">
        <v>1063</v>
      </c>
      <c r="C621" s="587">
        <v>54.12</v>
      </c>
      <c r="D621" s="573" t="s">
        <v>209</v>
      </c>
      <c r="E621" s="575"/>
      <c r="F621" s="1108"/>
      <c r="H621" s="793" t="s">
        <v>860</v>
      </c>
      <c r="I621" s="575"/>
      <c r="J621" s="580"/>
      <c r="K621" s="573" t="s">
        <v>115</v>
      </c>
      <c r="O621" s="793" t="s">
        <v>130</v>
      </c>
      <c r="Q621" s="793" t="s">
        <v>129</v>
      </c>
      <c r="R621" s="800">
        <v>0.08</v>
      </c>
      <c r="AG621" s="793" t="s">
        <v>849</v>
      </c>
    </row>
    <row r="622" spans="1:33" hidden="1">
      <c r="A622" s="1103">
        <f t="shared" si="29"/>
        <v>450</v>
      </c>
      <c r="B622" s="793" t="s">
        <v>1064</v>
      </c>
      <c r="C622" s="575"/>
      <c r="D622" s="573" t="s">
        <v>209</v>
      </c>
      <c r="E622" s="575"/>
      <c r="F622" s="800">
        <v>0.5</v>
      </c>
      <c r="G622" s="798" t="s">
        <v>1</v>
      </c>
      <c r="H622" s="793" t="s">
        <v>144</v>
      </c>
      <c r="I622" s="587">
        <f>(C10)</f>
        <v>150</v>
      </c>
      <c r="J622" s="574" t="s">
        <v>1</v>
      </c>
      <c r="K622" s="587">
        <f>(F622*I622)</f>
        <v>75</v>
      </c>
      <c r="R622" s="796" t="s">
        <v>117</v>
      </c>
      <c r="S622" s="793" t="s">
        <v>115</v>
      </c>
      <c r="AG622" s="793" t="s">
        <v>849</v>
      </c>
    </row>
    <row r="623" spans="1:33" hidden="1">
      <c r="A623" s="1103">
        <f t="shared" si="29"/>
        <v>451</v>
      </c>
      <c r="B623" s="793" t="s">
        <v>3266</v>
      </c>
      <c r="C623" s="587">
        <v>110</v>
      </c>
      <c r="D623" s="573" t="s">
        <v>209</v>
      </c>
      <c r="E623" s="575"/>
      <c r="F623" s="800">
        <v>0.75</v>
      </c>
      <c r="G623" s="798" t="s">
        <v>1</v>
      </c>
      <c r="H623" s="793" t="s">
        <v>146</v>
      </c>
      <c r="I623" s="587">
        <f>(C12)</f>
        <v>95</v>
      </c>
      <c r="J623" s="574" t="s">
        <v>1</v>
      </c>
      <c r="K623" s="587">
        <f>(F623*I623)</f>
        <v>71.25</v>
      </c>
      <c r="O623" s="793" t="s">
        <v>991</v>
      </c>
      <c r="R623" s="800" t="e">
        <f>SUM(R618:R621)</f>
        <v>#REF!</v>
      </c>
      <c r="AG623" s="793" t="s">
        <v>849</v>
      </c>
    </row>
    <row r="624" spans="1:33" hidden="1">
      <c r="A624" s="1103">
        <f t="shared" si="29"/>
        <v>452</v>
      </c>
      <c r="B624" s="793" t="s">
        <v>1066</v>
      </c>
      <c r="C624" s="587">
        <v>70</v>
      </c>
      <c r="D624" s="573" t="s">
        <v>209</v>
      </c>
      <c r="E624" s="575"/>
      <c r="G624" s="798" t="s">
        <v>129</v>
      </c>
      <c r="H624" s="793" t="s">
        <v>130</v>
      </c>
      <c r="I624" s="575"/>
      <c r="J624" s="574" t="s">
        <v>129</v>
      </c>
      <c r="K624" s="587">
        <v>0</v>
      </c>
      <c r="R624" s="796" t="s">
        <v>117</v>
      </c>
      <c r="AG624" s="793" t="s">
        <v>849</v>
      </c>
    </row>
    <row r="625" spans="1:33" hidden="1">
      <c r="A625" s="1103">
        <f t="shared" si="29"/>
        <v>453</v>
      </c>
      <c r="B625" s="793" t="s">
        <v>1067</v>
      </c>
      <c r="C625" s="575"/>
      <c r="D625" s="573" t="s">
        <v>209</v>
      </c>
      <c r="E625" s="575"/>
      <c r="I625" s="575"/>
      <c r="J625" s="580"/>
      <c r="K625" s="582" t="s">
        <v>117</v>
      </c>
      <c r="AG625" s="793" t="s">
        <v>849</v>
      </c>
    </row>
    <row r="626" spans="1:33" hidden="1">
      <c r="A626" s="1103">
        <f t="shared" si="29"/>
        <v>454</v>
      </c>
      <c r="B626" s="793" t="s">
        <v>3267</v>
      </c>
      <c r="C626" s="587">
        <v>12</v>
      </c>
      <c r="D626" s="573" t="s">
        <v>209</v>
      </c>
      <c r="E626" s="575"/>
      <c r="H626" s="793" t="s">
        <v>866</v>
      </c>
      <c r="I626" s="575"/>
      <c r="J626" s="580"/>
      <c r="K626" s="587" t="e">
        <f>SUM(K620:K624)</f>
        <v>#REF!</v>
      </c>
      <c r="N626" s="793" t="s">
        <v>122</v>
      </c>
      <c r="O626" s="793" t="s">
        <v>1069</v>
      </c>
      <c r="AG626" s="793" t="s">
        <v>849</v>
      </c>
    </row>
    <row r="627" spans="1:33" hidden="1">
      <c r="A627" s="1103">
        <f t="shared" si="29"/>
        <v>455</v>
      </c>
      <c r="B627" s="793" t="s">
        <v>1071</v>
      </c>
      <c r="C627" s="587">
        <v>7.5</v>
      </c>
      <c r="D627" s="573" t="s">
        <v>209</v>
      </c>
      <c r="E627" s="575"/>
      <c r="I627" s="575"/>
      <c r="J627" s="580"/>
      <c r="K627" s="582" t="s">
        <v>117</v>
      </c>
      <c r="O627" s="793" t="s">
        <v>1072</v>
      </c>
      <c r="AG627" s="793" t="s">
        <v>849</v>
      </c>
    </row>
    <row r="628" spans="1:33" hidden="1">
      <c r="A628" s="1103">
        <f t="shared" si="29"/>
        <v>456</v>
      </c>
      <c r="B628" s="793" t="s">
        <v>1073</v>
      </c>
      <c r="C628" s="575"/>
      <c r="D628" s="573" t="s">
        <v>209</v>
      </c>
      <c r="E628" s="575"/>
      <c r="H628" s="793" t="s">
        <v>154</v>
      </c>
      <c r="I628" s="575"/>
      <c r="J628" s="580"/>
      <c r="K628" s="587" t="e">
        <f>(K626/0.372)</f>
        <v>#REF!</v>
      </c>
      <c r="O628" s="793" t="s">
        <v>1074</v>
      </c>
      <c r="AG628" s="793" t="s">
        <v>849</v>
      </c>
    </row>
    <row r="629" spans="1:33" hidden="1">
      <c r="A629" s="1103">
        <f t="shared" si="29"/>
        <v>457</v>
      </c>
      <c r="B629" s="793" t="s">
        <v>1075</v>
      </c>
      <c r="C629" s="587">
        <v>155.32</v>
      </c>
      <c r="D629" s="573" t="s">
        <v>209</v>
      </c>
      <c r="E629" s="575"/>
      <c r="I629" s="575"/>
      <c r="J629" s="580"/>
      <c r="K629" s="582" t="s">
        <v>155</v>
      </c>
      <c r="O629" s="796" t="s">
        <v>117</v>
      </c>
      <c r="AG629" s="793" t="s">
        <v>849</v>
      </c>
    </row>
    <row r="630" spans="1:33" hidden="1">
      <c r="A630" s="1103">
        <f t="shared" si="29"/>
        <v>458</v>
      </c>
      <c r="B630" s="793" t="s">
        <v>1076</v>
      </c>
      <c r="C630" s="587">
        <v>91.08</v>
      </c>
      <c r="D630" s="573" t="s">
        <v>209</v>
      </c>
      <c r="E630" s="575"/>
      <c r="H630" s="793" t="s">
        <v>482</v>
      </c>
      <c r="I630" s="575"/>
      <c r="J630" s="580"/>
      <c r="K630" s="587" t="e">
        <f>(K628+C22*0.014/0.372)</f>
        <v>#REF!</v>
      </c>
      <c r="M630" s="800">
        <v>9.5</v>
      </c>
      <c r="N630" s="793" t="s">
        <v>126</v>
      </c>
      <c r="O630" s="793" t="s">
        <v>1056</v>
      </c>
      <c r="P630" s="800">
        <f>(C61*2)</f>
        <v>50</v>
      </c>
      <c r="Q630" s="793" t="s">
        <v>126</v>
      </c>
      <c r="R630" s="800">
        <f t="shared" ref="R630:R638" si="30">(M630*P630)</f>
        <v>475</v>
      </c>
      <c r="AG630" s="793" t="s">
        <v>849</v>
      </c>
    </row>
    <row r="631" spans="1:33" hidden="1">
      <c r="A631" s="1103">
        <f t="shared" si="29"/>
        <v>459</v>
      </c>
      <c r="B631" s="793" t="s">
        <v>3268</v>
      </c>
      <c r="C631" s="587">
        <v>30</v>
      </c>
      <c r="D631" s="573" t="s">
        <v>148</v>
      </c>
      <c r="E631" s="575"/>
      <c r="H631" s="793" t="s">
        <v>486</v>
      </c>
      <c r="I631" s="575"/>
      <c r="J631" s="580"/>
      <c r="K631" s="587" t="e">
        <f>(K630+C23*0.014/0.372)</f>
        <v>#REF!</v>
      </c>
      <c r="M631" s="800">
        <v>0.47</v>
      </c>
      <c r="N631" s="793" t="s">
        <v>126</v>
      </c>
      <c r="O631" s="793" t="s">
        <v>1078</v>
      </c>
      <c r="P631" s="800" t="e">
        <f>(R74)</f>
        <v>#REF!</v>
      </c>
      <c r="Q631" s="793" t="s">
        <v>126</v>
      </c>
      <c r="R631" s="800" t="e">
        <f t="shared" si="30"/>
        <v>#REF!</v>
      </c>
      <c r="AG631" s="793" t="s">
        <v>849</v>
      </c>
    </row>
    <row r="632" spans="1:33" hidden="1">
      <c r="A632" s="1103">
        <f t="shared" si="29"/>
        <v>460</v>
      </c>
      <c r="B632" s="793" t="s">
        <v>1079</v>
      </c>
      <c r="C632" s="587">
        <v>0.3</v>
      </c>
      <c r="D632" s="573" t="s">
        <v>209</v>
      </c>
      <c r="E632" s="575"/>
      <c r="H632" s="793" t="s">
        <v>489</v>
      </c>
      <c r="I632" s="575"/>
      <c r="J632" s="580"/>
      <c r="K632" s="587" t="e">
        <f>(K631+C24*0.014/0.372)</f>
        <v>#REF!</v>
      </c>
      <c r="M632" s="800">
        <v>1.62</v>
      </c>
      <c r="N632" s="793" t="s">
        <v>126</v>
      </c>
      <c r="O632" s="793" t="s">
        <v>978</v>
      </c>
      <c r="P632" s="800" t="e">
        <f>(R89)</f>
        <v>#REF!</v>
      </c>
      <c r="Q632" s="793" t="s">
        <v>126</v>
      </c>
      <c r="R632" s="800" t="e">
        <f t="shared" si="30"/>
        <v>#REF!</v>
      </c>
      <c r="AG632" s="793" t="s">
        <v>849</v>
      </c>
    </row>
    <row r="633" spans="1:33" hidden="1">
      <c r="A633" s="1103">
        <f t="shared" si="29"/>
        <v>461</v>
      </c>
      <c r="B633" s="793" t="s">
        <v>3269</v>
      </c>
      <c r="C633" s="587">
        <v>99</v>
      </c>
      <c r="D633" s="573" t="s">
        <v>140</v>
      </c>
      <c r="E633" s="575"/>
      <c r="H633" s="793" t="s">
        <v>491</v>
      </c>
      <c r="I633" s="575"/>
      <c r="J633" s="580"/>
      <c r="K633" s="587" t="e">
        <f>(K632+C24*0.014/0.372)</f>
        <v>#REF!</v>
      </c>
      <c r="M633" s="800">
        <v>15.22</v>
      </c>
      <c r="N633" s="793" t="s">
        <v>140</v>
      </c>
      <c r="O633" s="793" t="s">
        <v>1081</v>
      </c>
      <c r="P633" s="800" t="e">
        <f>(R303)</f>
        <v>#REF!</v>
      </c>
      <c r="Q633" s="793" t="s">
        <v>140</v>
      </c>
      <c r="R633" s="800" t="e">
        <f t="shared" si="30"/>
        <v>#REF!</v>
      </c>
      <c r="AG633" s="793" t="s">
        <v>849</v>
      </c>
    </row>
    <row r="634" spans="1:33" hidden="1">
      <c r="A634" s="1103">
        <f t="shared" si="29"/>
        <v>462</v>
      </c>
      <c r="B634" s="793" t="s">
        <v>1083</v>
      </c>
      <c r="C634" s="587">
        <v>97.31</v>
      </c>
      <c r="D634" s="573" t="s">
        <v>140</v>
      </c>
      <c r="E634" s="575"/>
      <c r="H634" s="793" t="s">
        <v>871</v>
      </c>
      <c r="I634" s="575"/>
      <c r="J634" s="580"/>
      <c r="K634" s="587" t="e">
        <f>(K633+C25*0.014/0.372)</f>
        <v>#REF!</v>
      </c>
      <c r="M634" s="800">
        <v>0.18</v>
      </c>
      <c r="N634" s="793" t="s">
        <v>126</v>
      </c>
      <c r="O634" s="793" t="s">
        <v>1084</v>
      </c>
      <c r="P634" s="800" t="e">
        <f>(K279)</f>
        <v>#REF!</v>
      </c>
      <c r="Q634" s="793" t="s">
        <v>126</v>
      </c>
      <c r="R634" s="800" t="e">
        <f t="shared" si="30"/>
        <v>#REF!</v>
      </c>
      <c r="AG634" s="793" t="s">
        <v>849</v>
      </c>
    </row>
    <row r="635" spans="1:33" hidden="1">
      <c r="A635" s="1103">
        <f t="shared" si="29"/>
        <v>463</v>
      </c>
      <c r="B635" s="793" t="s">
        <v>3270</v>
      </c>
      <c r="C635" s="587">
        <v>105.28</v>
      </c>
      <c r="D635" s="573" t="s">
        <v>699</v>
      </c>
      <c r="E635" s="575"/>
      <c r="F635" s="1098" t="s">
        <v>1101</v>
      </c>
      <c r="H635" s="793" t="s">
        <v>1102</v>
      </c>
      <c r="I635" s="575"/>
      <c r="J635" s="580"/>
      <c r="K635" s="575"/>
      <c r="M635" s="800">
        <v>0.36</v>
      </c>
      <c r="N635" s="793" t="s">
        <v>140</v>
      </c>
      <c r="O635" s="793" t="s">
        <v>1086</v>
      </c>
      <c r="P635" s="800" t="e">
        <f>(K466)</f>
        <v>#REF!</v>
      </c>
      <c r="Q635" s="793" t="s">
        <v>140</v>
      </c>
      <c r="R635" s="800" t="e">
        <f t="shared" si="30"/>
        <v>#REF!</v>
      </c>
      <c r="AG635" s="793" t="s">
        <v>849</v>
      </c>
    </row>
    <row r="636" spans="1:33" hidden="1">
      <c r="A636" s="1103">
        <f t="shared" si="29"/>
        <v>464</v>
      </c>
      <c r="B636" s="793" t="s">
        <v>3271</v>
      </c>
      <c r="C636" s="587">
        <v>106.75</v>
      </c>
      <c r="D636" s="573" t="s">
        <v>699</v>
      </c>
      <c r="E636" s="575"/>
      <c r="H636" s="793" t="s">
        <v>1104</v>
      </c>
      <c r="I636" s="575"/>
      <c r="J636" s="580"/>
      <c r="K636" s="575"/>
      <c r="M636" s="800">
        <v>1</v>
      </c>
      <c r="N636" s="793" t="s">
        <v>209</v>
      </c>
      <c r="O636" s="793" t="s">
        <v>1089</v>
      </c>
      <c r="P636" s="800">
        <f>(C202)</f>
        <v>75</v>
      </c>
      <c r="Q636" s="793" t="s">
        <v>209</v>
      </c>
      <c r="R636" s="800">
        <f t="shared" si="30"/>
        <v>75</v>
      </c>
      <c r="AG636" s="793" t="s">
        <v>849</v>
      </c>
    </row>
    <row r="637" spans="1:33" hidden="1">
      <c r="A637" s="1103">
        <f t="shared" si="29"/>
        <v>465</v>
      </c>
      <c r="B637" s="793" t="s">
        <v>1090</v>
      </c>
      <c r="C637" s="587">
        <v>1</v>
      </c>
      <c r="D637" s="573" t="s">
        <v>209</v>
      </c>
      <c r="E637" s="575" t="s">
        <v>1091</v>
      </c>
      <c r="H637" s="793" t="s">
        <v>1106</v>
      </c>
      <c r="I637" s="575"/>
      <c r="J637" s="580"/>
      <c r="K637" s="575"/>
      <c r="M637" s="800">
        <v>1.8</v>
      </c>
      <c r="N637" s="793" t="s">
        <v>1092</v>
      </c>
      <c r="O637" s="793" t="s">
        <v>1093</v>
      </c>
      <c r="P637" s="800">
        <f>(C324)</f>
        <v>14.91</v>
      </c>
      <c r="Q637" s="793" t="s">
        <v>1092</v>
      </c>
      <c r="R637" s="800">
        <f t="shared" si="30"/>
        <v>26.838000000000001</v>
      </c>
      <c r="AG637" s="793" t="s">
        <v>849</v>
      </c>
    </row>
    <row r="638" spans="1:33" hidden="1">
      <c r="A638" s="1103">
        <f t="shared" si="29"/>
        <v>466</v>
      </c>
      <c r="B638" s="793" t="s">
        <v>3272</v>
      </c>
      <c r="C638" s="587">
        <v>37</v>
      </c>
      <c r="D638" s="573" t="s">
        <v>148</v>
      </c>
      <c r="E638" s="575"/>
      <c r="H638" s="793" t="s">
        <v>1110</v>
      </c>
      <c r="I638" s="575"/>
      <c r="J638" s="580"/>
      <c r="K638" s="575"/>
      <c r="M638" s="800">
        <v>1</v>
      </c>
      <c r="N638" s="793" t="s">
        <v>209</v>
      </c>
      <c r="O638" s="793" t="s">
        <v>1096</v>
      </c>
      <c r="P638" s="800">
        <f>(C370)</f>
        <v>13.29</v>
      </c>
      <c r="Q638" s="793" t="s">
        <v>209</v>
      </c>
      <c r="R638" s="800">
        <f t="shared" si="30"/>
        <v>13.29</v>
      </c>
      <c r="AG638" s="793" t="s">
        <v>849</v>
      </c>
    </row>
    <row r="639" spans="1:33" hidden="1">
      <c r="A639" s="1103">
        <f t="shared" si="29"/>
        <v>467</v>
      </c>
      <c r="B639" s="1121" t="s">
        <v>3273</v>
      </c>
      <c r="C639" s="587">
        <v>3</v>
      </c>
      <c r="D639" s="573" t="s">
        <v>203</v>
      </c>
      <c r="E639" s="575">
        <v>5</v>
      </c>
      <c r="H639" s="793" t="s">
        <v>1114</v>
      </c>
      <c r="I639" s="575"/>
      <c r="J639" s="580"/>
      <c r="K639" s="575"/>
      <c r="N639" s="793" t="s">
        <v>129</v>
      </c>
      <c r="O639" s="793" t="s">
        <v>988</v>
      </c>
      <c r="Q639" s="793" t="s">
        <v>129</v>
      </c>
      <c r="R639" s="800">
        <v>1.6</v>
      </c>
      <c r="AG639" s="793" t="s">
        <v>849</v>
      </c>
    </row>
    <row r="640" spans="1:33" hidden="1">
      <c r="A640" s="1103">
        <f t="shared" si="29"/>
        <v>468</v>
      </c>
      <c r="B640" s="1121" t="s">
        <v>3274</v>
      </c>
      <c r="C640" s="587">
        <v>2.2000000000000002</v>
      </c>
      <c r="D640" s="573" t="s">
        <v>203</v>
      </c>
      <c r="E640" s="575"/>
      <c r="H640" s="793" t="s">
        <v>1118</v>
      </c>
      <c r="I640" s="575"/>
      <c r="J640" s="580"/>
      <c r="K640" s="575"/>
      <c r="R640" s="793" t="s">
        <v>115</v>
      </c>
      <c r="AG640" s="793" t="s">
        <v>849</v>
      </c>
    </row>
    <row r="641" spans="1:33" hidden="1">
      <c r="A641" s="1103">
        <f t="shared" si="29"/>
        <v>469</v>
      </c>
      <c r="B641" s="793" t="s">
        <v>3275</v>
      </c>
      <c r="C641" s="587">
        <v>2.2000000000000002</v>
      </c>
      <c r="D641" s="573">
        <v>2.7</v>
      </c>
      <c r="E641" s="575">
        <v>2</v>
      </c>
      <c r="H641" s="793" t="s">
        <v>1121</v>
      </c>
      <c r="I641" s="575"/>
      <c r="J641" s="580"/>
      <c r="K641" s="575"/>
      <c r="R641" s="796" t="s">
        <v>117</v>
      </c>
      <c r="AG641" s="793" t="s">
        <v>849</v>
      </c>
    </row>
    <row r="642" spans="1:33" hidden="1">
      <c r="A642" s="1103">
        <f t="shared" si="29"/>
        <v>470</v>
      </c>
      <c r="B642" s="793" t="s">
        <v>1100</v>
      </c>
      <c r="C642" s="587">
        <v>3.2</v>
      </c>
      <c r="D642" s="587">
        <v>3.2</v>
      </c>
      <c r="E642" s="575"/>
      <c r="H642" s="796" t="s">
        <v>117</v>
      </c>
      <c r="I642" s="582" t="s">
        <v>117</v>
      </c>
      <c r="J642" s="580"/>
      <c r="K642" s="575"/>
      <c r="O642" s="793" t="s">
        <v>991</v>
      </c>
      <c r="R642" s="800" t="e">
        <f>SUM(R630:R640)</f>
        <v>#REF!</v>
      </c>
      <c r="AG642" s="793" t="s">
        <v>849</v>
      </c>
    </row>
    <row r="643" spans="1:33" hidden="1">
      <c r="A643" s="1103">
        <f t="shared" si="29"/>
        <v>471</v>
      </c>
      <c r="B643" s="793" t="s">
        <v>1103</v>
      </c>
      <c r="C643" s="587">
        <v>4</v>
      </c>
      <c r="D643" s="573" t="s">
        <v>129</v>
      </c>
      <c r="E643" s="575"/>
      <c r="F643" s="800">
        <v>1</v>
      </c>
      <c r="G643" s="798" t="s">
        <v>140</v>
      </c>
      <c r="H643" s="793" t="s">
        <v>1129</v>
      </c>
      <c r="I643" s="587">
        <f>D76</f>
        <v>240</v>
      </c>
      <c r="J643" s="574" t="s">
        <v>140</v>
      </c>
      <c r="K643" s="587">
        <f>(F643*I643)</f>
        <v>240</v>
      </c>
      <c r="R643" s="796" t="s">
        <v>117</v>
      </c>
      <c r="AG643" s="793" t="s">
        <v>849</v>
      </c>
    </row>
    <row r="644" spans="1:33" hidden="1">
      <c r="A644" s="1103">
        <f t="shared" si="29"/>
        <v>472</v>
      </c>
      <c r="B644" s="793" t="s">
        <v>1105</v>
      </c>
      <c r="C644" s="587">
        <v>5</v>
      </c>
      <c r="D644" s="573" t="s">
        <v>129</v>
      </c>
      <c r="E644" s="575"/>
      <c r="F644" s="800">
        <v>1</v>
      </c>
      <c r="G644" s="798" t="s">
        <v>140</v>
      </c>
      <c r="H644" s="793" t="s">
        <v>1133</v>
      </c>
      <c r="I644" s="587">
        <f>C75</f>
        <v>20</v>
      </c>
      <c r="J644" s="574" t="s">
        <v>140</v>
      </c>
      <c r="K644" s="587">
        <f>(F644*I644)</f>
        <v>20</v>
      </c>
      <c r="O644" s="793" t="s">
        <v>1107</v>
      </c>
      <c r="AG644" s="793" t="s">
        <v>849</v>
      </c>
    </row>
    <row r="645" spans="1:33" hidden="1">
      <c r="A645" s="1103">
        <f t="shared" si="29"/>
        <v>473</v>
      </c>
      <c r="B645" s="793" t="s">
        <v>1109</v>
      </c>
      <c r="C645" s="587">
        <v>96</v>
      </c>
      <c r="D645" s="573" t="s">
        <v>209</v>
      </c>
      <c r="E645" s="575"/>
      <c r="F645" s="800">
        <v>1</v>
      </c>
      <c r="G645" s="798" t="s">
        <v>129</v>
      </c>
      <c r="H645" s="793" t="s">
        <v>1136</v>
      </c>
      <c r="I645" s="587">
        <v>15</v>
      </c>
      <c r="J645" s="574" t="s">
        <v>129</v>
      </c>
      <c r="K645" s="587">
        <f>(F645*I645)</f>
        <v>15</v>
      </c>
      <c r="N645" s="793" t="s">
        <v>122</v>
      </c>
      <c r="O645" s="793" t="s">
        <v>1111</v>
      </c>
      <c r="AG645" s="793" t="s">
        <v>849</v>
      </c>
    </row>
    <row r="646" spans="1:33" hidden="1">
      <c r="A646" s="1103">
        <f t="shared" si="29"/>
        <v>474</v>
      </c>
      <c r="B646" s="793" t="s">
        <v>1113</v>
      </c>
      <c r="C646" s="587">
        <v>75</v>
      </c>
      <c r="D646" s="573" t="s">
        <v>209</v>
      </c>
      <c r="E646" s="575"/>
      <c r="I646" s="575"/>
      <c r="J646" s="580"/>
      <c r="K646" s="582" t="s">
        <v>117</v>
      </c>
      <c r="O646" s="793" t="s">
        <v>1115</v>
      </c>
      <c r="AG646" s="793" t="s">
        <v>849</v>
      </c>
    </row>
    <row r="647" spans="1:33" hidden="1">
      <c r="A647" s="1103">
        <f t="shared" si="29"/>
        <v>475</v>
      </c>
      <c r="B647" s="793" t="s">
        <v>1117</v>
      </c>
      <c r="C647" s="587">
        <v>6.4</v>
      </c>
      <c r="D647" s="587">
        <v>12.65</v>
      </c>
      <c r="E647" s="575">
        <v>3</v>
      </c>
      <c r="H647" s="793" t="s">
        <v>154</v>
      </c>
      <c r="I647" s="575"/>
      <c r="J647" s="580"/>
      <c r="K647" s="587">
        <f>SUM(K641:K645)</f>
        <v>275</v>
      </c>
      <c r="O647" s="796" t="s">
        <v>117</v>
      </c>
      <c r="AG647" s="793" t="s">
        <v>849</v>
      </c>
    </row>
    <row r="648" spans="1:33" hidden="1">
      <c r="A648" s="1103">
        <f t="shared" si="29"/>
        <v>476</v>
      </c>
      <c r="B648" s="793" t="s">
        <v>1120</v>
      </c>
      <c r="C648" s="587">
        <v>80</v>
      </c>
      <c r="D648" s="573" t="s">
        <v>209</v>
      </c>
      <c r="E648" s="575"/>
      <c r="H648" s="793" t="s">
        <v>1144</v>
      </c>
      <c r="I648" s="575"/>
      <c r="J648" s="580"/>
      <c r="K648" s="582" t="s">
        <v>155</v>
      </c>
      <c r="M648" s="800">
        <v>1</v>
      </c>
      <c r="N648" s="793" t="s">
        <v>209</v>
      </c>
      <c r="O648" s="793" t="s">
        <v>1122</v>
      </c>
      <c r="P648" s="800">
        <f>(C382)</f>
        <v>14.91</v>
      </c>
      <c r="Q648" s="793" t="s">
        <v>209</v>
      </c>
      <c r="R648" s="800">
        <f>(M648*P648)</f>
        <v>14.91</v>
      </c>
      <c r="AG648" s="793" t="s">
        <v>849</v>
      </c>
    </row>
    <row r="649" spans="1:33" hidden="1">
      <c r="A649" s="1103">
        <f t="shared" si="29"/>
        <v>477</v>
      </c>
      <c r="B649" s="793" t="s">
        <v>1125</v>
      </c>
      <c r="C649" s="587">
        <v>64</v>
      </c>
      <c r="D649" s="573" t="s">
        <v>209</v>
      </c>
      <c r="E649" s="575"/>
      <c r="H649" s="793" t="s">
        <v>482</v>
      </c>
      <c r="I649" s="575"/>
      <c r="J649" s="580"/>
      <c r="K649" s="587">
        <f>(K647+C19*0.05)</f>
        <v>275.88</v>
      </c>
      <c r="N649" s="793" t="s">
        <v>129</v>
      </c>
      <c r="O649" s="793" t="s">
        <v>1126</v>
      </c>
      <c r="Q649" s="793" t="s">
        <v>129</v>
      </c>
      <c r="R649" s="800">
        <v>2.09</v>
      </c>
      <c r="AG649" s="793" t="s">
        <v>849</v>
      </c>
    </row>
    <row r="650" spans="1:33" hidden="1">
      <c r="A650" s="1103">
        <f t="shared" si="29"/>
        <v>478</v>
      </c>
      <c r="B650" s="793" t="s">
        <v>1128</v>
      </c>
      <c r="C650" s="587">
        <v>40.5</v>
      </c>
      <c r="D650" s="573" t="s">
        <v>209</v>
      </c>
      <c r="E650" s="575"/>
      <c r="H650" s="793" t="s">
        <v>486</v>
      </c>
      <c r="I650" s="575"/>
      <c r="J650" s="580"/>
      <c r="K650" s="587">
        <f>(K649+C20*0.05)</f>
        <v>277.64</v>
      </c>
      <c r="O650" s="793" t="s">
        <v>1130</v>
      </c>
      <c r="R650" s="793" t="s">
        <v>115</v>
      </c>
      <c r="AG650" s="793" t="s">
        <v>849</v>
      </c>
    </row>
    <row r="651" spans="1:33" hidden="1">
      <c r="A651" s="1103">
        <f t="shared" si="29"/>
        <v>479</v>
      </c>
      <c r="B651" s="793" t="s">
        <v>1132</v>
      </c>
      <c r="C651" s="587">
        <v>92</v>
      </c>
      <c r="D651" s="573" t="s">
        <v>209</v>
      </c>
      <c r="E651" s="575"/>
      <c r="H651" s="793" t="s">
        <v>489</v>
      </c>
      <c r="I651" s="575"/>
      <c r="J651" s="580"/>
      <c r="K651" s="587">
        <f>(K650+C21*0.05)</f>
        <v>279.39999999999998</v>
      </c>
      <c r="R651" s="796" t="s">
        <v>117</v>
      </c>
      <c r="AG651" s="793" t="s">
        <v>849</v>
      </c>
    </row>
    <row r="652" spans="1:33" hidden="1">
      <c r="A652" s="1103">
        <f t="shared" si="29"/>
        <v>480</v>
      </c>
      <c r="B652" s="793" t="s">
        <v>1135</v>
      </c>
      <c r="C652" s="587">
        <v>60</v>
      </c>
      <c r="D652" s="573" t="s">
        <v>209</v>
      </c>
      <c r="E652" s="575"/>
      <c r="H652" s="793" t="s">
        <v>491</v>
      </c>
      <c r="I652" s="575"/>
      <c r="J652" s="580"/>
      <c r="K652" s="587">
        <f>(K651+C21*0.05)</f>
        <v>281.15999999999997</v>
      </c>
      <c r="O652" s="793" t="s">
        <v>1137</v>
      </c>
      <c r="R652" s="800">
        <f>SUM(R648:R650)</f>
        <v>17</v>
      </c>
      <c r="AG652" s="793" t="s">
        <v>849</v>
      </c>
    </row>
    <row r="653" spans="1:33" hidden="1">
      <c r="A653" s="1103">
        <f t="shared" si="29"/>
        <v>481</v>
      </c>
      <c r="B653" s="793" t="s">
        <v>1139</v>
      </c>
      <c r="C653" s="587">
        <v>49.87</v>
      </c>
      <c r="D653" s="573" t="s">
        <v>209</v>
      </c>
      <c r="E653" s="575"/>
      <c r="H653" s="793" t="s">
        <v>871</v>
      </c>
      <c r="I653" s="575"/>
      <c r="J653" s="580"/>
      <c r="K653" s="587">
        <f>(K652+C21*0.05)</f>
        <v>282.91999999999996</v>
      </c>
      <c r="R653" s="796" t="s">
        <v>117</v>
      </c>
      <c r="AG653" s="793" t="s">
        <v>849</v>
      </c>
    </row>
    <row r="654" spans="1:33" hidden="1">
      <c r="A654" s="1103">
        <f t="shared" si="29"/>
        <v>482</v>
      </c>
      <c r="B654" s="793" t="s">
        <v>1141</v>
      </c>
      <c r="C654" s="587">
        <v>80</v>
      </c>
      <c r="D654" s="573" t="s">
        <v>209</v>
      </c>
      <c r="E654" s="575"/>
      <c r="F654" s="1098" t="s">
        <v>1157</v>
      </c>
      <c r="H654" s="793" t="s">
        <v>1102</v>
      </c>
      <c r="I654" s="575"/>
      <c r="J654" s="580"/>
      <c r="K654" s="575"/>
      <c r="AG654" s="793" t="s">
        <v>849</v>
      </c>
    </row>
    <row r="655" spans="1:33" hidden="1">
      <c r="A655" s="1103">
        <f t="shared" si="29"/>
        <v>483</v>
      </c>
      <c r="B655" s="793" t="s">
        <v>1143</v>
      </c>
      <c r="C655" s="587">
        <v>52</v>
      </c>
      <c r="D655" s="573" t="s">
        <v>209</v>
      </c>
      <c r="E655" s="575"/>
      <c r="H655" s="793" t="s">
        <v>1158</v>
      </c>
      <c r="I655" s="575"/>
      <c r="J655" s="580"/>
      <c r="K655" s="575"/>
      <c r="N655" s="793" t="s">
        <v>122</v>
      </c>
      <c r="O655" s="793" t="s">
        <v>1145</v>
      </c>
      <c r="AG655" s="793" t="s">
        <v>849</v>
      </c>
    </row>
    <row r="656" spans="1:33" hidden="1">
      <c r="A656" s="1103">
        <f t="shared" si="29"/>
        <v>484</v>
      </c>
      <c r="B656" s="793" t="s">
        <v>1147</v>
      </c>
      <c r="C656" s="587">
        <v>39</v>
      </c>
      <c r="D656" s="573" t="s">
        <v>209</v>
      </c>
      <c r="E656" s="575"/>
      <c r="H656" s="793" t="s">
        <v>1106</v>
      </c>
      <c r="I656" s="575"/>
      <c r="J656" s="580"/>
      <c r="K656" s="575"/>
      <c r="O656" s="793" t="s">
        <v>1115</v>
      </c>
      <c r="AG656" s="793" t="s">
        <v>849</v>
      </c>
    </row>
    <row r="657" spans="1:33" hidden="1">
      <c r="A657" s="1103">
        <f t="shared" si="29"/>
        <v>485</v>
      </c>
      <c r="B657" s="793" t="s">
        <v>1149</v>
      </c>
      <c r="C657" s="587">
        <v>90</v>
      </c>
      <c r="D657" s="573" t="s">
        <v>209</v>
      </c>
      <c r="E657" s="575"/>
      <c r="H657" s="793" t="s">
        <v>1110</v>
      </c>
      <c r="I657" s="575"/>
      <c r="J657" s="580"/>
      <c r="K657" s="575"/>
      <c r="O657" s="796" t="s">
        <v>117</v>
      </c>
      <c r="AG657" s="793" t="s">
        <v>849</v>
      </c>
    </row>
    <row r="658" spans="1:33" hidden="1">
      <c r="A658" s="1103">
        <f t="shared" si="29"/>
        <v>486</v>
      </c>
      <c r="B658" s="793" t="s">
        <v>1151</v>
      </c>
      <c r="C658" s="587">
        <v>60</v>
      </c>
      <c r="D658" s="573" t="s">
        <v>209</v>
      </c>
      <c r="E658" s="575"/>
      <c r="H658" s="793" t="s">
        <v>1114</v>
      </c>
      <c r="I658" s="575"/>
      <c r="J658" s="580"/>
      <c r="K658" s="575"/>
      <c r="M658" s="800">
        <v>1</v>
      </c>
      <c r="N658" s="793" t="s">
        <v>209</v>
      </c>
      <c r="O658" s="793" t="s">
        <v>1152</v>
      </c>
      <c r="P658" s="800">
        <f>(C383)</f>
        <v>17.579999999999998</v>
      </c>
      <c r="Q658" s="793" t="s">
        <v>209</v>
      </c>
      <c r="R658" s="800">
        <f>(M658*P658)</f>
        <v>17.579999999999998</v>
      </c>
      <c r="AG658" s="793" t="s">
        <v>849</v>
      </c>
    </row>
    <row r="659" spans="1:33" hidden="1">
      <c r="A659" s="1103">
        <f t="shared" si="29"/>
        <v>487</v>
      </c>
      <c r="B659" s="793" t="s">
        <v>1154</v>
      </c>
      <c r="C659" s="587">
        <v>43.5</v>
      </c>
      <c r="D659" s="573" t="s">
        <v>209</v>
      </c>
      <c r="E659" s="575"/>
      <c r="H659" s="793" t="s">
        <v>1118</v>
      </c>
      <c r="I659" s="575"/>
      <c r="J659" s="580"/>
      <c r="K659" s="575"/>
      <c r="N659" s="793" t="s">
        <v>129</v>
      </c>
      <c r="O659" s="793" t="s">
        <v>1126</v>
      </c>
      <c r="Q659" s="793" t="s">
        <v>129</v>
      </c>
      <c r="R659" s="800">
        <v>2.09</v>
      </c>
      <c r="AG659" s="793" t="s">
        <v>849</v>
      </c>
    </row>
    <row r="660" spans="1:33" hidden="1">
      <c r="A660" s="1103">
        <f t="shared" si="29"/>
        <v>488</v>
      </c>
      <c r="B660" s="793" t="s">
        <v>1155</v>
      </c>
      <c r="C660" s="587">
        <v>75</v>
      </c>
      <c r="D660" s="573" t="s">
        <v>209</v>
      </c>
      <c r="E660" s="575"/>
      <c r="H660" s="793" t="s">
        <v>1165</v>
      </c>
      <c r="I660" s="575"/>
      <c r="J660" s="580"/>
      <c r="K660" s="575"/>
      <c r="O660" s="793" t="s">
        <v>1130</v>
      </c>
      <c r="R660" s="793" t="s">
        <v>115</v>
      </c>
      <c r="AG660" s="793" t="s">
        <v>849</v>
      </c>
    </row>
    <row r="661" spans="1:33" hidden="1">
      <c r="A661" s="1103">
        <f t="shared" si="29"/>
        <v>489</v>
      </c>
      <c r="B661" s="793" t="s">
        <v>1156</v>
      </c>
      <c r="C661" s="587">
        <v>52</v>
      </c>
      <c r="D661" s="573" t="s">
        <v>209</v>
      </c>
      <c r="E661" s="575"/>
      <c r="H661" s="796" t="s">
        <v>117</v>
      </c>
      <c r="I661" s="582" t="s">
        <v>117</v>
      </c>
      <c r="J661" s="580"/>
      <c r="K661" s="575"/>
      <c r="R661" s="796" t="s">
        <v>117</v>
      </c>
      <c r="AG661" s="793" t="s">
        <v>849</v>
      </c>
    </row>
    <row r="662" spans="1:33" hidden="1">
      <c r="A662" s="1103">
        <f t="shared" si="29"/>
        <v>490</v>
      </c>
      <c r="B662" s="793" t="s">
        <v>1147</v>
      </c>
      <c r="C662" s="587">
        <v>35.25</v>
      </c>
      <c r="D662" s="573" t="s">
        <v>209</v>
      </c>
      <c r="E662" s="575"/>
      <c r="F662" s="800">
        <v>1</v>
      </c>
      <c r="G662" s="798" t="s">
        <v>140</v>
      </c>
      <c r="H662" s="793" t="s">
        <v>1170</v>
      </c>
      <c r="I662" s="587">
        <f>C76</f>
        <v>514.62</v>
      </c>
      <c r="J662" s="574" t="s">
        <v>140</v>
      </c>
      <c r="K662" s="587">
        <f>(F662*I662)</f>
        <v>514.62</v>
      </c>
      <c r="O662" s="793" t="s">
        <v>1137</v>
      </c>
      <c r="R662" s="800">
        <f>SUM(R658:R660)</f>
        <v>19.669999999999998</v>
      </c>
      <c r="AG662" s="793" t="s">
        <v>849</v>
      </c>
    </row>
    <row r="663" spans="1:33" hidden="1">
      <c r="A663" s="1103">
        <f t="shared" si="29"/>
        <v>491</v>
      </c>
      <c r="B663" s="793" t="s">
        <v>1159</v>
      </c>
      <c r="C663" s="587">
        <v>37.5</v>
      </c>
      <c r="D663" s="573" t="s">
        <v>209</v>
      </c>
      <c r="E663" s="575"/>
      <c r="F663" s="800">
        <v>1</v>
      </c>
      <c r="G663" s="798" t="s">
        <v>140</v>
      </c>
      <c r="H663" s="793" t="s">
        <v>1133</v>
      </c>
      <c r="I663" s="587">
        <f>C75</f>
        <v>20</v>
      </c>
      <c r="J663" s="574" t="s">
        <v>140</v>
      </c>
      <c r="K663" s="587">
        <f>(F663*I663)</f>
        <v>20</v>
      </c>
      <c r="R663" s="796" t="s">
        <v>117</v>
      </c>
      <c r="AG663" s="793" t="s">
        <v>849</v>
      </c>
    </row>
    <row r="664" spans="1:33" hidden="1">
      <c r="A664" s="1103">
        <f t="shared" si="29"/>
        <v>492</v>
      </c>
      <c r="B664" s="793" t="s">
        <v>1160</v>
      </c>
      <c r="C664" s="587">
        <v>24</v>
      </c>
      <c r="D664" s="573" t="s">
        <v>209</v>
      </c>
      <c r="E664" s="575"/>
      <c r="F664" s="800">
        <v>1</v>
      </c>
      <c r="G664" s="798" t="s">
        <v>129</v>
      </c>
      <c r="H664" s="793" t="s">
        <v>1136</v>
      </c>
      <c r="I664" s="587">
        <v>15</v>
      </c>
      <c r="J664" s="574" t="s">
        <v>129</v>
      </c>
      <c r="K664" s="587">
        <f>(F664*I664)</f>
        <v>15</v>
      </c>
      <c r="AG664" s="793" t="s">
        <v>849</v>
      </c>
    </row>
    <row r="665" spans="1:33" hidden="1">
      <c r="A665" s="1103">
        <f t="shared" si="29"/>
        <v>493</v>
      </c>
      <c r="B665" s="793" t="s">
        <v>1161</v>
      </c>
      <c r="C665" s="587">
        <v>16</v>
      </c>
      <c r="D665" s="573" t="s">
        <v>209</v>
      </c>
      <c r="E665" s="575"/>
      <c r="H665" s="793" t="s">
        <v>130</v>
      </c>
      <c r="I665" s="575"/>
      <c r="J665" s="574" t="s">
        <v>129</v>
      </c>
      <c r="K665" s="587">
        <v>0</v>
      </c>
      <c r="N665" s="793" t="s">
        <v>122</v>
      </c>
      <c r="O665" s="793" t="s">
        <v>1162</v>
      </c>
      <c r="AG665" s="793" t="s">
        <v>849</v>
      </c>
    </row>
    <row r="666" spans="1:33" hidden="1">
      <c r="A666" s="1103">
        <f t="shared" si="29"/>
        <v>494</v>
      </c>
      <c r="B666" s="793" t="s">
        <v>3276</v>
      </c>
      <c r="C666" s="587">
        <v>18</v>
      </c>
      <c r="D666" s="573" t="s">
        <v>209</v>
      </c>
      <c r="E666" s="575"/>
      <c r="I666" s="575"/>
      <c r="J666" s="580"/>
      <c r="K666" s="582" t="s">
        <v>117</v>
      </c>
      <c r="O666" s="793" t="s">
        <v>1115</v>
      </c>
      <c r="AG666" s="793" t="s">
        <v>849</v>
      </c>
    </row>
    <row r="667" spans="1:33" hidden="1">
      <c r="A667" s="1103">
        <f t="shared" si="29"/>
        <v>495</v>
      </c>
      <c r="B667" s="793" t="s">
        <v>3277</v>
      </c>
      <c r="C667" s="587">
        <v>6</v>
      </c>
      <c r="D667" s="573" t="s">
        <v>209</v>
      </c>
      <c r="E667" s="575"/>
      <c r="H667" s="793" t="s">
        <v>154</v>
      </c>
      <c r="I667" s="575"/>
      <c r="J667" s="580"/>
      <c r="K667" s="587">
        <f>SUM(K662:K665)</f>
        <v>549.62</v>
      </c>
      <c r="O667" s="796" t="s">
        <v>117</v>
      </c>
      <c r="AG667" s="793" t="s">
        <v>849</v>
      </c>
    </row>
    <row r="668" spans="1:33" hidden="1">
      <c r="A668" s="1103">
        <f t="shared" si="29"/>
        <v>496</v>
      </c>
      <c r="B668" s="793" t="s">
        <v>3278</v>
      </c>
      <c r="C668" s="587">
        <v>152.5</v>
      </c>
      <c r="D668" s="573" t="s">
        <v>203</v>
      </c>
      <c r="E668" s="575"/>
      <c r="H668" s="793" t="s">
        <v>1144</v>
      </c>
      <c r="I668" s="575"/>
      <c r="J668" s="580"/>
      <c r="K668" s="582" t="s">
        <v>155</v>
      </c>
      <c r="M668" s="800">
        <v>1</v>
      </c>
      <c r="N668" s="793" t="s">
        <v>209</v>
      </c>
      <c r="O668" s="793" t="s">
        <v>1168</v>
      </c>
      <c r="P668" s="800">
        <f>(C384)</f>
        <v>19.3</v>
      </c>
      <c r="Q668" s="793" t="s">
        <v>209</v>
      </c>
      <c r="R668" s="800">
        <f>(M668*P668)</f>
        <v>19.3</v>
      </c>
      <c r="AG668" s="793" t="s">
        <v>849</v>
      </c>
    </row>
    <row r="669" spans="1:33" hidden="1">
      <c r="A669" s="1103">
        <f t="shared" si="29"/>
        <v>497</v>
      </c>
      <c r="B669" s="793" t="s">
        <v>1169</v>
      </c>
      <c r="C669" s="587">
        <v>108.68</v>
      </c>
      <c r="D669" s="573" t="s">
        <v>209</v>
      </c>
      <c r="E669" s="575"/>
      <c r="H669" s="793" t="s">
        <v>482</v>
      </c>
      <c r="I669" s="575"/>
      <c r="J669" s="574" t="s">
        <v>115</v>
      </c>
      <c r="K669" s="587">
        <f>(K667+C19*0.11)</f>
        <v>551.55600000000004</v>
      </c>
      <c r="N669" s="793" t="s">
        <v>129</v>
      </c>
      <c r="O669" s="793" t="s">
        <v>1126</v>
      </c>
      <c r="Q669" s="793" t="s">
        <v>129</v>
      </c>
      <c r="R669" s="800">
        <v>2.09</v>
      </c>
      <c r="AG669" s="793" t="s">
        <v>849</v>
      </c>
    </row>
    <row r="670" spans="1:33" hidden="1">
      <c r="A670" s="1103">
        <f t="shared" si="29"/>
        <v>498</v>
      </c>
      <c r="B670" s="793" t="s">
        <v>1171</v>
      </c>
      <c r="C670" s="587">
        <v>119.89</v>
      </c>
      <c r="D670" s="573" t="s">
        <v>209</v>
      </c>
      <c r="E670" s="575"/>
      <c r="H670" s="793" t="s">
        <v>486</v>
      </c>
      <c r="I670" s="575"/>
      <c r="J670" s="580"/>
      <c r="K670" s="587">
        <f>(K669+C20*0.11)</f>
        <v>555.428</v>
      </c>
      <c r="O670" s="793" t="s">
        <v>1130</v>
      </c>
      <c r="R670" s="793" t="s">
        <v>115</v>
      </c>
      <c r="AG670" s="793" t="s">
        <v>849</v>
      </c>
    </row>
    <row r="671" spans="1:33" hidden="1">
      <c r="A671" s="1103">
        <f t="shared" si="29"/>
        <v>499</v>
      </c>
      <c r="B671" s="793" t="s">
        <v>1172</v>
      </c>
      <c r="C671" s="587">
        <v>297.44</v>
      </c>
      <c r="D671" s="573" t="s">
        <v>209</v>
      </c>
      <c r="E671" s="575"/>
      <c r="H671" s="793" t="s">
        <v>489</v>
      </c>
      <c r="I671" s="575"/>
      <c r="J671" s="580"/>
      <c r="K671" s="587">
        <f>(K670+C21*0.11)</f>
        <v>559.29999999999995</v>
      </c>
      <c r="R671" s="796" t="s">
        <v>117</v>
      </c>
      <c r="AG671" s="793" t="s">
        <v>636</v>
      </c>
    </row>
    <row r="672" spans="1:33" hidden="1">
      <c r="A672" s="1103">
        <f t="shared" si="29"/>
        <v>500</v>
      </c>
      <c r="B672" s="793" t="s">
        <v>1173</v>
      </c>
      <c r="C672" s="587">
        <v>28.6</v>
      </c>
      <c r="D672" s="573" t="s">
        <v>209</v>
      </c>
      <c r="E672" s="575"/>
      <c r="H672" s="793" t="s">
        <v>491</v>
      </c>
      <c r="I672" s="575"/>
      <c r="J672" s="580"/>
      <c r="K672" s="587">
        <f>(K671+C21*0.11)</f>
        <v>563.17199999999991</v>
      </c>
      <c r="O672" s="793" t="s">
        <v>1137</v>
      </c>
      <c r="R672" s="800">
        <f>SUM(R668:R670)</f>
        <v>21.39</v>
      </c>
    </row>
    <row r="673" spans="1:33" hidden="1">
      <c r="A673" s="1103">
        <f t="shared" si="29"/>
        <v>501</v>
      </c>
      <c r="B673" s="793" t="s">
        <v>1174</v>
      </c>
      <c r="C673" s="587">
        <v>228.86</v>
      </c>
      <c r="D673" s="573" t="s">
        <v>209</v>
      </c>
      <c r="E673" s="575"/>
      <c r="H673" s="793" t="s">
        <v>871</v>
      </c>
      <c r="I673" s="575"/>
      <c r="J673" s="580"/>
      <c r="K673" s="587">
        <f>(K672+C21*0.11)</f>
        <v>567.04399999999987</v>
      </c>
      <c r="R673" s="796" t="s">
        <v>117</v>
      </c>
    </row>
    <row r="674" spans="1:33" hidden="1">
      <c r="C674" s="575"/>
      <c r="D674" s="575"/>
      <c r="E674" s="575"/>
      <c r="F674" s="793" t="s">
        <v>115</v>
      </c>
      <c r="I674" s="575"/>
      <c r="J674" s="580"/>
      <c r="K674" s="575"/>
    </row>
    <row r="675" spans="1:33" hidden="1">
      <c r="A675" s="1103">
        <f>(A673+1)</f>
        <v>502</v>
      </c>
      <c r="B675" s="793" t="s">
        <v>1177</v>
      </c>
      <c r="C675" s="587">
        <v>70.47</v>
      </c>
      <c r="D675" s="573" t="s">
        <v>209</v>
      </c>
      <c r="E675" s="575"/>
      <c r="I675" s="575"/>
      <c r="J675" s="580"/>
      <c r="K675" s="575"/>
      <c r="AG675" s="793" t="s">
        <v>849</v>
      </c>
    </row>
    <row r="676" spans="1:33" hidden="1">
      <c r="A676" s="1103">
        <f t="shared" ref="A676:A733" si="31">(A675+1)</f>
        <v>503</v>
      </c>
      <c r="B676" s="793" t="s">
        <v>1178</v>
      </c>
      <c r="C676" s="587">
        <v>133.62</v>
      </c>
      <c r="D676" s="573" t="s">
        <v>209</v>
      </c>
      <c r="E676" s="575"/>
      <c r="F676" s="1098" t="s">
        <v>361</v>
      </c>
      <c r="H676" s="793" t="s">
        <v>1189</v>
      </c>
      <c r="I676" s="575"/>
      <c r="J676" s="580"/>
      <c r="K676" s="575"/>
      <c r="N676" s="793" t="s">
        <v>122</v>
      </c>
      <c r="O676" s="793" t="s">
        <v>1179</v>
      </c>
      <c r="AG676" s="793" t="s">
        <v>849</v>
      </c>
    </row>
    <row r="677" spans="1:33" hidden="1">
      <c r="A677" s="1103">
        <f t="shared" si="31"/>
        <v>504</v>
      </c>
      <c r="B677" s="793" t="s">
        <v>1180</v>
      </c>
      <c r="C677" s="587">
        <v>133.62</v>
      </c>
      <c r="D677" s="573" t="s">
        <v>209</v>
      </c>
      <c r="E677" s="575"/>
      <c r="H677" s="793" t="s">
        <v>1190</v>
      </c>
      <c r="I677" s="575"/>
      <c r="J677" s="580"/>
      <c r="K677" s="575"/>
      <c r="O677" s="793" t="s">
        <v>1181</v>
      </c>
      <c r="AG677" s="793" t="s">
        <v>849</v>
      </c>
    </row>
    <row r="678" spans="1:33" hidden="1">
      <c r="A678" s="1103">
        <f t="shared" si="31"/>
        <v>505</v>
      </c>
      <c r="B678" s="793" t="s">
        <v>1182</v>
      </c>
      <c r="C678" s="587">
        <v>215</v>
      </c>
      <c r="D678" s="573" t="s">
        <v>209</v>
      </c>
      <c r="E678" s="575"/>
      <c r="H678" s="793" t="s">
        <v>1191</v>
      </c>
      <c r="I678" s="575"/>
      <c r="J678" s="580"/>
      <c r="K678" s="575"/>
      <c r="O678" s="796" t="s">
        <v>117</v>
      </c>
      <c r="AG678" s="793" t="s">
        <v>849</v>
      </c>
    </row>
    <row r="679" spans="1:33" hidden="1">
      <c r="A679" s="1103">
        <f t="shared" si="31"/>
        <v>506</v>
      </c>
      <c r="B679" s="793" t="s">
        <v>1183</v>
      </c>
      <c r="C679" s="587">
        <v>215</v>
      </c>
      <c r="D679" s="573" t="s">
        <v>209</v>
      </c>
      <c r="E679" s="575"/>
      <c r="H679" s="796" t="s">
        <v>117</v>
      </c>
      <c r="I679" s="575"/>
      <c r="J679" s="580"/>
      <c r="K679" s="575"/>
      <c r="M679" s="800">
        <v>1</v>
      </c>
      <c r="N679" s="793" t="s">
        <v>209</v>
      </c>
      <c r="O679" s="793" t="s">
        <v>1184</v>
      </c>
      <c r="P679" s="800">
        <f>(C392/1*0.3)</f>
        <v>14.613</v>
      </c>
      <c r="Q679" s="793" t="s">
        <v>209</v>
      </c>
      <c r="R679" s="800">
        <f>(M679*P679)</f>
        <v>14.613</v>
      </c>
      <c r="AG679" s="793" t="s">
        <v>849</v>
      </c>
    </row>
    <row r="680" spans="1:33" hidden="1">
      <c r="A680" s="1103">
        <f t="shared" si="31"/>
        <v>507</v>
      </c>
      <c r="B680" s="793" t="s">
        <v>1186</v>
      </c>
      <c r="C680" s="587">
        <v>107.64</v>
      </c>
      <c r="D680" s="573" t="s">
        <v>140</v>
      </c>
      <c r="E680" s="575"/>
      <c r="F680" s="800">
        <v>0.4</v>
      </c>
      <c r="G680" s="798" t="s">
        <v>126</v>
      </c>
      <c r="H680" s="793" t="s">
        <v>1195</v>
      </c>
      <c r="I680" s="587">
        <f>(C267)</f>
        <v>10705</v>
      </c>
      <c r="J680" s="574" t="s">
        <v>126</v>
      </c>
      <c r="K680" s="587">
        <f>(F680*I680)</f>
        <v>4282</v>
      </c>
      <c r="N680" s="793" t="s">
        <v>129</v>
      </c>
      <c r="O680" s="793" t="s">
        <v>1126</v>
      </c>
      <c r="Q680" s="793" t="s">
        <v>129</v>
      </c>
      <c r="R680" s="800">
        <v>1.65</v>
      </c>
      <c r="AG680" s="793" t="s">
        <v>849</v>
      </c>
    </row>
    <row r="681" spans="1:33" hidden="1">
      <c r="A681" s="1103">
        <f t="shared" si="31"/>
        <v>508</v>
      </c>
      <c r="B681" s="793" t="s">
        <v>1187</v>
      </c>
      <c r="C681" s="575"/>
      <c r="D681" s="575"/>
      <c r="E681" s="575"/>
      <c r="F681" s="800">
        <v>0.12</v>
      </c>
      <c r="G681" s="798" t="s">
        <v>126</v>
      </c>
      <c r="H681" s="793" t="s">
        <v>1198</v>
      </c>
      <c r="I681" s="587">
        <f>(C268)</f>
        <v>9395</v>
      </c>
      <c r="J681" s="574" t="s">
        <v>126</v>
      </c>
      <c r="K681" s="587">
        <f>(F681*I681)</f>
        <v>1127.3999999999999</v>
      </c>
      <c r="O681" s="793" t="s">
        <v>1130</v>
      </c>
      <c r="R681" s="793" t="s">
        <v>115</v>
      </c>
      <c r="AG681" s="793" t="s">
        <v>849</v>
      </c>
    </row>
    <row r="682" spans="1:33" hidden="1">
      <c r="A682" s="1103">
        <f t="shared" si="31"/>
        <v>509</v>
      </c>
      <c r="B682" s="793" t="s">
        <v>1188</v>
      </c>
      <c r="C682" s="587">
        <v>11.55</v>
      </c>
      <c r="D682" s="573" t="s">
        <v>209</v>
      </c>
      <c r="E682" s="575"/>
      <c r="H682" s="793" t="s">
        <v>1200</v>
      </c>
      <c r="I682" s="573" t="s">
        <v>115</v>
      </c>
      <c r="J682" s="580"/>
      <c r="K682" s="573" t="s">
        <v>115</v>
      </c>
      <c r="R682" s="796" t="s">
        <v>117</v>
      </c>
      <c r="AG682" s="793" t="s">
        <v>849</v>
      </c>
    </row>
    <row r="683" spans="1:33" hidden="1">
      <c r="A683" s="1103">
        <f t="shared" si="31"/>
        <v>510</v>
      </c>
      <c r="B683" s="793" t="s">
        <v>779</v>
      </c>
      <c r="C683" s="587">
        <v>16.399999999999999</v>
      </c>
      <c r="D683" s="573" t="s">
        <v>209</v>
      </c>
      <c r="E683" s="575"/>
      <c r="F683" s="800">
        <v>98.5</v>
      </c>
      <c r="G683" s="798" t="s">
        <v>203</v>
      </c>
      <c r="H683" s="793" t="s">
        <v>1203</v>
      </c>
      <c r="I683" s="587">
        <f>(C269)</f>
        <v>15</v>
      </c>
      <c r="J683" s="574" t="s">
        <v>203</v>
      </c>
      <c r="K683" s="587">
        <f>(F683*I683)</f>
        <v>1477.5</v>
      </c>
      <c r="O683" s="793" t="s">
        <v>1137</v>
      </c>
      <c r="R683" s="800">
        <f>SUM(R679:R681)</f>
        <v>16.262999999999998</v>
      </c>
      <c r="AG683" s="793" t="s">
        <v>849</v>
      </c>
    </row>
    <row r="684" spans="1:33" hidden="1">
      <c r="A684" s="1103">
        <f t="shared" si="31"/>
        <v>511</v>
      </c>
      <c r="B684" s="793" t="s">
        <v>781</v>
      </c>
      <c r="C684" s="587">
        <v>27.85</v>
      </c>
      <c r="D684" s="573" t="s">
        <v>209</v>
      </c>
      <c r="E684" s="575"/>
      <c r="H684" s="793" t="s">
        <v>1205</v>
      </c>
      <c r="I684" s="573" t="s">
        <v>115</v>
      </c>
      <c r="J684" s="580"/>
      <c r="K684" s="573" t="s">
        <v>251</v>
      </c>
      <c r="R684" s="796" t="s">
        <v>117</v>
      </c>
      <c r="AG684" s="793" t="s">
        <v>849</v>
      </c>
    </row>
    <row r="685" spans="1:33" hidden="1">
      <c r="A685" s="1103">
        <f t="shared" si="31"/>
        <v>512</v>
      </c>
      <c r="B685" s="793" t="s">
        <v>782</v>
      </c>
      <c r="C685" s="587">
        <v>49.9</v>
      </c>
      <c r="D685" s="573" t="s">
        <v>209</v>
      </c>
      <c r="E685" s="575"/>
      <c r="I685" s="575"/>
      <c r="J685" s="580"/>
      <c r="K685" s="582" t="s">
        <v>117</v>
      </c>
      <c r="O685" s="1098" t="s">
        <v>1192</v>
      </c>
      <c r="R685" s="793" t="s">
        <v>115</v>
      </c>
      <c r="AG685" s="793" t="s">
        <v>849</v>
      </c>
    </row>
    <row r="686" spans="1:33" hidden="1">
      <c r="A686" s="1103">
        <f t="shared" si="31"/>
        <v>513</v>
      </c>
      <c r="B686" s="793" t="s">
        <v>783</v>
      </c>
      <c r="C686" s="587">
        <v>69.25</v>
      </c>
      <c r="D686" s="573" t="s">
        <v>209</v>
      </c>
      <c r="E686" s="575"/>
      <c r="H686" s="793" t="s">
        <v>1208</v>
      </c>
      <c r="I686" s="575"/>
      <c r="J686" s="580"/>
      <c r="K686" s="587">
        <f>SUM(K680:K684)</f>
        <v>6886.9</v>
      </c>
      <c r="M686" s="1119"/>
      <c r="O686" s="1098" t="s">
        <v>1193</v>
      </c>
      <c r="AG686" s="793" t="s">
        <v>849</v>
      </c>
    </row>
    <row r="687" spans="1:33" hidden="1">
      <c r="A687" s="1103">
        <f t="shared" si="31"/>
        <v>514</v>
      </c>
      <c r="B687" s="793" t="s">
        <v>1194</v>
      </c>
      <c r="C687" s="575"/>
      <c r="D687" s="573" t="s">
        <v>115</v>
      </c>
      <c r="E687" s="575"/>
      <c r="H687" s="793" t="s">
        <v>115</v>
      </c>
      <c r="I687" s="575"/>
      <c r="J687" s="580"/>
      <c r="K687" s="582" t="s">
        <v>117</v>
      </c>
      <c r="M687" s="1098" t="s">
        <v>589</v>
      </c>
      <c r="N687" s="793" t="s">
        <v>1196</v>
      </c>
      <c r="O687" s="793" t="s">
        <v>3279</v>
      </c>
      <c r="AG687" s="793" t="s">
        <v>849</v>
      </c>
    </row>
    <row r="688" spans="1:33" hidden="1">
      <c r="A688" s="1103">
        <f t="shared" si="31"/>
        <v>515</v>
      </c>
      <c r="B688" s="793" t="s">
        <v>728</v>
      </c>
      <c r="C688" s="587">
        <v>20</v>
      </c>
      <c r="D688" s="573" t="s">
        <v>209</v>
      </c>
      <c r="E688" s="575"/>
      <c r="F688" s="800">
        <v>10</v>
      </c>
      <c r="G688" s="798" t="s">
        <v>140</v>
      </c>
      <c r="H688" s="793" t="s">
        <v>1214</v>
      </c>
      <c r="I688" s="587">
        <f>(K686/50)</f>
        <v>137.738</v>
      </c>
      <c r="J688" s="574" t="s">
        <v>140</v>
      </c>
      <c r="K688" s="587">
        <f>(F688*I688)</f>
        <v>1377.38</v>
      </c>
      <c r="O688" s="796" t="s">
        <v>117</v>
      </c>
      <c r="AG688" s="793" t="s">
        <v>849</v>
      </c>
    </row>
    <row r="689" spans="1:33" hidden="1">
      <c r="A689" s="1103">
        <f t="shared" si="31"/>
        <v>516</v>
      </c>
      <c r="B689" s="793" t="s">
        <v>1199</v>
      </c>
      <c r="C689" s="587">
        <v>45</v>
      </c>
      <c r="D689" s="573" t="s">
        <v>209</v>
      </c>
      <c r="E689" s="575"/>
      <c r="F689" s="800">
        <v>3.8</v>
      </c>
      <c r="G689" s="798" t="s">
        <v>1</v>
      </c>
      <c r="H689" s="793" t="s">
        <v>1216</v>
      </c>
      <c r="I689" s="587">
        <f>(C16)</f>
        <v>150</v>
      </c>
      <c r="J689" s="574" t="s">
        <v>1</v>
      </c>
      <c r="K689" s="587">
        <f>(F689*I689)</f>
        <v>570</v>
      </c>
      <c r="M689" s="1119">
        <v>2.69E-2</v>
      </c>
      <c r="N689" s="793" t="s">
        <v>126</v>
      </c>
      <c r="O689" s="793" t="s">
        <v>1229</v>
      </c>
      <c r="P689" s="800">
        <f>C86+2500</f>
        <v>23105</v>
      </c>
      <c r="Q689" s="793" t="s">
        <v>126</v>
      </c>
      <c r="R689" s="800">
        <f t="shared" ref="R689:R695" si="32">M689*P689</f>
        <v>621.52449999999999</v>
      </c>
      <c r="AG689" s="793" t="s">
        <v>849</v>
      </c>
    </row>
    <row r="690" spans="1:33" hidden="1">
      <c r="A690" s="1103">
        <f t="shared" si="31"/>
        <v>517</v>
      </c>
      <c r="B690" s="793" t="s">
        <v>1202</v>
      </c>
      <c r="C690" s="575"/>
      <c r="D690" s="573" t="s">
        <v>251</v>
      </c>
      <c r="E690" s="575"/>
      <c r="F690" s="800">
        <v>5.4</v>
      </c>
      <c r="G690" s="798" t="s">
        <v>1</v>
      </c>
      <c r="H690" s="793" t="s">
        <v>146</v>
      </c>
      <c r="I690" s="587">
        <f>(C12)</f>
        <v>95</v>
      </c>
      <c r="J690" s="574" t="s">
        <v>1</v>
      </c>
      <c r="K690" s="587">
        <f>(F690*I690)</f>
        <v>513</v>
      </c>
      <c r="M690" s="1119">
        <v>1.2949999999999999</v>
      </c>
      <c r="N690" s="793" t="s">
        <v>140</v>
      </c>
      <c r="O690" s="793" t="s">
        <v>1204</v>
      </c>
      <c r="P690" s="800">
        <f>C753</f>
        <v>381.37</v>
      </c>
      <c r="Q690" s="793" t="s">
        <v>140</v>
      </c>
      <c r="R690" s="800">
        <f t="shared" si="32"/>
        <v>493.87414999999999</v>
      </c>
      <c r="AG690" s="793" t="s">
        <v>849</v>
      </c>
    </row>
    <row r="691" spans="1:33" hidden="1">
      <c r="A691" s="1103">
        <f t="shared" si="31"/>
        <v>518</v>
      </c>
      <c r="B691" s="793" t="s">
        <v>728</v>
      </c>
      <c r="C691" s="587">
        <v>19.09</v>
      </c>
      <c r="D691" s="573" t="s">
        <v>209</v>
      </c>
      <c r="E691" s="575"/>
      <c r="G691" s="798" t="s">
        <v>129</v>
      </c>
      <c r="H691" s="793" t="s">
        <v>1219</v>
      </c>
      <c r="I691" s="575"/>
      <c r="J691" s="574" t="s">
        <v>129</v>
      </c>
      <c r="K691" s="587">
        <v>5</v>
      </c>
      <c r="M691" s="1119">
        <v>1.8149999999999999</v>
      </c>
      <c r="N691" s="793" t="s">
        <v>140</v>
      </c>
      <c r="O691" s="793" t="s">
        <v>624</v>
      </c>
      <c r="P691" s="800">
        <f>C31</f>
        <v>342</v>
      </c>
      <c r="Q691" s="793" t="s">
        <v>140</v>
      </c>
      <c r="R691" s="800">
        <f t="shared" si="32"/>
        <v>620.73</v>
      </c>
      <c r="AG691" s="793" t="s">
        <v>849</v>
      </c>
    </row>
    <row r="692" spans="1:33" hidden="1">
      <c r="A692" s="1103">
        <f t="shared" si="31"/>
        <v>519</v>
      </c>
      <c r="B692" s="793" t="s">
        <v>1199</v>
      </c>
      <c r="C692" s="587">
        <v>50.66</v>
      </c>
      <c r="D692" s="573" t="s">
        <v>209</v>
      </c>
      <c r="E692" s="575"/>
      <c r="I692" s="575"/>
      <c r="J692" s="580"/>
      <c r="K692" s="582" t="s">
        <v>117</v>
      </c>
      <c r="M692" s="800">
        <v>2</v>
      </c>
      <c r="N692" s="793" t="s">
        <v>209</v>
      </c>
      <c r="O692" s="793" t="s">
        <v>1206</v>
      </c>
      <c r="P692" s="800">
        <f>C298</f>
        <v>10.5</v>
      </c>
      <c r="Q692" s="793" t="s">
        <v>209</v>
      </c>
      <c r="R692" s="800">
        <f t="shared" si="32"/>
        <v>21</v>
      </c>
      <c r="AG692" s="793" t="s">
        <v>849</v>
      </c>
    </row>
    <row r="693" spans="1:33" hidden="1">
      <c r="A693" s="1103">
        <f t="shared" si="31"/>
        <v>520</v>
      </c>
      <c r="B693" s="793" t="s">
        <v>1207</v>
      </c>
      <c r="C693" s="587">
        <v>1183.82</v>
      </c>
      <c r="D693" s="573" t="s">
        <v>140</v>
      </c>
      <c r="E693" s="575"/>
      <c r="H693" s="793" t="s">
        <v>153</v>
      </c>
      <c r="I693" s="575"/>
      <c r="J693" s="580"/>
      <c r="K693" s="587">
        <f>SUM(K688:K691)</f>
        <v>2465.38</v>
      </c>
      <c r="M693" s="800">
        <v>3</v>
      </c>
      <c r="N693" s="793" t="s">
        <v>209</v>
      </c>
      <c r="O693" s="793" t="s">
        <v>1209</v>
      </c>
      <c r="P693" s="800">
        <f>C294</f>
        <v>8.5</v>
      </c>
      <c r="Q693" s="793" t="s">
        <v>209</v>
      </c>
      <c r="R693" s="800">
        <f t="shared" si="32"/>
        <v>25.5</v>
      </c>
      <c r="AG693" s="793" t="s">
        <v>849</v>
      </c>
    </row>
    <row r="694" spans="1:33" hidden="1">
      <c r="A694" s="1103">
        <f t="shared" si="31"/>
        <v>521</v>
      </c>
      <c r="B694" s="793" t="s">
        <v>1210</v>
      </c>
      <c r="C694" s="587">
        <v>1605</v>
      </c>
      <c r="D694" s="573" t="s">
        <v>140</v>
      </c>
      <c r="E694" s="575"/>
      <c r="I694" s="575"/>
      <c r="J694" s="580"/>
      <c r="K694" s="582" t="s">
        <v>117</v>
      </c>
      <c r="M694" s="800">
        <v>1</v>
      </c>
      <c r="N694" s="793" t="s">
        <v>209</v>
      </c>
      <c r="O694" s="793" t="s">
        <v>1211</v>
      </c>
      <c r="P694" s="800">
        <f>C300</f>
        <v>21</v>
      </c>
      <c r="Q694" s="793" t="s">
        <v>209</v>
      </c>
      <c r="R694" s="800">
        <f t="shared" si="32"/>
        <v>21</v>
      </c>
      <c r="AG694" s="793" t="s">
        <v>849</v>
      </c>
    </row>
    <row r="695" spans="1:33" hidden="1">
      <c r="A695" s="1103">
        <f t="shared" si="31"/>
        <v>522</v>
      </c>
      <c r="B695" s="793" t="s">
        <v>3280</v>
      </c>
      <c r="C695" s="573" t="s">
        <v>3281</v>
      </c>
      <c r="D695" s="573" t="s">
        <v>206</v>
      </c>
      <c r="E695" s="575"/>
      <c r="H695" s="793" t="s">
        <v>154</v>
      </c>
      <c r="I695" s="575"/>
      <c r="J695" s="580"/>
      <c r="K695" s="587">
        <f>(K693/10)</f>
        <v>246.53800000000001</v>
      </c>
      <c r="M695" s="800">
        <v>1</v>
      </c>
      <c r="N695" s="793" t="s">
        <v>209</v>
      </c>
      <c r="O695" s="793" t="s">
        <v>628</v>
      </c>
      <c r="P695" s="800">
        <f>C302</f>
        <v>4</v>
      </c>
      <c r="Q695" s="793" t="s">
        <v>209</v>
      </c>
      <c r="R695" s="800">
        <f t="shared" si="32"/>
        <v>4</v>
      </c>
      <c r="AG695" s="793" t="s">
        <v>849</v>
      </c>
    </row>
    <row r="696" spans="1:33" hidden="1">
      <c r="A696" s="1103">
        <f t="shared" si="31"/>
        <v>523</v>
      </c>
      <c r="B696" s="793" t="s">
        <v>1215</v>
      </c>
      <c r="C696" s="587">
        <v>147.6</v>
      </c>
      <c r="D696" s="573" t="s">
        <v>203</v>
      </c>
      <c r="E696" s="575"/>
      <c r="I696" s="575"/>
      <c r="J696" s="580"/>
      <c r="K696" s="582" t="s">
        <v>155</v>
      </c>
      <c r="N696" s="793" t="s">
        <v>129</v>
      </c>
      <c r="O696" s="793" t="s">
        <v>130</v>
      </c>
      <c r="Q696" s="793" t="s">
        <v>129</v>
      </c>
      <c r="R696" s="800">
        <v>0</v>
      </c>
      <c r="AG696" s="793" t="s">
        <v>849</v>
      </c>
    </row>
    <row r="697" spans="1:33" hidden="1">
      <c r="A697" s="1103">
        <f t="shared" si="31"/>
        <v>524</v>
      </c>
      <c r="B697" s="793" t="s">
        <v>1217</v>
      </c>
      <c r="C697" s="587">
        <v>147.6</v>
      </c>
      <c r="D697" s="573" t="s">
        <v>203</v>
      </c>
      <c r="E697" s="575"/>
      <c r="I697" s="575"/>
      <c r="J697" s="580"/>
      <c r="K697" s="575"/>
      <c r="R697" s="796" t="s">
        <v>117</v>
      </c>
      <c r="AG697" s="793" t="s">
        <v>849</v>
      </c>
    </row>
    <row r="698" spans="1:33" hidden="1">
      <c r="A698" s="1103">
        <f t="shared" si="31"/>
        <v>525</v>
      </c>
      <c r="B698" s="793" t="s">
        <v>1218</v>
      </c>
      <c r="C698" s="587">
        <v>147.6</v>
      </c>
      <c r="D698" s="573" t="s">
        <v>203</v>
      </c>
      <c r="E698" s="575"/>
      <c r="F698" s="1098" t="s">
        <v>366</v>
      </c>
      <c r="G698" s="798" t="s">
        <v>122</v>
      </c>
      <c r="H698" s="793" t="s">
        <v>1231</v>
      </c>
      <c r="I698" s="575"/>
      <c r="J698" s="580"/>
      <c r="K698" s="575"/>
      <c r="O698" s="1098" t="s">
        <v>1220</v>
      </c>
      <c r="R698" s="800">
        <f>SUM(R689:R696)</f>
        <v>1807.6286500000001</v>
      </c>
      <c r="AG698" s="793" t="s">
        <v>849</v>
      </c>
    </row>
    <row r="699" spans="1:33" hidden="1">
      <c r="A699" s="1103">
        <f t="shared" si="31"/>
        <v>526</v>
      </c>
      <c r="B699" s="793" t="s">
        <v>1221</v>
      </c>
      <c r="C699" s="587">
        <v>1250</v>
      </c>
      <c r="D699" s="573" t="s">
        <v>140</v>
      </c>
      <c r="E699" s="575"/>
      <c r="H699" s="793" t="s">
        <v>1233</v>
      </c>
      <c r="I699" s="575"/>
      <c r="J699" s="580"/>
      <c r="K699" s="575"/>
      <c r="R699" s="796" t="s">
        <v>117</v>
      </c>
      <c r="AG699" s="793" t="s">
        <v>849</v>
      </c>
    </row>
    <row r="700" spans="1:33" hidden="1">
      <c r="A700" s="1103">
        <f t="shared" si="31"/>
        <v>527</v>
      </c>
      <c r="B700" s="793" t="s">
        <v>1222</v>
      </c>
      <c r="C700" s="587">
        <v>1250</v>
      </c>
      <c r="D700" s="573" t="s">
        <v>140</v>
      </c>
      <c r="E700" s="575"/>
      <c r="H700" s="793" t="s">
        <v>1235</v>
      </c>
      <c r="I700" s="575"/>
      <c r="J700" s="580"/>
      <c r="K700" s="575"/>
      <c r="N700" s="793" t="s">
        <v>115</v>
      </c>
      <c r="O700" s="1098" t="s">
        <v>154</v>
      </c>
      <c r="R700" s="800">
        <f>R698/M690</f>
        <v>1395.8522393822395</v>
      </c>
      <c r="AG700" s="793" t="s">
        <v>849</v>
      </c>
    </row>
    <row r="701" spans="1:33" hidden="1">
      <c r="A701" s="1103">
        <f t="shared" si="31"/>
        <v>528</v>
      </c>
      <c r="B701" s="793" t="s">
        <v>1223</v>
      </c>
      <c r="C701" s="587">
        <v>1250</v>
      </c>
      <c r="D701" s="573" t="s">
        <v>140</v>
      </c>
      <c r="E701" s="575"/>
      <c r="H701" s="793" t="s">
        <v>1237</v>
      </c>
      <c r="I701" s="575"/>
      <c r="J701" s="580"/>
      <c r="K701" s="575"/>
      <c r="R701" s="796" t="s">
        <v>155</v>
      </c>
      <c r="AG701" s="793" t="s">
        <v>849</v>
      </c>
    </row>
    <row r="702" spans="1:33" hidden="1">
      <c r="A702" s="1103">
        <f t="shared" si="31"/>
        <v>529</v>
      </c>
      <c r="B702" s="793" t="s">
        <v>1224</v>
      </c>
      <c r="C702" s="587">
        <v>1250</v>
      </c>
      <c r="D702" s="573" t="s">
        <v>140</v>
      </c>
      <c r="E702" s="575"/>
      <c r="H702" s="793" t="s">
        <v>1239</v>
      </c>
      <c r="I702" s="575"/>
      <c r="J702" s="580"/>
      <c r="K702" s="575"/>
      <c r="M702" s="1098" t="s">
        <v>589</v>
      </c>
      <c r="N702" s="793" t="s">
        <v>1225</v>
      </c>
      <c r="O702" s="793" t="s">
        <v>1226</v>
      </c>
      <c r="AG702" s="793" t="s">
        <v>849</v>
      </c>
    </row>
    <row r="703" spans="1:33" hidden="1">
      <c r="A703" s="1103">
        <f t="shared" si="31"/>
        <v>530</v>
      </c>
      <c r="B703" s="793" t="s">
        <v>1227</v>
      </c>
      <c r="C703" s="587">
        <v>1250</v>
      </c>
      <c r="D703" s="573" t="s">
        <v>140</v>
      </c>
      <c r="E703" s="575"/>
      <c r="H703" s="793" t="s">
        <v>1240</v>
      </c>
      <c r="I703" s="575"/>
      <c r="J703" s="580"/>
      <c r="K703" s="575"/>
      <c r="O703" s="796" t="s">
        <v>117</v>
      </c>
      <c r="AG703" s="793" t="s">
        <v>849</v>
      </c>
    </row>
    <row r="704" spans="1:33" hidden="1">
      <c r="A704" s="1103">
        <f t="shared" si="31"/>
        <v>531</v>
      </c>
      <c r="B704" s="793" t="s">
        <v>1228</v>
      </c>
      <c r="C704" s="587">
        <v>1250</v>
      </c>
      <c r="D704" s="573" t="s">
        <v>140</v>
      </c>
      <c r="E704" s="575"/>
      <c r="H704" s="793" t="s">
        <v>1242</v>
      </c>
      <c r="I704" s="575"/>
      <c r="J704" s="580"/>
      <c r="K704" s="575"/>
      <c r="M704" s="1119">
        <v>2.5499999999999998E-2</v>
      </c>
      <c r="N704" s="793" t="s">
        <v>126</v>
      </c>
      <c r="O704" s="793" t="s">
        <v>1229</v>
      </c>
      <c r="P704" s="800">
        <f>C86+2500</f>
        <v>23105</v>
      </c>
      <c r="Q704" s="793" t="s">
        <v>126</v>
      </c>
      <c r="R704" s="800">
        <f t="shared" ref="R704:R710" si="33">M704*P704</f>
        <v>589.17750000000001</v>
      </c>
      <c r="AG704" s="793" t="s">
        <v>849</v>
      </c>
    </row>
    <row r="705" spans="1:33" hidden="1">
      <c r="A705" s="1103">
        <f t="shared" si="31"/>
        <v>532</v>
      </c>
      <c r="B705" s="793" t="s">
        <v>1230</v>
      </c>
      <c r="C705" s="587">
        <v>1250</v>
      </c>
      <c r="D705" s="573" t="s">
        <v>140</v>
      </c>
      <c r="E705" s="575"/>
      <c r="H705" s="796" t="s">
        <v>117</v>
      </c>
      <c r="I705" s="582" t="s">
        <v>117</v>
      </c>
      <c r="J705" s="574" t="s">
        <v>117</v>
      </c>
      <c r="K705" s="575"/>
      <c r="M705" s="1119">
        <v>1.1299999999999999</v>
      </c>
      <c r="N705" s="793" t="s">
        <v>140</v>
      </c>
      <c r="O705" s="793" t="s">
        <v>1204</v>
      </c>
      <c r="P705" s="800">
        <f>C753</f>
        <v>381.37</v>
      </c>
      <c r="Q705" s="793" t="s">
        <v>140</v>
      </c>
      <c r="R705" s="800">
        <f t="shared" si="33"/>
        <v>430.94809999999995</v>
      </c>
      <c r="AG705" s="793" t="s">
        <v>849</v>
      </c>
    </row>
    <row r="706" spans="1:33" hidden="1">
      <c r="A706" s="1103">
        <f t="shared" si="31"/>
        <v>533</v>
      </c>
      <c r="B706" s="793" t="s">
        <v>1232</v>
      </c>
      <c r="C706" s="587">
        <v>1250</v>
      </c>
      <c r="D706" s="573" t="s">
        <v>140</v>
      </c>
      <c r="E706" s="575"/>
      <c r="F706" s="800">
        <v>13.46</v>
      </c>
      <c r="G706" s="798" t="s">
        <v>1245</v>
      </c>
      <c r="H706" s="793" t="s">
        <v>1246</v>
      </c>
      <c r="I706" s="587">
        <f>C34/1000</f>
        <v>30</v>
      </c>
      <c r="J706" s="574" t="s">
        <v>1245</v>
      </c>
      <c r="K706" s="587">
        <f>(F706*I706)</f>
        <v>403.8</v>
      </c>
      <c r="M706" s="1119">
        <v>1.6191</v>
      </c>
      <c r="N706" s="793" t="s">
        <v>140</v>
      </c>
      <c r="O706" s="793" t="s">
        <v>624</v>
      </c>
      <c r="P706" s="800">
        <f>C31</f>
        <v>342</v>
      </c>
      <c r="Q706" s="793" t="s">
        <v>140</v>
      </c>
      <c r="R706" s="800">
        <f t="shared" si="33"/>
        <v>553.73220000000003</v>
      </c>
      <c r="AG706" s="793" t="s">
        <v>849</v>
      </c>
    </row>
    <row r="707" spans="1:33" hidden="1">
      <c r="A707" s="1103">
        <f t="shared" si="31"/>
        <v>534</v>
      </c>
      <c r="B707" s="793" t="s">
        <v>1234</v>
      </c>
      <c r="C707" s="587">
        <v>1250</v>
      </c>
      <c r="D707" s="573" t="s">
        <v>140</v>
      </c>
      <c r="E707" s="575"/>
      <c r="H707" s="793" t="s">
        <v>1249</v>
      </c>
      <c r="I707" s="575"/>
      <c r="J707" s="580"/>
      <c r="K707" s="575"/>
      <c r="M707" s="800">
        <v>2</v>
      </c>
      <c r="N707" s="793" t="s">
        <v>209</v>
      </c>
      <c r="O707" s="793" t="s">
        <v>1206</v>
      </c>
      <c r="P707" s="800">
        <f>C298</f>
        <v>10.5</v>
      </c>
      <c r="Q707" s="793" t="s">
        <v>209</v>
      </c>
      <c r="R707" s="800">
        <f t="shared" si="33"/>
        <v>21</v>
      </c>
      <c r="AG707" s="793" t="s">
        <v>849</v>
      </c>
    </row>
    <row r="708" spans="1:33" hidden="1">
      <c r="A708" s="1103">
        <f t="shared" si="31"/>
        <v>535</v>
      </c>
      <c r="B708" s="793" t="s">
        <v>1236</v>
      </c>
      <c r="C708" s="587">
        <v>1250</v>
      </c>
      <c r="D708" s="573" t="s">
        <v>140</v>
      </c>
      <c r="E708" s="575"/>
      <c r="F708" s="800">
        <v>4</v>
      </c>
      <c r="G708" s="798" t="s">
        <v>1245</v>
      </c>
      <c r="H708" s="793" t="s">
        <v>1251</v>
      </c>
      <c r="I708" s="587">
        <f>D34/1000</f>
        <v>30</v>
      </c>
      <c r="J708" s="574" t="s">
        <v>1245</v>
      </c>
      <c r="K708" s="587">
        <f>(F708*I708)</f>
        <v>120</v>
      </c>
      <c r="M708" s="800">
        <v>3</v>
      </c>
      <c r="N708" s="793" t="s">
        <v>209</v>
      </c>
      <c r="O708" s="793" t="s">
        <v>1209</v>
      </c>
      <c r="P708" s="800">
        <f>C294</f>
        <v>8.5</v>
      </c>
      <c r="Q708" s="793" t="s">
        <v>209</v>
      </c>
      <c r="R708" s="800">
        <f t="shared" si="33"/>
        <v>25.5</v>
      </c>
      <c r="AG708" s="793" t="s">
        <v>849</v>
      </c>
    </row>
    <row r="709" spans="1:33" hidden="1">
      <c r="A709" s="1103">
        <f t="shared" si="31"/>
        <v>536</v>
      </c>
      <c r="B709" s="793" t="s">
        <v>1238</v>
      </c>
      <c r="C709" s="587">
        <v>1250</v>
      </c>
      <c r="D709" s="573" t="s">
        <v>140</v>
      </c>
      <c r="E709" s="575"/>
      <c r="H709" s="793" t="s">
        <v>1253</v>
      </c>
      <c r="I709" s="575"/>
      <c r="J709" s="580"/>
      <c r="K709" s="575"/>
      <c r="M709" s="800">
        <v>1</v>
      </c>
      <c r="N709" s="793" t="s">
        <v>209</v>
      </c>
      <c r="O709" s="793" t="s">
        <v>1211</v>
      </c>
      <c r="P709" s="800">
        <f>C300</f>
        <v>21</v>
      </c>
      <c r="Q709" s="793" t="s">
        <v>209</v>
      </c>
      <c r="R709" s="800">
        <f t="shared" si="33"/>
        <v>21</v>
      </c>
      <c r="AG709" s="793" t="s">
        <v>849</v>
      </c>
    </row>
    <row r="710" spans="1:33" hidden="1">
      <c r="A710" s="1103">
        <f t="shared" si="31"/>
        <v>537</v>
      </c>
      <c r="B710" s="793" t="s">
        <v>1230</v>
      </c>
      <c r="C710" s="587">
        <v>1250</v>
      </c>
      <c r="D710" s="573" t="s">
        <v>140</v>
      </c>
      <c r="E710" s="575"/>
      <c r="F710" s="800"/>
      <c r="G710" s="798" t="s">
        <v>129</v>
      </c>
      <c r="H710" s="793" t="s">
        <v>1255</v>
      </c>
      <c r="I710" s="575"/>
      <c r="J710" s="574" t="s">
        <v>129</v>
      </c>
      <c r="K710" s="587">
        <v>40</v>
      </c>
      <c r="M710" s="800">
        <v>1</v>
      </c>
      <c r="N710" s="793" t="s">
        <v>209</v>
      </c>
      <c r="O710" s="793" t="s">
        <v>628</v>
      </c>
      <c r="P710" s="800">
        <f>C302</f>
        <v>4</v>
      </c>
      <c r="Q710" s="793" t="s">
        <v>209</v>
      </c>
      <c r="R710" s="800">
        <f t="shared" si="33"/>
        <v>4</v>
      </c>
      <c r="AG710" s="793" t="s">
        <v>849</v>
      </c>
    </row>
    <row r="711" spans="1:33" hidden="1">
      <c r="A711" s="1103">
        <f t="shared" si="31"/>
        <v>538</v>
      </c>
      <c r="B711" s="793" t="s">
        <v>1241</v>
      </c>
      <c r="C711" s="575"/>
      <c r="D711" s="573" t="s">
        <v>115</v>
      </c>
      <c r="E711" s="575"/>
      <c r="H711" s="793" t="s">
        <v>1257</v>
      </c>
      <c r="I711" s="575"/>
      <c r="J711" s="580"/>
      <c r="K711" s="582" t="s">
        <v>117</v>
      </c>
      <c r="N711" s="793" t="s">
        <v>129</v>
      </c>
      <c r="O711" s="793" t="s">
        <v>130</v>
      </c>
      <c r="Q711" s="793" t="s">
        <v>129</v>
      </c>
      <c r="R711" s="800">
        <v>0</v>
      </c>
      <c r="AG711" s="793" t="s">
        <v>849</v>
      </c>
    </row>
    <row r="712" spans="1:33" hidden="1">
      <c r="A712" s="1103">
        <f t="shared" si="31"/>
        <v>539</v>
      </c>
      <c r="B712" s="793" t="s">
        <v>1243</v>
      </c>
      <c r="C712" s="587">
        <v>65</v>
      </c>
      <c r="D712" s="573" t="s">
        <v>206</v>
      </c>
      <c r="E712" s="575"/>
      <c r="H712" s="1098" t="s">
        <v>3282</v>
      </c>
      <c r="I712" s="575"/>
      <c r="J712" s="580"/>
      <c r="K712" s="587">
        <f>SUM(K706:K710)</f>
        <v>563.79999999999995</v>
      </c>
      <c r="R712" s="796" t="s">
        <v>117</v>
      </c>
      <c r="AG712" s="793" t="s">
        <v>849</v>
      </c>
    </row>
    <row r="713" spans="1:33" hidden="1">
      <c r="A713" s="1103">
        <f t="shared" si="31"/>
        <v>540</v>
      </c>
      <c r="B713" s="793" t="s">
        <v>1244</v>
      </c>
      <c r="C713" s="587">
        <v>64.55</v>
      </c>
      <c r="D713" s="573" t="s">
        <v>206</v>
      </c>
      <c r="E713" s="575"/>
      <c r="I713" s="575"/>
      <c r="J713" s="580"/>
      <c r="K713" s="582" t="s">
        <v>117</v>
      </c>
      <c r="O713" s="1098" t="s">
        <v>1247</v>
      </c>
      <c r="R713" s="800">
        <f>SUM(R704:R711)</f>
        <v>1645.3578</v>
      </c>
      <c r="AG713" s="793" t="s">
        <v>849</v>
      </c>
    </row>
    <row r="714" spans="1:33" hidden="1">
      <c r="A714" s="1103">
        <f t="shared" si="31"/>
        <v>541</v>
      </c>
      <c r="B714" s="793" t="s">
        <v>1248</v>
      </c>
      <c r="C714" s="587">
        <v>110.95</v>
      </c>
      <c r="D714" s="573" t="s">
        <v>206</v>
      </c>
      <c r="E714" s="575"/>
      <c r="H714" s="1098" t="s">
        <v>1264</v>
      </c>
      <c r="I714" s="575"/>
      <c r="J714" s="580"/>
      <c r="K714" s="587">
        <f>K712/40</f>
        <v>14.094999999999999</v>
      </c>
      <c r="R714" s="796" t="s">
        <v>117</v>
      </c>
      <c r="AG714" s="793" t="s">
        <v>849</v>
      </c>
    </row>
    <row r="715" spans="1:33" hidden="1">
      <c r="A715" s="1103">
        <f t="shared" si="31"/>
        <v>542</v>
      </c>
      <c r="B715" s="793" t="s">
        <v>1250</v>
      </c>
      <c r="C715" s="587">
        <v>399</v>
      </c>
      <c r="D715" s="573" t="s">
        <v>206</v>
      </c>
      <c r="E715" s="575"/>
      <c r="I715" s="575"/>
      <c r="J715" s="580"/>
      <c r="K715" s="582" t="s">
        <v>117</v>
      </c>
      <c r="O715" s="1098" t="s">
        <v>154</v>
      </c>
      <c r="R715" s="800">
        <f>R713/M706</f>
        <v>1016.2175282564388</v>
      </c>
      <c r="AG715" s="793" t="s">
        <v>849</v>
      </c>
    </row>
    <row r="716" spans="1:33" hidden="1">
      <c r="A716" s="1103">
        <f t="shared" si="31"/>
        <v>543</v>
      </c>
      <c r="B716" s="793" t="s">
        <v>1252</v>
      </c>
      <c r="C716" s="587">
        <v>92</v>
      </c>
      <c r="D716" s="573" t="s">
        <v>206</v>
      </c>
      <c r="E716" s="575"/>
      <c r="H716" s="793" t="s">
        <v>1267</v>
      </c>
      <c r="I716" s="575"/>
      <c r="J716" s="580"/>
      <c r="K716" s="575"/>
      <c r="R716" s="796" t="s">
        <v>155</v>
      </c>
      <c r="AG716" s="793" t="s">
        <v>849</v>
      </c>
    </row>
    <row r="717" spans="1:33" hidden="1">
      <c r="A717" s="1103">
        <f t="shared" si="31"/>
        <v>544</v>
      </c>
      <c r="B717" s="793" t="s">
        <v>1254</v>
      </c>
      <c r="C717" s="587">
        <v>174.24</v>
      </c>
      <c r="D717" s="573" t="s">
        <v>206</v>
      </c>
      <c r="E717" s="575"/>
      <c r="H717" s="793" t="s">
        <v>1269</v>
      </c>
      <c r="I717" s="575"/>
      <c r="J717" s="580"/>
      <c r="K717" s="575"/>
      <c r="AG717" s="793" t="s">
        <v>849</v>
      </c>
    </row>
    <row r="718" spans="1:33" hidden="1">
      <c r="A718" s="1103">
        <f t="shared" si="31"/>
        <v>545</v>
      </c>
      <c r="B718" s="793" t="s">
        <v>1256</v>
      </c>
      <c r="C718" s="587">
        <v>215.06</v>
      </c>
      <c r="D718" s="573" t="s">
        <v>206</v>
      </c>
      <c r="E718" s="575"/>
      <c r="H718" s="793" t="s">
        <v>1272</v>
      </c>
      <c r="I718" s="575"/>
      <c r="J718" s="580"/>
      <c r="K718" s="575"/>
      <c r="M718" s="1098" t="s">
        <v>589</v>
      </c>
      <c r="N718" s="793" t="s">
        <v>1258</v>
      </c>
      <c r="O718" s="793" t="s">
        <v>1259</v>
      </c>
      <c r="AG718" s="793" t="s">
        <v>849</v>
      </c>
    </row>
    <row r="719" spans="1:33" hidden="1">
      <c r="A719" s="1103">
        <f t="shared" si="31"/>
        <v>546</v>
      </c>
      <c r="B719" s="793" t="s">
        <v>1260</v>
      </c>
      <c r="C719" s="587">
        <v>97.24</v>
      </c>
      <c r="D719" s="573" t="s">
        <v>206</v>
      </c>
      <c r="E719" s="575"/>
      <c r="I719" s="575"/>
      <c r="J719" s="580"/>
      <c r="K719" s="575"/>
      <c r="O719" s="796" t="s">
        <v>117</v>
      </c>
      <c r="AG719" s="793" t="s">
        <v>849</v>
      </c>
    </row>
    <row r="720" spans="1:33" hidden="1">
      <c r="A720" s="1103">
        <f t="shared" si="31"/>
        <v>547</v>
      </c>
      <c r="B720" s="793" t="s">
        <v>1262</v>
      </c>
      <c r="C720" s="587">
        <v>168.96</v>
      </c>
      <c r="D720" s="573" t="s">
        <v>206</v>
      </c>
      <c r="E720" s="575"/>
      <c r="F720" s="800">
        <v>19</v>
      </c>
      <c r="G720" s="798" t="s">
        <v>240</v>
      </c>
      <c r="H720" s="793" t="s">
        <v>1277</v>
      </c>
      <c r="I720" s="587">
        <f>K714</f>
        <v>14.094999999999999</v>
      </c>
      <c r="J720" s="574" t="s">
        <v>1278</v>
      </c>
      <c r="K720" s="587">
        <f>(F720*I720)</f>
        <v>267.80499999999995</v>
      </c>
      <c r="M720" s="1119">
        <v>2.35E-2</v>
      </c>
      <c r="N720" s="793" t="s">
        <v>126</v>
      </c>
      <c r="O720" s="793" t="s">
        <v>1229</v>
      </c>
      <c r="P720" s="800">
        <f>C86+2500</f>
        <v>23105</v>
      </c>
      <c r="Q720" s="793" t="s">
        <v>126</v>
      </c>
      <c r="R720" s="800">
        <f t="shared" ref="R720:R726" si="34">M720*P720</f>
        <v>542.96749999999997</v>
      </c>
      <c r="AG720" s="793" t="s">
        <v>849</v>
      </c>
    </row>
    <row r="721" spans="1:33" hidden="1">
      <c r="A721" s="1103">
        <f t="shared" si="31"/>
        <v>548</v>
      </c>
      <c r="B721" s="793" t="s">
        <v>3283</v>
      </c>
      <c r="C721" s="587">
        <v>227</v>
      </c>
      <c r="D721" s="587">
        <v>247</v>
      </c>
      <c r="E721" s="575"/>
      <c r="H721" s="793" t="s">
        <v>1280</v>
      </c>
      <c r="I721" s="575"/>
      <c r="J721" s="580"/>
      <c r="K721" s="575"/>
      <c r="M721" s="1119">
        <v>0.872</v>
      </c>
      <c r="N721" s="793" t="s">
        <v>140</v>
      </c>
      <c r="O721" s="793" t="s">
        <v>1204</v>
      </c>
      <c r="P721" s="800">
        <f>C753</f>
        <v>381.37</v>
      </c>
      <c r="Q721" s="793" t="s">
        <v>140</v>
      </c>
      <c r="R721" s="800">
        <f t="shared" si="34"/>
        <v>332.55464000000001</v>
      </c>
      <c r="AG721" s="793" t="s">
        <v>849</v>
      </c>
    </row>
    <row r="722" spans="1:33" hidden="1">
      <c r="A722" s="1103">
        <f t="shared" si="31"/>
        <v>549</v>
      </c>
      <c r="B722" s="793" t="s">
        <v>3284</v>
      </c>
      <c r="C722" s="587">
        <v>250</v>
      </c>
      <c r="D722" s="573" t="s">
        <v>206</v>
      </c>
      <c r="E722" s="575"/>
      <c r="F722" s="800">
        <v>0.12</v>
      </c>
      <c r="G722" s="798" t="s">
        <v>429</v>
      </c>
      <c r="H722" s="793" t="s">
        <v>3285</v>
      </c>
      <c r="I722" s="587">
        <f>C268/5</f>
        <v>1879</v>
      </c>
      <c r="J722" s="574" t="s">
        <v>1278</v>
      </c>
      <c r="K722" s="587">
        <f t="shared" ref="K722:K729" si="35">(F722*I722)</f>
        <v>225.48</v>
      </c>
      <c r="M722" s="1119">
        <v>1.3247</v>
      </c>
      <c r="N722" s="793" t="s">
        <v>140</v>
      </c>
      <c r="O722" s="793" t="s">
        <v>624</v>
      </c>
      <c r="P722" s="800">
        <f>C31</f>
        <v>342</v>
      </c>
      <c r="Q722" s="793" t="s">
        <v>140</v>
      </c>
      <c r="R722" s="800">
        <f t="shared" si="34"/>
        <v>453.04739999999998</v>
      </c>
      <c r="AG722" s="793" t="s">
        <v>849</v>
      </c>
    </row>
    <row r="723" spans="1:33" hidden="1">
      <c r="A723" s="1103">
        <f t="shared" si="31"/>
        <v>550</v>
      </c>
      <c r="B723" s="793" t="s">
        <v>1266</v>
      </c>
      <c r="C723" s="587">
        <v>210</v>
      </c>
      <c r="D723" s="573" t="s">
        <v>206</v>
      </c>
      <c r="E723" s="575"/>
      <c r="F723" s="800">
        <v>98.5</v>
      </c>
      <c r="G723" s="798" t="s">
        <v>231</v>
      </c>
      <c r="H723" s="793" t="s">
        <v>1285</v>
      </c>
      <c r="I723" s="587">
        <f>C269/5</f>
        <v>3</v>
      </c>
      <c r="J723" s="574" t="s">
        <v>1278</v>
      </c>
      <c r="K723" s="587">
        <f t="shared" si="35"/>
        <v>295.5</v>
      </c>
      <c r="M723" s="800">
        <v>1</v>
      </c>
      <c r="N723" s="793" t="s">
        <v>209</v>
      </c>
      <c r="O723" s="793" t="s">
        <v>1206</v>
      </c>
      <c r="P723" s="800">
        <f>C298</f>
        <v>10.5</v>
      </c>
      <c r="Q723" s="793" t="s">
        <v>209</v>
      </c>
      <c r="R723" s="800">
        <f t="shared" si="34"/>
        <v>10.5</v>
      </c>
      <c r="AG723" s="793" t="s">
        <v>849</v>
      </c>
    </row>
    <row r="724" spans="1:33" hidden="1">
      <c r="A724" s="1103">
        <f t="shared" si="31"/>
        <v>551</v>
      </c>
      <c r="B724" s="793" t="s">
        <v>3286</v>
      </c>
      <c r="C724" s="587">
        <v>1022.58</v>
      </c>
      <c r="D724" s="573" t="s">
        <v>140</v>
      </c>
      <c r="E724" s="575"/>
      <c r="F724" s="800">
        <v>1</v>
      </c>
      <c r="G724" s="798" t="s">
        <v>129</v>
      </c>
      <c r="H724" s="793" t="s">
        <v>1287</v>
      </c>
      <c r="I724" s="587">
        <v>11</v>
      </c>
      <c r="J724" s="574" t="s">
        <v>129</v>
      </c>
      <c r="K724" s="587">
        <f t="shared" si="35"/>
        <v>11</v>
      </c>
      <c r="M724" s="800">
        <v>3</v>
      </c>
      <c r="N724" s="793" t="s">
        <v>209</v>
      </c>
      <c r="O724" s="793" t="s">
        <v>1270</v>
      </c>
      <c r="P724" s="800">
        <f>C293</f>
        <v>5.75</v>
      </c>
      <c r="Q724" s="793" t="s">
        <v>209</v>
      </c>
      <c r="R724" s="800">
        <f t="shared" si="34"/>
        <v>17.25</v>
      </c>
      <c r="AG724" s="793" t="s">
        <v>849</v>
      </c>
    </row>
    <row r="725" spans="1:33" hidden="1">
      <c r="A725" s="1103">
        <f t="shared" si="31"/>
        <v>552</v>
      </c>
      <c r="B725" s="793" t="s">
        <v>1271</v>
      </c>
      <c r="C725" s="575"/>
      <c r="D725" s="573" t="s">
        <v>115</v>
      </c>
      <c r="E725" s="575"/>
      <c r="F725" s="800">
        <v>3.8</v>
      </c>
      <c r="G725" s="798" t="s">
        <v>164</v>
      </c>
      <c r="H725" s="793" t="s">
        <v>1289</v>
      </c>
      <c r="I725" s="587">
        <f>C16</f>
        <v>150</v>
      </c>
      <c r="J725" s="574" t="s">
        <v>227</v>
      </c>
      <c r="K725" s="587">
        <f t="shared" si="35"/>
        <v>570</v>
      </c>
      <c r="M725" s="800">
        <v>1</v>
      </c>
      <c r="N725" s="793" t="s">
        <v>209</v>
      </c>
      <c r="O725" s="793" t="s">
        <v>1273</v>
      </c>
      <c r="P725" s="800">
        <f>C301</f>
        <v>10</v>
      </c>
      <c r="Q725" s="793" t="s">
        <v>209</v>
      </c>
      <c r="R725" s="800">
        <f t="shared" si="34"/>
        <v>10</v>
      </c>
      <c r="AG725" s="793" t="s">
        <v>849</v>
      </c>
    </row>
    <row r="726" spans="1:33" hidden="1">
      <c r="A726" s="1103">
        <f t="shared" si="31"/>
        <v>553</v>
      </c>
      <c r="B726" s="793" t="s">
        <v>1274</v>
      </c>
      <c r="C726" s="575"/>
      <c r="D726" s="575"/>
      <c r="E726" s="575"/>
      <c r="F726" s="800">
        <v>5.4</v>
      </c>
      <c r="G726" s="798" t="s">
        <v>164</v>
      </c>
      <c r="H726" s="793" t="s">
        <v>956</v>
      </c>
      <c r="I726" s="587">
        <f>C12</f>
        <v>95</v>
      </c>
      <c r="J726" s="574" t="s">
        <v>227</v>
      </c>
      <c r="K726" s="587">
        <f t="shared" si="35"/>
        <v>513</v>
      </c>
      <c r="M726" s="800">
        <v>1</v>
      </c>
      <c r="N726" s="793" t="s">
        <v>209</v>
      </c>
      <c r="O726" s="793" t="s">
        <v>628</v>
      </c>
      <c r="P726" s="800">
        <f>C302</f>
        <v>4</v>
      </c>
      <c r="Q726" s="793" t="s">
        <v>209</v>
      </c>
      <c r="R726" s="800">
        <f t="shared" si="34"/>
        <v>4</v>
      </c>
      <c r="AG726" s="793" t="s">
        <v>849</v>
      </c>
    </row>
    <row r="727" spans="1:33" hidden="1">
      <c r="A727" s="1103">
        <f t="shared" si="31"/>
        <v>554</v>
      </c>
      <c r="B727" s="793" t="s">
        <v>1275</v>
      </c>
      <c r="C727" s="587">
        <v>300</v>
      </c>
      <c r="D727" s="573" t="s">
        <v>1276</v>
      </c>
      <c r="E727" s="575"/>
      <c r="F727" s="800">
        <v>1</v>
      </c>
      <c r="G727" s="798" t="s">
        <v>164</v>
      </c>
      <c r="H727" s="793" t="s">
        <v>1293</v>
      </c>
      <c r="I727" s="587">
        <f>C66</f>
        <v>120</v>
      </c>
      <c r="J727" s="574" t="s">
        <v>227</v>
      </c>
      <c r="K727" s="587">
        <f t="shared" si="35"/>
        <v>120</v>
      </c>
      <c r="N727" s="793" t="s">
        <v>129</v>
      </c>
      <c r="O727" s="793" t="s">
        <v>130</v>
      </c>
      <c r="Q727" s="793" t="s">
        <v>129</v>
      </c>
      <c r="R727" s="800">
        <v>0</v>
      </c>
      <c r="AG727" s="793" t="s">
        <v>849</v>
      </c>
    </row>
    <row r="728" spans="1:33" hidden="1">
      <c r="A728" s="1103">
        <f t="shared" si="31"/>
        <v>555</v>
      </c>
      <c r="B728" s="1098" t="s">
        <v>1279</v>
      </c>
      <c r="C728" s="587">
        <v>302</v>
      </c>
      <c r="D728" s="573" t="s">
        <v>1276</v>
      </c>
      <c r="E728" s="575"/>
      <c r="F728" s="800">
        <v>1</v>
      </c>
      <c r="G728" s="798" t="s">
        <v>129</v>
      </c>
      <c r="H728" s="793" t="s">
        <v>1296</v>
      </c>
      <c r="I728" s="587">
        <v>10</v>
      </c>
      <c r="J728" s="574" t="s">
        <v>129</v>
      </c>
      <c r="K728" s="587">
        <f t="shared" si="35"/>
        <v>10</v>
      </c>
      <c r="R728" s="796" t="s">
        <v>117</v>
      </c>
      <c r="AG728" s="793" t="s">
        <v>849</v>
      </c>
    </row>
    <row r="729" spans="1:33" hidden="1">
      <c r="A729" s="1103">
        <f t="shared" si="31"/>
        <v>556</v>
      </c>
      <c r="B729" s="793" t="s">
        <v>1281</v>
      </c>
      <c r="C729" s="587">
        <v>382</v>
      </c>
      <c r="D729" s="573" t="s">
        <v>1276</v>
      </c>
      <c r="E729" s="575"/>
      <c r="F729" s="800">
        <v>19</v>
      </c>
      <c r="G729" s="798" t="s">
        <v>240</v>
      </c>
      <c r="H729" s="793" t="s">
        <v>1299</v>
      </c>
      <c r="I729" s="587">
        <v>2</v>
      </c>
      <c r="J729" s="574" t="s">
        <v>240</v>
      </c>
      <c r="K729" s="587">
        <f t="shared" si="35"/>
        <v>38</v>
      </c>
      <c r="O729" s="1098" t="s">
        <v>1283</v>
      </c>
      <c r="R729" s="800">
        <f>SUM(R720:R727)</f>
        <v>1370.31954</v>
      </c>
      <c r="AG729" s="793" t="s">
        <v>849</v>
      </c>
    </row>
    <row r="730" spans="1:33" hidden="1">
      <c r="A730" s="1103">
        <f t="shared" si="31"/>
        <v>557</v>
      </c>
      <c r="B730" s="793" t="s">
        <v>1284</v>
      </c>
      <c r="C730" s="587">
        <v>140</v>
      </c>
      <c r="D730" s="573" t="s">
        <v>1276</v>
      </c>
      <c r="E730" s="575"/>
      <c r="H730" s="793" t="s">
        <v>1302</v>
      </c>
      <c r="I730" s="575"/>
      <c r="J730" s="580"/>
      <c r="K730" s="582" t="s">
        <v>117</v>
      </c>
      <c r="R730" s="796" t="s">
        <v>117</v>
      </c>
      <c r="AG730" s="793" t="s">
        <v>636</v>
      </c>
    </row>
    <row r="731" spans="1:33" hidden="1">
      <c r="A731" s="1103">
        <f t="shared" si="31"/>
        <v>558</v>
      </c>
      <c r="B731" s="793" t="s">
        <v>1286</v>
      </c>
      <c r="C731" s="587">
        <v>222</v>
      </c>
      <c r="D731" s="573" t="s">
        <v>1276</v>
      </c>
      <c r="E731" s="575"/>
      <c r="H731" s="1098" t="s">
        <v>153</v>
      </c>
      <c r="I731" s="575"/>
      <c r="J731" s="580"/>
      <c r="K731" s="587">
        <f>SUM(K720:K729)</f>
        <v>2050.7849999999999</v>
      </c>
      <c r="O731" s="1098" t="s">
        <v>154</v>
      </c>
      <c r="R731" s="800">
        <f>R729/1.3247</f>
        <v>1034.4376387106515</v>
      </c>
    </row>
    <row r="732" spans="1:33" hidden="1">
      <c r="A732" s="1103">
        <f t="shared" si="31"/>
        <v>559</v>
      </c>
      <c r="B732" s="793" t="s">
        <v>1288</v>
      </c>
      <c r="C732" s="587">
        <v>505</v>
      </c>
      <c r="D732" s="573" t="s">
        <v>1276</v>
      </c>
      <c r="E732" s="575"/>
      <c r="I732" s="575"/>
      <c r="J732" s="580"/>
      <c r="K732" s="582" t="s">
        <v>117</v>
      </c>
      <c r="R732" s="796" t="s">
        <v>155</v>
      </c>
    </row>
    <row r="733" spans="1:33" hidden="1">
      <c r="A733" s="1103">
        <f t="shared" si="31"/>
        <v>560</v>
      </c>
      <c r="B733" s="793" t="s">
        <v>3287</v>
      </c>
      <c r="C733" s="587">
        <v>75</v>
      </c>
      <c r="D733" s="573" t="s">
        <v>206</v>
      </c>
      <c r="E733" s="575"/>
      <c r="H733" s="1098" t="s">
        <v>154</v>
      </c>
      <c r="I733" s="575"/>
      <c r="J733" s="580"/>
      <c r="K733" s="587">
        <f>(K731/10)</f>
        <v>205.07849999999999</v>
      </c>
      <c r="N733" s="793" t="s">
        <v>122</v>
      </c>
      <c r="O733" s="793" t="s">
        <v>1294</v>
      </c>
      <c r="AG733" s="793" t="s">
        <v>849</v>
      </c>
    </row>
    <row r="734" spans="1:33" hidden="1">
      <c r="C734" s="575"/>
      <c r="D734" s="575"/>
      <c r="E734" s="575"/>
      <c r="F734" s="793" t="s">
        <v>115</v>
      </c>
      <c r="I734" s="575"/>
      <c r="J734" s="580"/>
      <c r="K734" s="575"/>
    </row>
    <row r="735" spans="1:33" hidden="1">
      <c r="A735" s="1103">
        <f>(A733+1)</f>
        <v>561</v>
      </c>
      <c r="B735" s="793" t="s">
        <v>1295</v>
      </c>
      <c r="C735" s="587">
        <v>43.3</v>
      </c>
      <c r="D735" s="573" t="s">
        <v>203</v>
      </c>
      <c r="E735" s="575"/>
      <c r="I735" s="575"/>
      <c r="J735" s="580"/>
      <c r="K735" s="582" t="s">
        <v>155</v>
      </c>
      <c r="O735" s="793" t="s">
        <v>1297</v>
      </c>
      <c r="AG735" s="793" t="s">
        <v>849</v>
      </c>
    </row>
    <row r="736" spans="1:33" hidden="1">
      <c r="A736" s="1103">
        <f t="shared" ref="A736:A753" si="36">(A735+1)</f>
        <v>562</v>
      </c>
      <c r="B736" s="793" t="s">
        <v>1298</v>
      </c>
      <c r="C736" s="587">
        <v>218</v>
      </c>
      <c r="D736" s="573" t="s">
        <v>206</v>
      </c>
      <c r="E736" s="575"/>
      <c r="F736" s="1098" t="s">
        <v>370</v>
      </c>
      <c r="G736" s="798" t="s">
        <v>122</v>
      </c>
      <c r="H736" s="793" t="s">
        <v>1311</v>
      </c>
      <c r="I736" s="575"/>
      <c r="J736" s="580"/>
      <c r="K736" s="575"/>
      <c r="O736" s="793" t="s">
        <v>1300</v>
      </c>
      <c r="AG736" s="793" t="s">
        <v>849</v>
      </c>
    </row>
    <row r="737" spans="1:33" hidden="1">
      <c r="A737" s="1103">
        <f t="shared" si="36"/>
        <v>563</v>
      </c>
      <c r="B737" s="793" t="s">
        <v>1301</v>
      </c>
      <c r="C737" s="587">
        <v>926</v>
      </c>
      <c r="D737" s="573" t="s">
        <v>206</v>
      </c>
      <c r="E737" s="575"/>
      <c r="H737" s="793" t="s">
        <v>1314</v>
      </c>
      <c r="I737" s="575"/>
      <c r="J737" s="580"/>
      <c r="K737" s="575"/>
      <c r="O737" s="793" t="s">
        <v>1303</v>
      </c>
      <c r="AG737" s="793" t="s">
        <v>849</v>
      </c>
    </row>
    <row r="738" spans="1:33" hidden="1">
      <c r="A738" s="1103">
        <f t="shared" si="36"/>
        <v>564</v>
      </c>
      <c r="B738" s="793" t="s">
        <v>1304</v>
      </c>
      <c r="C738" s="587">
        <v>5.15</v>
      </c>
      <c r="D738" s="573" t="s">
        <v>203</v>
      </c>
      <c r="E738" s="575"/>
      <c r="H738" s="793" t="s">
        <v>1317</v>
      </c>
      <c r="I738" s="575"/>
      <c r="J738" s="580"/>
      <c r="K738" s="575"/>
      <c r="O738" s="796" t="s">
        <v>117</v>
      </c>
      <c r="AG738" s="793" t="s">
        <v>849</v>
      </c>
    </row>
    <row r="739" spans="1:33" hidden="1">
      <c r="A739" s="1103">
        <f t="shared" si="36"/>
        <v>565</v>
      </c>
      <c r="B739" s="793" t="s">
        <v>1305</v>
      </c>
      <c r="C739" s="587">
        <v>550</v>
      </c>
      <c r="D739" s="573" t="s">
        <v>206</v>
      </c>
      <c r="E739" s="575"/>
      <c r="H739" s="796" t="s">
        <v>117</v>
      </c>
      <c r="I739" s="575"/>
      <c r="J739" s="580"/>
      <c r="K739" s="575"/>
      <c r="AG739" s="793" t="s">
        <v>849</v>
      </c>
    </row>
    <row r="740" spans="1:33" hidden="1">
      <c r="A740" s="1103">
        <f t="shared" si="36"/>
        <v>566</v>
      </c>
      <c r="B740" s="793" t="s">
        <v>1306</v>
      </c>
      <c r="C740" s="587">
        <v>286</v>
      </c>
      <c r="D740" s="573" t="s">
        <v>206</v>
      </c>
      <c r="E740" s="575"/>
      <c r="F740" s="800">
        <v>10</v>
      </c>
      <c r="G740" s="798" t="s">
        <v>140</v>
      </c>
      <c r="H740" s="793" t="s">
        <v>1322</v>
      </c>
      <c r="I740" s="587">
        <f>(K720)*1.2</f>
        <v>321.36599999999993</v>
      </c>
      <c r="J740" s="574" t="s">
        <v>1278</v>
      </c>
      <c r="K740" s="587">
        <f>(F740*I740)/10</f>
        <v>321.36599999999993</v>
      </c>
      <c r="O740" s="793" t="s">
        <v>1307</v>
      </c>
      <c r="R740" s="800">
        <f>(C693)</f>
        <v>1183.82</v>
      </c>
      <c r="AG740" s="793" t="s">
        <v>849</v>
      </c>
    </row>
    <row r="741" spans="1:33" hidden="1">
      <c r="A741" s="1103">
        <f t="shared" si="36"/>
        <v>567</v>
      </c>
      <c r="B741" s="793" t="s">
        <v>1308</v>
      </c>
      <c r="C741" s="587">
        <v>96.3</v>
      </c>
      <c r="D741" s="573" t="s">
        <v>203</v>
      </c>
      <c r="E741" s="575"/>
      <c r="H741" s="793" t="s">
        <v>1325</v>
      </c>
      <c r="I741" s="575"/>
      <c r="J741" s="580"/>
      <c r="K741" s="575"/>
      <c r="R741" s="796" t="s">
        <v>155</v>
      </c>
      <c r="AG741" s="793" t="s">
        <v>849</v>
      </c>
    </row>
    <row r="742" spans="1:33" hidden="1">
      <c r="A742" s="1103">
        <f t="shared" si="36"/>
        <v>568</v>
      </c>
      <c r="B742" s="793" t="s">
        <v>1309</v>
      </c>
      <c r="C742" s="587">
        <v>51</v>
      </c>
      <c r="D742" s="573" t="s">
        <v>206</v>
      </c>
      <c r="E742" s="575"/>
      <c r="H742" s="793" t="s">
        <v>1328</v>
      </c>
      <c r="I742" s="575"/>
      <c r="J742" s="580"/>
      <c r="K742" s="575"/>
      <c r="AG742" s="793" t="s">
        <v>849</v>
      </c>
    </row>
    <row r="743" spans="1:33" hidden="1">
      <c r="A743" s="1103">
        <f t="shared" si="36"/>
        <v>569</v>
      </c>
      <c r="B743" s="793" t="s">
        <v>1310</v>
      </c>
      <c r="C743" s="587">
        <v>181</v>
      </c>
      <c r="D743" s="573" t="s">
        <v>1006</v>
      </c>
      <c r="E743" s="575"/>
      <c r="F743" s="800">
        <v>10</v>
      </c>
      <c r="G743" s="798" t="s">
        <v>140</v>
      </c>
      <c r="H743" s="793" t="s">
        <v>1331</v>
      </c>
      <c r="I743" s="587">
        <f>K722*1.2</f>
        <v>270.57599999999996</v>
      </c>
      <c r="J743" s="574" t="s">
        <v>1278</v>
      </c>
      <c r="K743" s="587">
        <f>(F743*I743)/10</f>
        <v>270.57599999999996</v>
      </c>
      <c r="N743" s="793" t="s">
        <v>122</v>
      </c>
      <c r="O743" s="793" t="s">
        <v>1312</v>
      </c>
      <c r="AG743" s="793" t="s">
        <v>849</v>
      </c>
    </row>
    <row r="744" spans="1:33" hidden="1">
      <c r="A744" s="1103">
        <f t="shared" si="36"/>
        <v>570</v>
      </c>
      <c r="B744" s="793" t="s">
        <v>1313</v>
      </c>
      <c r="C744" s="587">
        <v>36.200000000000003</v>
      </c>
      <c r="D744" s="573" t="s">
        <v>203</v>
      </c>
      <c r="E744" s="575"/>
      <c r="H744" s="793" t="s">
        <v>1334</v>
      </c>
      <c r="I744" s="575"/>
      <c r="J744" s="580"/>
      <c r="K744" s="575"/>
      <c r="O744" s="796" t="s">
        <v>155</v>
      </c>
      <c r="P744" s="796" t="s">
        <v>155</v>
      </c>
      <c r="Q744" s="796" t="s">
        <v>155</v>
      </c>
      <c r="R744" s="793" t="s">
        <v>1315</v>
      </c>
      <c r="AG744" s="793" t="s">
        <v>849</v>
      </c>
    </row>
    <row r="745" spans="1:33" hidden="1">
      <c r="A745" s="1103">
        <f t="shared" si="36"/>
        <v>571</v>
      </c>
      <c r="B745" s="793" t="s">
        <v>1316</v>
      </c>
      <c r="C745" s="587">
        <v>98</v>
      </c>
      <c r="D745" s="573" t="s">
        <v>206</v>
      </c>
      <c r="E745" s="575"/>
      <c r="H745" s="793" t="s">
        <v>1336</v>
      </c>
      <c r="I745" s="575"/>
      <c r="J745" s="580"/>
      <c r="K745" s="575"/>
      <c r="O745" s="793" t="s">
        <v>1318</v>
      </c>
      <c r="Q745" s="1098" t="s">
        <v>231</v>
      </c>
      <c r="R745" s="800">
        <f>(C696)</f>
        <v>147.6</v>
      </c>
      <c r="AG745" s="793" t="s">
        <v>849</v>
      </c>
    </row>
    <row r="746" spans="1:33" hidden="1">
      <c r="A746" s="1103">
        <f t="shared" si="36"/>
        <v>572</v>
      </c>
      <c r="B746" s="793" t="s">
        <v>1319</v>
      </c>
      <c r="C746" s="587">
        <v>92</v>
      </c>
      <c r="D746" s="573" t="s">
        <v>203</v>
      </c>
      <c r="E746" s="575"/>
      <c r="F746" s="800">
        <v>98.5</v>
      </c>
      <c r="G746" s="798" t="s">
        <v>231</v>
      </c>
      <c r="H746" s="793" t="s">
        <v>1285</v>
      </c>
      <c r="I746" s="587">
        <f>C269/5</f>
        <v>3</v>
      </c>
      <c r="J746" s="574" t="s">
        <v>1278</v>
      </c>
      <c r="K746" s="587">
        <f t="shared" ref="K746:K752" si="37">(F746*I746)</f>
        <v>295.5</v>
      </c>
      <c r="O746" s="793" t="s">
        <v>1320</v>
      </c>
      <c r="AG746" s="793" t="s">
        <v>849</v>
      </c>
    </row>
    <row r="747" spans="1:33" hidden="1">
      <c r="A747" s="1103">
        <f t="shared" si="36"/>
        <v>573</v>
      </c>
      <c r="B747" s="793" t="s">
        <v>1321</v>
      </c>
      <c r="C747" s="587">
        <v>49.42</v>
      </c>
      <c r="D747" s="573" t="s">
        <v>206</v>
      </c>
      <c r="E747" s="575"/>
      <c r="F747" s="800">
        <v>3.8</v>
      </c>
      <c r="G747" s="798" t="s">
        <v>1</v>
      </c>
      <c r="H747" s="793" t="s">
        <v>1216</v>
      </c>
      <c r="I747" s="587">
        <f>(C16)</f>
        <v>150</v>
      </c>
      <c r="J747" s="574" t="s">
        <v>1</v>
      </c>
      <c r="K747" s="587">
        <f t="shared" si="37"/>
        <v>570</v>
      </c>
      <c r="O747" s="793" t="s">
        <v>1323</v>
      </c>
      <c r="AG747" s="793" t="s">
        <v>849</v>
      </c>
    </row>
    <row r="748" spans="1:33" hidden="1">
      <c r="A748" s="1103">
        <f t="shared" si="36"/>
        <v>574</v>
      </c>
      <c r="B748" s="793" t="s">
        <v>1324</v>
      </c>
      <c r="C748" s="587">
        <v>53.2</v>
      </c>
      <c r="D748" s="573" t="s">
        <v>206</v>
      </c>
      <c r="E748" s="575"/>
      <c r="F748" s="800">
        <v>5.4</v>
      </c>
      <c r="G748" s="798" t="s">
        <v>1</v>
      </c>
      <c r="H748" s="793" t="s">
        <v>146</v>
      </c>
      <c r="I748" s="587">
        <f>(C12)</f>
        <v>95</v>
      </c>
      <c r="J748" s="574" t="s">
        <v>1</v>
      </c>
      <c r="K748" s="587">
        <f t="shared" si="37"/>
        <v>513</v>
      </c>
      <c r="O748" s="793" t="s">
        <v>1326</v>
      </c>
      <c r="AG748" s="793" t="s">
        <v>849</v>
      </c>
    </row>
    <row r="749" spans="1:33" hidden="1">
      <c r="A749" s="1103">
        <f t="shared" si="36"/>
        <v>575</v>
      </c>
      <c r="B749" s="793" t="s">
        <v>1327</v>
      </c>
      <c r="C749" s="587">
        <v>59</v>
      </c>
      <c r="D749" s="573" t="s">
        <v>206</v>
      </c>
      <c r="E749" s="575"/>
      <c r="F749" s="800">
        <v>1</v>
      </c>
      <c r="G749" s="798" t="s">
        <v>1</v>
      </c>
      <c r="H749" s="793" t="s">
        <v>1293</v>
      </c>
      <c r="I749" s="587">
        <f>C66</f>
        <v>120</v>
      </c>
      <c r="J749" s="574" t="s">
        <v>227</v>
      </c>
      <c r="K749" s="587">
        <f t="shared" si="37"/>
        <v>120</v>
      </c>
      <c r="O749" s="793" t="s">
        <v>1329</v>
      </c>
      <c r="AG749" s="793" t="s">
        <v>849</v>
      </c>
    </row>
    <row r="750" spans="1:33" hidden="1">
      <c r="A750" s="1103">
        <f t="shared" si="36"/>
        <v>576</v>
      </c>
      <c r="B750" s="793" t="s">
        <v>1330</v>
      </c>
      <c r="C750" s="587">
        <v>100</v>
      </c>
      <c r="D750" s="573" t="s">
        <v>206</v>
      </c>
      <c r="E750" s="575"/>
      <c r="F750" s="800">
        <v>1</v>
      </c>
      <c r="G750" s="798" t="s">
        <v>129</v>
      </c>
      <c r="H750" s="793" t="s">
        <v>1343</v>
      </c>
      <c r="I750" s="587">
        <v>11</v>
      </c>
      <c r="J750" s="574" t="s">
        <v>227</v>
      </c>
      <c r="K750" s="587">
        <f t="shared" si="37"/>
        <v>11</v>
      </c>
      <c r="O750" s="793" t="s">
        <v>1332</v>
      </c>
      <c r="R750" s="793" t="s">
        <v>115</v>
      </c>
      <c r="AG750" s="793" t="s">
        <v>849</v>
      </c>
    </row>
    <row r="751" spans="1:33" hidden="1">
      <c r="A751" s="1103">
        <f t="shared" si="36"/>
        <v>577</v>
      </c>
      <c r="B751" s="793" t="s">
        <v>1333</v>
      </c>
      <c r="C751" s="587">
        <v>49.52</v>
      </c>
      <c r="D751" s="573" t="s">
        <v>203</v>
      </c>
      <c r="E751" s="575"/>
      <c r="F751" s="800">
        <v>1</v>
      </c>
      <c r="G751" s="798" t="s">
        <v>129</v>
      </c>
      <c r="H751" s="793" t="s">
        <v>1219</v>
      </c>
      <c r="I751" s="587">
        <v>10</v>
      </c>
      <c r="J751" s="574" t="s">
        <v>129</v>
      </c>
      <c r="K751" s="587">
        <f t="shared" si="37"/>
        <v>10</v>
      </c>
      <c r="O751" s="793" t="s">
        <v>115</v>
      </c>
      <c r="AG751" s="793" t="s">
        <v>849</v>
      </c>
    </row>
    <row r="752" spans="1:33" hidden="1">
      <c r="A752" s="1103">
        <f t="shared" si="36"/>
        <v>578</v>
      </c>
      <c r="B752" s="793" t="s">
        <v>1335</v>
      </c>
      <c r="C752" s="587">
        <v>1080</v>
      </c>
      <c r="D752" s="573" t="s">
        <v>206</v>
      </c>
      <c r="E752" s="575"/>
      <c r="F752" s="800">
        <v>19</v>
      </c>
      <c r="G752" s="798" t="s">
        <v>240</v>
      </c>
      <c r="H752" s="793" t="s">
        <v>1345</v>
      </c>
      <c r="I752" s="587">
        <v>2</v>
      </c>
      <c r="J752" s="580" t="s">
        <v>240</v>
      </c>
      <c r="K752" s="587">
        <f t="shared" si="37"/>
        <v>38</v>
      </c>
      <c r="AG752" s="793" t="s">
        <v>849</v>
      </c>
    </row>
    <row r="753" spans="1:33" hidden="1">
      <c r="A753" s="1103">
        <f t="shared" si="36"/>
        <v>579</v>
      </c>
      <c r="B753" s="793" t="s">
        <v>3288</v>
      </c>
      <c r="C753" s="587">
        <v>381.37</v>
      </c>
      <c r="D753" s="573" t="s">
        <v>140</v>
      </c>
      <c r="E753" s="575"/>
      <c r="H753" s="793" t="s">
        <v>1347</v>
      </c>
      <c r="I753" s="575"/>
      <c r="J753" s="580"/>
      <c r="K753" s="575"/>
      <c r="N753" s="793" t="s">
        <v>122</v>
      </c>
      <c r="O753" s="793" t="s">
        <v>1338</v>
      </c>
      <c r="Q753" s="1098" t="s">
        <v>174</v>
      </c>
      <c r="R753" s="800">
        <f>(C700)</f>
        <v>1250</v>
      </c>
      <c r="AG753" s="793" t="s">
        <v>849</v>
      </c>
    </row>
    <row r="754" spans="1:33" hidden="1">
      <c r="A754" s="1103" t="e">
        <f>(#REF!+1)</f>
        <v>#REF!</v>
      </c>
      <c r="B754" s="793" t="s">
        <v>1274</v>
      </c>
      <c r="C754" s="575"/>
      <c r="D754" s="575"/>
      <c r="E754" s="575"/>
      <c r="I754" s="575"/>
      <c r="J754" s="580"/>
      <c r="K754" s="582" t="s">
        <v>117</v>
      </c>
      <c r="O754" s="793" t="s">
        <v>1339</v>
      </c>
      <c r="AG754" s="793" t="s">
        <v>849</v>
      </c>
    </row>
    <row r="755" spans="1:33" hidden="1">
      <c r="A755" s="1103"/>
      <c r="B755" s="793" t="s">
        <v>1275</v>
      </c>
      <c r="C755" s="587">
        <v>300</v>
      </c>
      <c r="D755" s="575"/>
      <c r="E755" s="575"/>
      <c r="H755" s="793" t="s">
        <v>153</v>
      </c>
      <c r="I755" s="575"/>
      <c r="J755" s="580"/>
      <c r="K755" s="587">
        <f>SUM(K740:K753)</f>
        <v>2149.442</v>
      </c>
      <c r="O755" s="793" t="s">
        <v>1340</v>
      </c>
      <c r="AG755" s="793" t="s">
        <v>849</v>
      </c>
    </row>
    <row r="756" spans="1:33" hidden="1">
      <c r="A756" s="1103"/>
      <c r="B756" s="1098" t="s">
        <v>1279</v>
      </c>
      <c r="C756" s="587">
        <v>302</v>
      </c>
      <c r="D756" s="575"/>
      <c r="E756" s="575"/>
      <c r="I756" s="575"/>
      <c r="J756" s="580"/>
      <c r="K756" s="582" t="s">
        <v>117</v>
      </c>
      <c r="O756" s="793" t="s">
        <v>1341</v>
      </c>
      <c r="AG756" s="793" t="s">
        <v>849</v>
      </c>
    </row>
    <row r="757" spans="1:33" hidden="1">
      <c r="A757" s="1103"/>
      <c r="B757" s="793" t="s">
        <v>1342</v>
      </c>
      <c r="C757" s="587">
        <v>324</v>
      </c>
      <c r="D757" s="575"/>
      <c r="E757" s="575"/>
      <c r="H757" s="793" t="s">
        <v>154</v>
      </c>
      <c r="I757" s="575"/>
      <c r="J757" s="580"/>
      <c r="K757" s="587">
        <f>(K755/10)</f>
        <v>214.9442</v>
      </c>
      <c r="AG757" s="793" t="s">
        <v>849</v>
      </c>
    </row>
    <row r="758" spans="1:33" hidden="1">
      <c r="A758" s="1103"/>
      <c r="B758" s="793" t="s">
        <v>1281</v>
      </c>
      <c r="C758" s="587">
        <v>382</v>
      </c>
      <c r="D758" s="575"/>
      <c r="E758" s="575"/>
      <c r="I758" s="575"/>
      <c r="J758" s="580"/>
      <c r="K758" s="582" t="s">
        <v>155</v>
      </c>
      <c r="N758" s="793" t="s">
        <v>122</v>
      </c>
      <c r="O758" s="793" t="s">
        <v>1344</v>
      </c>
      <c r="AG758" s="793" t="s">
        <v>849</v>
      </c>
    </row>
    <row r="759" spans="1:33" hidden="1">
      <c r="A759" s="1103"/>
      <c r="B759" s="793" t="s">
        <v>1288</v>
      </c>
      <c r="C759" s="587">
        <v>505</v>
      </c>
      <c r="D759" s="575"/>
      <c r="E759" s="575"/>
      <c r="I759" s="575"/>
      <c r="J759" s="580"/>
      <c r="K759" s="575"/>
      <c r="O759" s="793" t="s">
        <v>3289</v>
      </c>
      <c r="R759" s="793" t="s">
        <v>115</v>
      </c>
      <c r="AG759" s="793" t="s">
        <v>849</v>
      </c>
    </row>
    <row r="760" spans="1:33" hidden="1">
      <c r="A760" s="1103"/>
      <c r="B760" s="793" t="s">
        <v>1284</v>
      </c>
      <c r="C760" s="587">
        <v>140</v>
      </c>
      <c r="D760" s="575"/>
      <c r="E760" s="575"/>
      <c r="F760" s="1098" t="s">
        <v>375</v>
      </c>
      <c r="G760" s="798" t="s">
        <v>122</v>
      </c>
      <c r="H760" s="793" t="s">
        <v>1311</v>
      </c>
      <c r="I760" s="575"/>
      <c r="J760" s="580"/>
      <c r="K760" s="575"/>
      <c r="O760" s="793" t="s">
        <v>1348</v>
      </c>
      <c r="AG760" s="793" t="s">
        <v>849</v>
      </c>
    </row>
    <row r="761" spans="1:33" hidden="1">
      <c r="A761" s="1103"/>
      <c r="B761" s="793" t="s">
        <v>1286</v>
      </c>
      <c r="C761" s="587">
        <v>222</v>
      </c>
      <c r="D761" s="575"/>
      <c r="E761" s="575"/>
      <c r="H761" s="793" t="s">
        <v>1314</v>
      </c>
      <c r="I761" s="575"/>
      <c r="J761" s="580"/>
      <c r="K761" s="575"/>
      <c r="O761" s="796" t="s">
        <v>117</v>
      </c>
      <c r="AG761" s="793" t="s">
        <v>849</v>
      </c>
    </row>
    <row r="762" spans="1:33" hidden="1">
      <c r="A762" s="1103"/>
      <c r="B762" s="793" t="s">
        <v>1349</v>
      </c>
      <c r="C762" s="587">
        <v>100</v>
      </c>
      <c r="D762" s="575"/>
      <c r="E762" s="575"/>
      <c r="H762" s="793" t="s">
        <v>1361</v>
      </c>
      <c r="I762" s="575"/>
      <c r="J762" s="580"/>
      <c r="K762" s="575"/>
      <c r="N762" s="793" t="s">
        <v>110</v>
      </c>
      <c r="O762" s="793" t="s">
        <v>3290</v>
      </c>
      <c r="P762" s="800">
        <f>(C271)</f>
        <v>160</v>
      </c>
      <c r="Q762" s="793" t="s">
        <v>110</v>
      </c>
      <c r="R762" s="800" t="e">
        <f>(#VALUE!*P762)</f>
        <v>#VALUE!</v>
      </c>
      <c r="AG762" s="793" t="s">
        <v>849</v>
      </c>
    </row>
    <row r="763" spans="1:33" hidden="1">
      <c r="A763" s="1103"/>
      <c r="B763" s="793" t="s">
        <v>1351</v>
      </c>
      <c r="C763" s="587">
        <v>75</v>
      </c>
      <c r="D763" s="575"/>
      <c r="E763" s="575"/>
      <c r="H763" s="796" t="s">
        <v>117</v>
      </c>
      <c r="I763" s="575"/>
      <c r="J763" s="580"/>
      <c r="K763" s="575"/>
      <c r="AG763" s="793" t="s">
        <v>849</v>
      </c>
    </row>
    <row r="764" spans="1:33" hidden="1">
      <c r="A764" s="1103"/>
      <c r="B764" s="793" t="s">
        <v>1352</v>
      </c>
      <c r="C764" s="587">
        <v>218</v>
      </c>
      <c r="D764" s="575"/>
      <c r="E764" s="575"/>
      <c r="H764" s="793" t="s">
        <v>1367</v>
      </c>
      <c r="I764" s="575"/>
      <c r="J764" s="580"/>
      <c r="K764" s="587">
        <f>(K695/2)</f>
        <v>123.26900000000001</v>
      </c>
      <c r="N764" s="793" t="s">
        <v>1353</v>
      </c>
      <c r="O764" s="793" t="s">
        <v>1354</v>
      </c>
      <c r="P764" s="800">
        <f>(C16)</f>
        <v>150</v>
      </c>
      <c r="Q764" s="793" t="s">
        <v>1353</v>
      </c>
      <c r="R764" s="800" t="e">
        <f>(#VALUE!*P764)</f>
        <v>#VALUE!</v>
      </c>
      <c r="AG764" s="793" t="s">
        <v>849</v>
      </c>
    </row>
    <row r="765" spans="1:33" hidden="1">
      <c r="A765" s="1103"/>
      <c r="B765" s="793" t="s">
        <v>1355</v>
      </c>
      <c r="C765" s="587">
        <v>1854</v>
      </c>
      <c r="D765" s="575"/>
      <c r="E765" s="575"/>
      <c r="H765" s="793" t="s">
        <v>1370</v>
      </c>
      <c r="I765" s="575"/>
      <c r="J765" s="580"/>
      <c r="K765" s="582" t="s">
        <v>155</v>
      </c>
      <c r="AG765" s="793" t="s">
        <v>849</v>
      </c>
    </row>
    <row r="766" spans="1:33" hidden="1">
      <c r="C766" s="575"/>
      <c r="D766" s="575"/>
      <c r="E766" s="575"/>
      <c r="I766" s="575"/>
      <c r="J766" s="580"/>
      <c r="K766" s="575"/>
    </row>
    <row r="767" spans="1:33" hidden="1">
      <c r="A767" s="1103"/>
      <c r="B767" s="793" t="s">
        <v>242</v>
      </c>
      <c r="C767" s="587">
        <v>51</v>
      </c>
      <c r="D767" s="575"/>
      <c r="E767" s="575"/>
      <c r="F767" s="1098" t="s">
        <v>1052</v>
      </c>
      <c r="G767" s="798" t="s">
        <v>122</v>
      </c>
      <c r="H767" s="793" t="s">
        <v>1374</v>
      </c>
      <c r="I767" s="575"/>
      <c r="J767" s="580"/>
      <c r="K767" s="575"/>
      <c r="O767" s="793" t="s">
        <v>1356</v>
      </c>
      <c r="P767" s="802" t="s">
        <v>129</v>
      </c>
      <c r="R767" s="800">
        <v>0.64</v>
      </c>
      <c r="AG767" s="793" t="s">
        <v>849</v>
      </c>
    </row>
    <row r="768" spans="1:33" hidden="1">
      <c r="A768" s="1103"/>
      <c r="B768" s="793" t="s">
        <v>1357</v>
      </c>
      <c r="C768" s="587">
        <v>915</v>
      </c>
      <c r="D768" s="575"/>
      <c r="E768" s="575"/>
      <c r="H768" s="793" t="s">
        <v>1054</v>
      </c>
      <c r="I768" s="575"/>
      <c r="J768" s="580"/>
      <c r="K768" s="575"/>
      <c r="R768" s="796" t="s">
        <v>117</v>
      </c>
      <c r="AG768" s="793" t="s">
        <v>849</v>
      </c>
    </row>
    <row r="769" spans="1:33" hidden="1">
      <c r="A769" s="1103"/>
      <c r="B769" s="793" t="s">
        <v>1358</v>
      </c>
      <c r="C769" s="587">
        <v>890</v>
      </c>
      <c r="D769" s="575"/>
      <c r="E769" s="575"/>
      <c r="H769" s="793" t="s">
        <v>1057</v>
      </c>
      <c r="I769" s="575"/>
      <c r="J769" s="580"/>
      <c r="K769" s="575"/>
      <c r="O769" s="793" t="s">
        <v>1359</v>
      </c>
      <c r="R769" s="800" t="e">
        <f>SUM(R762:R767)</f>
        <v>#VALUE!</v>
      </c>
      <c r="AG769" s="793" t="s">
        <v>849</v>
      </c>
    </row>
    <row r="770" spans="1:33" hidden="1">
      <c r="A770" s="1103"/>
      <c r="B770" s="793" t="s">
        <v>1360</v>
      </c>
      <c r="C770" s="587">
        <v>5.15</v>
      </c>
      <c r="D770" s="575"/>
      <c r="E770" s="575"/>
      <c r="H770" s="796" t="s">
        <v>117</v>
      </c>
      <c r="I770" s="575"/>
      <c r="J770" s="580"/>
      <c r="K770" s="575"/>
      <c r="R770" s="796" t="s">
        <v>117</v>
      </c>
      <c r="AG770" s="793" t="s">
        <v>849</v>
      </c>
    </row>
    <row r="771" spans="1:33" hidden="1">
      <c r="A771" s="1103"/>
      <c r="B771" s="793" t="s">
        <v>1363</v>
      </c>
      <c r="C771" s="587">
        <v>43.3</v>
      </c>
      <c r="D771" s="575"/>
      <c r="E771" s="575"/>
      <c r="F771" s="1108">
        <v>9</v>
      </c>
      <c r="G771" s="798" t="s">
        <v>126</v>
      </c>
      <c r="H771" s="793" t="s">
        <v>1382</v>
      </c>
      <c r="I771" s="587" t="e">
        <f>C73</f>
        <v>#REF!</v>
      </c>
      <c r="J771" s="574" t="s">
        <v>126</v>
      </c>
      <c r="K771" s="587" t="e">
        <f t="shared" ref="K771:K776" si="38">F771*I771</f>
        <v>#REF!</v>
      </c>
      <c r="O771" s="793" t="s">
        <v>1364</v>
      </c>
      <c r="R771" s="800" t="e">
        <f>(R769/0.4)</f>
        <v>#VALUE!</v>
      </c>
      <c r="AG771" s="793" t="s">
        <v>849</v>
      </c>
    </row>
    <row r="772" spans="1:33" hidden="1">
      <c r="A772" s="1103"/>
      <c r="B772" s="793" t="s">
        <v>1366</v>
      </c>
      <c r="C772" s="587">
        <v>920</v>
      </c>
      <c r="D772" s="575"/>
      <c r="E772" s="575"/>
      <c r="F772" s="1108">
        <v>4.3079999999999998</v>
      </c>
      <c r="G772" s="798" t="s">
        <v>124</v>
      </c>
      <c r="H772" s="793" t="s">
        <v>125</v>
      </c>
      <c r="I772" s="587">
        <f>C67</f>
        <v>3800</v>
      </c>
      <c r="J772" s="574" t="s">
        <v>124</v>
      </c>
      <c r="K772" s="587">
        <f t="shared" si="38"/>
        <v>16370.4</v>
      </c>
      <c r="R772" s="796" t="s">
        <v>155</v>
      </c>
      <c r="AG772" s="793" t="s">
        <v>849</v>
      </c>
    </row>
    <row r="773" spans="1:33" hidden="1">
      <c r="A773" s="1103"/>
      <c r="B773" s="793" t="s">
        <v>1369</v>
      </c>
      <c r="C773" s="587">
        <v>98</v>
      </c>
      <c r="D773" s="575"/>
      <c r="E773" s="575"/>
      <c r="F773" s="1108">
        <v>4.5</v>
      </c>
      <c r="G773" s="798" t="s">
        <v>126</v>
      </c>
      <c r="H773" s="793" t="s">
        <v>127</v>
      </c>
      <c r="I773" s="587" t="e">
        <f>C78</f>
        <v>#REF!</v>
      </c>
      <c r="J773" s="574" t="s">
        <v>126</v>
      </c>
      <c r="K773" s="587" t="e">
        <f t="shared" si="38"/>
        <v>#REF!</v>
      </c>
      <c r="N773" s="793" t="s">
        <v>122</v>
      </c>
      <c r="O773" s="793" t="s">
        <v>1371</v>
      </c>
      <c r="AG773" s="793" t="s">
        <v>849</v>
      </c>
    </row>
    <row r="774" spans="1:33" hidden="1">
      <c r="A774" s="1103"/>
      <c r="B774" s="793" t="s">
        <v>1373</v>
      </c>
      <c r="C774" s="587">
        <v>181</v>
      </c>
      <c r="D774" s="575"/>
      <c r="E774" s="575"/>
      <c r="F774" s="1108">
        <v>3.5</v>
      </c>
      <c r="G774" s="798" t="s">
        <v>209</v>
      </c>
      <c r="H774" s="793" t="s">
        <v>145</v>
      </c>
      <c r="I774" s="587">
        <f>C11</f>
        <v>135</v>
      </c>
      <c r="J774" s="574" t="s">
        <v>209</v>
      </c>
      <c r="K774" s="587">
        <f t="shared" si="38"/>
        <v>472.5</v>
      </c>
      <c r="O774" s="793" t="s">
        <v>1375</v>
      </c>
      <c r="AG774" s="793" t="s">
        <v>849</v>
      </c>
    </row>
    <row r="775" spans="1:33" hidden="1">
      <c r="A775" s="1103"/>
      <c r="B775" s="793" t="s">
        <v>1376</v>
      </c>
      <c r="C775" s="587">
        <v>1148.76</v>
      </c>
      <c r="D775" s="575"/>
      <c r="E775" s="575"/>
      <c r="F775" s="1108">
        <v>21.2</v>
      </c>
      <c r="G775" s="798" t="s">
        <v>209</v>
      </c>
      <c r="H775" s="793" t="s">
        <v>146</v>
      </c>
      <c r="I775" s="587">
        <f>C12</f>
        <v>95</v>
      </c>
      <c r="J775" s="574" t="s">
        <v>209</v>
      </c>
      <c r="K775" s="587">
        <f t="shared" si="38"/>
        <v>2014</v>
      </c>
      <c r="O775" s="793" t="s">
        <v>1377</v>
      </c>
      <c r="AG775" s="793" t="s">
        <v>849</v>
      </c>
    </row>
    <row r="776" spans="1:33" hidden="1">
      <c r="A776" s="1103"/>
      <c r="B776" s="793" t="s">
        <v>1378</v>
      </c>
      <c r="C776" s="587">
        <v>967</v>
      </c>
      <c r="D776" s="575"/>
      <c r="E776" s="575"/>
      <c r="F776" s="1108">
        <v>35.299999999999997</v>
      </c>
      <c r="G776" s="798" t="s">
        <v>209</v>
      </c>
      <c r="H776" s="793" t="s">
        <v>147</v>
      </c>
      <c r="I776" s="587">
        <f>C13</f>
        <v>85</v>
      </c>
      <c r="J776" s="574" t="s">
        <v>209</v>
      </c>
      <c r="K776" s="587">
        <f t="shared" si="38"/>
        <v>3000.4999999999995</v>
      </c>
      <c r="O776" s="796" t="s">
        <v>117</v>
      </c>
      <c r="AG776" s="793" t="s">
        <v>849</v>
      </c>
    </row>
    <row r="777" spans="1:33" hidden="1">
      <c r="A777" s="1103"/>
      <c r="B777" s="793" t="s">
        <v>1970</v>
      </c>
      <c r="C777" s="587">
        <v>30</v>
      </c>
      <c r="D777" s="575"/>
      <c r="E777" s="575"/>
      <c r="F777" s="802" t="s">
        <v>129</v>
      </c>
      <c r="H777" s="793" t="s">
        <v>130</v>
      </c>
      <c r="I777" s="575"/>
      <c r="J777" s="574" t="s">
        <v>129</v>
      </c>
      <c r="K777" s="587">
        <v>0</v>
      </c>
      <c r="N777" s="802" t="s">
        <v>1196</v>
      </c>
      <c r="O777" s="793" t="s">
        <v>1380</v>
      </c>
      <c r="AG777" s="793" t="s">
        <v>849</v>
      </c>
    </row>
    <row r="778" spans="1:33" hidden="1">
      <c r="A778" s="1103"/>
      <c r="B778" s="793" t="s">
        <v>1381</v>
      </c>
      <c r="C778" s="587">
        <v>2107</v>
      </c>
      <c r="D778" s="575"/>
      <c r="E778" s="575"/>
      <c r="I778" s="575"/>
      <c r="J778" s="580"/>
      <c r="K778" s="582" t="s">
        <v>117</v>
      </c>
      <c r="O778" s="793" t="s">
        <v>1383</v>
      </c>
      <c r="AG778" s="793" t="s">
        <v>849</v>
      </c>
    </row>
    <row r="779" spans="1:33" hidden="1">
      <c r="A779" s="1103"/>
      <c r="B779" s="793" t="s">
        <v>3291</v>
      </c>
      <c r="C779" s="587">
        <v>650</v>
      </c>
      <c r="D779" s="575"/>
      <c r="E779" s="575"/>
      <c r="H779" s="1098" t="s">
        <v>455</v>
      </c>
      <c r="I779" s="575"/>
      <c r="J779" s="580"/>
      <c r="K779" s="587" t="e">
        <f>SUM(K771:K777)</f>
        <v>#REF!</v>
      </c>
      <c r="N779" s="793" t="s">
        <v>1245</v>
      </c>
      <c r="O779" s="793" t="s">
        <v>1386</v>
      </c>
      <c r="P779" s="800">
        <v>43</v>
      </c>
      <c r="R779" s="800" t="e">
        <f>(#VALUE!*P779)</f>
        <v>#VALUE!</v>
      </c>
      <c r="AG779" s="793" t="s">
        <v>849</v>
      </c>
    </row>
    <row r="780" spans="1:33" hidden="1">
      <c r="A780" s="1103"/>
      <c r="B780" s="793" t="s">
        <v>2184</v>
      </c>
      <c r="C780" s="592">
        <v>160</v>
      </c>
      <c r="D780" s="575"/>
      <c r="E780" s="575"/>
      <c r="I780" s="575"/>
      <c r="J780" s="580"/>
      <c r="K780" s="582" t="s">
        <v>155</v>
      </c>
      <c r="O780" s="793" t="s">
        <v>1389</v>
      </c>
      <c r="AG780" s="793" t="s">
        <v>849</v>
      </c>
    </row>
    <row r="781" spans="1:33" hidden="1">
      <c r="A781" s="1103"/>
      <c r="B781" s="793" t="s">
        <v>2185</v>
      </c>
      <c r="C781" s="592">
        <v>110</v>
      </c>
      <c r="D781" s="575"/>
      <c r="E781" s="575"/>
      <c r="H781" s="793" t="s">
        <v>383</v>
      </c>
      <c r="I781" s="575"/>
      <c r="J781" s="580"/>
      <c r="K781" s="587" t="e">
        <f>K779/10</f>
        <v>#REF!</v>
      </c>
      <c r="O781" s="793" t="s">
        <v>1392</v>
      </c>
      <c r="AG781" s="793" t="s">
        <v>849</v>
      </c>
    </row>
    <row r="782" spans="1:33" hidden="1">
      <c r="A782" s="1103"/>
      <c r="C782" s="575"/>
      <c r="D782" s="575"/>
      <c r="E782" s="575"/>
      <c r="I782" s="575"/>
      <c r="J782" s="580"/>
      <c r="K782" s="575"/>
      <c r="N782" s="793" t="s">
        <v>140</v>
      </c>
      <c r="O782" s="793" t="s">
        <v>1408</v>
      </c>
      <c r="P782" s="800">
        <f>C271</f>
        <v>160</v>
      </c>
      <c r="R782" s="800" t="e">
        <f t="shared" ref="R782:R789" si="39">(#VALUE!*P782)</f>
        <v>#VALUE!</v>
      </c>
      <c r="AG782" s="793" t="s">
        <v>849</v>
      </c>
    </row>
    <row r="783" spans="1:33" hidden="1">
      <c r="A783" s="1103"/>
      <c r="C783" s="575">
        <v>3.05</v>
      </c>
      <c r="D783" s="575"/>
      <c r="E783" s="575"/>
      <c r="F783" s="800">
        <v>1</v>
      </c>
      <c r="G783" s="798" t="s">
        <v>126</v>
      </c>
      <c r="H783" s="793" t="s">
        <v>689</v>
      </c>
      <c r="I783" s="587">
        <f>C25</f>
        <v>20.7</v>
      </c>
      <c r="J783" s="580"/>
      <c r="K783" s="587">
        <f>F783*I783</f>
        <v>20.7</v>
      </c>
      <c r="N783" s="793" t="s">
        <v>209</v>
      </c>
      <c r="O783" s="793" t="s">
        <v>1395</v>
      </c>
      <c r="P783" s="800">
        <v>5</v>
      </c>
      <c r="R783" s="800" t="e">
        <f t="shared" si="39"/>
        <v>#VALUE!</v>
      </c>
      <c r="AG783" s="793" t="s">
        <v>849</v>
      </c>
    </row>
    <row r="784" spans="1:33" hidden="1">
      <c r="A784" s="1103"/>
      <c r="C784" s="575">
        <v>30</v>
      </c>
      <c r="D784" s="575"/>
      <c r="E784" s="575"/>
      <c r="I784" s="575"/>
      <c r="J784" s="580"/>
      <c r="K784" s="582" t="s">
        <v>117</v>
      </c>
      <c r="N784" s="793" t="s">
        <v>209</v>
      </c>
      <c r="O784" s="793" t="s">
        <v>1396</v>
      </c>
      <c r="P784" s="800">
        <v>10</v>
      </c>
      <c r="R784" s="800" t="e">
        <f t="shared" si="39"/>
        <v>#VALUE!</v>
      </c>
      <c r="AG784" s="793" t="s">
        <v>849</v>
      </c>
    </row>
    <row r="785" spans="1:33" hidden="1">
      <c r="A785" s="1103"/>
      <c r="C785" s="575">
        <v>35</v>
      </c>
      <c r="D785" s="575"/>
      <c r="E785" s="575"/>
      <c r="I785" s="575"/>
      <c r="J785" s="580"/>
      <c r="K785" s="587" t="e">
        <f>SUM(K781:K783)</f>
        <v>#REF!</v>
      </c>
      <c r="N785" s="793" t="s">
        <v>209</v>
      </c>
      <c r="O785" s="793" t="s">
        <v>1398</v>
      </c>
      <c r="P785" s="800">
        <v>8</v>
      </c>
      <c r="R785" s="800" t="e">
        <f t="shared" si="39"/>
        <v>#VALUE!</v>
      </c>
      <c r="AG785" s="793" t="s">
        <v>849</v>
      </c>
    </row>
    <row r="786" spans="1:33" hidden="1">
      <c r="A786" s="1103"/>
      <c r="C786" s="575">
        <v>125</v>
      </c>
      <c r="D786" s="575"/>
      <c r="E786" s="575"/>
      <c r="I786" s="575"/>
      <c r="J786" s="580"/>
      <c r="K786" s="582" t="s">
        <v>117</v>
      </c>
      <c r="N786" s="793" t="s">
        <v>231</v>
      </c>
      <c r="O786" s="793" t="s">
        <v>1401</v>
      </c>
      <c r="P786" s="800">
        <v>13.66</v>
      </c>
      <c r="R786" s="800" t="e">
        <f t="shared" si="39"/>
        <v>#VALUE!</v>
      </c>
      <c r="AG786" s="793" t="s">
        <v>849</v>
      </c>
    </row>
    <row r="787" spans="1:33" hidden="1">
      <c r="A787" s="1103"/>
      <c r="B787" s="794" t="s">
        <v>3292</v>
      </c>
      <c r="C787" s="612">
        <v>162</v>
      </c>
      <c r="D787" s="612">
        <v>179</v>
      </c>
      <c r="E787" s="575"/>
      <c r="I787" s="575"/>
      <c r="J787" s="580"/>
      <c r="K787" s="582"/>
      <c r="N787" s="793"/>
      <c r="O787" s="793"/>
      <c r="P787" s="800"/>
      <c r="R787" s="800"/>
      <c r="AG787" s="793"/>
    </row>
    <row r="788" spans="1:33" hidden="1">
      <c r="A788" s="1103"/>
      <c r="B788" s="794" t="s">
        <v>3293</v>
      </c>
      <c r="C788" s="851">
        <v>185</v>
      </c>
      <c r="D788" s="575"/>
      <c r="E788" s="575"/>
      <c r="H788" s="793" t="s">
        <v>482</v>
      </c>
      <c r="I788" s="575"/>
      <c r="J788" s="580"/>
      <c r="K788" s="587" t="e">
        <f>(K785+C22)</f>
        <v>#REF!</v>
      </c>
      <c r="N788" s="793" t="s">
        <v>140</v>
      </c>
      <c r="O788" s="793" t="s">
        <v>1403</v>
      </c>
      <c r="P788" s="800">
        <v>25.46</v>
      </c>
      <c r="R788" s="800" t="e">
        <f t="shared" si="39"/>
        <v>#VALUE!</v>
      </c>
      <c r="AG788" s="793" t="s">
        <v>849</v>
      </c>
    </row>
    <row r="789" spans="1:33" hidden="1">
      <c r="A789" s="1103"/>
      <c r="B789" s="794" t="s">
        <v>3294</v>
      </c>
      <c r="C789" s="851">
        <v>170</v>
      </c>
      <c r="D789" s="575"/>
      <c r="E789" s="575"/>
      <c r="H789" s="793" t="s">
        <v>486</v>
      </c>
      <c r="I789" s="575"/>
      <c r="J789" s="580"/>
      <c r="K789" s="587" t="e">
        <f>(K788+C23)</f>
        <v>#REF!</v>
      </c>
      <c r="N789" s="793" t="s">
        <v>209</v>
      </c>
      <c r="O789" s="793" t="s">
        <v>1404</v>
      </c>
      <c r="P789" s="800">
        <v>0.5</v>
      </c>
      <c r="R789" s="800" t="e">
        <f t="shared" si="39"/>
        <v>#VALUE!</v>
      </c>
      <c r="AG789" s="793" t="s">
        <v>849</v>
      </c>
    </row>
    <row r="790" spans="1:33" hidden="1">
      <c r="A790" s="1103"/>
      <c r="B790" s="794" t="s">
        <v>3295</v>
      </c>
      <c r="C790" s="851">
        <v>160</v>
      </c>
      <c r="D790" s="575"/>
      <c r="E790" s="575"/>
      <c r="H790" s="793" t="s">
        <v>489</v>
      </c>
      <c r="I790" s="575"/>
      <c r="J790" s="580"/>
      <c r="K790" s="587" t="e">
        <f>(K789+C24)</f>
        <v>#REF!</v>
      </c>
      <c r="R790" s="800">
        <v>0.54</v>
      </c>
      <c r="AG790" s="793" t="s">
        <v>636</v>
      </c>
    </row>
    <row r="791" spans="1:33" hidden="1">
      <c r="A791" s="1103"/>
      <c r="B791" s="1122" t="s">
        <v>2185</v>
      </c>
      <c r="C791" s="851">
        <v>121</v>
      </c>
      <c r="D791" s="575"/>
      <c r="E791" s="575"/>
      <c r="H791" s="793" t="s">
        <v>491</v>
      </c>
      <c r="I791" s="575"/>
      <c r="J791" s="580"/>
      <c r="K791" s="587" t="e">
        <f>(K790+C24)</f>
        <v>#REF!</v>
      </c>
      <c r="R791" s="796" t="s">
        <v>117</v>
      </c>
    </row>
    <row r="792" spans="1:33" hidden="1">
      <c r="A792" s="1103"/>
      <c r="B792" s="1122" t="s">
        <v>3296</v>
      </c>
      <c r="C792" s="612">
        <v>120</v>
      </c>
      <c r="D792" s="575"/>
      <c r="E792" s="575"/>
      <c r="H792" s="793" t="s">
        <v>576</v>
      </c>
      <c r="I792" s="575"/>
      <c r="J792" s="580"/>
      <c r="K792" s="587" t="e">
        <f>(K791+C24)</f>
        <v>#REF!</v>
      </c>
      <c r="O792" s="1098" t="s">
        <v>1405</v>
      </c>
      <c r="R792" s="800" t="e">
        <f>SUM(R779:R790)</f>
        <v>#VALUE!</v>
      </c>
    </row>
    <row r="793" spans="1:33" hidden="1">
      <c r="B793" s="1122" t="s">
        <v>3297</v>
      </c>
      <c r="C793" s="612">
        <v>70</v>
      </c>
      <c r="D793" s="575"/>
      <c r="E793" s="575"/>
      <c r="F793" s="793" t="s">
        <v>115</v>
      </c>
      <c r="I793" s="575"/>
      <c r="J793" s="580"/>
      <c r="K793" s="575"/>
    </row>
    <row r="794" spans="1:33" hidden="1">
      <c r="A794" s="1103"/>
      <c r="B794" s="1122" t="s">
        <v>3298</v>
      </c>
      <c r="C794" s="575">
        <v>35</v>
      </c>
      <c r="D794" s="575"/>
      <c r="E794" s="575"/>
      <c r="F794" s="793" t="s">
        <v>115</v>
      </c>
      <c r="G794" s="798" t="s">
        <v>122</v>
      </c>
      <c r="H794" s="1098" t="s">
        <v>1407</v>
      </c>
      <c r="I794" s="575"/>
      <c r="J794" s="580"/>
      <c r="K794" s="575"/>
      <c r="R794" s="796" t="s">
        <v>117</v>
      </c>
      <c r="AG794" s="793" t="s">
        <v>849</v>
      </c>
    </row>
    <row r="795" spans="1:33" hidden="1">
      <c r="A795" s="1103"/>
      <c r="B795" s="1122" t="s">
        <v>3299</v>
      </c>
      <c r="C795" s="575">
        <v>90</v>
      </c>
      <c r="D795" s="575"/>
      <c r="E795" s="575"/>
      <c r="H795" s="796" t="s">
        <v>155</v>
      </c>
      <c r="I795" s="575"/>
      <c r="J795" s="580"/>
      <c r="K795" s="575"/>
      <c r="AG795" s="793" t="s">
        <v>849</v>
      </c>
    </row>
    <row r="796" spans="1:33" hidden="1">
      <c r="A796" s="1103"/>
      <c r="B796" s="1122" t="s">
        <v>3300</v>
      </c>
      <c r="C796" s="612">
        <v>140</v>
      </c>
      <c r="D796" s="575"/>
      <c r="E796" s="575"/>
      <c r="I796" s="575"/>
      <c r="J796" s="580"/>
      <c r="K796" s="575"/>
      <c r="N796" s="793" t="s">
        <v>1225</v>
      </c>
      <c r="O796" s="793" t="s">
        <v>1406</v>
      </c>
      <c r="AG796" s="793" t="s">
        <v>849</v>
      </c>
    </row>
    <row r="797" spans="1:33" ht="31.5" hidden="1">
      <c r="A797" s="1123">
        <v>1</v>
      </c>
      <c r="B797" s="1124" t="s">
        <v>3301</v>
      </c>
      <c r="C797" s="575"/>
      <c r="D797" s="575"/>
      <c r="E797" s="575"/>
      <c r="F797" s="1098" t="s">
        <v>1409</v>
      </c>
      <c r="G797" s="798" t="s">
        <v>122</v>
      </c>
      <c r="H797" s="793" t="s">
        <v>1410</v>
      </c>
      <c r="I797" s="575"/>
      <c r="J797" s="580"/>
      <c r="K797" s="575"/>
      <c r="O797" s="793" t="s">
        <v>1383</v>
      </c>
      <c r="AG797" s="793" t="s">
        <v>849</v>
      </c>
    </row>
    <row r="798" spans="1:33" hidden="1">
      <c r="A798" s="1123"/>
      <c r="B798" s="1122" t="s">
        <v>3302</v>
      </c>
      <c r="C798" s="684">
        <v>11</v>
      </c>
      <c r="D798" s="575"/>
      <c r="E798" s="575"/>
      <c r="H798" s="793" t="s">
        <v>1411</v>
      </c>
      <c r="I798" s="575"/>
      <c r="J798" s="580"/>
      <c r="K798" s="575"/>
      <c r="N798" s="793" t="s">
        <v>1245</v>
      </c>
      <c r="O798" s="793" t="s">
        <v>1386</v>
      </c>
      <c r="P798" s="800">
        <v>43</v>
      </c>
      <c r="R798" s="800" t="e">
        <f>(#VALUE!*P798)</f>
        <v>#VALUE!</v>
      </c>
      <c r="AG798" s="793" t="s">
        <v>849</v>
      </c>
    </row>
    <row r="799" spans="1:33" hidden="1">
      <c r="A799" s="1125"/>
      <c r="B799" s="1122" t="s">
        <v>3303</v>
      </c>
      <c r="C799" s="684">
        <v>11</v>
      </c>
      <c r="D799" s="575"/>
      <c r="E799" s="575"/>
      <c r="H799" s="793" t="s">
        <v>1412</v>
      </c>
      <c r="I799" s="575"/>
      <c r="J799" s="580"/>
      <c r="K799" s="575"/>
      <c r="O799" s="793" t="s">
        <v>1389</v>
      </c>
      <c r="AG799" s="793" t="s">
        <v>849</v>
      </c>
    </row>
    <row r="800" spans="1:33" hidden="1">
      <c r="A800" s="1123"/>
      <c r="B800" s="1122" t="s">
        <v>3304</v>
      </c>
      <c r="C800" s="684">
        <v>11</v>
      </c>
      <c r="D800" s="575"/>
      <c r="E800" s="575"/>
      <c r="H800" s="793" t="s">
        <v>1413</v>
      </c>
      <c r="I800" s="575"/>
      <c r="J800" s="580"/>
      <c r="K800" s="575"/>
      <c r="O800" s="793" t="s">
        <v>1392</v>
      </c>
      <c r="AG800" s="793" t="s">
        <v>849</v>
      </c>
    </row>
    <row r="801" spans="1:33" hidden="1">
      <c r="A801" s="1125"/>
      <c r="B801" s="1122" t="s">
        <v>3305</v>
      </c>
      <c r="C801" s="684">
        <v>11</v>
      </c>
      <c r="D801" s="575"/>
      <c r="E801" s="575"/>
      <c r="H801" s="793" t="s">
        <v>1414</v>
      </c>
      <c r="I801" s="575"/>
      <c r="J801" s="580"/>
      <c r="K801" s="575"/>
      <c r="N801" s="793" t="s">
        <v>140</v>
      </c>
      <c r="O801" s="793" t="s">
        <v>1408</v>
      </c>
      <c r="P801" s="800">
        <f>C271</f>
        <v>160</v>
      </c>
      <c r="R801" s="800" t="e">
        <f t="shared" ref="R801:R807" si="40">(#VALUE!*P801)</f>
        <v>#VALUE!</v>
      </c>
      <c r="AG801" s="793" t="s">
        <v>849</v>
      </c>
    </row>
    <row r="802" spans="1:33" hidden="1">
      <c r="A802" s="1123"/>
      <c r="B802" s="1122" t="s">
        <v>3306</v>
      </c>
      <c r="C802" s="684">
        <v>12</v>
      </c>
      <c r="D802" s="575"/>
      <c r="E802" s="575"/>
      <c r="H802" s="793" t="s">
        <v>1415</v>
      </c>
      <c r="I802" s="575"/>
      <c r="J802" s="580"/>
      <c r="K802" s="575"/>
      <c r="N802" s="793" t="s">
        <v>209</v>
      </c>
      <c r="O802" s="793" t="s">
        <v>1395</v>
      </c>
      <c r="P802" s="800">
        <v>5</v>
      </c>
      <c r="R802" s="800" t="e">
        <f t="shared" si="40"/>
        <v>#VALUE!</v>
      </c>
      <c r="AG802" s="793" t="s">
        <v>849</v>
      </c>
    </row>
    <row r="803" spans="1:33" hidden="1">
      <c r="A803" s="1125"/>
      <c r="B803" s="1122" t="s">
        <v>3307</v>
      </c>
      <c r="C803" s="661" t="s">
        <v>3308</v>
      </c>
      <c r="D803" s="575"/>
      <c r="E803" s="575"/>
      <c r="H803" s="793" t="s">
        <v>1416</v>
      </c>
      <c r="I803" s="575"/>
      <c r="J803" s="580"/>
      <c r="K803" s="575"/>
      <c r="N803" s="793" t="s">
        <v>209</v>
      </c>
      <c r="O803" s="793" t="s">
        <v>1396</v>
      </c>
      <c r="P803" s="800">
        <v>10</v>
      </c>
      <c r="R803" s="800" t="e">
        <f t="shared" si="40"/>
        <v>#VALUE!</v>
      </c>
      <c r="AG803" s="793" t="s">
        <v>849</v>
      </c>
    </row>
    <row r="804" spans="1:33" hidden="1">
      <c r="A804" s="1123"/>
      <c r="B804" s="1122" t="s">
        <v>3309</v>
      </c>
      <c r="C804" s="612">
        <v>25</v>
      </c>
      <c r="D804" s="575"/>
      <c r="E804" s="575"/>
      <c r="H804" s="793" t="s">
        <v>1417</v>
      </c>
      <c r="I804" s="575"/>
      <c r="J804" s="580"/>
      <c r="K804" s="575"/>
      <c r="N804" s="793" t="s">
        <v>209</v>
      </c>
      <c r="O804" s="793" t="s">
        <v>1398</v>
      </c>
      <c r="P804" s="800">
        <v>8</v>
      </c>
      <c r="R804" s="800" t="e">
        <f t="shared" si="40"/>
        <v>#VALUE!</v>
      </c>
      <c r="AG804" s="793" t="s">
        <v>849</v>
      </c>
    </row>
    <row r="805" spans="1:33" hidden="1">
      <c r="A805" s="1125"/>
      <c r="B805" s="1122" t="s">
        <v>3310</v>
      </c>
      <c r="C805" s="661" t="s">
        <v>3308</v>
      </c>
      <c r="D805" s="575"/>
      <c r="E805" s="575"/>
      <c r="H805" s="793" t="s">
        <v>1418</v>
      </c>
      <c r="I805" s="575"/>
      <c r="J805" s="580"/>
      <c r="K805" s="575"/>
      <c r="N805" s="793" t="s">
        <v>231</v>
      </c>
      <c r="O805" s="793" t="s">
        <v>1401</v>
      </c>
      <c r="P805" s="800">
        <v>13.66</v>
      </c>
      <c r="R805" s="800" t="e">
        <f t="shared" si="40"/>
        <v>#VALUE!</v>
      </c>
      <c r="AG805" s="793" t="s">
        <v>849</v>
      </c>
    </row>
    <row r="806" spans="1:33" hidden="1">
      <c r="A806" s="1123"/>
      <c r="B806" s="1122" t="s">
        <v>3311</v>
      </c>
      <c r="C806" s="661" t="s">
        <v>3308</v>
      </c>
      <c r="D806" s="575"/>
      <c r="E806" s="575"/>
      <c r="H806" s="793" t="s">
        <v>1420</v>
      </c>
      <c r="I806" s="575"/>
      <c r="J806" s="580"/>
      <c r="K806" s="575"/>
      <c r="N806" s="793" t="s">
        <v>140</v>
      </c>
      <c r="O806" s="793" t="s">
        <v>1403</v>
      </c>
      <c r="P806" s="800">
        <v>25.46</v>
      </c>
      <c r="R806" s="800" t="e">
        <f t="shared" si="40"/>
        <v>#VALUE!</v>
      </c>
      <c r="AG806" s="793" t="s">
        <v>849</v>
      </c>
    </row>
    <row r="807" spans="1:33" hidden="1">
      <c r="A807" s="1125"/>
      <c r="B807" s="1122" t="s">
        <v>3312</v>
      </c>
      <c r="C807" s="661" t="s">
        <v>3308</v>
      </c>
      <c r="D807" s="575"/>
      <c r="E807" s="575"/>
      <c r="H807" s="793" t="s">
        <v>1422</v>
      </c>
      <c r="I807" s="575"/>
      <c r="J807" s="580"/>
      <c r="K807" s="575"/>
      <c r="N807" s="793" t="s">
        <v>209</v>
      </c>
      <c r="O807" s="793" t="s">
        <v>1404</v>
      </c>
      <c r="P807" s="800">
        <v>0.5</v>
      </c>
      <c r="R807" s="800" t="e">
        <f t="shared" si="40"/>
        <v>#VALUE!</v>
      </c>
      <c r="AG807" s="793" t="s">
        <v>849</v>
      </c>
    </row>
    <row r="808" spans="1:33" ht="31.5" hidden="1">
      <c r="A808" s="1123">
        <v>2</v>
      </c>
      <c r="B808" s="1124" t="s">
        <v>3313</v>
      </c>
      <c r="C808" s="575"/>
      <c r="D808" s="575"/>
      <c r="E808" s="575"/>
      <c r="H808" s="793" t="s">
        <v>1423</v>
      </c>
      <c r="I808" s="575"/>
      <c r="J808" s="580"/>
      <c r="K808" s="575"/>
      <c r="R808" s="800">
        <v>0.7</v>
      </c>
      <c r="AG808" s="793" t="s">
        <v>849</v>
      </c>
    </row>
    <row r="809" spans="1:33" hidden="1">
      <c r="A809" s="1125"/>
      <c r="B809" s="1122" t="s">
        <v>3314</v>
      </c>
      <c r="C809" s="684">
        <v>12.5</v>
      </c>
      <c r="D809" s="575"/>
      <c r="E809" s="575"/>
      <c r="H809" s="793" t="s">
        <v>1425</v>
      </c>
      <c r="I809" s="575"/>
      <c r="J809" s="580"/>
      <c r="K809" s="575"/>
      <c r="R809" s="796" t="s">
        <v>117</v>
      </c>
      <c r="AG809" s="793" t="s">
        <v>849</v>
      </c>
    </row>
    <row r="810" spans="1:33" hidden="1">
      <c r="A810" s="1123">
        <v>3</v>
      </c>
      <c r="B810" s="1122" t="s">
        <v>3315</v>
      </c>
      <c r="C810" s="612">
        <v>242</v>
      </c>
      <c r="D810" s="575"/>
      <c r="E810" s="575"/>
      <c r="H810" s="793" t="s">
        <v>1427</v>
      </c>
      <c r="I810" s="575"/>
      <c r="J810" s="580"/>
      <c r="K810" s="575"/>
      <c r="O810" s="1098" t="s">
        <v>1405</v>
      </c>
      <c r="R810" s="800" t="e">
        <f>SUM(R798:R808)</f>
        <v>#VALUE!</v>
      </c>
      <c r="AG810" s="793" t="s">
        <v>849</v>
      </c>
    </row>
    <row r="811" spans="1:33" hidden="1">
      <c r="A811" s="1125" t="s">
        <v>3316</v>
      </c>
      <c r="B811" s="1126" t="s">
        <v>3317</v>
      </c>
      <c r="C811" s="575"/>
      <c r="D811" s="575"/>
      <c r="E811" s="575"/>
      <c r="I811" s="575"/>
      <c r="J811" s="580"/>
      <c r="K811" s="575"/>
      <c r="R811" s="796" t="s">
        <v>117</v>
      </c>
      <c r="AG811" s="793" t="s">
        <v>849</v>
      </c>
    </row>
    <row r="812" spans="1:33" hidden="1">
      <c r="A812" s="1123"/>
      <c r="B812" s="1122" t="s">
        <v>3318</v>
      </c>
      <c r="C812" s="1127">
        <v>75</v>
      </c>
      <c r="D812" s="575"/>
      <c r="E812" s="575"/>
      <c r="I812" s="575"/>
      <c r="J812" s="580"/>
      <c r="K812" s="575"/>
      <c r="R812" s="796"/>
      <c r="AG812" s="793"/>
    </row>
    <row r="813" spans="1:33" hidden="1">
      <c r="A813" s="1125"/>
      <c r="B813" s="1128" t="s">
        <v>3319</v>
      </c>
      <c r="C813" s="1127">
        <v>80</v>
      </c>
      <c r="D813" s="575"/>
      <c r="E813" s="575"/>
      <c r="G813" s="798" t="s">
        <v>1258</v>
      </c>
      <c r="H813" s="1098" t="s">
        <v>1431</v>
      </c>
      <c r="I813" s="575"/>
      <c r="J813" s="580"/>
      <c r="K813" s="575"/>
      <c r="R813" s="796"/>
      <c r="AG813" s="793"/>
    </row>
    <row r="814" spans="1:33" ht="31.5" hidden="1">
      <c r="A814" s="1123">
        <v>4</v>
      </c>
      <c r="B814" s="1124" t="s">
        <v>3320</v>
      </c>
      <c r="C814" s="575"/>
      <c r="D814" s="575"/>
      <c r="E814" s="575"/>
      <c r="H814" s="1098" t="s">
        <v>1434</v>
      </c>
      <c r="I814" s="575"/>
      <c r="J814" s="580"/>
      <c r="K814" s="575"/>
      <c r="R814" s="796"/>
      <c r="AG814" s="793"/>
    </row>
    <row r="815" spans="1:33" hidden="1">
      <c r="A815" s="1125"/>
      <c r="B815" s="1122" t="s">
        <v>3321</v>
      </c>
      <c r="C815" s="612">
        <v>42</v>
      </c>
      <c r="D815" s="575"/>
      <c r="E815" s="575"/>
      <c r="F815" s="1118">
        <v>3.8800000000000001E-2</v>
      </c>
      <c r="G815" s="798" t="s">
        <v>126</v>
      </c>
      <c r="H815" s="793" t="s">
        <v>1424</v>
      </c>
      <c r="I815" s="587" t="e">
        <f>K781</f>
        <v>#REF!</v>
      </c>
      <c r="J815" s="574" t="s">
        <v>126</v>
      </c>
      <c r="K815" s="587" t="e">
        <f>F815*I815</f>
        <v>#REF!</v>
      </c>
      <c r="R815" s="796"/>
      <c r="AG815" s="793"/>
    </row>
    <row r="816" spans="1:33" hidden="1">
      <c r="A816" s="1123"/>
      <c r="B816" s="1122" t="s">
        <v>3322</v>
      </c>
      <c r="C816" s="612">
        <v>46</v>
      </c>
      <c r="D816" s="575"/>
      <c r="E816" s="575"/>
      <c r="F816" s="800">
        <v>5.01</v>
      </c>
      <c r="G816" s="798" t="s">
        <v>148</v>
      </c>
      <c r="H816" s="793" t="s">
        <v>1426</v>
      </c>
      <c r="I816" s="587">
        <f>K1513</f>
        <v>33174.400000000001</v>
      </c>
      <c r="J816" s="574" t="s">
        <v>124</v>
      </c>
      <c r="K816" s="587">
        <f>F816*I816/1000</f>
        <v>166.203744</v>
      </c>
      <c r="R816" s="796"/>
      <c r="AG816" s="793"/>
    </row>
    <row r="817" spans="1:33" hidden="1">
      <c r="A817" s="1125"/>
      <c r="B817" s="1122" t="s">
        <v>3323</v>
      </c>
      <c r="C817" s="612">
        <v>42</v>
      </c>
      <c r="D817" s="575"/>
      <c r="E817" s="575"/>
      <c r="F817" s="800">
        <v>3</v>
      </c>
      <c r="G817" s="798" t="s">
        <v>209</v>
      </c>
      <c r="H817" s="793" t="s">
        <v>1428</v>
      </c>
      <c r="I817" s="587">
        <v>16.5</v>
      </c>
      <c r="J817" s="574" t="s">
        <v>209</v>
      </c>
      <c r="K817" s="587">
        <f t="shared" ref="K817:K824" si="41">F817*I817</f>
        <v>49.5</v>
      </c>
      <c r="R817" s="796"/>
      <c r="AG817" s="793"/>
    </row>
    <row r="818" spans="1:33" ht="31.5" hidden="1">
      <c r="A818" s="1123">
        <v>5</v>
      </c>
      <c r="B818" s="1124" t="s">
        <v>3324</v>
      </c>
      <c r="C818" s="575"/>
      <c r="D818" s="575"/>
      <c r="E818" s="575"/>
      <c r="F818" s="800">
        <v>12</v>
      </c>
      <c r="G818" s="798" t="s">
        <v>209</v>
      </c>
      <c r="H818" s="793" t="s">
        <v>1429</v>
      </c>
      <c r="I818" s="587">
        <v>3.85</v>
      </c>
      <c r="J818" s="574" t="s">
        <v>209</v>
      </c>
      <c r="K818" s="587">
        <f t="shared" si="41"/>
        <v>46.2</v>
      </c>
      <c r="R818" s="796"/>
      <c r="AG818" s="793"/>
    </row>
    <row r="819" spans="1:33" hidden="1">
      <c r="A819" s="1125"/>
      <c r="B819" s="1122" t="s">
        <v>3325</v>
      </c>
      <c r="C819" s="612">
        <v>174</v>
      </c>
      <c r="D819" s="575"/>
      <c r="E819" s="575"/>
      <c r="F819" s="800">
        <v>2</v>
      </c>
      <c r="G819" s="798" t="s">
        <v>209</v>
      </c>
      <c r="H819" s="793" t="s">
        <v>1430</v>
      </c>
      <c r="I819" s="587">
        <v>5</v>
      </c>
      <c r="J819" s="574" t="s">
        <v>209</v>
      </c>
      <c r="K819" s="587">
        <f t="shared" si="41"/>
        <v>10</v>
      </c>
      <c r="R819" s="796"/>
      <c r="AG819" s="793"/>
    </row>
    <row r="820" spans="1:33" hidden="1">
      <c r="A820" s="1123"/>
      <c r="B820" s="1122" t="s">
        <v>3326</v>
      </c>
      <c r="C820" s="612">
        <v>182</v>
      </c>
      <c r="D820" s="575"/>
      <c r="E820" s="575"/>
      <c r="F820" s="800">
        <v>6</v>
      </c>
      <c r="G820" s="798" t="s">
        <v>209</v>
      </c>
      <c r="H820" s="793" t="s">
        <v>1432</v>
      </c>
      <c r="I820" s="587">
        <v>3.85</v>
      </c>
      <c r="J820" s="574" t="s">
        <v>209</v>
      </c>
      <c r="K820" s="587">
        <f t="shared" si="41"/>
        <v>23.1</v>
      </c>
      <c r="R820" s="796"/>
      <c r="AG820" s="793"/>
    </row>
    <row r="821" spans="1:33" hidden="1">
      <c r="A821" s="1125"/>
      <c r="B821" s="1122" t="s">
        <v>3327</v>
      </c>
      <c r="C821" s="612">
        <v>444</v>
      </c>
      <c r="D821" s="575"/>
      <c r="E821" s="575"/>
      <c r="F821" s="800">
        <v>1</v>
      </c>
      <c r="G821" s="798" t="s">
        <v>209</v>
      </c>
      <c r="H821" s="793" t="s">
        <v>1435</v>
      </c>
      <c r="I821" s="587">
        <f>C10</f>
        <v>150</v>
      </c>
      <c r="J821" s="574" t="s">
        <v>209</v>
      </c>
      <c r="K821" s="587">
        <f t="shared" si="41"/>
        <v>150</v>
      </c>
      <c r="R821" s="796"/>
      <c r="AG821" s="793"/>
    </row>
    <row r="822" spans="1:33" hidden="1">
      <c r="A822" s="1123"/>
      <c r="B822" s="1122" t="s">
        <v>3328</v>
      </c>
      <c r="C822" s="612">
        <v>626</v>
      </c>
      <c r="D822" s="575"/>
      <c r="E822" s="575"/>
      <c r="F822" s="800">
        <v>1</v>
      </c>
      <c r="G822" s="798" t="s">
        <v>209</v>
      </c>
      <c r="H822" s="793" t="s">
        <v>1436</v>
      </c>
      <c r="I822" s="587">
        <f>C12</f>
        <v>95</v>
      </c>
      <c r="J822" s="574" t="s">
        <v>209</v>
      </c>
      <c r="K822" s="587">
        <f t="shared" si="41"/>
        <v>95</v>
      </c>
      <c r="R822" s="796"/>
      <c r="AG822" s="793"/>
    </row>
    <row r="823" spans="1:33" ht="47.25" hidden="1">
      <c r="A823" s="1125">
        <v>6</v>
      </c>
      <c r="B823" s="1124" t="s">
        <v>3329</v>
      </c>
      <c r="C823" s="575"/>
      <c r="D823" s="575"/>
      <c r="E823" s="575"/>
      <c r="F823" s="800">
        <v>1</v>
      </c>
      <c r="G823" s="798" t="s">
        <v>209</v>
      </c>
      <c r="H823" s="793" t="s">
        <v>1437</v>
      </c>
      <c r="I823" s="587">
        <v>25</v>
      </c>
      <c r="J823" s="574" t="s">
        <v>209</v>
      </c>
      <c r="K823" s="587">
        <f t="shared" si="41"/>
        <v>25</v>
      </c>
      <c r="R823" s="796"/>
      <c r="AG823" s="793"/>
    </row>
    <row r="824" spans="1:33" hidden="1">
      <c r="A824" s="1123"/>
      <c r="B824" s="1122" t="s">
        <v>3330</v>
      </c>
      <c r="C824" s="661" t="s">
        <v>3308</v>
      </c>
      <c r="D824" s="575"/>
      <c r="E824" s="575"/>
      <c r="F824" s="800">
        <v>0.5</v>
      </c>
      <c r="G824" s="798" t="s">
        <v>209</v>
      </c>
      <c r="H824" s="793" t="s">
        <v>1438</v>
      </c>
      <c r="I824" s="587">
        <f>C13</f>
        <v>85</v>
      </c>
      <c r="J824" s="574" t="s">
        <v>209</v>
      </c>
      <c r="K824" s="587">
        <f t="shared" si="41"/>
        <v>42.5</v>
      </c>
      <c r="R824" s="796"/>
      <c r="AG824" s="793"/>
    </row>
    <row r="825" spans="1:33" hidden="1">
      <c r="A825" s="1125"/>
      <c r="B825" s="1122" t="s">
        <v>3331</v>
      </c>
      <c r="C825" s="612">
        <v>306</v>
      </c>
      <c r="D825" s="575"/>
      <c r="E825" s="575"/>
      <c r="G825" s="798" t="s">
        <v>129</v>
      </c>
      <c r="H825" s="793" t="s">
        <v>1439</v>
      </c>
      <c r="I825" s="575"/>
      <c r="J825" s="574" t="s">
        <v>129</v>
      </c>
      <c r="K825" s="587">
        <v>0.5</v>
      </c>
      <c r="R825" s="796"/>
      <c r="AG825" s="793"/>
    </row>
    <row r="826" spans="1:33" ht="31.5" hidden="1">
      <c r="A826" s="1123"/>
      <c r="B826" s="1129" t="s">
        <v>3332</v>
      </c>
      <c r="C826" s="612">
        <v>450</v>
      </c>
      <c r="D826" s="575"/>
      <c r="E826" s="575"/>
      <c r="I826" s="575"/>
      <c r="J826" s="580"/>
      <c r="K826" s="582" t="s">
        <v>117</v>
      </c>
      <c r="R826" s="796"/>
      <c r="AG826" s="793"/>
    </row>
    <row r="827" spans="1:33" ht="47.25" hidden="1">
      <c r="A827" s="1125">
        <v>7</v>
      </c>
      <c r="B827" s="1124" t="s">
        <v>3333</v>
      </c>
      <c r="C827" s="575"/>
      <c r="D827" s="575"/>
      <c r="E827" s="575"/>
      <c r="H827" s="1098" t="s">
        <v>1440</v>
      </c>
      <c r="I827" s="575"/>
      <c r="J827" s="580"/>
      <c r="K827" s="587" t="e">
        <f>SUM(K815:K825)</f>
        <v>#REF!</v>
      </c>
      <c r="R827" s="796"/>
      <c r="AG827" s="793"/>
    </row>
    <row r="828" spans="1:33" hidden="1">
      <c r="A828" s="1123"/>
      <c r="B828" s="1122" t="s">
        <v>3331</v>
      </c>
      <c r="C828" s="612">
        <v>575</v>
      </c>
      <c r="D828" s="575"/>
      <c r="E828" s="575"/>
      <c r="I828" s="575"/>
      <c r="J828" s="580"/>
      <c r="K828" s="582" t="s">
        <v>117</v>
      </c>
      <c r="R828" s="796"/>
      <c r="AG828" s="793"/>
    </row>
    <row r="829" spans="1:33" ht="31.5" hidden="1">
      <c r="A829" s="1125"/>
      <c r="B829" s="1129" t="s">
        <v>3332</v>
      </c>
      <c r="C829" s="612">
        <v>750</v>
      </c>
      <c r="D829" s="575"/>
      <c r="E829" s="575"/>
      <c r="I829" s="575"/>
      <c r="J829" s="580"/>
      <c r="K829" s="575"/>
      <c r="R829" s="796"/>
      <c r="AG829" s="793"/>
    </row>
    <row r="830" spans="1:33" ht="47.25" hidden="1">
      <c r="A830" s="1123">
        <v>8</v>
      </c>
      <c r="B830" s="1124" t="s">
        <v>3334</v>
      </c>
      <c r="C830" s="575"/>
      <c r="D830" s="575"/>
      <c r="E830" s="575"/>
      <c r="I830" s="575"/>
      <c r="J830" s="580"/>
      <c r="K830" s="575"/>
      <c r="R830" s="796"/>
      <c r="AG830" s="793"/>
    </row>
    <row r="831" spans="1:33" hidden="1">
      <c r="A831" s="1125"/>
      <c r="B831" s="794" t="s">
        <v>3335</v>
      </c>
      <c r="C831" s="612">
        <v>850</v>
      </c>
      <c r="D831" s="575"/>
      <c r="E831" s="575"/>
      <c r="G831" s="798" t="s">
        <v>1196</v>
      </c>
      <c r="H831" s="1098" t="s">
        <v>1443</v>
      </c>
      <c r="I831" s="575"/>
      <c r="J831" s="580"/>
      <c r="K831" s="575"/>
      <c r="R831" s="793" t="s">
        <v>115</v>
      </c>
      <c r="AG831" s="793" t="s">
        <v>849</v>
      </c>
    </row>
    <row r="832" spans="1:33" hidden="1">
      <c r="A832" s="1123"/>
      <c r="B832" s="794" t="s">
        <v>3336</v>
      </c>
      <c r="C832" s="612">
        <v>1050</v>
      </c>
      <c r="D832" s="575"/>
      <c r="E832" s="575"/>
      <c r="H832" s="1098" t="s">
        <v>1434</v>
      </c>
      <c r="I832" s="575"/>
      <c r="J832" s="580"/>
      <c r="K832" s="575"/>
      <c r="N832" s="793" t="s">
        <v>1258</v>
      </c>
      <c r="O832" s="793" t="s">
        <v>1441</v>
      </c>
      <c r="AG832" s="793" t="s">
        <v>849</v>
      </c>
    </row>
    <row r="833" spans="1:33" ht="69" hidden="1" customHeight="1">
      <c r="A833" s="1125">
        <v>9</v>
      </c>
      <c r="B833" s="1124" t="s">
        <v>3337</v>
      </c>
      <c r="C833" s="575"/>
      <c r="D833" s="575"/>
      <c r="E833" s="575"/>
      <c r="F833" s="1118">
        <v>3.7600000000000001E-2</v>
      </c>
      <c r="G833" s="798" t="s">
        <v>126</v>
      </c>
      <c r="H833" s="793" t="s">
        <v>1424</v>
      </c>
      <c r="I833" s="587" t="e">
        <f>K781</f>
        <v>#REF!</v>
      </c>
      <c r="J833" s="574" t="s">
        <v>126</v>
      </c>
      <c r="K833" s="587" t="e">
        <f>F833*I833</f>
        <v>#REF!</v>
      </c>
      <c r="O833" s="793" t="s">
        <v>1383</v>
      </c>
      <c r="AG833" s="793" t="s">
        <v>849</v>
      </c>
    </row>
    <row r="834" spans="1:33" hidden="1">
      <c r="A834" s="1123"/>
      <c r="B834" s="794" t="s">
        <v>3338</v>
      </c>
      <c r="C834" s="661" t="s">
        <v>3308</v>
      </c>
      <c r="D834" s="575"/>
      <c r="E834" s="575"/>
      <c r="F834" s="800">
        <v>4.87</v>
      </c>
      <c r="G834" s="798" t="s">
        <v>148</v>
      </c>
      <c r="H834" s="793" t="s">
        <v>1426</v>
      </c>
      <c r="I834" s="587">
        <f>K1513</f>
        <v>33174.400000000001</v>
      </c>
      <c r="J834" s="574" t="s">
        <v>124</v>
      </c>
      <c r="K834" s="587">
        <f>F834*I834/1000</f>
        <v>161.55932800000002</v>
      </c>
      <c r="N834" s="793" t="s">
        <v>1245</v>
      </c>
      <c r="O834" s="793" t="s">
        <v>1386</v>
      </c>
      <c r="P834" s="800">
        <v>43</v>
      </c>
      <c r="R834" s="800" t="e">
        <f>(#VALUE!*P834)</f>
        <v>#VALUE!</v>
      </c>
      <c r="AG834" s="793" t="s">
        <v>849</v>
      </c>
    </row>
    <row r="835" spans="1:33" hidden="1">
      <c r="A835" s="1125"/>
      <c r="B835" s="1122" t="s">
        <v>3339</v>
      </c>
      <c r="C835" s="1127" t="s">
        <v>3308</v>
      </c>
      <c r="D835" s="575"/>
      <c r="E835" s="575"/>
      <c r="F835" s="800">
        <v>3</v>
      </c>
      <c r="G835" s="798" t="s">
        <v>209</v>
      </c>
      <c r="H835" s="793" t="s">
        <v>1428</v>
      </c>
      <c r="I835" s="587">
        <v>16.5</v>
      </c>
      <c r="J835" s="574" t="s">
        <v>209</v>
      </c>
      <c r="K835" s="587">
        <f t="shared" ref="K835:K843" si="42">F835*I835</f>
        <v>49.5</v>
      </c>
      <c r="O835" s="793" t="s">
        <v>1389</v>
      </c>
      <c r="AG835" s="793" t="s">
        <v>849</v>
      </c>
    </row>
    <row r="836" spans="1:33" ht="70.5" hidden="1" customHeight="1">
      <c r="A836" s="1123">
        <v>10</v>
      </c>
      <c r="B836" s="1124" t="s">
        <v>3340</v>
      </c>
      <c r="C836" s="575"/>
      <c r="D836" s="575"/>
      <c r="E836" s="575"/>
      <c r="F836" s="800">
        <v>12</v>
      </c>
      <c r="G836" s="798" t="s">
        <v>209</v>
      </c>
      <c r="H836" s="793" t="s">
        <v>1429</v>
      </c>
      <c r="I836" s="587">
        <v>3.85</v>
      </c>
      <c r="J836" s="574" t="s">
        <v>209</v>
      </c>
      <c r="K836" s="587">
        <f t="shared" si="42"/>
        <v>46.2</v>
      </c>
      <c r="O836" s="793" t="s">
        <v>1392</v>
      </c>
      <c r="AG836" s="793" t="s">
        <v>849</v>
      </c>
    </row>
    <row r="837" spans="1:33" hidden="1">
      <c r="A837" s="1125"/>
      <c r="B837" s="1122" t="s">
        <v>3341</v>
      </c>
      <c r="C837" s="612" t="s">
        <v>3308</v>
      </c>
      <c r="D837" s="575"/>
      <c r="E837" s="575"/>
      <c r="F837" s="800">
        <v>2</v>
      </c>
      <c r="G837" s="798" t="s">
        <v>209</v>
      </c>
      <c r="H837" s="793" t="s">
        <v>1430</v>
      </c>
      <c r="I837" s="587">
        <v>5</v>
      </c>
      <c r="J837" s="574" t="s">
        <v>209</v>
      </c>
      <c r="K837" s="587">
        <f t="shared" si="42"/>
        <v>10</v>
      </c>
      <c r="N837" s="793" t="s">
        <v>140</v>
      </c>
      <c r="O837" s="793" t="s">
        <v>1408</v>
      </c>
      <c r="P837" s="800">
        <f>C271</f>
        <v>160</v>
      </c>
      <c r="R837" s="800" t="e">
        <f t="shared" ref="R837:R844" si="43">(#VALUE!*P837)</f>
        <v>#VALUE!</v>
      </c>
      <c r="AG837" s="793" t="s">
        <v>849</v>
      </c>
    </row>
    <row r="838" spans="1:33" hidden="1">
      <c r="A838" s="1123"/>
      <c r="B838" s="1122" t="s">
        <v>3339</v>
      </c>
      <c r="C838" s="612" t="s">
        <v>3308</v>
      </c>
      <c r="D838" s="575"/>
      <c r="E838" s="575"/>
      <c r="F838" s="800">
        <v>6</v>
      </c>
      <c r="G838" s="798" t="s">
        <v>209</v>
      </c>
      <c r="H838" s="793" t="s">
        <v>1432</v>
      </c>
      <c r="I838" s="587">
        <v>3.85</v>
      </c>
      <c r="J838" s="574" t="s">
        <v>209</v>
      </c>
      <c r="K838" s="587">
        <f t="shared" si="42"/>
        <v>23.1</v>
      </c>
      <c r="N838" s="793" t="s">
        <v>209</v>
      </c>
      <c r="O838" s="793" t="s">
        <v>1395</v>
      </c>
      <c r="P838" s="800">
        <v>5</v>
      </c>
      <c r="R838" s="800" t="e">
        <f t="shared" si="43"/>
        <v>#VALUE!</v>
      </c>
      <c r="AG838" s="793" t="s">
        <v>849</v>
      </c>
    </row>
    <row r="839" spans="1:33" hidden="1">
      <c r="A839" s="1125"/>
      <c r="B839" s="1122" t="s">
        <v>3342</v>
      </c>
      <c r="C839" s="612" t="s">
        <v>3308</v>
      </c>
      <c r="D839" s="575"/>
      <c r="E839" s="575"/>
      <c r="F839" s="800">
        <v>1</v>
      </c>
      <c r="G839" s="798" t="s">
        <v>209</v>
      </c>
      <c r="H839" s="793" t="s">
        <v>1435</v>
      </c>
      <c r="I839" s="587">
        <f>C10</f>
        <v>150</v>
      </c>
      <c r="J839" s="574" t="s">
        <v>209</v>
      </c>
      <c r="K839" s="587">
        <f t="shared" si="42"/>
        <v>150</v>
      </c>
      <c r="N839" s="793" t="s">
        <v>209</v>
      </c>
      <c r="O839" s="793" t="s">
        <v>1396</v>
      </c>
      <c r="P839" s="800">
        <v>10</v>
      </c>
      <c r="R839" s="800" t="e">
        <f t="shared" si="43"/>
        <v>#VALUE!</v>
      </c>
      <c r="AG839" s="793" t="s">
        <v>849</v>
      </c>
    </row>
    <row r="840" spans="1:33" hidden="1">
      <c r="A840" s="1123"/>
      <c r="B840" s="1122" t="s">
        <v>3343</v>
      </c>
      <c r="C840" s="661" t="s">
        <v>3308</v>
      </c>
      <c r="D840" s="575"/>
      <c r="E840" s="575"/>
      <c r="F840" s="800">
        <v>1</v>
      </c>
      <c r="G840" s="798" t="s">
        <v>209</v>
      </c>
      <c r="H840" s="793" t="s">
        <v>1436</v>
      </c>
      <c r="I840" s="587">
        <f>C12</f>
        <v>95</v>
      </c>
      <c r="J840" s="574" t="s">
        <v>209</v>
      </c>
      <c r="K840" s="587">
        <f t="shared" si="42"/>
        <v>95</v>
      </c>
      <c r="N840" s="793" t="s">
        <v>209</v>
      </c>
      <c r="O840" s="793" t="s">
        <v>1398</v>
      </c>
      <c r="P840" s="800">
        <v>8</v>
      </c>
      <c r="R840" s="800" t="e">
        <f t="shared" si="43"/>
        <v>#VALUE!</v>
      </c>
      <c r="AG840" s="793" t="s">
        <v>849</v>
      </c>
    </row>
    <row r="841" spans="1:33" hidden="1">
      <c r="A841" s="1125"/>
      <c r="B841" s="1122" t="s">
        <v>3344</v>
      </c>
      <c r="C841" s="612">
        <v>1459</v>
      </c>
      <c r="D841" s="575"/>
      <c r="E841" s="575"/>
      <c r="F841" s="800">
        <v>1</v>
      </c>
      <c r="G841" s="798" t="s">
        <v>209</v>
      </c>
      <c r="H841" s="793" t="s">
        <v>1437</v>
      </c>
      <c r="I841" s="587">
        <v>25</v>
      </c>
      <c r="J841" s="574" t="s">
        <v>209</v>
      </c>
      <c r="K841" s="587">
        <f t="shared" si="42"/>
        <v>25</v>
      </c>
      <c r="N841" s="793" t="s">
        <v>231</v>
      </c>
      <c r="O841" s="793" t="s">
        <v>1401</v>
      </c>
      <c r="P841" s="800">
        <v>13.66</v>
      </c>
      <c r="R841" s="800" t="e">
        <f t="shared" si="43"/>
        <v>#VALUE!</v>
      </c>
      <c r="AG841" s="793" t="s">
        <v>849</v>
      </c>
    </row>
    <row r="842" spans="1:33" ht="33" hidden="1" customHeight="1">
      <c r="A842" s="1125"/>
      <c r="B842" s="1129" t="s">
        <v>3345</v>
      </c>
      <c r="C842" s="612">
        <v>1930</v>
      </c>
      <c r="D842" s="575"/>
      <c r="E842" s="575"/>
      <c r="F842" s="800"/>
      <c r="G842" s="798"/>
      <c r="H842" s="793"/>
      <c r="I842" s="587"/>
      <c r="J842" s="574"/>
      <c r="K842" s="587"/>
      <c r="N842" s="793"/>
      <c r="O842" s="793"/>
      <c r="P842" s="800"/>
      <c r="R842" s="800"/>
      <c r="AG842" s="793"/>
    </row>
    <row r="843" spans="1:33" ht="37.5" hidden="1" customHeight="1">
      <c r="A843" s="1123"/>
      <c r="B843" s="1130" t="s">
        <v>3346</v>
      </c>
      <c r="C843" s="612">
        <v>2630</v>
      </c>
      <c r="D843" s="575"/>
      <c r="E843" s="575"/>
      <c r="F843" s="800">
        <v>0.5</v>
      </c>
      <c r="G843" s="798" t="s">
        <v>209</v>
      </c>
      <c r="H843" s="793" t="s">
        <v>1438</v>
      </c>
      <c r="I843" s="587">
        <f>C13</f>
        <v>85</v>
      </c>
      <c r="J843" s="574" t="s">
        <v>209</v>
      </c>
      <c r="K843" s="587">
        <f t="shared" si="42"/>
        <v>42.5</v>
      </c>
      <c r="N843" s="793" t="s">
        <v>140</v>
      </c>
      <c r="O843" s="793" t="s">
        <v>1403</v>
      </c>
      <c r="P843" s="800">
        <v>25.46</v>
      </c>
      <c r="R843" s="800" t="e">
        <f t="shared" si="43"/>
        <v>#VALUE!</v>
      </c>
      <c r="AG843" s="793" t="s">
        <v>849</v>
      </c>
    </row>
    <row r="844" spans="1:33" ht="70.5" hidden="1" customHeight="1">
      <c r="A844" s="1125">
        <v>11</v>
      </c>
      <c r="B844" s="1124" t="s">
        <v>3347</v>
      </c>
      <c r="C844" s="575"/>
      <c r="D844" s="575"/>
      <c r="E844" s="575"/>
      <c r="G844" s="798" t="s">
        <v>129</v>
      </c>
      <c r="H844" s="793" t="s">
        <v>1439</v>
      </c>
      <c r="I844" s="575"/>
      <c r="J844" s="574" t="s">
        <v>129</v>
      </c>
      <c r="K844" s="587">
        <v>0.5</v>
      </c>
      <c r="N844" s="793" t="s">
        <v>209</v>
      </c>
      <c r="O844" s="793" t="s">
        <v>1404</v>
      </c>
      <c r="P844" s="800">
        <v>0.5</v>
      </c>
      <c r="R844" s="800" t="e">
        <f t="shared" si="43"/>
        <v>#VALUE!</v>
      </c>
      <c r="AG844" s="793" t="s">
        <v>849</v>
      </c>
    </row>
    <row r="845" spans="1:33" hidden="1">
      <c r="A845" s="1123"/>
      <c r="B845" s="1122" t="s">
        <v>3348</v>
      </c>
      <c r="C845" s="612">
        <v>642</v>
      </c>
      <c r="D845" s="575"/>
      <c r="E845" s="575"/>
      <c r="I845" s="575"/>
      <c r="J845" s="580"/>
      <c r="K845" s="582" t="s">
        <v>117</v>
      </c>
      <c r="R845" s="800">
        <v>0.97</v>
      </c>
      <c r="AG845" s="793" t="s">
        <v>849</v>
      </c>
    </row>
    <row r="846" spans="1:33" ht="70.5" hidden="1" customHeight="1">
      <c r="A846" s="1125">
        <v>12</v>
      </c>
      <c r="B846" s="1124" t="s">
        <v>3349</v>
      </c>
      <c r="C846" s="575"/>
      <c r="D846" s="575"/>
      <c r="E846" s="575"/>
      <c r="H846" s="1098" t="s">
        <v>1440</v>
      </c>
      <c r="I846" s="575"/>
      <c r="J846" s="580"/>
      <c r="K846" s="587" t="e">
        <f>SUM(K833:K844)</f>
        <v>#REF!</v>
      </c>
      <c r="R846" s="796" t="s">
        <v>117</v>
      </c>
      <c r="AG846" s="793" t="s">
        <v>849</v>
      </c>
    </row>
    <row r="847" spans="1:33" hidden="1">
      <c r="A847" s="1123"/>
      <c r="B847" s="1122" t="s">
        <v>3348</v>
      </c>
      <c r="C847" s="612">
        <v>864</v>
      </c>
      <c r="D847" s="575"/>
      <c r="E847" s="575"/>
      <c r="I847" s="575"/>
      <c r="J847" s="580"/>
      <c r="K847" s="582" t="s">
        <v>117</v>
      </c>
      <c r="O847" s="1098" t="s">
        <v>1405</v>
      </c>
      <c r="R847" s="800" t="e">
        <f>SUM(R834:R845)</f>
        <v>#VALUE!</v>
      </c>
      <c r="AG847" s="793" t="s">
        <v>849</v>
      </c>
    </row>
    <row r="848" spans="1:33" ht="97.5" hidden="1" customHeight="1">
      <c r="A848" s="1125">
        <v>13</v>
      </c>
      <c r="B848" s="1124" t="s">
        <v>3350</v>
      </c>
      <c r="C848" s="575"/>
      <c r="D848" s="575"/>
      <c r="E848" s="575"/>
      <c r="F848" s="1098"/>
      <c r="G848" s="798" t="s">
        <v>1225</v>
      </c>
      <c r="H848" s="1098" t="s">
        <v>1450</v>
      </c>
      <c r="I848" s="575"/>
      <c r="J848" s="580"/>
      <c r="K848" s="575"/>
      <c r="R848" s="796" t="s">
        <v>117</v>
      </c>
      <c r="AG848" s="793" t="s">
        <v>849</v>
      </c>
    </row>
    <row r="849" spans="1:18" hidden="1">
      <c r="A849" s="1123"/>
      <c r="B849" s="1122" t="s">
        <v>3351</v>
      </c>
      <c r="C849" s="612">
        <v>3100</v>
      </c>
      <c r="D849" s="575"/>
      <c r="E849" s="575"/>
      <c r="H849" s="1098" t="s">
        <v>1434</v>
      </c>
      <c r="I849" s="575"/>
      <c r="J849" s="580"/>
      <c r="K849" s="575"/>
    </row>
    <row r="850" spans="1:18" hidden="1">
      <c r="A850" s="1125"/>
      <c r="B850" s="1128" t="s">
        <v>3352</v>
      </c>
      <c r="C850" s="612">
        <v>3267</v>
      </c>
      <c r="D850" s="575"/>
      <c r="E850" s="575"/>
      <c r="F850" s="1118">
        <v>3.5299999999999998E-2</v>
      </c>
      <c r="G850" s="798" t="s">
        <v>126</v>
      </c>
      <c r="H850" s="793" t="s">
        <v>1424</v>
      </c>
      <c r="I850" s="587" t="e">
        <f>K781</f>
        <v>#REF!</v>
      </c>
      <c r="J850" s="574" t="s">
        <v>126</v>
      </c>
      <c r="K850" s="587" t="e">
        <f>F850*I850</f>
        <v>#REF!</v>
      </c>
      <c r="M850" s="1098" t="s">
        <v>1446</v>
      </c>
      <c r="N850" s="793" t="s">
        <v>122</v>
      </c>
      <c r="O850" s="793" t="s">
        <v>1447</v>
      </c>
    </row>
    <row r="851" spans="1:18" ht="33" hidden="1" customHeight="1">
      <c r="A851" s="1123"/>
      <c r="B851" s="1130" t="s">
        <v>3353</v>
      </c>
      <c r="C851" s="612">
        <v>1790</v>
      </c>
      <c r="D851" s="575"/>
      <c r="E851" s="575"/>
      <c r="F851" s="800">
        <v>4.59</v>
      </c>
      <c r="G851" s="798" t="s">
        <v>148</v>
      </c>
      <c r="H851" s="793" t="s">
        <v>1426</v>
      </c>
      <c r="I851" s="587">
        <f>K1513</f>
        <v>33174.400000000001</v>
      </c>
      <c r="J851" s="574" t="s">
        <v>124</v>
      </c>
      <c r="K851" s="587">
        <f>F851*I851/1000</f>
        <v>152.27049600000001</v>
      </c>
      <c r="O851" s="793" t="s">
        <v>1448</v>
      </c>
    </row>
    <row r="852" spans="1:18" ht="33" hidden="1" customHeight="1">
      <c r="A852" s="1125">
        <v>14</v>
      </c>
      <c r="B852" s="1131" t="s">
        <v>3354</v>
      </c>
      <c r="C852" s="575"/>
      <c r="D852" s="575"/>
      <c r="E852" s="575"/>
      <c r="F852" s="800"/>
      <c r="G852" s="798"/>
      <c r="H852" s="793"/>
      <c r="I852" s="587"/>
      <c r="J852" s="574"/>
      <c r="K852" s="587"/>
      <c r="O852" s="793"/>
    </row>
    <row r="853" spans="1:18" hidden="1">
      <c r="A853" s="1123"/>
      <c r="B853" s="1128" t="s">
        <v>3355</v>
      </c>
      <c r="C853" s="661" t="s">
        <v>3308</v>
      </c>
      <c r="D853" s="575"/>
      <c r="E853" s="575"/>
      <c r="F853" s="800">
        <v>3</v>
      </c>
      <c r="G853" s="798" t="s">
        <v>209</v>
      </c>
      <c r="H853" s="793" t="s">
        <v>1428</v>
      </c>
      <c r="I853" s="587">
        <v>16.5</v>
      </c>
      <c r="J853" s="574" t="s">
        <v>209</v>
      </c>
      <c r="K853" s="587">
        <f t="shared" ref="K853:K860" si="44">F853*I853</f>
        <v>49.5</v>
      </c>
      <c r="O853" s="796" t="s">
        <v>117</v>
      </c>
      <c r="P853" s="796" t="s">
        <v>117</v>
      </c>
    </row>
    <row r="854" spans="1:18" hidden="1">
      <c r="A854" s="1125"/>
      <c r="B854" s="794" t="s">
        <v>3356</v>
      </c>
      <c r="C854" s="661" t="s">
        <v>3308</v>
      </c>
      <c r="D854" s="575"/>
      <c r="E854" s="575"/>
      <c r="F854" s="800">
        <v>12</v>
      </c>
      <c r="G854" s="798" t="s">
        <v>209</v>
      </c>
      <c r="H854" s="793" t="s">
        <v>1429</v>
      </c>
      <c r="I854" s="587">
        <v>3.85</v>
      </c>
      <c r="J854" s="574" t="s">
        <v>209</v>
      </c>
      <c r="K854" s="587">
        <f t="shared" si="44"/>
        <v>46.2</v>
      </c>
      <c r="O854" s="793" t="s">
        <v>1449</v>
      </c>
    </row>
    <row r="855" spans="1:18" hidden="1">
      <c r="A855" s="1123"/>
      <c r="B855" s="794" t="s">
        <v>3357</v>
      </c>
      <c r="C855" s="661" t="s">
        <v>3308</v>
      </c>
      <c r="D855" s="575"/>
      <c r="E855" s="575"/>
      <c r="F855" s="800">
        <v>2</v>
      </c>
      <c r="G855" s="798" t="s">
        <v>209</v>
      </c>
      <c r="H855" s="800" t="str">
        <f>H837</f>
        <v>TOWER BOLT RECEIVER</v>
      </c>
      <c r="I855" s="587">
        <v>5</v>
      </c>
      <c r="J855" s="574" t="s">
        <v>209</v>
      </c>
      <c r="K855" s="587">
        <f t="shared" si="44"/>
        <v>10</v>
      </c>
      <c r="M855" s="800">
        <v>0.5</v>
      </c>
      <c r="N855" s="1098" t="s">
        <v>1</v>
      </c>
      <c r="O855" s="793" t="s">
        <v>332</v>
      </c>
      <c r="P855" s="800">
        <f>C16</f>
        <v>150</v>
      </c>
      <c r="Q855" s="1098" t="s">
        <v>206</v>
      </c>
      <c r="R855" s="800">
        <f>(M855*P855)</f>
        <v>75</v>
      </c>
    </row>
    <row r="856" spans="1:18" ht="52.5" hidden="1" customHeight="1">
      <c r="A856" s="1125">
        <v>15</v>
      </c>
      <c r="B856" s="1131" t="s">
        <v>3358</v>
      </c>
      <c r="C856" s="661"/>
      <c r="D856" s="575"/>
      <c r="E856" s="575"/>
      <c r="F856" s="800">
        <v>6</v>
      </c>
      <c r="G856" s="798" t="s">
        <v>209</v>
      </c>
      <c r="H856" s="793" t="s">
        <v>1432</v>
      </c>
      <c r="I856" s="587">
        <v>3.85</v>
      </c>
      <c r="J856" s="574" t="s">
        <v>209</v>
      </c>
      <c r="K856" s="587">
        <f t="shared" si="44"/>
        <v>23.1</v>
      </c>
      <c r="M856" s="800">
        <v>0.25</v>
      </c>
      <c r="N856" s="1098" t="s">
        <v>1</v>
      </c>
      <c r="O856" s="793" t="s">
        <v>292</v>
      </c>
      <c r="P856" s="800">
        <f>C13</f>
        <v>85</v>
      </c>
      <c r="Q856" s="1098" t="s">
        <v>206</v>
      </c>
      <c r="R856" s="800">
        <f>(M856*P856)</f>
        <v>21.25</v>
      </c>
    </row>
    <row r="857" spans="1:18" hidden="1">
      <c r="A857" s="1123"/>
      <c r="B857" s="794" t="s">
        <v>3359</v>
      </c>
      <c r="C857" s="661" t="s">
        <v>3308</v>
      </c>
      <c r="D857" s="575"/>
      <c r="E857" s="575"/>
      <c r="F857" s="800">
        <v>1</v>
      </c>
      <c r="G857" s="798" t="s">
        <v>209</v>
      </c>
      <c r="H857" s="793" t="s">
        <v>1435</v>
      </c>
      <c r="I857" s="587">
        <f>C10</f>
        <v>150</v>
      </c>
      <c r="J857" s="574" t="s">
        <v>209</v>
      </c>
      <c r="K857" s="587">
        <f t="shared" si="44"/>
        <v>150</v>
      </c>
      <c r="R857" s="796" t="s">
        <v>117</v>
      </c>
    </row>
    <row r="858" spans="1:18" hidden="1">
      <c r="A858" s="1125"/>
      <c r="B858" s="794" t="s">
        <v>3360</v>
      </c>
      <c r="C858" s="661" t="s">
        <v>3308</v>
      </c>
      <c r="D858" s="575"/>
      <c r="E858" s="575"/>
      <c r="F858" s="800">
        <v>1</v>
      </c>
      <c r="G858" s="798" t="s">
        <v>209</v>
      </c>
      <c r="H858" s="793" t="s">
        <v>1436</v>
      </c>
      <c r="I858" s="587">
        <f>C12</f>
        <v>95</v>
      </c>
      <c r="J858" s="574" t="s">
        <v>209</v>
      </c>
      <c r="K858" s="587">
        <f t="shared" si="44"/>
        <v>95</v>
      </c>
      <c r="O858" s="1098" t="s">
        <v>1452</v>
      </c>
      <c r="R858" s="800">
        <f>SUM(R855:R856)</f>
        <v>96.25</v>
      </c>
    </row>
    <row r="859" spans="1:18" hidden="1">
      <c r="A859" s="1123"/>
      <c r="B859" s="1128" t="s">
        <v>3361</v>
      </c>
      <c r="C859" s="661" t="s">
        <v>3308</v>
      </c>
      <c r="D859" s="575"/>
      <c r="E859" s="575"/>
      <c r="F859" s="800">
        <v>1</v>
      </c>
      <c r="G859" s="798" t="s">
        <v>209</v>
      </c>
      <c r="H859" s="800" t="str">
        <f>H841</f>
        <v>MOULDING CHARGES</v>
      </c>
      <c r="I859" s="587">
        <v>25</v>
      </c>
      <c r="J859" s="574" t="s">
        <v>209</v>
      </c>
      <c r="K859" s="587">
        <f t="shared" si="44"/>
        <v>25</v>
      </c>
      <c r="R859" s="796" t="s">
        <v>117</v>
      </c>
    </row>
    <row r="860" spans="1:18" hidden="1">
      <c r="A860" s="1125">
        <v>16</v>
      </c>
      <c r="B860" s="1131" t="s">
        <v>3362</v>
      </c>
      <c r="C860" s="575"/>
      <c r="D860" s="575"/>
      <c r="E860" s="575"/>
      <c r="F860" s="800">
        <v>0.5</v>
      </c>
      <c r="G860" s="798" t="s">
        <v>209</v>
      </c>
      <c r="H860" s="793" t="s">
        <v>1438</v>
      </c>
      <c r="I860" s="587">
        <f>C13</f>
        <v>85</v>
      </c>
      <c r="J860" s="574" t="s">
        <v>209</v>
      </c>
      <c r="K860" s="587">
        <f t="shared" si="44"/>
        <v>42.5</v>
      </c>
      <c r="O860" s="1098" t="s">
        <v>1453</v>
      </c>
      <c r="R860" s="800">
        <f>R858/0.0283</f>
        <v>3401.0600706713781</v>
      </c>
    </row>
    <row r="861" spans="1:18" hidden="1">
      <c r="A861" s="1132"/>
      <c r="B861" s="1122" t="s">
        <v>3363</v>
      </c>
      <c r="C861" s="612">
        <v>10</v>
      </c>
      <c r="D861" s="575"/>
      <c r="E861" s="575"/>
      <c r="G861" s="798" t="s">
        <v>129</v>
      </c>
      <c r="H861" s="793" t="s">
        <v>1439</v>
      </c>
      <c r="I861" s="575"/>
      <c r="J861" s="574" t="s">
        <v>129</v>
      </c>
      <c r="K861" s="587">
        <v>0.5</v>
      </c>
      <c r="R861" s="796" t="s">
        <v>117</v>
      </c>
    </row>
    <row r="862" spans="1:18" hidden="1">
      <c r="A862" s="1132"/>
      <c r="B862" s="1122" t="s">
        <v>3364</v>
      </c>
      <c r="C862" s="612">
        <v>10</v>
      </c>
      <c r="D862" s="575"/>
      <c r="E862" s="575"/>
      <c r="I862" s="575"/>
      <c r="J862" s="580"/>
      <c r="K862" s="582" t="s">
        <v>117</v>
      </c>
    </row>
    <row r="863" spans="1:18" ht="31.5" hidden="1">
      <c r="A863" s="1125">
        <v>17</v>
      </c>
      <c r="B863" s="1131" t="s">
        <v>3365</v>
      </c>
      <c r="C863" s="575"/>
      <c r="D863" s="575"/>
      <c r="E863" s="575"/>
      <c r="H863" s="1098" t="s">
        <v>1440</v>
      </c>
      <c r="I863" s="575"/>
      <c r="J863" s="580"/>
      <c r="K863" s="587" t="e">
        <f>SUM(K850:K861)</f>
        <v>#REF!</v>
      </c>
    </row>
    <row r="864" spans="1:18" hidden="1">
      <c r="A864" s="1125"/>
      <c r="B864" s="794" t="s">
        <v>3366</v>
      </c>
      <c r="C864" s="612">
        <v>170</v>
      </c>
      <c r="D864" s="575"/>
      <c r="E864" s="575"/>
      <c r="I864" s="575"/>
      <c r="J864" s="580"/>
      <c r="K864" s="582" t="s">
        <v>117</v>
      </c>
    </row>
    <row r="865" spans="1:33" hidden="1">
      <c r="A865" s="1125"/>
      <c r="B865" s="1122" t="s">
        <v>3367</v>
      </c>
      <c r="C865" s="612">
        <v>170</v>
      </c>
      <c r="D865" s="575"/>
      <c r="E865" s="575"/>
      <c r="I865" s="575"/>
      <c r="J865" s="580"/>
      <c r="K865" s="575"/>
    </row>
    <row r="866" spans="1:33" hidden="1">
      <c r="A866" s="1125"/>
      <c r="B866" s="1122" t="s">
        <v>3368</v>
      </c>
      <c r="C866" s="612">
        <v>295</v>
      </c>
      <c r="D866" s="575"/>
      <c r="E866" s="575"/>
      <c r="I866" s="575"/>
      <c r="J866" s="580"/>
      <c r="K866" s="575"/>
    </row>
    <row r="867" spans="1:33" ht="31.5" hidden="1">
      <c r="A867" s="1125"/>
      <c r="B867" s="1129" t="s">
        <v>3369</v>
      </c>
      <c r="C867" s="612">
        <v>240</v>
      </c>
      <c r="D867" s="575"/>
      <c r="E867" s="575"/>
      <c r="I867" s="575"/>
      <c r="J867" s="580"/>
      <c r="K867" s="575"/>
    </row>
    <row r="868" spans="1:33" ht="142.5" hidden="1" customHeight="1">
      <c r="A868" s="1125"/>
      <c r="C868" s="575"/>
      <c r="D868" s="575"/>
      <c r="E868" s="575"/>
      <c r="F868" s="1133">
        <v>21.3</v>
      </c>
      <c r="G868" s="798" t="s">
        <v>122</v>
      </c>
      <c r="H868" s="1134" t="s">
        <v>1454</v>
      </c>
      <c r="I868" s="575"/>
      <c r="J868" s="580"/>
      <c r="K868" s="575"/>
      <c r="AG868" s="793" t="s">
        <v>849</v>
      </c>
    </row>
    <row r="869" spans="1:33" hidden="1">
      <c r="A869" s="1125"/>
      <c r="B869" s="1122" t="s">
        <v>3370</v>
      </c>
      <c r="C869" s="661" t="s">
        <v>3371</v>
      </c>
      <c r="D869" s="575"/>
      <c r="E869" s="575"/>
      <c r="H869" s="793" t="s">
        <v>1455</v>
      </c>
      <c r="I869" s="575"/>
      <c r="J869" s="580"/>
      <c r="K869" s="575"/>
      <c r="M869" s="800">
        <v>11.64</v>
      </c>
      <c r="N869" s="793" t="s">
        <v>231</v>
      </c>
      <c r="O869" s="793" t="s">
        <v>1401</v>
      </c>
      <c r="P869" s="800">
        <v>13.66</v>
      </c>
      <c r="R869" s="800">
        <f>(M869*P869)</f>
        <v>159.00240000000002</v>
      </c>
      <c r="AG869" s="793" t="s">
        <v>849</v>
      </c>
    </row>
    <row r="870" spans="1:33" hidden="1">
      <c r="A870" s="1125"/>
      <c r="B870" s="1122" t="s">
        <v>3372</v>
      </c>
      <c r="C870" s="661" t="s">
        <v>3371</v>
      </c>
      <c r="D870" s="575"/>
      <c r="E870" s="575"/>
      <c r="H870" s="796" t="s">
        <v>117</v>
      </c>
      <c r="I870" s="575"/>
      <c r="J870" s="580"/>
      <c r="K870" s="575"/>
      <c r="M870" s="1119">
        <v>1.62</v>
      </c>
      <c r="N870" s="793" t="s">
        <v>140</v>
      </c>
      <c r="O870" s="793" t="s">
        <v>1403</v>
      </c>
      <c r="P870" s="800">
        <v>25.46</v>
      </c>
      <c r="R870" s="800">
        <f>(M870*P870)</f>
        <v>41.245200000000004</v>
      </c>
      <c r="AG870" s="793" t="s">
        <v>849</v>
      </c>
    </row>
    <row r="871" spans="1:33" hidden="1">
      <c r="A871" s="1125"/>
      <c r="B871" s="1122" t="s">
        <v>3373</v>
      </c>
      <c r="C871" s="661" t="s">
        <v>3371</v>
      </c>
      <c r="D871" s="575"/>
      <c r="E871" s="575"/>
      <c r="I871" s="575"/>
      <c r="J871" s="580"/>
      <c r="K871" s="575"/>
      <c r="M871" s="800">
        <v>48</v>
      </c>
      <c r="N871" s="793" t="s">
        <v>209</v>
      </c>
      <c r="O871" s="793" t="s">
        <v>1404</v>
      </c>
      <c r="P871" s="800">
        <v>0.5</v>
      </c>
      <c r="R871" s="800">
        <f>(M871*P871)</f>
        <v>24</v>
      </c>
      <c r="AG871" s="793" t="s">
        <v>849</v>
      </c>
    </row>
    <row r="872" spans="1:33" hidden="1">
      <c r="A872" s="1125"/>
      <c r="B872" s="1122" t="s">
        <v>3374</v>
      </c>
      <c r="C872" s="661" t="s">
        <v>3371</v>
      </c>
      <c r="D872" s="575"/>
      <c r="E872" s="575"/>
      <c r="H872" s="793" t="s">
        <v>1455</v>
      </c>
      <c r="I872" s="575"/>
      <c r="J872" s="574" t="s">
        <v>140</v>
      </c>
      <c r="K872" s="587">
        <v>1450</v>
      </c>
      <c r="R872" s="800">
        <v>0.23</v>
      </c>
      <c r="AG872" s="793" t="s">
        <v>849</v>
      </c>
    </row>
    <row r="873" spans="1:33" hidden="1">
      <c r="A873" s="1125">
        <v>18</v>
      </c>
      <c r="B873" s="1126" t="s">
        <v>3375</v>
      </c>
      <c r="C873" s="575"/>
      <c r="D873" s="575"/>
      <c r="E873" s="575"/>
      <c r="F873" s="793" t="s">
        <v>115</v>
      </c>
      <c r="I873" s="575"/>
      <c r="J873" s="580"/>
      <c r="K873" s="575"/>
    </row>
    <row r="874" spans="1:33" hidden="1">
      <c r="A874" s="1125"/>
      <c r="B874" s="1122" t="s">
        <v>3376</v>
      </c>
      <c r="C874" s="612">
        <v>113</v>
      </c>
      <c r="D874" s="575"/>
      <c r="E874" s="575"/>
      <c r="H874" s="1098" t="s">
        <v>1458</v>
      </c>
      <c r="I874" s="575"/>
      <c r="J874" s="580"/>
      <c r="K874" s="582" t="s">
        <v>155</v>
      </c>
      <c r="R874" s="796" t="s">
        <v>117</v>
      </c>
      <c r="AG874" s="793" t="s">
        <v>849</v>
      </c>
    </row>
    <row r="875" spans="1:33" hidden="1">
      <c r="A875" s="1125"/>
      <c r="B875" s="1122" t="s">
        <v>3377</v>
      </c>
      <c r="C875" s="612">
        <v>135</v>
      </c>
      <c r="D875" s="575"/>
      <c r="E875" s="575"/>
      <c r="H875" s="1098" t="s">
        <v>1459</v>
      </c>
      <c r="I875" s="575"/>
      <c r="J875" s="580"/>
      <c r="K875" s="575"/>
      <c r="O875" s="1098" t="s">
        <v>1405</v>
      </c>
      <c r="R875" s="800">
        <f>SUM(R869:R872)</f>
        <v>224.47760000000002</v>
      </c>
      <c r="AG875" s="793" t="s">
        <v>849</v>
      </c>
    </row>
    <row r="876" spans="1:33" hidden="1">
      <c r="A876" s="1125"/>
      <c r="B876" s="1122" t="s">
        <v>3378</v>
      </c>
      <c r="C876" s="612">
        <v>180</v>
      </c>
      <c r="D876" s="575"/>
      <c r="E876" s="575"/>
      <c r="F876" s="1120">
        <v>21.2</v>
      </c>
      <c r="H876" s="804" t="s">
        <v>1460</v>
      </c>
      <c r="I876" s="575"/>
      <c r="J876" s="580"/>
      <c r="K876" s="575"/>
      <c r="AG876" s="793" t="s">
        <v>849</v>
      </c>
    </row>
    <row r="877" spans="1:33" hidden="1">
      <c r="A877" s="1125"/>
      <c r="B877" s="1122" t="s">
        <v>3379</v>
      </c>
      <c r="C877" s="612">
        <v>248</v>
      </c>
      <c r="D877" s="575"/>
      <c r="E877" s="575"/>
      <c r="F877" s="1120"/>
      <c r="H877" s="796" t="s">
        <v>117</v>
      </c>
      <c r="I877" s="575"/>
      <c r="J877" s="580"/>
      <c r="K877" s="575"/>
      <c r="AG877" s="793"/>
    </row>
    <row r="878" spans="1:33" hidden="1">
      <c r="A878" s="1125">
        <v>19</v>
      </c>
      <c r="B878" s="1122" t="s">
        <v>3380</v>
      </c>
      <c r="C878" s="661" t="s">
        <v>3371</v>
      </c>
      <c r="D878" s="575"/>
      <c r="E878" s="575"/>
      <c r="G878" s="798" t="s">
        <v>810</v>
      </c>
      <c r="H878" s="793" t="s">
        <v>1461</v>
      </c>
      <c r="I878" s="575"/>
      <c r="J878" s="580"/>
      <c r="K878" s="573" t="s">
        <v>115</v>
      </c>
      <c r="AG878" s="793" t="s">
        <v>849</v>
      </c>
    </row>
    <row r="879" spans="1:33" hidden="1">
      <c r="A879" s="1125"/>
      <c r="B879" s="1122" t="s">
        <v>3381</v>
      </c>
      <c r="C879" s="661" t="s">
        <v>3371</v>
      </c>
      <c r="D879" s="575"/>
      <c r="E879" s="575"/>
      <c r="H879" s="796" t="s">
        <v>117</v>
      </c>
      <c r="I879" s="575"/>
      <c r="J879" s="580"/>
      <c r="K879" s="573" t="s">
        <v>115</v>
      </c>
      <c r="AG879" s="793" t="s">
        <v>849</v>
      </c>
    </row>
    <row r="880" spans="1:33" hidden="1">
      <c r="A880" s="1125">
        <v>20</v>
      </c>
      <c r="B880" s="1122" t="s">
        <v>3382</v>
      </c>
      <c r="C880" s="661" t="s">
        <v>3371</v>
      </c>
      <c r="D880" s="575"/>
      <c r="E880" s="575"/>
      <c r="F880" s="800">
        <v>1</v>
      </c>
      <c r="G880" s="798" t="s">
        <v>126</v>
      </c>
      <c r="H880" s="793" t="s">
        <v>1462</v>
      </c>
      <c r="I880" s="587">
        <f>C30</f>
        <v>3035</v>
      </c>
      <c r="J880" s="574" t="s">
        <v>126</v>
      </c>
      <c r="K880" s="587">
        <f>(F880*I880)</f>
        <v>3035</v>
      </c>
      <c r="AG880" s="793" t="s">
        <v>849</v>
      </c>
    </row>
    <row r="881" spans="1:33" hidden="1">
      <c r="A881" s="1125">
        <v>21</v>
      </c>
      <c r="B881" s="1122" t="s">
        <v>3383</v>
      </c>
      <c r="C881" s="1127" t="s">
        <v>3371</v>
      </c>
      <c r="D881" s="575"/>
      <c r="E881" s="575"/>
      <c r="F881" s="800">
        <v>1</v>
      </c>
      <c r="G881" s="798" t="s">
        <v>126</v>
      </c>
      <c r="H881" s="793" t="s">
        <v>1461</v>
      </c>
      <c r="I881" s="587">
        <f>C88</f>
        <v>65420</v>
      </c>
      <c r="J881" s="574" t="s">
        <v>126</v>
      </c>
      <c r="K881" s="587">
        <f>(F881*I881)</f>
        <v>65420</v>
      </c>
      <c r="AG881" s="793" t="s">
        <v>849</v>
      </c>
    </row>
    <row r="882" spans="1:33" hidden="1">
      <c r="A882" s="1125">
        <v>22</v>
      </c>
      <c r="B882" s="1122" t="s">
        <v>3384</v>
      </c>
      <c r="C882" s="1127" t="s">
        <v>3371</v>
      </c>
      <c r="D882" s="575"/>
      <c r="E882" s="575"/>
      <c r="I882" s="575"/>
      <c r="J882" s="580"/>
      <c r="K882" s="582" t="s">
        <v>155</v>
      </c>
      <c r="AG882" s="793" t="s">
        <v>849</v>
      </c>
    </row>
    <row r="883" spans="1:33" hidden="1">
      <c r="A883" s="1125">
        <v>23</v>
      </c>
      <c r="B883" s="1126" t="s">
        <v>3385</v>
      </c>
      <c r="C883" s="575"/>
      <c r="D883" s="575"/>
      <c r="E883" s="575"/>
      <c r="H883" s="793" t="s">
        <v>1463</v>
      </c>
      <c r="I883" s="575"/>
      <c r="J883" s="580"/>
      <c r="K883" s="587">
        <f>SUM(K880:K881)</f>
        <v>68455</v>
      </c>
      <c r="AG883" s="793" t="s">
        <v>849</v>
      </c>
    </row>
    <row r="884" spans="1:33" hidden="1">
      <c r="A884" s="1125"/>
      <c r="B884" s="1122" t="s">
        <v>3386</v>
      </c>
      <c r="C884" s="661" t="s">
        <v>3371</v>
      </c>
      <c r="D884" s="575"/>
      <c r="E884" s="575"/>
      <c r="I884" s="575"/>
      <c r="J884" s="580"/>
      <c r="K884" s="582" t="s">
        <v>155</v>
      </c>
      <c r="AG884" s="793" t="s">
        <v>849</v>
      </c>
    </row>
    <row r="885" spans="1:33" hidden="1">
      <c r="A885" s="1125"/>
      <c r="B885" s="1122" t="s">
        <v>3387</v>
      </c>
      <c r="C885" s="661" t="s">
        <v>3371</v>
      </c>
      <c r="D885" s="575"/>
      <c r="E885" s="575"/>
      <c r="G885" s="798" t="s">
        <v>2</v>
      </c>
      <c r="H885" s="793" t="s">
        <v>1464</v>
      </c>
      <c r="I885" s="575"/>
      <c r="J885" s="580"/>
      <c r="K885" s="573" t="s">
        <v>115</v>
      </c>
      <c r="AG885" s="793" t="s">
        <v>849</v>
      </c>
    </row>
    <row r="886" spans="1:33" hidden="1">
      <c r="A886" s="1125">
        <v>24</v>
      </c>
      <c r="B886" s="1126" t="s">
        <v>3388</v>
      </c>
      <c r="C886" s="612">
        <v>18</v>
      </c>
      <c r="D886" s="575"/>
      <c r="E886" s="575"/>
      <c r="H886" s="796" t="s">
        <v>117</v>
      </c>
      <c r="I886" s="575"/>
      <c r="J886" s="580"/>
      <c r="K886" s="575"/>
      <c r="AG886" s="793" t="s">
        <v>849</v>
      </c>
    </row>
    <row r="887" spans="1:33" ht="51" hidden="1" customHeight="1">
      <c r="A887" s="1125">
        <v>25</v>
      </c>
      <c r="B887" s="1130" t="s">
        <v>3389</v>
      </c>
      <c r="C887" s="612">
        <v>300</v>
      </c>
      <c r="D887" s="575"/>
      <c r="E887" s="575"/>
      <c r="F887" s="800">
        <v>1</v>
      </c>
      <c r="G887" s="798" t="s">
        <v>126</v>
      </c>
      <c r="H887" s="793" t="s">
        <v>1462</v>
      </c>
      <c r="I887" s="587">
        <f>C30</f>
        <v>3035</v>
      </c>
      <c r="J887" s="574" t="s">
        <v>126</v>
      </c>
      <c r="K887" s="587">
        <f>(F887*I887)</f>
        <v>3035</v>
      </c>
      <c r="AG887" s="793" t="s">
        <v>849</v>
      </c>
    </row>
    <row r="888" spans="1:33" hidden="1">
      <c r="A888" s="1125">
        <v>26</v>
      </c>
      <c r="B888" s="794" t="s">
        <v>3390</v>
      </c>
      <c r="C888" s="612">
        <v>15</v>
      </c>
      <c r="D888" s="575"/>
      <c r="E888" s="575"/>
      <c r="F888" s="800">
        <v>1</v>
      </c>
      <c r="G888" s="798" t="s">
        <v>126</v>
      </c>
      <c r="H888" s="793" t="s">
        <v>1461</v>
      </c>
      <c r="I888" s="587">
        <f>C89</f>
        <v>57165</v>
      </c>
      <c r="J888" s="574" t="s">
        <v>126</v>
      </c>
      <c r="K888" s="587">
        <f>(F888*I888)</f>
        <v>57165</v>
      </c>
      <c r="AG888" s="793" t="s">
        <v>849</v>
      </c>
    </row>
    <row r="889" spans="1:33" ht="36" hidden="1" customHeight="1">
      <c r="A889" s="1125">
        <v>27</v>
      </c>
      <c r="B889" s="1130" t="s">
        <v>3391</v>
      </c>
      <c r="C889" s="612">
        <v>178</v>
      </c>
      <c r="D889" s="575"/>
      <c r="E889" s="575"/>
      <c r="I889" s="575"/>
      <c r="J889" s="580"/>
      <c r="K889" s="582" t="s">
        <v>155</v>
      </c>
      <c r="AG889" s="793" t="s">
        <v>849</v>
      </c>
    </row>
    <row r="890" spans="1:33" ht="41.25" hidden="1" customHeight="1">
      <c r="A890" s="1125"/>
      <c r="B890" s="1130" t="s">
        <v>3392</v>
      </c>
      <c r="C890" s="612">
        <v>1120</v>
      </c>
      <c r="D890" s="575"/>
      <c r="E890" s="575"/>
      <c r="H890" s="793" t="s">
        <v>1469</v>
      </c>
      <c r="I890" s="575"/>
      <c r="J890" s="580"/>
      <c r="K890" s="587">
        <f>SUM(K887:K888)</f>
        <v>60200</v>
      </c>
      <c r="AG890" s="793" t="s">
        <v>849</v>
      </c>
    </row>
    <row r="891" spans="1:33" ht="39" hidden="1" customHeight="1">
      <c r="A891" s="1125"/>
      <c r="B891" s="1131" t="s">
        <v>3393</v>
      </c>
      <c r="C891" s="575"/>
      <c r="D891" s="575"/>
      <c r="E891" s="575"/>
      <c r="I891" s="575"/>
      <c r="J891" s="580"/>
      <c r="K891" s="582" t="s">
        <v>155</v>
      </c>
      <c r="AG891" s="793" t="s">
        <v>849</v>
      </c>
    </row>
    <row r="892" spans="1:33" hidden="1">
      <c r="A892" s="1125"/>
      <c r="B892" s="1130" t="s">
        <v>3394</v>
      </c>
      <c r="C892" s="661" t="s">
        <v>3371</v>
      </c>
      <c r="D892" s="575"/>
      <c r="E892" s="575"/>
      <c r="I892" s="575"/>
      <c r="J892" s="580"/>
      <c r="K892" s="575"/>
      <c r="AG892" s="793" t="s">
        <v>849</v>
      </c>
    </row>
    <row r="893" spans="1:33" hidden="1">
      <c r="A893" s="1125"/>
      <c r="B893" s="1130" t="s">
        <v>3395</v>
      </c>
      <c r="C893" s="661" t="s">
        <v>3371</v>
      </c>
      <c r="D893" s="575"/>
      <c r="E893" s="575"/>
      <c r="F893" s="1098" t="s">
        <v>1465</v>
      </c>
      <c r="G893" s="798" t="s">
        <v>122</v>
      </c>
      <c r="H893" s="793" t="s">
        <v>1472</v>
      </c>
      <c r="I893" s="575"/>
      <c r="J893" s="580"/>
      <c r="K893" s="575"/>
      <c r="AG893" s="793" t="s">
        <v>849</v>
      </c>
    </row>
    <row r="894" spans="1:33" hidden="1">
      <c r="A894" s="1125"/>
      <c r="B894" s="1130" t="s">
        <v>3396</v>
      </c>
      <c r="C894" s="661" t="s">
        <v>3371</v>
      </c>
      <c r="D894" s="575"/>
      <c r="E894" s="575"/>
      <c r="H894" s="793" t="s">
        <v>1467</v>
      </c>
      <c r="I894" s="575"/>
      <c r="J894" s="580"/>
      <c r="K894" s="575"/>
      <c r="AG894" s="793" t="s">
        <v>849</v>
      </c>
    </row>
    <row r="895" spans="1:33" ht="31.5" hidden="1">
      <c r="A895" s="1125"/>
      <c r="B895" s="1130" t="s">
        <v>3397</v>
      </c>
      <c r="C895" s="612">
        <v>120</v>
      </c>
      <c r="D895" s="575"/>
      <c r="E895" s="575"/>
      <c r="H895" s="793" t="s">
        <v>1468</v>
      </c>
      <c r="I895" s="575"/>
      <c r="J895" s="580"/>
      <c r="K895" s="575"/>
      <c r="AG895" s="793" t="s">
        <v>849</v>
      </c>
    </row>
    <row r="896" spans="1:33" hidden="1">
      <c r="A896" s="1125"/>
      <c r="B896" s="1131" t="s">
        <v>3398</v>
      </c>
      <c r="C896" s="575"/>
      <c r="D896" s="575"/>
      <c r="E896" s="575"/>
      <c r="H896" s="796" t="s">
        <v>117</v>
      </c>
      <c r="I896" s="575"/>
      <c r="J896" s="580"/>
      <c r="K896" s="575"/>
      <c r="AG896" s="793" t="s">
        <v>849</v>
      </c>
    </row>
    <row r="897" spans="1:33" hidden="1">
      <c r="A897" s="1125"/>
      <c r="B897" s="1130" t="s">
        <v>3399</v>
      </c>
      <c r="C897" s="612">
        <v>45</v>
      </c>
      <c r="D897" s="575"/>
      <c r="E897" s="575"/>
      <c r="H897" s="793" t="s">
        <v>1470</v>
      </c>
      <c r="I897" s="575"/>
      <c r="J897" s="580"/>
      <c r="K897" s="575"/>
    </row>
    <row r="898" spans="1:33" hidden="1">
      <c r="A898" s="1125"/>
      <c r="B898" s="1130" t="s">
        <v>3400</v>
      </c>
      <c r="C898" s="612">
        <v>18</v>
      </c>
      <c r="D898" s="575"/>
      <c r="E898" s="575"/>
      <c r="H898" s="793" t="s">
        <v>1471</v>
      </c>
      <c r="I898" s="575"/>
      <c r="J898" s="580"/>
      <c r="K898" s="575"/>
    </row>
    <row r="899" spans="1:33" hidden="1">
      <c r="A899" s="1125"/>
      <c r="B899" s="1130" t="s">
        <v>3401</v>
      </c>
      <c r="C899" s="612">
        <v>450</v>
      </c>
      <c r="D899" s="575"/>
      <c r="E899" s="575"/>
      <c r="I899" s="575"/>
      <c r="J899" s="574" t="s">
        <v>117</v>
      </c>
      <c r="K899" s="575"/>
    </row>
    <row r="900" spans="1:33" hidden="1">
      <c r="A900" s="1125"/>
      <c r="B900" s="1130" t="s">
        <v>3402</v>
      </c>
      <c r="C900" s="612">
        <v>650</v>
      </c>
      <c r="D900" s="575"/>
      <c r="E900" s="575"/>
      <c r="H900" s="793" t="s">
        <v>1473</v>
      </c>
      <c r="I900" s="575"/>
      <c r="J900" s="580"/>
      <c r="K900" s="575"/>
    </row>
    <row r="901" spans="1:33" ht="47.25" hidden="1">
      <c r="A901" s="1125"/>
      <c r="B901" s="1130" t="s">
        <v>3403</v>
      </c>
      <c r="C901" s="612">
        <v>5000</v>
      </c>
      <c r="D901" s="575"/>
      <c r="E901" s="575"/>
      <c r="H901" s="793" t="s">
        <v>1474</v>
      </c>
      <c r="I901" s="575"/>
      <c r="J901" s="580"/>
      <c r="K901" s="651">
        <v>2.4299999999999999E-2</v>
      </c>
    </row>
    <row r="902" spans="1:33" ht="63" hidden="1">
      <c r="A902" s="1125"/>
      <c r="B902" s="1130" t="s">
        <v>3404</v>
      </c>
      <c r="C902" s="612">
        <v>6750</v>
      </c>
      <c r="D902" s="575"/>
      <c r="E902" s="575"/>
      <c r="I902" s="575"/>
      <c r="J902" s="574" t="s">
        <v>115</v>
      </c>
      <c r="K902" s="582" t="s">
        <v>117</v>
      </c>
    </row>
    <row r="903" spans="1:33" ht="47.25" hidden="1">
      <c r="A903" s="1125"/>
      <c r="B903" s="1130" t="s">
        <v>3405</v>
      </c>
      <c r="C903" s="612">
        <v>5800</v>
      </c>
      <c r="D903" s="575"/>
      <c r="E903" s="575"/>
      <c r="H903" s="793" t="s">
        <v>1475</v>
      </c>
      <c r="I903" s="575"/>
      <c r="J903" s="1135" t="s">
        <v>115</v>
      </c>
      <c r="K903" s="651">
        <v>1.47E-2</v>
      </c>
    </row>
    <row r="904" spans="1:33" hidden="1">
      <c r="A904" s="1125"/>
      <c r="B904" s="1130" t="s">
        <v>3406</v>
      </c>
      <c r="C904" s="575"/>
      <c r="D904" s="575"/>
      <c r="E904" s="575"/>
      <c r="H904" s="793" t="s">
        <v>1476</v>
      </c>
      <c r="I904" s="575"/>
      <c r="J904" s="574" t="s">
        <v>115</v>
      </c>
      <c r="K904" s="651">
        <v>4.5999999999999999E-3</v>
      </c>
    </row>
    <row r="905" spans="1:33" ht="47.25" hidden="1">
      <c r="A905" s="1125"/>
      <c r="B905" s="1130" t="s">
        <v>3407</v>
      </c>
      <c r="C905" s="575"/>
      <c r="D905" s="575"/>
      <c r="E905" s="575"/>
      <c r="I905" s="575"/>
      <c r="J905" s="580"/>
      <c r="K905" s="582" t="s">
        <v>117</v>
      </c>
    </row>
    <row r="906" spans="1:33" ht="47.25" hidden="1">
      <c r="A906" s="1125"/>
      <c r="B906" s="1130" t="s">
        <v>3407</v>
      </c>
      <c r="C906" s="575"/>
      <c r="D906" s="575"/>
      <c r="E906" s="575"/>
      <c r="I906" s="575"/>
      <c r="J906" s="580"/>
      <c r="K906" s="651">
        <v>1.9300000000000001E-2</v>
      </c>
    </row>
    <row r="907" spans="1:33" ht="47.25" hidden="1">
      <c r="A907" s="1125"/>
      <c r="B907" s="1130" t="s">
        <v>3408</v>
      </c>
      <c r="C907" s="575"/>
      <c r="D907" s="575"/>
      <c r="E907" s="575"/>
      <c r="I907" s="575"/>
      <c r="J907" s="580"/>
      <c r="K907" s="582" t="s">
        <v>117</v>
      </c>
    </row>
    <row r="908" spans="1:33" hidden="1">
      <c r="A908" s="1125"/>
      <c r="B908" s="1130" t="s">
        <v>3409</v>
      </c>
      <c r="C908" s="575"/>
      <c r="D908" s="575"/>
      <c r="E908" s="575"/>
      <c r="I908" s="575"/>
      <c r="J908" s="580"/>
      <c r="K908" s="575"/>
    </row>
    <row r="909" spans="1:33" hidden="1">
      <c r="A909" s="1125"/>
      <c r="B909" s="1130" t="s">
        <v>3410</v>
      </c>
      <c r="C909" s="575"/>
      <c r="D909" s="575"/>
      <c r="E909" s="575"/>
      <c r="I909" s="575"/>
      <c r="J909" s="580"/>
      <c r="K909" s="575"/>
    </row>
    <row r="910" spans="1:33" hidden="1">
      <c r="A910" s="1125"/>
      <c r="B910" s="1130" t="s">
        <v>3411</v>
      </c>
      <c r="C910" s="575"/>
      <c r="D910" s="575"/>
      <c r="E910" s="575"/>
      <c r="F910" s="1118">
        <v>1.14E-2</v>
      </c>
      <c r="G910" s="798" t="s">
        <v>126</v>
      </c>
      <c r="H910" s="793" t="s">
        <v>1483</v>
      </c>
      <c r="I910" s="587">
        <f>C88</f>
        <v>65420</v>
      </c>
      <c r="J910" s="574" t="s">
        <v>126</v>
      </c>
      <c r="K910" s="587">
        <f>(F910*I910)</f>
        <v>745.78800000000001</v>
      </c>
      <c r="AG910" s="793" t="s">
        <v>849</v>
      </c>
    </row>
    <row r="911" spans="1:33" hidden="1">
      <c r="A911" s="1125"/>
      <c r="B911" s="1130" t="s">
        <v>3412</v>
      </c>
      <c r="C911" s="575"/>
      <c r="D911" s="575"/>
      <c r="E911" s="575"/>
      <c r="F911" s="1118">
        <v>2.4299999999999999E-2</v>
      </c>
      <c r="G911" s="798" t="s">
        <v>126</v>
      </c>
      <c r="H911" s="793" t="s">
        <v>1485</v>
      </c>
      <c r="I911" s="587">
        <f>C89</f>
        <v>57165</v>
      </c>
      <c r="J911" s="574" t="s">
        <v>126</v>
      </c>
      <c r="K911" s="587">
        <f>(F911*I911)</f>
        <v>1389.1095</v>
      </c>
      <c r="AG911" s="793" t="s">
        <v>849</v>
      </c>
    </row>
    <row r="912" spans="1:33" hidden="1">
      <c r="A912" s="1125"/>
      <c r="B912" s="1130" t="s">
        <v>3413</v>
      </c>
      <c r="C912" s="575"/>
      <c r="D912" s="575"/>
      <c r="E912" s="575"/>
      <c r="F912" s="1118">
        <v>1.9300000000000001E-2</v>
      </c>
      <c r="G912" s="798" t="s">
        <v>126</v>
      </c>
      <c r="H912" s="793" t="s">
        <v>1487</v>
      </c>
      <c r="I912" s="587">
        <f>C90</f>
        <v>63870</v>
      </c>
      <c r="J912" s="574" t="s">
        <v>126</v>
      </c>
      <c r="K912" s="587">
        <f>(F912*I912)</f>
        <v>1232.691</v>
      </c>
      <c r="AG912" s="793" t="s">
        <v>849</v>
      </c>
    </row>
    <row r="913" spans="1:33" hidden="1">
      <c r="A913" s="1125"/>
      <c r="B913" s="1130" t="s">
        <v>3414</v>
      </c>
      <c r="C913" s="575"/>
      <c r="D913" s="575"/>
      <c r="E913" s="575"/>
      <c r="F913" s="1119"/>
      <c r="H913" s="793" t="s">
        <v>1489</v>
      </c>
      <c r="I913" s="573" t="s">
        <v>115</v>
      </c>
      <c r="J913" s="580"/>
      <c r="K913" s="573" t="s">
        <v>115</v>
      </c>
      <c r="AG913" s="793" t="s">
        <v>849</v>
      </c>
    </row>
    <row r="914" spans="1:33" hidden="1">
      <c r="A914" s="1125"/>
      <c r="B914" s="1130" t="s">
        <v>3415</v>
      </c>
      <c r="C914" s="575"/>
      <c r="D914" s="575"/>
      <c r="E914" s="575"/>
      <c r="F914" s="1119">
        <v>1.823</v>
      </c>
      <c r="G914" s="798" t="s">
        <v>140</v>
      </c>
      <c r="H914" s="793" t="s">
        <v>1480</v>
      </c>
      <c r="I914" s="587">
        <f>C31</f>
        <v>342</v>
      </c>
      <c r="J914" s="574" t="s">
        <v>140</v>
      </c>
      <c r="K914" s="587">
        <f t="shared" ref="K914:K920" si="45">(F914*I914)</f>
        <v>623.46600000000001</v>
      </c>
      <c r="AG914" s="793" t="s">
        <v>849</v>
      </c>
    </row>
    <row r="915" spans="1:33" hidden="1">
      <c r="A915" s="1125"/>
      <c r="B915" s="1130" t="s">
        <v>3416</v>
      </c>
      <c r="C915" s="575"/>
      <c r="D915" s="575"/>
      <c r="E915" s="575"/>
      <c r="F915" s="800">
        <v>1</v>
      </c>
      <c r="G915" s="798" t="s">
        <v>1</v>
      </c>
      <c r="H915" s="793" t="s">
        <v>1481</v>
      </c>
      <c r="I915" s="587">
        <f>C576</f>
        <v>30</v>
      </c>
      <c r="J915" s="574" t="s">
        <v>209</v>
      </c>
      <c r="K915" s="587">
        <f t="shared" si="45"/>
        <v>30</v>
      </c>
      <c r="AG915" s="793" t="s">
        <v>849</v>
      </c>
    </row>
    <row r="916" spans="1:33" ht="31.5" hidden="1">
      <c r="A916" s="1125"/>
      <c r="B916" s="1130" t="s">
        <v>3417</v>
      </c>
      <c r="C916" s="575"/>
      <c r="D916" s="575"/>
      <c r="E916" s="575"/>
      <c r="F916" s="800">
        <v>3</v>
      </c>
      <c r="G916" s="798" t="s">
        <v>209</v>
      </c>
      <c r="H916" s="793" t="s">
        <v>1482</v>
      </c>
      <c r="I916" s="587">
        <f>C278</f>
        <v>45</v>
      </c>
      <c r="J916" s="574" t="s">
        <v>209</v>
      </c>
      <c r="K916" s="587">
        <f t="shared" si="45"/>
        <v>135</v>
      </c>
      <c r="AG916" s="793" t="s">
        <v>849</v>
      </c>
    </row>
    <row r="917" spans="1:33" ht="31.5" hidden="1">
      <c r="A917" s="1125"/>
      <c r="B917" s="1130" t="s">
        <v>3418</v>
      </c>
      <c r="C917" s="575"/>
      <c r="D917" s="575"/>
      <c r="E917" s="575"/>
      <c r="F917" s="800">
        <v>2</v>
      </c>
      <c r="G917" s="798" t="s">
        <v>209</v>
      </c>
      <c r="H917" s="793" t="s">
        <v>1484</v>
      </c>
      <c r="I917" s="587">
        <f>C283</f>
        <v>30</v>
      </c>
      <c r="J917" s="574" t="s">
        <v>209</v>
      </c>
      <c r="K917" s="587">
        <f t="shared" si="45"/>
        <v>60</v>
      </c>
      <c r="AG917" s="793" t="s">
        <v>849</v>
      </c>
    </row>
    <row r="918" spans="1:33" ht="31.5" hidden="1">
      <c r="A918" s="1125"/>
      <c r="B918" s="1130" t="s">
        <v>3419</v>
      </c>
      <c r="C918" s="575"/>
      <c r="D918" s="575"/>
      <c r="E918" s="575"/>
      <c r="F918" s="800">
        <v>1</v>
      </c>
      <c r="G918" s="798" t="s">
        <v>209</v>
      </c>
      <c r="H918" s="793" t="s">
        <v>1486</v>
      </c>
      <c r="I918" s="587">
        <f>C285</f>
        <v>95</v>
      </c>
      <c r="J918" s="574" t="s">
        <v>209</v>
      </c>
      <c r="K918" s="587">
        <f t="shared" si="45"/>
        <v>95</v>
      </c>
      <c r="AG918" s="793" t="s">
        <v>849</v>
      </c>
    </row>
    <row r="919" spans="1:33" hidden="1">
      <c r="A919" s="1125"/>
      <c r="B919" s="1130" t="s">
        <v>3420</v>
      </c>
      <c r="C919" s="575"/>
      <c r="D919" s="575"/>
      <c r="E919" s="575"/>
      <c r="F919" s="800">
        <v>1</v>
      </c>
      <c r="G919" s="798" t="s">
        <v>209</v>
      </c>
      <c r="H919" s="793" t="s">
        <v>1488</v>
      </c>
      <c r="I919" s="587">
        <f>C287</f>
        <v>8</v>
      </c>
      <c r="J919" s="574" t="s">
        <v>209</v>
      </c>
      <c r="K919" s="587">
        <f t="shared" si="45"/>
        <v>8</v>
      </c>
      <c r="AG919" s="793" t="s">
        <v>849</v>
      </c>
    </row>
    <row r="920" spans="1:33" hidden="1">
      <c r="A920" s="1125"/>
      <c r="B920" s="1130" t="s">
        <v>3421</v>
      </c>
      <c r="C920" s="575"/>
      <c r="D920" s="575"/>
      <c r="E920" s="575"/>
      <c r="F920" s="800">
        <v>1</v>
      </c>
      <c r="G920" s="798" t="s">
        <v>209</v>
      </c>
      <c r="H920" s="793" t="s">
        <v>630</v>
      </c>
      <c r="I920" s="587">
        <f>D576</f>
        <v>25</v>
      </c>
      <c r="J920" s="574" t="s">
        <v>209</v>
      </c>
      <c r="K920" s="587">
        <f t="shared" si="45"/>
        <v>25</v>
      </c>
      <c r="AG920" s="793" t="s">
        <v>849</v>
      </c>
    </row>
    <row r="921" spans="1:33" hidden="1">
      <c r="A921" s="1125"/>
      <c r="B921" s="1130" t="s">
        <v>3422</v>
      </c>
      <c r="C921" s="575"/>
      <c r="D921" s="575"/>
      <c r="E921" s="575"/>
      <c r="I921" s="575"/>
      <c r="J921" s="580"/>
      <c r="K921" s="582" t="s">
        <v>117</v>
      </c>
      <c r="AG921" s="793" t="s">
        <v>849</v>
      </c>
    </row>
    <row r="922" spans="1:33" ht="31.5" hidden="1">
      <c r="A922" s="1125"/>
      <c r="B922" s="1130" t="s">
        <v>3423</v>
      </c>
      <c r="C922" s="575"/>
      <c r="D922" s="575"/>
      <c r="E922" s="575"/>
      <c r="H922" s="793" t="s">
        <v>1491</v>
      </c>
      <c r="I922" s="575"/>
      <c r="J922" s="580"/>
      <c r="K922" s="587">
        <f>SUM(K910:K920)</f>
        <v>4344.0545000000002</v>
      </c>
      <c r="AG922" s="793" t="s">
        <v>849</v>
      </c>
    </row>
    <row r="923" spans="1:33" hidden="1">
      <c r="A923" s="1125"/>
      <c r="B923" s="1130" t="s">
        <v>3424</v>
      </c>
      <c r="C923" s="575"/>
      <c r="D923" s="575"/>
      <c r="E923" s="575"/>
      <c r="I923" s="575"/>
      <c r="J923" s="580"/>
      <c r="K923" s="582" t="s">
        <v>117</v>
      </c>
      <c r="AG923" s="793" t="s">
        <v>849</v>
      </c>
    </row>
    <row r="924" spans="1:33" hidden="1">
      <c r="A924" s="1125"/>
      <c r="B924" s="1130" t="s">
        <v>3425</v>
      </c>
      <c r="C924" s="575"/>
      <c r="D924" s="575"/>
      <c r="E924" s="575"/>
      <c r="H924" s="793" t="s">
        <v>154</v>
      </c>
      <c r="I924" s="575"/>
      <c r="J924" s="580"/>
      <c r="K924" s="587">
        <f>K922/F914</f>
        <v>2382.9152495885905</v>
      </c>
      <c r="AG924" s="793" t="s">
        <v>849</v>
      </c>
    </row>
    <row r="925" spans="1:33" hidden="1">
      <c r="A925" s="1125"/>
      <c r="B925" s="1130" t="s">
        <v>3426</v>
      </c>
      <c r="C925" s="575"/>
      <c r="D925" s="575"/>
      <c r="E925" s="575"/>
      <c r="F925" s="793" t="s">
        <v>115</v>
      </c>
      <c r="I925" s="575"/>
      <c r="J925" s="580"/>
      <c r="K925" s="575"/>
    </row>
    <row r="926" spans="1:33" hidden="1">
      <c r="A926" s="1125"/>
      <c r="B926" s="1130" t="s">
        <v>3427</v>
      </c>
      <c r="C926" s="575"/>
      <c r="D926" s="575"/>
      <c r="E926" s="575"/>
      <c r="I926" s="575"/>
      <c r="J926" s="580"/>
      <c r="K926" s="582" t="s">
        <v>155</v>
      </c>
      <c r="AG926" s="793" t="s">
        <v>849</v>
      </c>
    </row>
    <row r="927" spans="1:33" hidden="1">
      <c r="A927" s="1125"/>
      <c r="B927" s="1130" t="s">
        <v>3428</v>
      </c>
      <c r="C927" s="575"/>
      <c r="D927" s="575"/>
      <c r="E927" s="575"/>
      <c r="I927" s="575"/>
      <c r="J927" s="580"/>
      <c r="K927" s="575"/>
    </row>
    <row r="928" spans="1:33" hidden="1">
      <c r="A928" s="1125"/>
      <c r="B928" s="1130" t="s">
        <v>3429</v>
      </c>
      <c r="C928" s="575"/>
      <c r="D928" s="575"/>
      <c r="E928" s="575"/>
      <c r="I928" s="575"/>
      <c r="J928" s="580"/>
      <c r="K928" s="575"/>
    </row>
    <row r="929" spans="1:33" hidden="1">
      <c r="A929" s="1125"/>
      <c r="B929" s="1130" t="s">
        <v>3430</v>
      </c>
      <c r="C929" s="575"/>
      <c r="D929" s="575"/>
      <c r="E929" s="575"/>
      <c r="F929" s="1098" t="s">
        <v>1495</v>
      </c>
      <c r="G929" s="798" t="s">
        <v>122</v>
      </c>
      <c r="H929" s="793" t="s">
        <v>1472</v>
      </c>
      <c r="I929" s="575"/>
      <c r="J929" s="580"/>
      <c r="K929" s="575"/>
      <c r="AG929" s="793" t="s">
        <v>849</v>
      </c>
    </row>
    <row r="930" spans="1:33" ht="16.5" hidden="1" customHeight="1">
      <c r="A930" s="1125"/>
      <c r="B930" s="1130" t="s">
        <v>3431</v>
      </c>
      <c r="C930" s="575"/>
      <c r="D930" s="575"/>
      <c r="E930" s="575"/>
      <c r="H930" s="793" t="s">
        <v>1467</v>
      </c>
      <c r="I930" s="575"/>
      <c r="J930" s="580"/>
      <c r="K930" s="575"/>
      <c r="AG930" s="793" t="s">
        <v>849</v>
      </c>
    </row>
    <row r="931" spans="1:33" ht="15.75" hidden="1" customHeight="1">
      <c r="A931" s="1125"/>
      <c r="B931" s="1130" t="s">
        <v>3432</v>
      </c>
      <c r="C931" s="575"/>
      <c r="D931" s="575"/>
      <c r="E931" s="575"/>
      <c r="H931" s="793" t="s">
        <v>1496</v>
      </c>
      <c r="I931" s="575"/>
      <c r="J931" s="580"/>
      <c r="K931" s="575"/>
      <c r="AG931" s="793" t="s">
        <v>849</v>
      </c>
    </row>
    <row r="932" spans="1:33" hidden="1">
      <c r="A932" s="1125"/>
      <c r="B932" s="1130" t="s">
        <v>3433</v>
      </c>
      <c r="C932" s="575"/>
      <c r="D932" s="575"/>
      <c r="E932" s="575"/>
      <c r="H932" s="796" t="s">
        <v>117</v>
      </c>
      <c r="I932" s="575"/>
      <c r="J932" s="580"/>
      <c r="K932" s="575"/>
      <c r="AG932" s="793" t="s">
        <v>849</v>
      </c>
    </row>
    <row r="933" spans="1:33" hidden="1">
      <c r="A933" s="1125"/>
      <c r="B933" s="1130" t="s">
        <v>3434</v>
      </c>
      <c r="C933" s="575"/>
      <c r="D933" s="575"/>
      <c r="E933" s="575"/>
      <c r="I933" s="575"/>
      <c r="J933" s="580"/>
      <c r="K933" s="575"/>
    </row>
    <row r="934" spans="1:33" ht="20.25" hidden="1" customHeight="1">
      <c r="A934" s="1125"/>
      <c r="B934" s="1130" t="s">
        <v>3435</v>
      </c>
      <c r="C934" s="575"/>
      <c r="D934" s="575"/>
      <c r="E934" s="575"/>
      <c r="H934" s="793" t="s">
        <v>1497</v>
      </c>
      <c r="I934" s="575"/>
      <c r="J934" s="580"/>
      <c r="K934" s="575"/>
    </row>
    <row r="935" spans="1:33" hidden="1">
      <c r="A935" s="1125"/>
      <c r="B935" s="1130" t="s">
        <v>3436</v>
      </c>
      <c r="C935" s="575"/>
      <c r="D935" s="575"/>
      <c r="E935" s="575"/>
      <c r="H935" s="793" t="s">
        <v>1498</v>
      </c>
      <c r="I935" s="575"/>
      <c r="J935" s="580"/>
      <c r="K935" s="575"/>
    </row>
    <row r="936" spans="1:33" hidden="1">
      <c r="A936" s="1125"/>
      <c r="B936" s="1130" t="s">
        <v>3437</v>
      </c>
      <c r="C936" s="575"/>
      <c r="D936" s="575"/>
      <c r="E936" s="575"/>
      <c r="I936" s="575"/>
      <c r="J936" s="574" t="s">
        <v>117</v>
      </c>
      <c r="K936" s="575"/>
    </row>
    <row r="937" spans="1:33" hidden="1">
      <c r="A937" s="1125"/>
      <c r="B937" s="1130" t="s">
        <v>3438</v>
      </c>
      <c r="C937" s="575"/>
      <c r="D937" s="575"/>
      <c r="E937" s="575"/>
      <c r="H937" s="793" t="s">
        <v>1499</v>
      </c>
      <c r="I937" s="575"/>
      <c r="J937" s="580"/>
      <c r="K937" s="575"/>
    </row>
    <row r="938" spans="1:33" hidden="1">
      <c r="A938" s="1125"/>
      <c r="B938" s="1130" t="s">
        <v>3439</v>
      </c>
      <c r="C938" s="575"/>
      <c r="D938" s="575"/>
      <c r="E938" s="575"/>
      <c r="H938" s="793" t="s">
        <v>1500</v>
      </c>
      <c r="I938" s="575"/>
      <c r="J938" s="580"/>
      <c r="K938" s="651">
        <v>2.1999999999999999E-2</v>
      </c>
    </row>
    <row r="939" spans="1:33" hidden="1">
      <c r="A939" s="1125"/>
      <c r="B939" s="1130" t="s">
        <v>3440</v>
      </c>
      <c r="C939" s="575"/>
      <c r="D939" s="575"/>
      <c r="E939" s="575"/>
      <c r="I939" s="575"/>
      <c r="J939" s="574" t="s">
        <v>115</v>
      </c>
      <c r="K939" s="582" t="s">
        <v>117</v>
      </c>
    </row>
    <row r="940" spans="1:33" ht="31.5" hidden="1">
      <c r="A940" s="1125"/>
      <c r="B940" s="1130" t="s">
        <v>3441</v>
      </c>
      <c r="C940" s="575"/>
      <c r="D940" s="575"/>
      <c r="E940" s="575"/>
      <c r="H940" s="793" t="s">
        <v>1501</v>
      </c>
      <c r="I940" s="575"/>
      <c r="J940" s="1135" t="s">
        <v>115</v>
      </c>
      <c r="K940" s="651">
        <v>1.3100000000000001E-2</v>
      </c>
    </row>
    <row r="941" spans="1:33" ht="31.5" hidden="1">
      <c r="A941" s="1125"/>
      <c r="B941" s="1130" t="s">
        <v>3442</v>
      </c>
      <c r="C941" s="575"/>
      <c r="D941" s="575"/>
      <c r="E941" s="575"/>
      <c r="H941" s="793" t="s">
        <v>1502</v>
      </c>
      <c r="I941" s="575"/>
      <c r="J941" s="574" t="s">
        <v>115</v>
      </c>
      <c r="K941" s="651">
        <v>3.3999999999999998E-3</v>
      </c>
    </row>
    <row r="942" spans="1:33" ht="31.5" hidden="1">
      <c r="A942" s="1125"/>
      <c r="B942" s="1130" t="s">
        <v>3443</v>
      </c>
      <c r="C942" s="575"/>
      <c r="D942" s="575"/>
      <c r="E942" s="575"/>
      <c r="I942" s="575"/>
      <c r="J942" s="580"/>
      <c r="K942" s="582" t="s">
        <v>117</v>
      </c>
    </row>
    <row r="943" spans="1:33" ht="31.5" hidden="1">
      <c r="A943" s="1125"/>
      <c r="B943" s="1130" t="s">
        <v>3444</v>
      </c>
      <c r="C943" s="575"/>
      <c r="D943" s="575"/>
      <c r="E943" s="575"/>
      <c r="I943" s="575"/>
      <c r="J943" s="580"/>
      <c r="K943" s="651">
        <v>1.6500000000000001E-2</v>
      </c>
    </row>
    <row r="944" spans="1:33" hidden="1">
      <c r="A944" s="1125"/>
      <c r="B944" s="1130" t="s">
        <v>3445</v>
      </c>
      <c r="C944" s="575"/>
      <c r="D944" s="575"/>
      <c r="E944" s="575"/>
      <c r="I944" s="575"/>
      <c r="J944" s="580"/>
      <c r="K944" s="582" t="s">
        <v>117</v>
      </c>
    </row>
    <row r="945" spans="1:33" hidden="1">
      <c r="A945" s="1125"/>
      <c r="B945" s="1130" t="s">
        <v>3446</v>
      </c>
      <c r="C945" s="575"/>
      <c r="D945" s="575"/>
      <c r="E945" s="575"/>
      <c r="F945" s="1118">
        <v>1.15E-2</v>
      </c>
      <c r="G945" s="798" t="s">
        <v>126</v>
      </c>
      <c r="H945" s="793" t="s">
        <v>1483</v>
      </c>
      <c r="I945" s="587">
        <f>C88</f>
        <v>65420</v>
      </c>
      <c r="J945" s="574" t="s">
        <v>126</v>
      </c>
      <c r="K945" s="587">
        <f>(F945*I945)</f>
        <v>752.33</v>
      </c>
      <c r="AG945" s="793" t="s">
        <v>849</v>
      </c>
    </row>
    <row r="946" spans="1:33" hidden="1">
      <c r="A946" s="1125"/>
      <c r="B946" s="1130" t="s">
        <v>3447</v>
      </c>
      <c r="C946" s="575"/>
      <c r="D946" s="575"/>
      <c r="E946" s="575"/>
      <c r="F946" s="1118">
        <v>2.1999999999999999E-2</v>
      </c>
      <c r="G946" s="798" t="s">
        <v>126</v>
      </c>
      <c r="H946" s="793" t="s">
        <v>1485</v>
      </c>
      <c r="I946" s="587">
        <f>C89</f>
        <v>57165</v>
      </c>
      <c r="J946" s="574" t="s">
        <v>126</v>
      </c>
      <c r="K946" s="587">
        <f>(F946*I946)</f>
        <v>1257.6299999999999</v>
      </c>
      <c r="AG946" s="793" t="s">
        <v>849</v>
      </c>
    </row>
    <row r="947" spans="1:33" hidden="1">
      <c r="A947" s="1125"/>
      <c r="B947" s="1130" t="s">
        <v>3448</v>
      </c>
      <c r="C947" s="575"/>
      <c r="D947" s="575"/>
      <c r="E947" s="575"/>
      <c r="F947" s="1118">
        <v>1.6500000000000001E-2</v>
      </c>
      <c r="G947" s="798" t="s">
        <v>126</v>
      </c>
      <c r="H947" s="793" t="s">
        <v>1487</v>
      </c>
      <c r="I947" s="587">
        <f>C90</f>
        <v>63870</v>
      </c>
      <c r="J947" s="574" t="s">
        <v>126</v>
      </c>
      <c r="K947" s="587">
        <f>(F947*I947)</f>
        <v>1053.855</v>
      </c>
      <c r="AG947" s="793" t="s">
        <v>849</v>
      </c>
    </row>
    <row r="948" spans="1:33" ht="31.5" hidden="1">
      <c r="A948" s="1125"/>
      <c r="B948" s="1130" t="s">
        <v>3449</v>
      </c>
      <c r="C948" s="575"/>
      <c r="D948" s="575"/>
      <c r="E948" s="575"/>
      <c r="F948" s="1118"/>
      <c r="H948" s="793" t="s">
        <v>1489</v>
      </c>
      <c r="I948" s="573" t="s">
        <v>115</v>
      </c>
      <c r="J948" s="580"/>
      <c r="K948" s="573" t="s">
        <v>115</v>
      </c>
      <c r="AG948" s="793" t="s">
        <v>849</v>
      </c>
    </row>
    <row r="949" spans="1:33" ht="31.5" hidden="1">
      <c r="A949" s="1125"/>
      <c r="B949" s="1130" t="s">
        <v>3450</v>
      </c>
      <c r="C949" s="575"/>
      <c r="D949" s="575"/>
      <c r="E949" s="575"/>
      <c r="F949" s="1118">
        <v>1.64</v>
      </c>
      <c r="G949" s="798" t="s">
        <v>140</v>
      </c>
      <c r="H949" s="793" t="s">
        <v>1480</v>
      </c>
      <c r="I949" s="587">
        <f>C31</f>
        <v>342</v>
      </c>
      <c r="J949" s="574" t="s">
        <v>140</v>
      </c>
      <c r="K949" s="587">
        <f t="shared" ref="K949:K955" si="46">(F949*I949)</f>
        <v>560.88</v>
      </c>
      <c r="AG949" s="793" t="s">
        <v>849</v>
      </c>
    </row>
    <row r="950" spans="1:33" ht="31.5" hidden="1">
      <c r="A950" s="1125"/>
      <c r="B950" s="1130" t="s">
        <v>3451</v>
      </c>
      <c r="C950" s="575"/>
      <c r="D950" s="575"/>
      <c r="E950" s="575"/>
      <c r="F950" s="800">
        <v>1</v>
      </c>
      <c r="G950" s="798" t="s">
        <v>1</v>
      </c>
      <c r="H950" s="793" t="s">
        <v>1481</v>
      </c>
      <c r="I950" s="587">
        <f>C576</f>
        <v>30</v>
      </c>
      <c r="J950" s="574" t="s">
        <v>209</v>
      </c>
      <c r="K950" s="587">
        <f t="shared" si="46"/>
        <v>30</v>
      </c>
      <c r="AG950" s="793" t="s">
        <v>849</v>
      </c>
    </row>
    <row r="951" spans="1:33" ht="31.5" hidden="1">
      <c r="A951" s="1125"/>
      <c r="B951" s="1130" t="s">
        <v>3452</v>
      </c>
      <c r="C951" s="575"/>
      <c r="D951" s="575"/>
      <c r="E951" s="575"/>
      <c r="F951" s="800">
        <v>3</v>
      </c>
      <c r="G951" s="798" t="s">
        <v>209</v>
      </c>
      <c r="H951" s="793" t="s">
        <v>1482</v>
      </c>
      <c r="I951" s="587">
        <f>C278</f>
        <v>45</v>
      </c>
      <c r="J951" s="574" t="s">
        <v>209</v>
      </c>
      <c r="K951" s="587">
        <f t="shared" si="46"/>
        <v>135</v>
      </c>
      <c r="AG951" s="793" t="s">
        <v>849</v>
      </c>
    </row>
    <row r="952" spans="1:33" ht="31.5" hidden="1">
      <c r="A952" s="1125"/>
      <c r="B952" s="1130" t="s">
        <v>3453</v>
      </c>
      <c r="C952" s="575"/>
      <c r="D952" s="575"/>
      <c r="E952" s="575"/>
      <c r="F952" s="800">
        <v>2</v>
      </c>
      <c r="G952" s="798" t="s">
        <v>209</v>
      </c>
      <c r="H952" s="793" t="s">
        <v>1484</v>
      </c>
      <c r="I952" s="587">
        <f>C283</f>
        <v>30</v>
      </c>
      <c r="J952" s="574" t="s">
        <v>209</v>
      </c>
      <c r="K952" s="587">
        <f t="shared" si="46"/>
        <v>60</v>
      </c>
      <c r="AG952" s="793" t="s">
        <v>636</v>
      </c>
    </row>
    <row r="953" spans="1:33" ht="31.5" hidden="1">
      <c r="A953" s="1125"/>
      <c r="B953" s="1130" t="s">
        <v>3454</v>
      </c>
      <c r="C953" s="575"/>
      <c r="D953" s="575"/>
      <c r="E953" s="575"/>
      <c r="F953" s="800">
        <v>1</v>
      </c>
      <c r="G953" s="798" t="s">
        <v>209</v>
      </c>
      <c r="H953" s="793" t="s">
        <v>1486</v>
      </c>
      <c r="I953" s="587">
        <f>C285</f>
        <v>95</v>
      </c>
      <c r="J953" s="574" t="s">
        <v>209</v>
      </c>
      <c r="K953" s="587">
        <f t="shared" si="46"/>
        <v>95</v>
      </c>
    </row>
    <row r="954" spans="1:33" ht="31.5" hidden="1">
      <c r="A954" s="1125"/>
      <c r="B954" s="1130" t="s">
        <v>3455</v>
      </c>
      <c r="C954" s="575"/>
      <c r="D954" s="575"/>
      <c r="E954" s="575"/>
      <c r="F954" s="800">
        <v>1</v>
      </c>
      <c r="G954" s="798" t="s">
        <v>209</v>
      </c>
      <c r="H954" s="793" t="s">
        <v>1488</v>
      </c>
      <c r="I954" s="587">
        <f>C287</f>
        <v>8</v>
      </c>
      <c r="J954" s="574" t="s">
        <v>209</v>
      </c>
      <c r="K954" s="587">
        <f t="shared" si="46"/>
        <v>8</v>
      </c>
    </row>
    <row r="955" spans="1:33" ht="31.5" hidden="1">
      <c r="A955" s="1125"/>
      <c r="B955" s="1130" t="s">
        <v>3456</v>
      </c>
      <c r="C955" s="575"/>
      <c r="D955" s="575"/>
      <c r="E955" s="575"/>
      <c r="F955" s="800">
        <v>1</v>
      </c>
      <c r="G955" s="798" t="s">
        <v>209</v>
      </c>
      <c r="H955" s="793" t="s">
        <v>630</v>
      </c>
      <c r="I955" s="587">
        <f>D576</f>
        <v>25</v>
      </c>
      <c r="J955" s="574" t="s">
        <v>209</v>
      </c>
      <c r="K955" s="587">
        <f t="shared" si="46"/>
        <v>25</v>
      </c>
      <c r="AG955" s="793" t="s">
        <v>849</v>
      </c>
    </row>
    <row r="956" spans="1:33" ht="31.5" hidden="1">
      <c r="A956" s="1125"/>
      <c r="B956" s="1130" t="s">
        <v>3457</v>
      </c>
      <c r="C956" s="575"/>
      <c r="D956" s="575"/>
      <c r="E956" s="575"/>
      <c r="I956" s="575"/>
      <c r="J956" s="580"/>
      <c r="K956" s="582" t="s">
        <v>117</v>
      </c>
      <c r="AG956" s="793" t="s">
        <v>849</v>
      </c>
    </row>
    <row r="957" spans="1:33" ht="31.5" hidden="1">
      <c r="A957" s="1125"/>
      <c r="B957" s="1130" t="s">
        <v>3458</v>
      </c>
      <c r="C957" s="575"/>
      <c r="D957" s="575"/>
      <c r="E957" s="575"/>
      <c r="H957" s="793" t="s">
        <v>1510</v>
      </c>
      <c r="I957" s="575"/>
      <c r="J957" s="580"/>
      <c r="K957" s="587">
        <f>SUM(K945:K955)</f>
        <v>3977.6950000000002</v>
      </c>
      <c r="AG957" s="793" t="s">
        <v>849</v>
      </c>
    </row>
    <row r="958" spans="1:33" ht="31.5" hidden="1">
      <c r="A958" s="1125"/>
      <c r="B958" s="1130" t="s">
        <v>3459</v>
      </c>
      <c r="C958" s="575"/>
      <c r="D958" s="575"/>
      <c r="E958" s="575"/>
      <c r="I958" s="575"/>
      <c r="J958" s="580"/>
      <c r="K958" s="582" t="s">
        <v>117</v>
      </c>
      <c r="AG958" s="793" t="s">
        <v>849</v>
      </c>
    </row>
    <row r="959" spans="1:33" ht="31.5" hidden="1">
      <c r="A959" s="1125"/>
      <c r="B959" s="1130" t="s">
        <v>3460</v>
      </c>
      <c r="C959" s="575"/>
      <c r="D959" s="575"/>
      <c r="E959" s="575"/>
      <c r="H959" s="793" t="s">
        <v>154</v>
      </c>
      <c r="I959" s="575"/>
      <c r="J959" s="580"/>
      <c r="K959" s="587">
        <f>K957/F949</f>
        <v>2425.4237804878053</v>
      </c>
      <c r="AG959" s="793" t="s">
        <v>849</v>
      </c>
    </row>
    <row r="960" spans="1:33" ht="31.5" hidden="1">
      <c r="A960" s="1125"/>
      <c r="B960" s="1130" t="s">
        <v>3461</v>
      </c>
      <c r="C960" s="575"/>
      <c r="D960" s="575"/>
      <c r="E960" s="575"/>
      <c r="I960" s="575"/>
      <c r="J960" s="580"/>
      <c r="K960" s="582" t="s">
        <v>155</v>
      </c>
      <c r="AG960" s="793" t="s">
        <v>849</v>
      </c>
    </row>
    <row r="961" spans="1:11" ht="31.5" hidden="1">
      <c r="A961" s="1125"/>
      <c r="B961" s="1130" t="s">
        <v>3462</v>
      </c>
      <c r="C961" s="575"/>
      <c r="D961" s="575"/>
      <c r="E961" s="575"/>
      <c r="F961" s="1098" t="s">
        <v>1511</v>
      </c>
      <c r="G961" s="798" t="s">
        <v>122</v>
      </c>
      <c r="H961" s="793" t="s">
        <v>1472</v>
      </c>
      <c r="I961" s="575"/>
      <c r="J961" s="580"/>
      <c r="K961" s="575"/>
    </row>
    <row r="962" spans="1:11" ht="31.5" hidden="1">
      <c r="A962" s="1125"/>
      <c r="B962" s="1130" t="s">
        <v>3463</v>
      </c>
      <c r="C962" s="575"/>
      <c r="D962" s="575"/>
      <c r="E962" s="575"/>
      <c r="H962" s="793" t="s">
        <v>1467</v>
      </c>
      <c r="I962" s="575"/>
      <c r="J962" s="580"/>
      <c r="K962" s="575"/>
    </row>
    <row r="963" spans="1:11" hidden="1">
      <c r="A963" s="1125"/>
      <c r="B963" s="1130" t="s">
        <v>3464</v>
      </c>
      <c r="C963" s="575"/>
      <c r="D963" s="575"/>
      <c r="E963" s="575"/>
      <c r="H963" s="793" t="s">
        <v>1512</v>
      </c>
      <c r="I963" s="575"/>
      <c r="J963" s="580"/>
      <c r="K963" s="575"/>
    </row>
    <row r="964" spans="1:11" hidden="1">
      <c r="A964" s="1125"/>
      <c r="B964" s="1130" t="s">
        <v>3465</v>
      </c>
      <c r="C964" s="575"/>
      <c r="D964" s="575"/>
      <c r="E964" s="575"/>
      <c r="H964" s="796" t="s">
        <v>117</v>
      </c>
      <c r="I964" s="575"/>
      <c r="J964" s="580"/>
      <c r="K964" s="575"/>
    </row>
    <row r="965" spans="1:11" hidden="1">
      <c r="A965" s="1125"/>
      <c r="B965" s="1130" t="s">
        <v>3466</v>
      </c>
      <c r="C965" s="575"/>
      <c r="D965" s="575"/>
      <c r="E965" s="575"/>
      <c r="H965" s="793" t="s">
        <v>1513</v>
      </c>
      <c r="I965" s="575"/>
      <c r="J965" s="580"/>
      <c r="K965" s="575"/>
    </row>
    <row r="966" spans="1:11" hidden="1">
      <c r="A966" s="1125"/>
      <c r="B966" s="1130" t="s">
        <v>3467</v>
      </c>
      <c r="C966" s="575"/>
      <c r="D966" s="575"/>
      <c r="E966" s="575"/>
      <c r="H966" s="793" t="s">
        <v>1471</v>
      </c>
      <c r="I966" s="575"/>
      <c r="J966" s="580"/>
      <c r="K966" s="575"/>
    </row>
    <row r="967" spans="1:11" hidden="1">
      <c r="A967" s="1125"/>
      <c r="B967" s="1130" t="s">
        <v>3468</v>
      </c>
      <c r="C967" s="575"/>
      <c r="D967" s="575"/>
      <c r="E967" s="575"/>
      <c r="I967" s="575"/>
      <c r="J967" s="574" t="s">
        <v>117</v>
      </c>
      <c r="K967" s="575"/>
    </row>
    <row r="968" spans="1:11" hidden="1">
      <c r="A968" s="1125"/>
      <c r="B968" s="1130" t="s">
        <v>3469</v>
      </c>
      <c r="C968" s="575"/>
      <c r="D968" s="575"/>
      <c r="E968" s="575"/>
      <c r="H968" s="793" t="s">
        <v>1514</v>
      </c>
      <c r="I968" s="575"/>
      <c r="J968" s="580"/>
      <c r="K968" s="575"/>
    </row>
    <row r="969" spans="1:11" hidden="1">
      <c r="A969" s="1125"/>
      <c r="B969" s="1130" t="s">
        <v>3470</v>
      </c>
      <c r="C969" s="575"/>
      <c r="D969" s="575"/>
      <c r="E969" s="575"/>
      <c r="H969" s="793" t="s">
        <v>1515</v>
      </c>
      <c r="I969" s="575"/>
      <c r="J969" s="580"/>
      <c r="K969" s="651">
        <v>1.1900000000000001E-2</v>
      </c>
    </row>
    <row r="970" spans="1:11" ht="31.5" hidden="1">
      <c r="A970" s="1125"/>
      <c r="B970" s="1130" t="s">
        <v>3471</v>
      </c>
      <c r="C970" s="575"/>
      <c r="D970" s="575"/>
      <c r="E970" s="575"/>
      <c r="I970" s="575"/>
      <c r="J970" s="574" t="s">
        <v>115</v>
      </c>
      <c r="K970" s="582" t="s">
        <v>117</v>
      </c>
    </row>
    <row r="971" spans="1:11" ht="31.5" hidden="1">
      <c r="A971" s="1125"/>
      <c r="B971" s="1130" t="s">
        <v>3472</v>
      </c>
      <c r="C971" s="575"/>
      <c r="D971" s="575"/>
      <c r="E971" s="575"/>
      <c r="H971" s="793" t="s">
        <v>1516</v>
      </c>
      <c r="I971" s="575"/>
      <c r="J971" s="1135" t="s">
        <v>115</v>
      </c>
      <c r="K971" s="651">
        <v>1.18E-2</v>
      </c>
    </row>
    <row r="972" spans="1:11" ht="31.5" hidden="1">
      <c r="A972" s="1125"/>
      <c r="B972" s="1130" t="s">
        <v>3473</v>
      </c>
      <c r="C972" s="575"/>
      <c r="D972" s="575"/>
      <c r="E972" s="575"/>
      <c r="H972" s="793" t="s">
        <v>251</v>
      </c>
      <c r="I972" s="575"/>
      <c r="J972" s="574" t="s">
        <v>115</v>
      </c>
      <c r="K972" s="709" t="s">
        <v>117</v>
      </c>
    </row>
    <row r="973" spans="1:11" hidden="1">
      <c r="A973" s="1125"/>
      <c r="B973" s="1130" t="s">
        <v>3474</v>
      </c>
      <c r="C973" s="575"/>
      <c r="D973" s="575"/>
      <c r="E973" s="575"/>
      <c r="I973" s="575"/>
      <c r="J973" s="580"/>
      <c r="K973" s="575"/>
    </row>
    <row r="974" spans="1:11" hidden="1">
      <c r="A974" s="1125"/>
      <c r="B974" s="1130" t="s">
        <v>3475</v>
      </c>
      <c r="C974" s="575"/>
      <c r="D974" s="575"/>
      <c r="E974" s="575"/>
      <c r="F974" s="1118">
        <v>1.14E-2</v>
      </c>
      <c r="G974" s="798" t="s">
        <v>126</v>
      </c>
      <c r="H974" s="793" t="s">
        <v>1483</v>
      </c>
      <c r="I974" s="587">
        <f>C88</f>
        <v>65420</v>
      </c>
      <c r="J974" s="574" t="s">
        <v>126</v>
      </c>
      <c r="K974" s="587">
        <f>(F974*I974)</f>
        <v>745.78800000000001</v>
      </c>
    </row>
    <row r="975" spans="1:11" hidden="1">
      <c r="A975" s="1125"/>
      <c r="B975" s="1130" t="s">
        <v>3476</v>
      </c>
      <c r="C975" s="575"/>
      <c r="D975" s="575"/>
      <c r="E975" s="575"/>
      <c r="F975" s="1118">
        <v>1.1900000000000001E-2</v>
      </c>
      <c r="G975" s="798" t="s">
        <v>126</v>
      </c>
      <c r="H975" s="793" t="s">
        <v>1485</v>
      </c>
      <c r="I975" s="587">
        <f>C89</f>
        <v>57165</v>
      </c>
      <c r="J975" s="574" t="s">
        <v>126</v>
      </c>
      <c r="K975" s="587">
        <f>(F975*I975)</f>
        <v>680.26350000000002</v>
      </c>
    </row>
    <row r="976" spans="1:11" hidden="1">
      <c r="A976" s="1125"/>
      <c r="B976" s="1130" t="s">
        <v>3477</v>
      </c>
      <c r="C976" s="575"/>
      <c r="D976" s="575"/>
      <c r="E976" s="575"/>
      <c r="F976" s="1118">
        <v>1.18E-2</v>
      </c>
      <c r="G976" s="798" t="s">
        <v>126</v>
      </c>
      <c r="H976" s="793" t="s">
        <v>1487</v>
      </c>
      <c r="I976" s="587">
        <f>C90</f>
        <v>63870</v>
      </c>
      <c r="J976" s="574" t="s">
        <v>126</v>
      </c>
      <c r="K976" s="587">
        <f>(F976*I976)</f>
        <v>753.66599999999994</v>
      </c>
    </row>
    <row r="977" spans="1:33" hidden="1">
      <c r="A977" s="1125"/>
      <c r="B977" s="1130" t="s">
        <v>3478</v>
      </c>
      <c r="C977" s="575"/>
      <c r="D977" s="575"/>
      <c r="E977" s="575"/>
      <c r="F977" s="1118"/>
      <c r="H977" s="793" t="s">
        <v>1489</v>
      </c>
      <c r="I977" s="573" t="s">
        <v>115</v>
      </c>
      <c r="J977" s="580"/>
      <c r="K977" s="573" t="s">
        <v>115</v>
      </c>
    </row>
    <row r="978" spans="1:33" hidden="1">
      <c r="A978" s="1125"/>
      <c r="B978" s="1130" t="s">
        <v>3479</v>
      </c>
      <c r="C978" s="575"/>
      <c r="D978" s="575"/>
      <c r="E978" s="575"/>
      <c r="F978" s="1118">
        <v>1.2150000000000001</v>
      </c>
      <c r="G978" s="798" t="s">
        <v>140</v>
      </c>
      <c r="H978" s="793" t="s">
        <v>1480</v>
      </c>
      <c r="I978" s="587">
        <f>C31</f>
        <v>342</v>
      </c>
      <c r="J978" s="574" t="s">
        <v>140</v>
      </c>
      <c r="K978" s="587">
        <f t="shared" ref="K978:K984" si="47">(F978*I978)</f>
        <v>415.53000000000003</v>
      </c>
    </row>
    <row r="979" spans="1:33" hidden="1">
      <c r="A979" s="1125"/>
      <c r="B979" s="1130" t="s">
        <v>3480</v>
      </c>
      <c r="C979" s="575"/>
      <c r="D979" s="575"/>
      <c r="E979" s="575"/>
      <c r="F979" s="800">
        <v>1</v>
      </c>
      <c r="G979" s="798" t="s">
        <v>1</v>
      </c>
      <c r="H979" s="793" t="s">
        <v>1481</v>
      </c>
      <c r="I979" s="587">
        <f>C576</f>
        <v>30</v>
      </c>
      <c r="J979" s="574" t="s">
        <v>209</v>
      </c>
      <c r="K979" s="587">
        <f t="shared" si="47"/>
        <v>30</v>
      </c>
    </row>
    <row r="980" spans="1:33" hidden="1">
      <c r="A980" s="1125"/>
      <c r="B980" s="1130" t="s">
        <v>3481</v>
      </c>
      <c r="C980" s="575"/>
      <c r="D980" s="575"/>
      <c r="E980" s="575"/>
      <c r="F980" s="800">
        <v>3</v>
      </c>
      <c r="G980" s="798" t="s">
        <v>209</v>
      </c>
      <c r="H980" s="793" t="s">
        <v>1482</v>
      </c>
      <c r="I980" s="587">
        <f>C278</f>
        <v>45</v>
      </c>
      <c r="J980" s="574" t="s">
        <v>209</v>
      </c>
      <c r="K980" s="587">
        <f t="shared" si="47"/>
        <v>135</v>
      </c>
    </row>
    <row r="981" spans="1:33" hidden="1">
      <c r="A981" s="1125"/>
      <c r="B981" s="1130" t="s">
        <v>3482</v>
      </c>
      <c r="C981" s="575"/>
      <c r="D981" s="575"/>
      <c r="E981" s="575"/>
      <c r="F981" s="800">
        <v>2</v>
      </c>
      <c r="G981" s="798" t="s">
        <v>209</v>
      </c>
      <c r="H981" s="793" t="s">
        <v>1484</v>
      </c>
      <c r="I981" s="587">
        <f>C283</f>
        <v>30</v>
      </c>
      <c r="J981" s="574" t="s">
        <v>209</v>
      </c>
      <c r="K981" s="587">
        <f t="shared" si="47"/>
        <v>60</v>
      </c>
    </row>
    <row r="982" spans="1:33" hidden="1">
      <c r="A982" s="1125"/>
      <c r="B982" s="1130" t="s">
        <v>3483</v>
      </c>
      <c r="C982" s="575"/>
      <c r="D982" s="575"/>
      <c r="E982" s="575"/>
      <c r="F982" s="800">
        <v>1</v>
      </c>
      <c r="G982" s="798" t="s">
        <v>209</v>
      </c>
      <c r="H982" s="793" t="s">
        <v>1486</v>
      </c>
      <c r="I982" s="587">
        <f>C285</f>
        <v>95</v>
      </c>
      <c r="J982" s="574" t="s">
        <v>209</v>
      </c>
      <c r="K982" s="587">
        <f t="shared" si="47"/>
        <v>95</v>
      </c>
    </row>
    <row r="983" spans="1:33" ht="31.5" hidden="1">
      <c r="A983" s="1125"/>
      <c r="B983" s="1130" t="s">
        <v>3484</v>
      </c>
      <c r="C983" s="575"/>
      <c r="D983" s="575"/>
      <c r="E983" s="575"/>
      <c r="F983" s="800">
        <v>1</v>
      </c>
      <c r="G983" s="798" t="s">
        <v>209</v>
      </c>
      <c r="H983" s="793" t="s">
        <v>1488</v>
      </c>
      <c r="I983" s="587">
        <f>C287</f>
        <v>8</v>
      </c>
      <c r="J983" s="574" t="s">
        <v>209</v>
      </c>
      <c r="K983" s="587">
        <f t="shared" si="47"/>
        <v>8</v>
      </c>
    </row>
    <row r="984" spans="1:33" hidden="1">
      <c r="A984" s="1125"/>
      <c r="B984" s="1130" t="s">
        <v>3485</v>
      </c>
      <c r="C984" s="575"/>
      <c r="D984" s="575"/>
      <c r="E984" s="575"/>
      <c r="F984" s="800">
        <v>1</v>
      </c>
      <c r="G984" s="798" t="s">
        <v>209</v>
      </c>
      <c r="H984" s="793" t="s">
        <v>630</v>
      </c>
      <c r="I984" s="587">
        <f>D576</f>
        <v>25</v>
      </c>
      <c r="J984" s="574" t="s">
        <v>209</v>
      </c>
      <c r="K984" s="587">
        <f t="shared" si="47"/>
        <v>25</v>
      </c>
    </row>
    <row r="985" spans="1:33" hidden="1">
      <c r="A985" s="1125"/>
      <c r="B985" s="1130" t="s">
        <v>3486</v>
      </c>
      <c r="C985" s="575"/>
      <c r="D985" s="575"/>
      <c r="E985" s="575"/>
      <c r="I985" s="575"/>
      <c r="J985" s="580"/>
      <c r="K985" s="582" t="s">
        <v>117</v>
      </c>
    </row>
    <row r="986" spans="1:33" hidden="1">
      <c r="A986" s="1125"/>
      <c r="B986" s="1130" t="s">
        <v>3487</v>
      </c>
      <c r="C986" s="575"/>
      <c r="D986" s="575"/>
      <c r="E986" s="575"/>
      <c r="H986" s="793" t="s">
        <v>1520</v>
      </c>
      <c r="I986" s="575"/>
      <c r="J986" s="580"/>
      <c r="K986" s="587">
        <f>SUM(K974:K984)</f>
        <v>2948.2474999999999</v>
      </c>
    </row>
    <row r="987" spans="1:33" hidden="1">
      <c r="A987" s="1125"/>
      <c r="B987" s="1130" t="s">
        <v>3488</v>
      </c>
      <c r="C987" s="575"/>
      <c r="D987" s="575"/>
      <c r="E987" s="575"/>
      <c r="I987" s="575"/>
      <c r="J987" s="580"/>
      <c r="K987" s="582" t="s">
        <v>117</v>
      </c>
    </row>
    <row r="988" spans="1:33" hidden="1">
      <c r="A988" s="1125"/>
      <c r="B988" s="1130" t="s">
        <v>3489</v>
      </c>
      <c r="C988" s="575"/>
      <c r="D988" s="575"/>
      <c r="E988" s="575"/>
      <c r="H988" s="793" t="s">
        <v>154</v>
      </c>
      <c r="I988" s="575"/>
      <c r="J988" s="580"/>
      <c r="K988" s="587">
        <f>K986/F978</f>
        <v>2426.5411522633744</v>
      </c>
    </row>
    <row r="989" spans="1:33" ht="31.5" hidden="1">
      <c r="A989" s="1125"/>
      <c r="B989" s="1130" t="s">
        <v>3490</v>
      </c>
      <c r="C989" s="575"/>
      <c r="D989" s="575"/>
      <c r="E989" s="575"/>
      <c r="I989" s="575"/>
      <c r="J989" s="580"/>
      <c r="K989" s="582" t="s">
        <v>155</v>
      </c>
    </row>
    <row r="990" spans="1:33" hidden="1">
      <c r="A990" s="1125"/>
      <c r="B990" s="1130" t="s">
        <v>3491</v>
      </c>
      <c r="C990" s="575"/>
      <c r="D990" s="575"/>
      <c r="E990" s="575"/>
      <c r="I990" s="575"/>
      <c r="J990" s="580"/>
      <c r="K990" s="575"/>
    </row>
    <row r="991" spans="1:33" hidden="1">
      <c r="A991" s="1125"/>
      <c r="B991" s="1130" t="s">
        <v>3492</v>
      </c>
      <c r="C991" s="575"/>
      <c r="D991" s="575"/>
      <c r="E991" s="575"/>
      <c r="F991" s="1098" t="s">
        <v>1517</v>
      </c>
      <c r="G991" s="798" t="s">
        <v>122</v>
      </c>
      <c r="H991" s="793" t="s">
        <v>1518</v>
      </c>
      <c r="I991" s="575"/>
      <c r="J991" s="580"/>
      <c r="K991" s="575"/>
      <c r="AG991" s="793" t="s">
        <v>849</v>
      </c>
    </row>
    <row r="992" spans="1:33" hidden="1">
      <c r="A992" s="1125"/>
      <c r="B992" s="1130" t="s">
        <v>3493</v>
      </c>
      <c r="C992" s="575"/>
      <c r="D992" s="575"/>
      <c r="E992" s="575"/>
      <c r="H992" s="793" t="s">
        <v>1519</v>
      </c>
      <c r="I992" s="575"/>
      <c r="J992" s="580"/>
      <c r="K992" s="575"/>
      <c r="AG992" s="793" t="s">
        <v>849</v>
      </c>
    </row>
    <row r="993" spans="1:33" hidden="1">
      <c r="A993" s="1125"/>
      <c r="B993" s="1130" t="s">
        <v>3494</v>
      </c>
      <c r="C993" s="575"/>
      <c r="D993" s="575"/>
      <c r="E993" s="575"/>
      <c r="H993" s="793" t="s">
        <v>1521</v>
      </c>
      <c r="I993" s="575"/>
      <c r="J993" s="580"/>
      <c r="K993" s="575"/>
      <c r="AG993" s="793" t="s">
        <v>849</v>
      </c>
    </row>
    <row r="994" spans="1:33" hidden="1">
      <c r="A994" s="1125"/>
      <c r="B994" s="1130" t="s">
        <v>3495</v>
      </c>
      <c r="C994" s="575"/>
      <c r="D994" s="575"/>
      <c r="E994" s="575"/>
      <c r="H994" s="793" t="s">
        <v>1522</v>
      </c>
      <c r="I994" s="575"/>
      <c r="J994" s="580"/>
      <c r="K994" s="575"/>
      <c r="AG994" s="793" t="s">
        <v>849</v>
      </c>
    </row>
    <row r="995" spans="1:33" hidden="1">
      <c r="A995" s="1125"/>
      <c r="B995" s="1130" t="s">
        <v>3496</v>
      </c>
      <c r="C995" s="575"/>
      <c r="D995" s="575"/>
      <c r="E995" s="575"/>
      <c r="H995" s="793" t="s">
        <v>1523</v>
      </c>
      <c r="I995" s="575"/>
      <c r="J995" s="580"/>
      <c r="K995" s="575"/>
      <c r="AG995" s="793" t="s">
        <v>849</v>
      </c>
    </row>
    <row r="996" spans="1:33" hidden="1">
      <c r="A996" s="1125"/>
      <c r="B996" s="1130" t="s">
        <v>3497</v>
      </c>
      <c r="C996" s="575"/>
      <c r="D996" s="575"/>
      <c r="E996" s="575"/>
      <c r="H996" s="793" t="s">
        <v>1524</v>
      </c>
      <c r="I996" s="575"/>
      <c r="J996" s="580"/>
      <c r="K996" s="575"/>
      <c r="AG996" s="793" t="s">
        <v>849</v>
      </c>
    </row>
    <row r="997" spans="1:33" hidden="1">
      <c r="A997" s="1125"/>
      <c r="B997" s="1130" t="s">
        <v>3498</v>
      </c>
      <c r="C997" s="575"/>
      <c r="D997" s="575"/>
      <c r="E997" s="575"/>
      <c r="H997" s="796" t="s">
        <v>117</v>
      </c>
      <c r="I997" s="575"/>
      <c r="J997" s="580"/>
      <c r="K997" s="575"/>
      <c r="AG997" s="793" t="s">
        <v>849</v>
      </c>
    </row>
    <row r="998" spans="1:33" hidden="1">
      <c r="A998" s="1125"/>
      <c r="B998" s="1130" t="s">
        <v>3499</v>
      </c>
      <c r="C998" s="575"/>
      <c r="D998" s="575"/>
      <c r="E998" s="575"/>
      <c r="H998" s="793" t="s">
        <v>1497</v>
      </c>
      <c r="I998" s="575"/>
      <c r="J998" s="580"/>
      <c r="K998" s="575"/>
      <c r="AG998" s="793" t="s">
        <v>849</v>
      </c>
    </row>
    <row r="999" spans="1:33" ht="31.5" hidden="1">
      <c r="A999" s="1125"/>
      <c r="B999" s="1130" t="s">
        <v>3500</v>
      </c>
      <c r="C999" s="575"/>
      <c r="D999" s="575"/>
      <c r="E999" s="575"/>
      <c r="H999" s="793" t="s">
        <v>1526</v>
      </c>
      <c r="I999" s="575"/>
      <c r="J999" s="580"/>
      <c r="K999" s="575"/>
      <c r="AG999" s="793" t="s">
        <v>849</v>
      </c>
    </row>
    <row r="1000" spans="1:33" ht="31.5" hidden="1">
      <c r="A1000" s="1125"/>
      <c r="B1000" s="1130" t="s">
        <v>3501</v>
      </c>
      <c r="C1000" s="575"/>
      <c r="D1000" s="575"/>
      <c r="E1000" s="575"/>
      <c r="I1000" s="575"/>
      <c r="J1000" s="574" t="s">
        <v>117</v>
      </c>
      <c r="K1000" s="575"/>
      <c r="AG1000" s="793" t="s">
        <v>849</v>
      </c>
    </row>
    <row r="1001" spans="1:33" ht="31.5" hidden="1">
      <c r="A1001" s="1125"/>
      <c r="B1001" s="1130" t="s">
        <v>3502</v>
      </c>
      <c r="C1001" s="575"/>
      <c r="D1001" s="575"/>
      <c r="E1001" s="575"/>
      <c r="H1001" s="793" t="s">
        <v>1527</v>
      </c>
      <c r="I1001" s="575"/>
      <c r="J1001" s="580"/>
      <c r="K1001" s="575"/>
      <c r="AG1001" s="793" t="s">
        <v>849</v>
      </c>
    </row>
    <row r="1002" spans="1:33" ht="47.25" hidden="1">
      <c r="A1002" s="1125"/>
      <c r="B1002" s="1130" t="s">
        <v>3503</v>
      </c>
      <c r="C1002" s="575"/>
      <c r="D1002" s="575"/>
      <c r="E1002" s="575"/>
      <c r="H1002" s="793" t="s">
        <v>115</v>
      </c>
      <c r="I1002" s="573" t="s">
        <v>115</v>
      </c>
      <c r="J1002" s="580"/>
      <c r="K1002" s="703" t="s">
        <v>115</v>
      </c>
      <c r="AG1002" s="793" t="s">
        <v>849</v>
      </c>
    </row>
    <row r="1003" spans="1:33" hidden="1">
      <c r="A1003" s="1125"/>
      <c r="B1003" s="1130" t="s">
        <v>3504</v>
      </c>
      <c r="C1003" s="575"/>
      <c r="D1003" s="575"/>
      <c r="E1003" s="575"/>
      <c r="I1003" s="575"/>
      <c r="J1003" s="574" t="s">
        <v>115</v>
      </c>
      <c r="K1003" s="573" t="s">
        <v>115</v>
      </c>
      <c r="AG1003" s="793" t="s">
        <v>849</v>
      </c>
    </row>
    <row r="1004" spans="1:33" hidden="1">
      <c r="A1004" s="1125"/>
      <c r="B1004" s="1130" t="s">
        <v>3505</v>
      </c>
      <c r="C1004" s="575"/>
      <c r="D1004" s="575"/>
      <c r="E1004" s="575"/>
      <c r="H1004" s="793" t="s">
        <v>1528</v>
      </c>
      <c r="I1004" s="575"/>
      <c r="J1004" s="1135" t="s">
        <v>115</v>
      </c>
      <c r="K1004" s="703" t="s">
        <v>115</v>
      </c>
      <c r="AG1004" s="793" t="s">
        <v>849</v>
      </c>
    </row>
    <row r="1005" spans="1:33" hidden="1">
      <c r="A1005" s="1125"/>
      <c r="B1005" s="1130" t="s">
        <v>3506</v>
      </c>
      <c r="C1005" s="575"/>
      <c r="D1005" s="575"/>
      <c r="E1005" s="575"/>
      <c r="H1005" s="793" t="s">
        <v>1529</v>
      </c>
      <c r="I1005" s="575"/>
      <c r="J1005" s="580"/>
      <c r="K1005" s="703" t="s">
        <v>1530</v>
      </c>
      <c r="AG1005" s="793" t="s">
        <v>849</v>
      </c>
    </row>
    <row r="1006" spans="1:33" hidden="1">
      <c r="A1006" s="1125"/>
      <c r="B1006" s="1130" t="s">
        <v>3507</v>
      </c>
      <c r="C1006" s="575"/>
      <c r="D1006" s="575"/>
      <c r="E1006" s="575"/>
      <c r="I1006" s="575"/>
      <c r="J1006" s="580"/>
      <c r="K1006" s="573" t="s">
        <v>115</v>
      </c>
      <c r="AG1006" s="793" t="s">
        <v>849</v>
      </c>
    </row>
    <row r="1007" spans="1:33" hidden="1">
      <c r="A1007" s="1125"/>
      <c r="B1007" s="1130" t="s">
        <v>3508</v>
      </c>
      <c r="C1007" s="575"/>
      <c r="D1007" s="575"/>
      <c r="E1007" s="575"/>
      <c r="I1007" s="575"/>
      <c r="J1007" s="580"/>
      <c r="K1007" s="703" t="s">
        <v>115</v>
      </c>
      <c r="AG1007" s="793" t="s">
        <v>849</v>
      </c>
    </row>
    <row r="1008" spans="1:33" hidden="1">
      <c r="A1008" s="1125"/>
      <c r="B1008" s="1130" t="s">
        <v>3509</v>
      </c>
      <c r="C1008" s="575"/>
      <c r="D1008" s="575"/>
      <c r="E1008" s="575"/>
      <c r="I1008" s="575"/>
      <c r="J1008" s="580"/>
      <c r="K1008" s="573" t="s">
        <v>115</v>
      </c>
      <c r="AG1008" s="793" t="s">
        <v>849</v>
      </c>
    </row>
    <row r="1009" spans="1:33" hidden="1">
      <c r="A1009" s="1125"/>
      <c r="B1009" s="1130" t="s">
        <v>3510</v>
      </c>
      <c r="C1009" s="575"/>
      <c r="D1009" s="575"/>
      <c r="E1009" s="575"/>
      <c r="F1009" s="1098" t="s">
        <v>1504</v>
      </c>
      <c r="G1009" s="798"/>
      <c r="H1009" s="793" t="s">
        <v>1532</v>
      </c>
      <c r="I1009" s="575"/>
      <c r="J1009" s="580"/>
      <c r="K1009" s="573" t="s">
        <v>115</v>
      </c>
      <c r="AG1009" s="793" t="s">
        <v>849</v>
      </c>
    </row>
    <row r="1010" spans="1:33" hidden="1">
      <c r="A1010" s="1125"/>
      <c r="B1010" s="1130" t="s">
        <v>3511</v>
      </c>
      <c r="C1010" s="575"/>
      <c r="D1010" s="575"/>
      <c r="E1010" s="575"/>
      <c r="H1010" s="796" t="s">
        <v>117</v>
      </c>
      <c r="I1010" s="575"/>
      <c r="J1010" s="580"/>
      <c r="K1010" s="575"/>
      <c r="AG1010" s="793" t="s">
        <v>849</v>
      </c>
    </row>
    <row r="1011" spans="1:33" hidden="1">
      <c r="A1011" s="1132"/>
      <c r="B1011" s="1130" t="s">
        <v>3512</v>
      </c>
      <c r="C1011" s="575"/>
      <c r="D1011" s="575"/>
      <c r="E1011" s="575"/>
      <c r="F1011" s="1136">
        <v>1.153E-2</v>
      </c>
      <c r="G1011" s="798" t="s">
        <v>126</v>
      </c>
      <c r="H1011" s="793" t="s">
        <v>621</v>
      </c>
      <c r="I1011" s="587">
        <f>C88</f>
        <v>65420</v>
      </c>
      <c r="J1011" s="574" t="s">
        <v>126</v>
      </c>
      <c r="K1011" s="587">
        <f t="shared" ref="K1011:K1020" si="48">(F1011*I1011)</f>
        <v>754.29259999999999</v>
      </c>
      <c r="AG1011" s="793" t="s">
        <v>849</v>
      </c>
    </row>
    <row r="1012" spans="1:33" hidden="1">
      <c r="A1012" s="1132"/>
      <c r="B1012" s="1130" t="s">
        <v>3513</v>
      </c>
      <c r="C1012" s="575"/>
      <c r="D1012" s="575"/>
      <c r="E1012" s="575"/>
      <c r="F1012" s="1136">
        <v>1.35E-2</v>
      </c>
      <c r="G1012" s="798" t="s">
        <v>126</v>
      </c>
      <c r="H1012" s="793" t="s">
        <v>622</v>
      </c>
      <c r="I1012" s="587">
        <f>C89</f>
        <v>57165</v>
      </c>
      <c r="J1012" s="574" t="s">
        <v>126</v>
      </c>
      <c r="K1012" s="587">
        <f t="shared" si="48"/>
        <v>771.72749999999996</v>
      </c>
      <c r="AG1012" s="793" t="s">
        <v>849</v>
      </c>
    </row>
    <row r="1013" spans="1:33" hidden="1">
      <c r="A1013" s="1132"/>
      <c r="B1013" s="1130" t="s">
        <v>3514</v>
      </c>
      <c r="C1013" s="575"/>
      <c r="D1013" s="575"/>
      <c r="E1013" s="575"/>
      <c r="F1013" s="1136">
        <v>1.016</v>
      </c>
      <c r="G1013" s="798" t="s">
        <v>140</v>
      </c>
      <c r="H1013" s="793" t="s">
        <v>623</v>
      </c>
      <c r="I1013" s="587">
        <f>C753</f>
        <v>381.37</v>
      </c>
      <c r="J1013" s="574" t="s">
        <v>140</v>
      </c>
      <c r="K1013" s="587">
        <f t="shared" si="48"/>
        <v>387.47192000000001</v>
      </c>
      <c r="AG1013" s="793" t="s">
        <v>849</v>
      </c>
    </row>
    <row r="1014" spans="1:33" hidden="1">
      <c r="A1014" s="1132"/>
      <c r="B1014" s="1130" t="s">
        <v>3515</v>
      </c>
      <c r="C1014" s="575"/>
      <c r="D1014" s="575"/>
      <c r="E1014" s="575"/>
      <c r="F1014" s="1136">
        <v>1.64</v>
      </c>
      <c r="G1014" s="798" t="s">
        <v>140</v>
      </c>
      <c r="H1014" s="793" t="s">
        <v>624</v>
      </c>
      <c r="I1014" s="587">
        <f>D30</f>
        <v>287</v>
      </c>
      <c r="J1014" s="574" t="s">
        <v>140</v>
      </c>
      <c r="K1014" s="587">
        <f t="shared" si="48"/>
        <v>470.67999999999995</v>
      </c>
      <c r="AG1014" s="793" t="s">
        <v>849</v>
      </c>
    </row>
    <row r="1015" spans="1:33" hidden="1">
      <c r="A1015" s="1132"/>
      <c r="B1015" s="1130" t="s">
        <v>3516</v>
      </c>
      <c r="C1015" s="575"/>
      <c r="D1015" s="575"/>
      <c r="E1015" s="575"/>
      <c r="F1015" s="800">
        <v>2</v>
      </c>
      <c r="G1015" s="798" t="s">
        <v>209</v>
      </c>
      <c r="H1015" s="793" t="s">
        <v>625</v>
      </c>
      <c r="I1015" s="587">
        <f>C283</f>
        <v>30</v>
      </c>
      <c r="J1015" s="574" t="s">
        <v>209</v>
      </c>
      <c r="K1015" s="587">
        <f t="shared" si="48"/>
        <v>60</v>
      </c>
      <c r="AG1015" s="793" t="s">
        <v>849</v>
      </c>
    </row>
    <row r="1016" spans="1:33" hidden="1">
      <c r="A1016" s="1132"/>
      <c r="B1016" s="1130" t="s">
        <v>3517</v>
      </c>
      <c r="C1016" s="575"/>
      <c r="D1016" s="575"/>
      <c r="E1016" s="575"/>
      <c r="F1016" s="800">
        <v>3</v>
      </c>
      <c r="G1016" s="798" t="s">
        <v>209</v>
      </c>
      <c r="H1016" s="793" t="s">
        <v>1506</v>
      </c>
      <c r="I1016" s="587">
        <f>C278</f>
        <v>45</v>
      </c>
      <c r="J1016" s="574" t="s">
        <v>209</v>
      </c>
      <c r="K1016" s="587">
        <f t="shared" si="48"/>
        <v>135</v>
      </c>
      <c r="AG1016" s="793" t="s">
        <v>849</v>
      </c>
    </row>
    <row r="1017" spans="1:33" hidden="1">
      <c r="A1017" s="1132"/>
      <c r="B1017" s="1130" t="s">
        <v>3518</v>
      </c>
      <c r="C1017" s="575"/>
      <c r="D1017" s="575"/>
      <c r="E1017" s="575"/>
      <c r="F1017" s="800">
        <v>1</v>
      </c>
      <c r="G1017" s="798" t="s">
        <v>209</v>
      </c>
      <c r="H1017" s="793" t="s">
        <v>627</v>
      </c>
      <c r="I1017" s="587">
        <f>C285</f>
        <v>95</v>
      </c>
      <c r="J1017" s="574" t="s">
        <v>209</v>
      </c>
      <c r="K1017" s="587">
        <f t="shared" si="48"/>
        <v>95</v>
      </c>
      <c r="AG1017" s="793" t="s">
        <v>849</v>
      </c>
    </row>
    <row r="1018" spans="1:33" hidden="1">
      <c r="A1018" s="1132"/>
      <c r="B1018" s="1130" t="s">
        <v>3519</v>
      </c>
      <c r="C1018" s="575"/>
      <c r="D1018" s="575"/>
      <c r="E1018" s="575"/>
      <c r="F1018" s="800">
        <v>1</v>
      </c>
      <c r="G1018" s="798" t="s">
        <v>209</v>
      </c>
      <c r="H1018" s="793" t="s">
        <v>628</v>
      </c>
      <c r="I1018" s="587">
        <f>C287</f>
        <v>8</v>
      </c>
      <c r="J1018" s="574" t="s">
        <v>209</v>
      </c>
      <c r="K1018" s="587">
        <f t="shared" si="48"/>
        <v>8</v>
      </c>
      <c r="AG1018" s="793" t="s">
        <v>849</v>
      </c>
    </row>
    <row r="1019" spans="1:33" hidden="1">
      <c r="A1019" s="1132"/>
      <c r="B1019" s="1130" t="s">
        <v>3520</v>
      </c>
      <c r="C1019" s="575"/>
      <c r="D1019" s="575"/>
      <c r="E1019" s="575"/>
      <c r="F1019" s="800">
        <v>1</v>
      </c>
      <c r="G1019" s="798" t="s">
        <v>209</v>
      </c>
      <c r="H1019" s="793" t="s">
        <v>1538</v>
      </c>
      <c r="I1019" s="587">
        <f>C576</f>
        <v>30</v>
      </c>
      <c r="J1019" s="574" t="s">
        <v>209</v>
      </c>
      <c r="K1019" s="587">
        <f t="shared" si="48"/>
        <v>30</v>
      </c>
      <c r="AG1019" s="793" t="s">
        <v>849</v>
      </c>
    </row>
    <row r="1020" spans="1:33" hidden="1">
      <c r="A1020" s="1132"/>
      <c r="B1020" s="1130" t="s">
        <v>3521</v>
      </c>
      <c r="C1020" s="575"/>
      <c r="D1020" s="575"/>
      <c r="E1020" s="575"/>
      <c r="F1020" s="800">
        <v>1</v>
      </c>
      <c r="G1020" s="798" t="s">
        <v>209</v>
      </c>
      <c r="H1020" s="793" t="s">
        <v>630</v>
      </c>
      <c r="I1020" s="587">
        <f>D576</f>
        <v>25</v>
      </c>
      <c r="J1020" s="574" t="s">
        <v>209</v>
      </c>
      <c r="K1020" s="587">
        <f t="shared" si="48"/>
        <v>25</v>
      </c>
      <c r="AG1020" s="793" t="s">
        <v>849</v>
      </c>
    </row>
    <row r="1021" spans="1:33" hidden="1">
      <c r="A1021" s="1132"/>
      <c r="B1021" s="1130" t="s">
        <v>3522</v>
      </c>
      <c r="C1021" s="575"/>
      <c r="D1021" s="575"/>
      <c r="E1021" s="575"/>
      <c r="I1021" s="575"/>
      <c r="J1021" s="580"/>
      <c r="K1021" s="582" t="s">
        <v>117</v>
      </c>
      <c r="AG1021" s="793" t="s">
        <v>849</v>
      </c>
    </row>
    <row r="1022" spans="1:33" hidden="1">
      <c r="A1022" s="1132"/>
      <c r="B1022" s="1130" t="s">
        <v>3523</v>
      </c>
      <c r="C1022" s="575"/>
      <c r="D1022" s="575"/>
      <c r="E1022" s="575"/>
      <c r="H1022" s="1098" t="s">
        <v>1542</v>
      </c>
      <c r="I1022" s="575"/>
      <c r="J1022" s="580"/>
      <c r="K1022" s="587">
        <f>SUM(K1011:K1020)</f>
        <v>2737.17202</v>
      </c>
      <c r="AG1022" s="793" t="s">
        <v>849</v>
      </c>
    </row>
    <row r="1023" spans="1:33" ht="31.5" hidden="1">
      <c r="A1023" s="1132"/>
      <c r="B1023" s="1130" t="s">
        <v>3524</v>
      </c>
      <c r="C1023" s="575"/>
      <c r="D1023" s="575"/>
      <c r="E1023" s="575"/>
      <c r="G1023" s="798" t="s">
        <v>115</v>
      </c>
      <c r="I1023" s="575"/>
      <c r="J1023" s="580"/>
      <c r="K1023" s="582" t="s">
        <v>117</v>
      </c>
      <c r="AG1023" s="793" t="s">
        <v>849</v>
      </c>
    </row>
    <row r="1024" spans="1:33" hidden="1">
      <c r="A1024" s="1132"/>
      <c r="B1024" s="1130" t="s">
        <v>3525</v>
      </c>
      <c r="C1024" s="575"/>
      <c r="D1024" s="575"/>
      <c r="E1024" s="575"/>
      <c r="H1024" s="1098" t="s">
        <v>154</v>
      </c>
      <c r="I1024" s="575"/>
      <c r="J1024" s="580"/>
      <c r="K1024" s="587">
        <f>K1022/F1014</f>
        <v>1669.0073292682928</v>
      </c>
      <c r="AG1024" s="793" t="s">
        <v>849</v>
      </c>
    </row>
    <row r="1025" spans="1:33" hidden="1">
      <c r="A1025" s="1132"/>
      <c r="B1025" s="1130" t="s">
        <v>3526</v>
      </c>
      <c r="C1025" s="575"/>
      <c r="D1025" s="575"/>
      <c r="E1025" s="575"/>
      <c r="I1025" s="575"/>
      <c r="J1025" s="580"/>
      <c r="K1025" s="582" t="s">
        <v>155</v>
      </c>
      <c r="AG1025" s="793" t="s">
        <v>849</v>
      </c>
    </row>
    <row r="1026" spans="1:33" hidden="1">
      <c r="A1026" s="1132"/>
      <c r="B1026" s="1130" t="s">
        <v>3527</v>
      </c>
      <c r="C1026" s="575"/>
      <c r="D1026" s="575"/>
      <c r="E1026" s="575"/>
      <c r="F1026" s="1098" t="s">
        <v>1545</v>
      </c>
      <c r="H1026" s="793" t="s">
        <v>1546</v>
      </c>
      <c r="I1026" s="575"/>
      <c r="J1026" s="580"/>
      <c r="K1026" s="575"/>
    </row>
    <row r="1027" spans="1:33" hidden="1">
      <c r="A1027" s="1132"/>
      <c r="B1027" s="1130" t="s">
        <v>3528</v>
      </c>
      <c r="C1027" s="575"/>
      <c r="D1027" s="575"/>
      <c r="E1027" s="575"/>
      <c r="H1027" s="793" t="s">
        <v>1547</v>
      </c>
      <c r="I1027" s="575"/>
      <c r="J1027" s="580"/>
      <c r="K1027" s="575"/>
    </row>
    <row r="1028" spans="1:33" hidden="1">
      <c r="A1028" s="1132"/>
      <c r="B1028" s="1130" t="s">
        <v>3529</v>
      </c>
      <c r="C1028" s="575"/>
      <c r="D1028" s="575"/>
      <c r="E1028" s="575"/>
      <c r="H1028" s="796" t="s">
        <v>117</v>
      </c>
      <c r="I1028" s="575"/>
      <c r="J1028" s="580"/>
      <c r="K1028" s="575"/>
    </row>
    <row r="1029" spans="1:33" hidden="1">
      <c r="A1029" s="1132"/>
      <c r="B1029" s="1130" t="s">
        <v>3530</v>
      </c>
      <c r="C1029" s="575"/>
      <c r="D1029" s="575"/>
      <c r="E1029" s="575"/>
      <c r="F1029" s="1136">
        <v>6.6499999999999997E-3</v>
      </c>
      <c r="G1029" s="798" t="s">
        <v>642</v>
      </c>
      <c r="H1029" s="793" t="s">
        <v>1548</v>
      </c>
      <c r="I1029" s="587">
        <f>C89</f>
        <v>57165</v>
      </c>
      <c r="J1029" s="574" t="s">
        <v>126</v>
      </c>
      <c r="K1029" s="587">
        <f t="shared" ref="K1029:K1035" si="49">(F1029*I1029)</f>
        <v>380.14724999999999</v>
      </c>
    </row>
    <row r="1030" spans="1:33" hidden="1">
      <c r="A1030" s="1132"/>
      <c r="B1030" s="1130" t="s">
        <v>3531</v>
      </c>
      <c r="C1030" s="575"/>
      <c r="D1030" s="575"/>
      <c r="E1030" s="575"/>
      <c r="F1030" s="1136">
        <v>0.32346000000000003</v>
      </c>
      <c r="G1030" s="798" t="s">
        <v>140</v>
      </c>
      <c r="H1030" s="793" t="s">
        <v>3532</v>
      </c>
      <c r="I1030" s="587">
        <f>C271</f>
        <v>160</v>
      </c>
      <c r="J1030" s="574" t="s">
        <v>126</v>
      </c>
      <c r="K1030" s="587">
        <f t="shared" si="49"/>
        <v>51.753600000000006</v>
      </c>
    </row>
    <row r="1031" spans="1:33" ht="31.5" hidden="1">
      <c r="A1031" s="1132"/>
      <c r="B1031" s="1130" t="s">
        <v>3533</v>
      </c>
      <c r="C1031" s="575"/>
      <c r="D1031" s="575"/>
      <c r="E1031" s="575"/>
      <c r="F1031" s="1136">
        <v>0.47660000000000002</v>
      </c>
      <c r="G1031" s="798" t="s">
        <v>140</v>
      </c>
      <c r="H1031" s="793" t="s">
        <v>624</v>
      </c>
      <c r="I1031" s="587">
        <f>D31</f>
        <v>320</v>
      </c>
      <c r="J1031" s="574" t="s">
        <v>140</v>
      </c>
      <c r="K1031" s="587">
        <f t="shared" si="49"/>
        <v>152.512</v>
      </c>
    </row>
    <row r="1032" spans="1:33" ht="21.75" hidden="1" customHeight="1">
      <c r="A1032" s="1132"/>
      <c r="B1032" s="1130" t="s">
        <v>3534</v>
      </c>
      <c r="C1032" s="575"/>
      <c r="D1032" s="575"/>
      <c r="E1032" s="575"/>
      <c r="F1032" s="800">
        <v>3</v>
      </c>
      <c r="G1032" s="798" t="s">
        <v>209</v>
      </c>
      <c r="H1032" s="793" t="s">
        <v>1551</v>
      </c>
      <c r="I1032" s="587">
        <f>C281</f>
        <v>25</v>
      </c>
      <c r="J1032" s="574" t="s">
        <v>209</v>
      </c>
      <c r="K1032" s="587">
        <f t="shared" si="49"/>
        <v>75</v>
      </c>
    </row>
    <row r="1033" spans="1:33" ht="20.25" hidden="1" customHeight="1">
      <c r="A1033" s="1130"/>
      <c r="B1033" s="1130" t="s">
        <v>3535</v>
      </c>
      <c r="C1033" s="575"/>
      <c r="D1033" s="575"/>
      <c r="E1033" s="575"/>
      <c r="F1033" s="800">
        <v>2</v>
      </c>
      <c r="G1033" s="798" t="s">
        <v>209</v>
      </c>
      <c r="H1033" s="793" t="s">
        <v>1552</v>
      </c>
      <c r="I1033" s="587">
        <f>C284</f>
        <v>20</v>
      </c>
      <c r="J1033" s="574" t="s">
        <v>209</v>
      </c>
      <c r="K1033" s="587">
        <f t="shared" si="49"/>
        <v>40</v>
      </c>
    </row>
    <row r="1034" spans="1:33" ht="19.5" hidden="1" customHeight="1">
      <c r="A1034" s="1132"/>
      <c r="B1034" s="1130" t="s">
        <v>3536</v>
      </c>
      <c r="C1034" s="575"/>
      <c r="D1034" s="575"/>
      <c r="E1034" s="575"/>
      <c r="F1034" s="800">
        <v>1</v>
      </c>
      <c r="G1034" s="798" t="s">
        <v>209</v>
      </c>
      <c r="H1034" s="793" t="s">
        <v>1554</v>
      </c>
      <c r="I1034" s="587">
        <f>C303</f>
        <v>8</v>
      </c>
      <c r="J1034" s="574" t="s">
        <v>209</v>
      </c>
      <c r="K1034" s="587">
        <f t="shared" si="49"/>
        <v>8</v>
      </c>
    </row>
    <row r="1035" spans="1:33" ht="18.75" hidden="1" customHeight="1">
      <c r="A1035" s="1132"/>
      <c r="B1035" s="1130" t="s">
        <v>3537</v>
      </c>
      <c r="C1035" s="575"/>
      <c r="D1035" s="575"/>
      <c r="E1035" s="575"/>
      <c r="F1035" s="800">
        <v>1</v>
      </c>
      <c r="G1035" s="798" t="s">
        <v>209</v>
      </c>
      <c r="H1035" s="793" t="s">
        <v>1555</v>
      </c>
      <c r="I1035" s="587">
        <f>C291</f>
        <v>15.6</v>
      </c>
      <c r="J1035" s="574" t="s">
        <v>209</v>
      </c>
      <c r="K1035" s="587">
        <f t="shared" si="49"/>
        <v>15.6</v>
      </c>
    </row>
    <row r="1036" spans="1:33" ht="18" hidden="1" customHeight="1">
      <c r="A1036" s="1132"/>
      <c r="B1036" s="1130" t="s">
        <v>3538</v>
      </c>
      <c r="C1036" s="575"/>
      <c r="D1036" s="575"/>
      <c r="E1036" s="575"/>
      <c r="I1036" s="575"/>
      <c r="J1036" s="580"/>
      <c r="K1036" s="582" t="s">
        <v>117</v>
      </c>
    </row>
    <row r="1037" spans="1:33" ht="20.25" hidden="1" customHeight="1">
      <c r="A1037" s="1132"/>
      <c r="B1037" s="1130" t="s">
        <v>3539</v>
      </c>
      <c r="C1037" s="575"/>
      <c r="D1037" s="575"/>
      <c r="E1037" s="575"/>
      <c r="H1037" s="1098" t="s">
        <v>1556</v>
      </c>
      <c r="I1037" s="575"/>
      <c r="J1037" s="580"/>
      <c r="K1037" s="587">
        <f>SUM(K1025:K1035)</f>
        <v>723.01284999999996</v>
      </c>
    </row>
    <row r="1038" spans="1:33" ht="21.75" hidden="1" customHeight="1">
      <c r="A1038" s="1132"/>
      <c r="B1038" s="1130" t="s">
        <v>3540</v>
      </c>
      <c r="C1038" s="575"/>
      <c r="D1038" s="575"/>
      <c r="E1038" s="575"/>
      <c r="I1038" s="575"/>
      <c r="J1038" s="580"/>
      <c r="K1038" s="582" t="s">
        <v>117</v>
      </c>
    </row>
    <row r="1039" spans="1:33" ht="24" hidden="1" customHeight="1">
      <c r="A1039" s="1132"/>
      <c r="B1039" s="1130" t="s">
        <v>3540</v>
      </c>
      <c r="C1039" s="575"/>
      <c r="D1039" s="575"/>
      <c r="E1039" s="575"/>
      <c r="H1039" s="1098" t="s">
        <v>154</v>
      </c>
      <c r="I1039" s="573" t="s">
        <v>115</v>
      </c>
      <c r="J1039" s="580"/>
      <c r="K1039" s="587">
        <f>K1037/F1031</f>
        <v>1517.0223457826269</v>
      </c>
    </row>
    <row r="1040" spans="1:33" ht="31.5" hidden="1">
      <c r="A1040" s="1132"/>
      <c r="B1040" s="1130" t="s">
        <v>3541</v>
      </c>
      <c r="C1040" s="575"/>
      <c r="D1040" s="575"/>
      <c r="E1040" s="575"/>
      <c r="I1040" s="575"/>
      <c r="J1040" s="580"/>
      <c r="K1040" s="582" t="s">
        <v>155</v>
      </c>
    </row>
    <row r="1041" spans="1:11" ht="31.5" hidden="1">
      <c r="A1041" s="1132"/>
      <c r="B1041" s="1130" t="s">
        <v>3542</v>
      </c>
      <c r="C1041" s="575"/>
      <c r="D1041" s="575"/>
      <c r="E1041" s="575"/>
      <c r="F1041" s="1098" t="s">
        <v>1557</v>
      </c>
      <c r="G1041" s="798" t="s">
        <v>122</v>
      </c>
      <c r="H1041" s="793" t="s">
        <v>1546</v>
      </c>
      <c r="I1041" s="575"/>
      <c r="J1041" s="580"/>
      <c r="K1041" s="575"/>
    </row>
    <row r="1042" spans="1:11" hidden="1">
      <c r="A1042" s="1132"/>
      <c r="H1042" s="793" t="s">
        <v>1558</v>
      </c>
      <c r="I1042" s="575"/>
      <c r="J1042" s="580"/>
      <c r="K1042" s="575"/>
    </row>
    <row r="1043" spans="1:11" hidden="1">
      <c r="A1043" s="1132"/>
      <c r="H1043" s="796" t="s">
        <v>117</v>
      </c>
      <c r="I1043" s="575"/>
      <c r="J1043" s="580"/>
      <c r="K1043" s="575"/>
    </row>
    <row r="1044" spans="1:11" hidden="1">
      <c r="A1044" s="1132"/>
      <c r="F1044" s="1136">
        <v>5.4000000000000003E-3</v>
      </c>
      <c r="G1044" s="798" t="s">
        <v>642</v>
      </c>
      <c r="H1044" s="793" t="s">
        <v>1548</v>
      </c>
      <c r="I1044" s="587">
        <f>C89</f>
        <v>57165</v>
      </c>
      <c r="J1044" s="574" t="s">
        <v>126</v>
      </c>
      <c r="K1044" s="587">
        <f t="shared" ref="K1044:K1050" si="50">(F1044*I1044)</f>
        <v>308.69100000000003</v>
      </c>
    </row>
    <row r="1045" spans="1:11" hidden="1">
      <c r="A1045" s="1132"/>
      <c r="F1045" s="1136">
        <v>0.23871000000000001</v>
      </c>
      <c r="G1045" s="798" t="s">
        <v>140</v>
      </c>
      <c r="H1045" s="793" t="s">
        <v>3532</v>
      </c>
      <c r="I1045" s="587">
        <f>C271</f>
        <v>160</v>
      </c>
      <c r="J1045" s="574" t="s">
        <v>126</v>
      </c>
      <c r="K1045" s="587">
        <f t="shared" si="50"/>
        <v>38.193600000000004</v>
      </c>
    </row>
    <row r="1046" spans="1:11" hidden="1">
      <c r="A1046" s="1132"/>
      <c r="F1046" s="1136">
        <v>0.36199999999999999</v>
      </c>
      <c r="G1046" s="798" t="s">
        <v>140</v>
      </c>
      <c r="H1046" s="793" t="s">
        <v>624</v>
      </c>
      <c r="I1046" s="587">
        <f>D31</f>
        <v>320</v>
      </c>
      <c r="J1046" s="574" t="s">
        <v>140</v>
      </c>
      <c r="K1046" s="587">
        <f t="shared" si="50"/>
        <v>115.84</v>
      </c>
    </row>
    <row r="1047" spans="1:11" hidden="1">
      <c r="A1047" s="1132"/>
      <c r="F1047" s="800">
        <v>3</v>
      </c>
      <c r="G1047" s="798" t="s">
        <v>209</v>
      </c>
      <c r="H1047" s="793" t="s">
        <v>1551</v>
      </c>
      <c r="I1047" s="587">
        <f>C281</f>
        <v>25</v>
      </c>
      <c r="J1047" s="574" t="s">
        <v>209</v>
      </c>
      <c r="K1047" s="587">
        <f t="shared" si="50"/>
        <v>75</v>
      </c>
    </row>
    <row r="1048" spans="1:11" hidden="1">
      <c r="A1048" s="1132"/>
      <c r="F1048" s="800">
        <v>2</v>
      </c>
      <c r="G1048" s="798" t="s">
        <v>209</v>
      </c>
      <c r="H1048" s="793" t="s">
        <v>1552</v>
      </c>
      <c r="I1048" s="587">
        <f>C284</f>
        <v>20</v>
      </c>
      <c r="J1048" s="574" t="s">
        <v>209</v>
      </c>
      <c r="K1048" s="587">
        <f t="shared" si="50"/>
        <v>40</v>
      </c>
    </row>
    <row r="1049" spans="1:11" hidden="1">
      <c r="A1049" s="1132"/>
      <c r="F1049" s="800">
        <v>1</v>
      </c>
      <c r="G1049" s="798" t="s">
        <v>209</v>
      </c>
      <c r="H1049" s="793" t="s">
        <v>1554</v>
      </c>
      <c r="I1049" s="587">
        <f>C303</f>
        <v>8</v>
      </c>
      <c r="J1049" s="574" t="s">
        <v>209</v>
      </c>
      <c r="K1049" s="587">
        <f t="shared" si="50"/>
        <v>8</v>
      </c>
    </row>
    <row r="1050" spans="1:11" hidden="1">
      <c r="A1050" s="1132"/>
      <c r="F1050" s="800">
        <v>1</v>
      </c>
      <c r="G1050" s="798" t="s">
        <v>209</v>
      </c>
      <c r="H1050" s="793" t="s">
        <v>1555</v>
      </c>
      <c r="I1050" s="587">
        <f>C291</f>
        <v>15.6</v>
      </c>
      <c r="J1050" s="574" t="s">
        <v>209</v>
      </c>
      <c r="K1050" s="587">
        <f t="shared" si="50"/>
        <v>15.6</v>
      </c>
    </row>
    <row r="1051" spans="1:11" hidden="1">
      <c r="A1051" s="1132"/>
      <c r="I1051" s="575"/>
      <c r="J1051" s="580"/>
      <c r="K1051" s="582" t="s">
        <v>117</v>
      </c>
    </row>
    <row r="1052" spans="1:11" hidden="1">
      <c r="A1052" s="1132"/>
      <c r="H1052" s="1098" t="s">
        <v>1561</v>
      </c>
      <c r="I1052" s="575"/>
      <c r="J1052" s="580"/>
      <c r="K1052" s="587">
        <f>SUM(K1040:K1050)</f>
        <v>601.32460000000003</v>
      </c>
    </row>
    <row r="1053" spans="1:11" hidden="1">
      <c r="A1053" s="1132"/>
      <c r="I1053" s="575"/>
      <c r="J1053" s="580"/>
      <c r="K1053" s="582" t="s">
        <v>117</v>
      </c>
    </row>
    <row r="1054" spans="1:11" hidden="1">
      <c r="A1054" s="1132"/>
      <c r="H1054" s="1098" t="s">
        <v>154</v>
      </c>
      <c r="I1054" s="573" t="s">
        <v>115</v>
      </c>
      <c r="J1054" s="580"/>
      <c r="K1054" s="587">
        <f>K1052/F1046</f>
        <v>1661.1176795580111</v>
      </c>
    </row>
    <row r="1055" spans="1:11" hidden="1">
      <c r="A1055" s="1132"/>
      <c r="I1055" s="575"/>
      <c r="J1055" s="580"/>
      <c r="K1055" s="582" t="s">
        <v>155</v>
      </c>
    </row>
    <row r="1056" spans="1:11" hidden="1">
      <c r="A1056" s="1132"/>
      <c r="F1056" s="1098" t="s">
        <v>1562</v>
      </c>
      <c r="G1056" s="798" t="s">
        <v>122</v>
      </c>
      <c r="H1056" s="793" t="s">
        <v>1563</v>
      </c>
      <c r="I1056" s="575"/>
      <c r="J1056" s="580"/>
      <c r="K1056" s="575"/>
    </row>
    <row r="1057" spans="1:11" hidden="1">
      <c r="A1057" s="1132"/>
      <c r="H1057" s="793" t="s">
        <v>1564</v>
      </c>
      <c r="I1057" s="575"/>
      <c r="J1057" s="580"/>
      <c r="K1057" s="575"/>
    </row>
    <row r="1058" spans="1:11" hidden="1">
      <c r="A1058" s="1132"/>
      <c r="H1058" s="796" t="s">
        <v>117</v>
      </c>
      <c r="I1058" s="575"/>
      <c r="J1058" s="580"/>
      <c r="K1058" s="575"/>
    </row>
    <row r="1059" spans="1:11" hidden="1">
      <c r="A1059" s="1132"/>
      <c r="F1059" s="1136">
        <v>5.3E-3</v>
      </c>
      <c r="G1059" s="798" t="s">
        <v>642</v>
      </c>
      <c r="H1059" s="793" t="s">
        <v>1548</v>
      </c>
      <c r="I1059" s="587">
        <f>C89</f>
        <v>57165</v>
      </c>
      <c r="J1059" s="574" t="s">
        <v>126</v>
      </c>
      <c r="K1059" s="587">
        <f t="shared" ref="K1059:K1064" si="51">(F1059*I1059)</f>
        <v>302.97449999999998</v>
      </c>
    </row>
    <row r="1060" spans="1:11" hidden="1">
      <c r="A1060" s="1132"/>
      <c r="F1060" s="1136">
        <v>0.27450000000000002</v>
      </c>
      <c r="G1060" s="798" t="s">
        <v>140</v>
      </c>
      <c r="H1060" s="793" t="s">
        <v>3532</v>
      </c>
      <c r="I1060" s="587">
        <f>C271</f>
        <v>160</v>
      </c>
      <c r="J1060" s="574" t="s">
        <v>126</v>
      </c>
      <c r="K1060" s="587">
        <f t="shared" si="51"/>
        <v>43.92</v>
      </c>
    </row>
    <row r="1061" spans="1:11" hidden="1">
      <c r="A1061" s="1132"/>
      <c r="F1061" s="1136">
        <v>0.4</v>
      </c>
      <c r="G1061" s="798" t="s">
        <v>140</v>
      </c>
      <c r="H1061" s="793" t="s">
        <v>624</v>
      </c>
      <c r="I1061" s="587">
        <f>D32</f>
        <v>267</v>
      </c>
      <c r="J1061" s="574" t="s">
        <v>140</v>
      </c>
      <c r="K1061" s="587">
        <f t="shared" si="51"/>
        <v>106.80000000000001</v>
      </c>
    </row>
    <row r="1062" spans="1:11" hidden="1">
      <c r="A1062" s="1132"/>
      <c r="F1062" s="800">
        <v>2</v>
      </c>
      <c r="G1062" s="798" t="s">
        <v>1565</v>
      </c>
      <c r="H1062" s="793" t="s">
        <v>1566</v>
      </c>
      <c r="I1062" s="587">
        <f>C304</f>
        <v>8.5</v>
      </c>
      <c r="J1062" s="574" t="s">
        <v>1565</v>
      </c>
      <c r="K1062" s="587">
        <f t="shared" si="51"/>
        <v>17</v>
      </c>
    </row>
    <row r="1063" spans="1:11" hidden="1">
      <c r="A1063" s="1132"/>
      <c r="F1063" s="800">
        <v>1</v>
      </c>
      <c r="G1063" s="798" t="s">
        <v>209</v>
      </c>
      <c r="H1063" s="793" t="s">
        <v>1567</v>
      </c>
      <c r="I1063" s="587">
        <f>C292</f>
        <v>12.6</v>
      </c>
      <c r="J1063" s="574" t="s">
        <v>209</v>
      </c>
      <c r="K1063" s="587">
        <f t="shared" si="51"/>
        <v>12.6</v>
      </c>
    </row>
    <row r="1064" spans="1:11" hidden="1">
      <c r="A1064" s="1132"/>
      <c r="F1064" s="800">
        <v>1</v>
      </c>
      <c r="G1064" s="798" t="s">
        <v>209</v>
      </c>
      <c r="H1064" s="793" t="s">
        <v>1568</v>
      </c>
      <c r="I1064" s="587">
        <f>C290</f>
        <v>20.6</v>
      </c>
      <c r="J1064" s="574" t="s">
        <v>209</v>
      </c>
      <c r="K1064" s="587">
        <f t="shared" si="51"/>
        <v>20.6</v>
      </c>
    </row>
    <row r="1065" spans="1:11" hidden="1">
      <c r="A1065" s="1132"/>
      <c r="I1065" s="575"/>
      <c r="J1065" s="580"/>
      <c r="K1065" s="582" t="s">
        <v>117</v>
      </c>
    </row>
    <row r="1066" spans="1:11" hidden="1">
      <c r="A1066" s="1132"/>
      <c r="H1066" s="1098" t="s">
        <v>1561</v>
      </c>
      <c r="I1066" s="575"/>
      <c r="J1066" s="580"/>
      <c r="K1066" s="587">
        <f>SUM(K1055:K1064)</f>
        <v>503.89450000000005</v>
      </c>
    </row>
    <row r="1067" spans="1:11" hidden="1">
      <c r="A1067" s="1132"/>
      <c r="I1067" s="575"/>
      <c r="J1067" s="580"/>
      <c r="K1067" s="582" t="s">
        <v>117</v>
      </c>
    </row>
    <row r="1068" spans="1:11" hidden="1">
      <c r="A1068" s="1132"/>
      <c r="H1068" s="1098" t="s">
        <v>154</v>
      </c>
      <c r="I1068" s="573" t="s">
        <v>115</v>
      </c>
      <c r="J1068" s="580"/>
      <c r="K1068" s="587">
        <f>K1066/F1061</f>
        <v>1259.7362500000002</v>
      </c>
    </row>
    <row r="1069" spans="1:11" hidden="1">
      <c r="A1069" s="1132"/>
      <c r="F1069" s="793" t="s">
        <v>115</v>
      </c>
      <c r="I1069" s="575"/>
      <c r="J1069" s="580"/>
      <c r="K1069" s="575"/>
    </row>
    <row r="1070" spans="1:11" hidden="1">
      <c r="A1070" s="1132"/>
      <c r="I1070" s="575"/>
      <c r="J1070" s="580"/>
      <c r="K1070" s="582" t="s">
        <v>155</v>
      </c>
    </row>
    <row r="1071" spans="1:11" hidden="1">
      <c r="A1071" s="1132"/>
      <c r="F1071" s="1109">
        <v>22.3</v>
      </c>
      <c r="H1071" s="793" t="s">
        <v>1575</v>
      </c>
      <c r="I1071" s="575"/>
      <c r="J1071" s="580"/>
      <c r="K1071" s="575"/>
    </row>
    <row r="1072" spans="1:11" hidden="1">
      <c r="A1072" s="1132"/>
      <c r="H1072" s="796" t="s">
        <v>117</v>
      </c>
      <c r="I1072" s="582" t="s">
        <v>117</v>
      </c>
      <c r="J1072" s="574" t="s">
        <v>117</v>
      </c>
      <c r="K1072" s="575"/>
    </row>
    <row r="1073" spans="1:12" hidden="1">
      <c r="A1073" s="1132"/>
      <c r="I1073" s="575"/>
      <c r="J1073" s="580"/>
      <c r="K1073" s="575"/>
    </row>
    <row r="1074" spans="1:12" hidden="1">
      <c r="A1074" s="1132"/>
      <c r="H1074" s="793" t="s">
        <v>1580</v>
      </c>
      <c r="I1074" s="575"/>
      <c r="J1074" s="580"/>
      <c r="K1074" s="575"/>
    </row>
    <row r="1075" spans="1:12" hidden="1">
      <c r="A1075" s="1132"/>
      <c r="H1075" s="793" t="s">
        <v>1582</v>
      </c>
      <c r="I1075" s="575"/>
      <c r="J1075" s="580"/>
      <c r="K1075" s="575"/>
    </row>
    <row r="1076" spans="1:12" hidden="1">
      <c r="A1076" s="1132"/>
      <c r="H1076" s="793" t="s">
        <v>1583</v>
      </c>
      <c r="I1076" s="575"/>
      <c r="J1076" s="580"/>
      <c r="K1076" s="575"/>
    </row>
    <row r="1077" spans="1:12" hidden="1">
      <c r="A1077" s="1132"/>
      <c r="H1077" s="793" t="s">
        <v>1584</v>
      </c>
      <c r="I1077" s="575"/>
      <c r="J1077" s="580"/>
      <c r="K1077" s="575"/>
    </row>
    <row r="1078" spans="1:12" hidden="1">
      <c r="A1078" s="1132"/>
      <c r="H1078" s="793" t="s">
        <v>1585</v>
      </c>
      <c r="I1078" s="575"/>
      <c r="J1078" s="580"/>
      <c r="K1078" s="575"/>
      <c r="L1078" s="793" t="s">
        <v>115</v>
      </c>
    </row>
    <row r="1079" spans="1:12" hidden="1">
      <c r="A1079" s="1132"/>
      <c r="I1079" s="575"/>
      <c r="J1079" s="574" t="s">
        <v>115</v>
      </c>
      <c r="K1079" s="651">
        <v>3.32E-2</v>
      </c>
    </row>
    <row r="1080" spans="1:12" hidden="1">
      <c r="A1080" s="1132"/>
      <c r="H1080" s="793" t="s">
        <v>1588</v>
      </c>
      <c r="I1080" s="575"/>
      <c r="J1080" s="1135" t="s">
        <v>115</v>
      </c>
      <c r="K1080" s="703" t="s">
        <v>115</v>
      </c>
    </row>
    <row r="1081" spans="1:12" hidden="1">
      <c r="A1081" s="1132"/>
      <c r="H1081" s="793" t="s">
        <v>1590</v>
      </c>
      <c r="I1081" s="575"/>
      <c r="J1081" s="580"/>
      <c r="K1081" s="703" t="s">
        <v>115</v>
      </c>
    </row>
    <row r="1082" spans="1:12" hidden="1">
      <c r="A1082" s="1132"/>
      <c r="I1082" s="575"/>
      <c r="J1082" s="580"/>
      <c r="K1082" s="575"/>
    </row>
    <row r="1083" spans="1:12" hidden="1">
      <c r="A1083" s="1132"/>
      <c r="F1083" s="1136">
        <v>1.18E-2</v>
      </c>
      <c r="G1083" s="798" t="s">
        <v>126</v>
      </c>
      <c r="H1083" s="793" t="s">
        <v>621</v>
      </c>
      <c r="I1083" s="587">
        <f>C88</f>
        <v>65420</v>
      </c>
      <c r="J1083" s="574" t="s">
        <v>126</v>
      </c>
      <c r="K1083" s="587">
        <f t="shared" ref="K1083:K1092" si="52">(F1083*I1083)</f>
        <v>771.95600000000002</v>
      </c>
    </row>
    <row r="1084" spans="1:12" hidden="1">
      <c r="A1084" s="1132"/>
      <c r="F1084" s="1136">
        <v>3.32E-2</v>
      </c>
      <c r="G1084" s="798" t="s">
        <v>126</v>
      </c>
      <c r="H1084" s="793" t="s">
        <v>622</v>
      </c>
      <c r="I1084" s="587">
        <f>C89</f>
        <v>57165</v>
      </c>
      <c r="J1084" s="574" t="s">
        <v>126</v>
      </c>
      <c r="K1084" s="587">
        <f t="shared" si="52"/>
        <v>1897.8779999999999</v>
      </c>
    </row>
    <row r="1085" spans="1:12" hidden="1">
      <c r="A1085" s="1132"/>
      <c r="F1085" s="1136">
        <v>1.8550000000000001E-2</v>
      </c>
      <c r="G1085" s="798" t="s">
        <v>126</v>
      </c>
      <c r="H1085" s="793" t="s">
        <v>1591</v>
      </c>
      <c r="I1085" s="587">
        <f>C30</f>
        <v>3035</v>
      </c>
      <c r="J1085" s="574" t="s">
        <v>126</v>
      </c>
      <c r="K1085" s="587">
        <f t="shared" si="52"/>
        <v>56.299250000000001</v>
      </c>
    </row>
    <row r="1086" spans="1:12" hidden="1">
      <c r="A1086" s="1132"/>
      <c r="F1086" s="1136">
        <v>1.46</v>
      </c>
      <c r="G1086" s="798" t="s">
        <v>140</v>
      </c>
      <c r="H1086" s="793" t="s">
        <v>1592</v>
      </c>
      <c r="I1086" s="587">
        <v>385.89</v>
      </c>
      <c r="J1086" s="574" t="s">
        <v>140</v>
      </c>
      <c r="K1086" s="587">
        <f t="shared" si="52"/>
        <v>563.39940000000001</v>
      </c>
    </row>
    <row r="1087" spans="1:12" hidden="1">
      <c r="A1087" s="1132"/>
      <c r="F1087" s="1136">
        <v>2.0499999999999998</v>
      </c>
      <c r="G1087" s="798" t="s">
        <v>140</v>
      </c>
      <c r="H1087" s="793" t="s">
        <v>1593</v>
      </c>
      <c r="I1087" s="587">
        <f>D30</f>
        <v>287</v>
      </c>
      <c r="J1087" s="574" t="s">
        <v>140</v>
      </c>
      <c r="K1087" s="587">
        <f t="shared" si="52"/>
        <v>588.34999999999991</v>
      </c>
    </row>
    <row r="1088" spans="1:12" hidden="1">
      <c r="A1088" s="1132"/>
      <c r="F1088" s="800">
        <v>2</v>
      </c>
      <c r="G1088" s="798" t="s">
        <v>209</v>
      </c>
      <c r="H1088" s="793" t="s">
        <v>1594</v>
      </c>
      <c r="I1088" s="587">
        <v>7.5</v>
      </c>
      <c r="J1088" s="574" t="s">
        <v>209</v>
      </c>
      <c r="K1088" s="587">
        <f t="shared" si="52"/>
        <v>15</v>
      </c>
    </row>
    <row r="1089" spans="1:11" hidden="1">
      <c r="A1089" s="1132"/>
      <c r="F1089" s="800">
        <v>6</v>
      </c>
      <c r="G1089" s="798" t="s">
        <v>209</v>
      </c>
      <c r="H1089" s="793" t="s">
        <v>1551</v>
      </c>
      <c r="I1089" s="587">
        <f>C281</f>
        <v>25</v>
      </c>
      <c r="J1089" s="574" t="s">
        <v>209</v>
      </c>
      <c r="K1089" s="587">
        <f t="shared" si="52"/>
        <v>150</v>
      </c>
    </row>
    <row r="1090" spans="1:11" hidden="1">
      <c r="A1090" s="1132"/>
      <c r="F1090" s="800">
        <v>2</v>
      </c>
      <c r="G1090" s="798" t="s">
        <v>209</v>
      </c>
      <c r="H1090" s="793" t="s">
        <v>3543</v>
      </c>
      <c r="I1090" s="587">
        <v>50</v>
      </c>
      <c r="J1090" s="574" t="s">
        <v>209</v>
      </c>
      <c r="K1090" s="587">
        <f t="shared" si="52"/>
        <v>100</v>
      </c>
    </row>
    <row r="1091" spans="1:11" hidden="1">
      <c r="A1091" s="1132"/>
      <c r="F1091" s="800">
        <v>1</v>
      </c>
      <c r="G1091" s="798" t="s">
        <v>209</v>
      </c>
      <c r="H1091" s="793" t="s">
        <v>2413</v>
      </c>
      <c r="I1091" s="587">
        <v>50</v>
      </c>
      <c r="J1091" s="574" t="s">
        <v>209</v>
      </c>
      <c r="K1091" s="587">
        <f t="shared" si="52"/>
        <v>50</v>
      </c>
    </row>
    <row r="1092" spans="1:11" hidden="1">
      <c r="A1092" s="1132"/>
      <c r="F1092" s="800">
        <v>2.52</v>
      </c>
      <c r="G1092" s="798" t="s">
        <v>140</v>
      </c>
      <c r="H1092" s="793" t="s">
        <v>1597</v>
      </c>
      <c r="I1092" s="587">
        <f>K1122</f>
        <v>51.25</v>
      </c>
      <c r="J1092" s="574" t="s">
        <v>140</v>
      </c>
      <c r="K1092" s="587">
        <f t="shared" si="52"/>
        <v>129.15</v>
      </c>
    </row>
    <row r="1093" spans="1:11" hidden="1">
      <c r="A1093" s="1132"/>
      <c r="H1093" s="793" t="s">
        <v>1598</v>
      </c>
      <c r="I1093" s="574" t="s">
        <v>129</v>
      </c>
      <c r="J1093" s="580"/>
      <c r="K1093" s="587">
        <v>0.21</v>
      </c>
    </row>
    <row r="1094" spans="1:11" hidden="1">
      <c r="A1094" s="1132"/>
      <c r="I1094" s="575"/>
      <c r="J1094" s="580"/>
      <c r="K1094" s="582" t="s">
        <v>117</v>
      </c>
    </row>
    <row r="1095" spans="1:11" hidden="1">
      <c r="A1095" s="1132"/>
      <c r="H1095" s="1098" t="s">
        <v>1599</v>
      </c>
      <c r="I1095" s="575"/>
      <c r="J1095" s="580"/>
      <c r="K1095" s="587">
        <f>SUM(K1083:K1093)</f>
        <v>4322.2426499999992</v>
      </c>
    </row>
    <row r="1096" spans="1:11" hidden="1">
      <c r="A1096" s="1132"/>
      <c r="G1096" s="798" t="s">
        <v>115</v>
      </c>
      <c r="I1096" s="575"/>
      <c r="J1096" s="580"/>
      <c r="K1096" s="582" t="s">
        <v>117</v>
      </c>
    </row>
    <row r="1097" spans="1:11" hidden="1">
      <c r="A1097" s="1132"/>
      <c r="H1097" s="1098" t="s">
        <v>154</v>
      </c>
      <c r="I1097" s="575"/>
      <c r="J1097" s="580"/>
      <c r="K1097" s="587">
        <f>K1095/2.52</f>
        <v>1715.1756547619045</v>
      </c>
    </row>
    <row r="1098" spans="1:11" hidden="1">
      <c r="A1098" s="1132"/>
      <c r="I1098" s="575"/>
      <c r="J1098" s="580"/>
      <c r="K1098" s="582" t="s">
        <v>155</v>
      </c>
    </row>
    <row r="1099" spans="1:11" hidden="1">
      <c r="A1099" s="1132"/>
      <c r="G1099" s="798" t="s">
        <v>122</v>
      </c>
      <c r="H1099" s="793" t="s">
        <v>1602</v>
      </c>
      <c r="I1099" s="575"/>
      <c r="J1099" s="580"/>
      <c r="K1099" s="575"/>
    </row>
    <row r="1100" spans="1:11" hidden="1">
      <c r="A1100" s="1132"/>
      <c r="H1100" s="796" t="s">
        <v>117</v>
      </c>
      <c r="I1100" s="582" t="s">
        <v>117</v>
      </c>
      <c r="J1100" s="580"/>
      <c r="K1100" s="575"/>
    </row>
    <row r="1101" spans="1:11" hidden="1">
      <c r="A1101" s="1132"/>
      <c r="F1101" s="800">
        <v>0.77</v>
      </c>
      <c r="G1101" s="798" t="s">
        <v>1603</v>
      </c>
      <c r="H1101" s="793" t="s">
        <v>1604</v>
      </c>
      <c r="I1101" s="587">
        <f>C193</f>
        <v>210</v>
      </c>
      <c r="J1101" s="574" t="s">
        <v>1603</v>
      </c>
      <c r="K1101" s="587">
        <f>(F1101*I1101)</f>
        <v>161.70000000000002</v>
      </c>
    </row>
    <row r="1102" spans="1:11" hidden="1">
      <c r="A1102" s="1132"/>
      <c r="F1102" s="800">
        <v>0.61</v>
      </c>
      <c r="G1102" s="798" t="s">
        <v>1603</v>
      </c>
      <c r="H1102" s="793" t="s">
        <v>1605</v>
      </c>
      <c r="I1102" s="587">
        <f>C192</f>
        <v>25</v>
      </c>
      <c r="J1102" s="574" t="s">
        <v>1603</v>
      </c>
      <c r="K1102" s="587">
        <f>(F1102*I1102)</f>
        <v>15.25</v>
      </c>
    </row>
    <row r="1103" spans="1:11" hidden="1">
      <c r="A1103" s="1132"/>
      <c r="F1103" s="800">
        <v>0.7</v>
      </c>
      <c r="G1103" s="798" t="s">
        <v>233</v>
      </c>
      <c r="H1103" s="793" t="s">
        <v>300</v>
      </c>
      <c r="I1103" s="587">
        <f>C14</f>
        <v>120</v>
      </c>
      <c r="J1103" s="574" t="s">
        <v>206</v>
      </c>
      <c r="K1103" s="587">
        <f>(F1103*I1103)</f>
        <v>84</v>
      </c>
    </row>
    <row r="1104" spans="1:11" hidden="1">
      <c r="A1104" s="1132"/>
      <c r="F1104" s="800">
        <v>0.7</v>
      </c>
      <c r="G1104" s="798" t="s">
        <v>233</v>
      </c>
      <c r="H1104" s="793" t="s">
        <v>292</v>
      </c>
      <c r="I1104" s="587">
        <f>C12</f>
        <v>95</v>
      </c>
      <c r="J1104" s="574" t="s">
        <v>206</v>
      </c>
      <c r="K1104" s="587">
        <f>(F1104*I1104)</f>
        <v>66.5</v>
      </c>
    </row>
    <row r="1105" spans="1:11" hidden="1">
      <c r="A1105" s="1132"/>
      <c r="G1105" s="798" t="s">
        <v>129</v>
      </c>
      <c r="H1105" s="793" t="s">
        <v>182</v>
      </c>
      <c r="I1105" s="575"/>
      <c r="J1105" s="574" t="s">
        <v>129</v>
      </c>
      <c r="K1105" s="587">
        <v>1.5</v>
      </c>
    </row>
    <row r="1106" spans="1:11" hidden="1">
      <c r="A1106" s="1132"/>
      <c r="I1106" s="575"/>
      <c r="J1106" s="580"/>
      <c r="K1106" s="582" t="s">
        <v>117</v>
      </c>
    </row>
    <row r="1107" spans="1:11" hidden="1">
      <c r="A1107" s="1132"/>
      <c r="H1107" s="1098" t="s">
        <v>1608</v>
      </c>
      <c r="I1107" s="575"/>
      <c r="J1107" s="580"/>
      <c r="K1107" s="587">
        <f>SUM(K1101:K1105)</f>
        <v>328.95000000000005</v>
      </c>
    </row>
    <row r="1108" spans="1:11" hidden="1">
      <c r="A1108" s="1132"/>
      <c r="I1108" s="575"/>
      <c r="J1108" s="580"/>
      <c r="K1108" s="582" t="s">
        <v>117</v>
      </c>
    </row>
    <row r="1109" spans="1:11" hidden="1">
      <c r="A1109" s="1132"/>
      <c r="H1109" s="1098" t="s">
        <v>154</v>
      </c>
      <c r="I1109" s="575"/>
      <c r="J1109" s="580"/>
      <c r="K1109" s="587">
        <f>(K1107/10)</f>
        <v>32.895000000000003</v>
      </c>
    </row>
    <row r="1110" spans="1:11" hidden="1">
      <c r="A1110" s="1132"/>
      <c r="I1110" s="575"/>
      <c r="J1110" s="580"/>
      <c r="K1110" s="582" t="s">
        <v>155</v>
      </c>
    </row>
    <row r="1111" spans="1:11" hidden="1">
      <c r="A1111" s="1132"/>
      <c r="I1111" s="575"/>
      <c r="J1111" s="580"/>
      <c r="K1111" s="575"/>
    </row>
    <row r="1112" spans="1:11" hidden="1">
      <c r="A1112" s="1132"/>
      <c r="F1112" s="793" t="s">
        <v>115</v>
      </c>
      <c r="G1112" s="798" t="s">
        <v>122</v>
      </c>
      <c r="H1112" s="793" t="s">
        <v>1610</v>
      </c>
      <c r="I1112" s="575"/>
      <c r="J1112" s="580"/>
      <c r="K1112" s="575"/>
    </row>
    <row r="1113" spans="1:11" hidden="1">
      <c r="A1113" s="1132"/>
      <c r="H1113" s="796" t="s">
        <v>117</v>
      </c>
      <c r="I1113" s="582" t="s">
        <v>117</v>
      </c>
      <c r="J1113" s="580"/>
      <c r="K1113" s="575"/>
    </row>
    <row r="1114" spans="1:11" hidden="1">
      <c r="A1114" s="1132"/>
      <c r="F1114" s="800">
        <v>1.2</v>
      </c>
      <c r="G1114" s="798" t="s">
        <v>1603</v>
      </c>
      <c r="H1114" s="793" t="s">
        <v>1604</v>
      </c>
      <c r="I1114" s="587">
        <f>C193</f>
        <v>210</v>
      </c>
      <c r="J1114" s="574" t="s">
        <v>1603</v>
      </c>
      <c r="K1114" s="587">
        <f>(F1114*I1114)</f>
        <v>252</v>
      </c>
    </row>
    <row r="1115" spans="1:11" hidden="1">
      <c r="A1115" s="1132"/>
      <c r="F1115" s="800">
        <v>0.9</v>
      </c>
      <c r="G1115" s="798" t="s">
        <v>1603</v>
      </c>
      <c r="H1115" s="793" t="s">
        <v>1605</v>
      </c>
      <c r="I1115" s="587">
        <f>C192</f>
        <v>25</v>
      </c>
      <c r="J1115" s="574" t="s">
        <v>1603</v>
      </c>
      <c r="K1115" s="587">
        <f>(F1115*I1115)</f>
        <v>22.5</v>
      </c>
    </row>
    <row r="1116" spans="1:11" hidden="1">
      <c r="A1116" s="1132"/>
      <c r="F1116" s="800">
        <v>1.1000000000000001</v>
      </c>
      <c r="G1116" s="798" t="s">
        <v>233</v>
      </c>
      <c r="H1116" s="793" t="s">
        <v>300</v>
      </c>
      <c r="I1116" s="587">
        <f>C14</f>
        <v>120</v>
      </c>
      <c r="J1116" s="574" t="s">
        <v>206</v>
      </c>
      <c r="K1116" s="587">
        <f>(F1116*I1116)</f>
        <v>132</v>
      </c>
    </row>
    <row r="1117" spans="1:11" hidden="1">
      <c r="A1117" s="1132"/>
      <c r="F1117" s="800">
        <v>1.1000000000000001</v>
      </c>
      <c r="G1117" s="798" t="s">
        <v>233</v>
      </c>
      <c r="H1117" s="793" t="s">
        <v>292</v>
      </c>
      <c r="I1117" s="587">
        <f>C12</f>
        <v>95</v>
      </c>
      <c r="J1117" s="574" t="s">
        <v>206</v>
      </c>
      <c r="K1117" s="587">
        <f>(F1117*I1117)</f>
        <v>104.50000000000001</v>
      </c>
    </row>
    <row r="1118" spans="1:11" hidden="1">
      <c r="A1118" s="1132"/>
      <c r="G1118" s="798" t="s">
        <v>129</v>
      </c>
      <c r="H1118" s="793" t="s">
        <v>182</v>
      </c>
      <c r="I1118" s="575"/>
      <c r="J1118" s="574" t="s">
        <v>129</v>
      </c>
      <c r="K1118" s="587">
        <v>1.5</v>
      </c>
    </row>
    <row r="1119" spans="1:11" hidden="1">
      <c r="A1119" s="1132"/>
      <c r="I1119" s="575"/>
      <c r="J1119" s="580"/>
      <c r="K1119" s="582" t="s">
        <v>117</v>
      </c>
    </row>
    <row r="1120" spans="1:11" hidden="1">
      <c r="A1120" s="1132"/>
      <c r="H1120" s="1098" t="s">
        <v>1608</v>
      </c>
      <c r="I1120" s="575"/>
      <c r="J1120" s="580"/>
      <c r="K1120" s="587">
        <f>SUM(K1114:K1118)</f>
        <v>512.5</v>
      </c>
    </row>
    <row r="1121" spans="1:33" hidden="1">
      <c r="A1121" s="1132"/>
      <c r="I1121" s="575"/>
      <c r="J1121" s="580"/>
      <c r="K1121" s="582" t="s">
        <v>117</v>
      </c>
    </row>
    <row r="1122" spans="1:33" hidden="1">
      <c r="A1122" s="1132"/>
      <c r="H1122" s="1098" t="s">
        <v>154</v>
      </c>
      <c r="I1122" s="575"/>
      <c r="J1122" s="580"/>
      <c r="K1122" s="587">
        <f>(K1120/10)</f>
        <v>51.25</v>
      </c>
    </row>
    <row r="1123" spans="1:33" hidden="1">
      <c r="A1123" s="1132"/>
      <c r="I1123" s="575"/>
      <c r="J1123" s="580"/>
      <c r="K1123" s="582" t="s">
        <v>155</v>
      </c>
    </row>
    <row r="1124" spans="1:33" hidden="1">
      <c r="A1124" s="1132"/>
      <c r="I1124" s="575"/>
      <c r="J1124" s="580"/>
      <c r="K1124" s="575"/>
    </row>
    <row r="1125" spans="1:33" hidden="1">
      <c r="A1125" s="1132"/>
      <c r="F1125" s="1120">
        <v>23.3</v>
      </c>
      <c r="H1125" s="794" t="s">
        <v>1613</v>
      </c>
      <c r="I1125" s="575"/>
      <c r="J1125" s="580"/>
      <c r="K1125" s="575">
        <v>35</v>
      </c>
    </row>
    <row r="1126" spans="1:33" hidden="1">
      <c r="A1126" s="1132"/>
      <c r="I1126" s="575"/>
      <c r="J1126" s="580"/>
      <c r="K1126" s="575"/>
    </row>
    <row r="1127" spans="1:33" hidden="1">
      <c r="A1127" s="1132"/>
      <c r="I1127" s="575"/>
      <c r="J1127" s="580"/>
      <c r="K1127" s="575"/>
    </row>
    <row r="1128" spans="1:33" hidden="1">
      <c r="A1128" s="1132"/>
      <c r="F1128" s="1098" t="s">
        <v>228</v>
      </c>
      <c r="G1128" s="798" t="s">
        <v>122</v>
      </c>
      <c r="H1128" s="793" t="s">
        <v>3544</v>
      </c>
      <c r="I1128" s="575"/>
      <c r="J1128" s="580"/>
      <c r="K1128" s="575"/>
      <c r="AG1128" s="793" t="s">
        <v>849</v>
      </c>
    </row>
    <row r="1129" spans="1:33" hidden="1">
      <c r="A1129" s="1132"/>
      <c r="H1129" s="793" t="s">
        <v>229</v>
      </c>
      <c r="I1129" s="575"/>
      <c r="J1129" s="580"/>
      <c r="K1129" s="575"/>
      <c r="AG1129" s="793" t="s">
        <v>849</v>
      </c>
    </row>
    <row r="1130" spans="1:33" hidden="1">
      <c r="A1130" s="1132"/>
      <c r="H1130" s="796" t="s">
        <v>117</v>
      </c>
      <c r="I1130" s="582" t="s">
        <v>117</v>
      </c>
      <c r="J1130" s="580"/>
      <c r="K1130" s="575"/>
      <c r="AG1130" s="793" t="s">
        <v>849</v>
      </c>
    </row>
    <row r="1131" spans="1:33" hidden="1">
      <c r="A1131" s="1132"/>
      <c r="F1131" s="1119">
        <v>0.53339999999999999</v>
      </c>
      <c r="G1131" s="798" t="s">
        <v>174</v>
      </c>
      <c r="H1131" s="793" t="s">
        <v>3545</v>
      </c>
      <c r="I1131" s="587">
        <f>C271</f>
        <v>160</v>
      </c>
      <c r="J1131" s="574" t="s">
        <v>174</v>
      </c>
      <c r="K1131" s="587">
        <f>(F1131*I1131)</f>
        <v>85.343999999999994</v>
      </c>
      <c r="AG1131" s="793" t="s">
        <v>849</v>
      </c>
    </row>
    <row r="1132" spans="1:33" hidden="1">
      <c r="A1132" s="1132"/>
      <c r="F1132" s="800">
        <v>4.24</v>
      </c>
      <c r="G1132" s="798" t="s">
        <v>231</v>
      </c>
      <c r="H1132" s="793" t="s">
        <v>3546</v>
      </c>
      <c r="I1132" s="587">
        <v>13.66</v>
      </c>
      <c r="J1132" s="574" t="s">
        <v>231</v>
      </c>
      <c r="K1132" s="587">
        <f>(F1132*I1132)</f>
        <v>57.918400000000005</v>
      </c>
      <c r="AG1132" s="793" t="s">
        <v>849</v>
      </c>
    </row>
    <row r="1133" spans="1:33" hidden="1">
      <c r="A1133" s="1132"/>
      <c r="F1133" s="800">
        <v>16</v>
      </c>
      <c r="G1133" s="798" t="s">
        <v>233</v>
      </c>
      <c r="H1133" s="793" t="s">
        <v>3547</v>
      </c>
      <c r="I1133" s="587">
        <v>0.5</v>
      </c>
      <c r="J1133" s="574" t="s">
        <v>227</v>
      </c>
      <c r="K1133" s="587">
        <f>(F1133*I1133)</f>
        <v>8</v>
      </c>
      <c r="AG1133" s="793" t="s">
        <v>636</v>
      </c>
    </row>
    <row r="1134" spans="1:33" hidden="1">
      <c r="A1134" s="1132"/>
      <c r="F1134" s="1119">
        <v>0.53339999999999999</v>
      </c>
      <c r="G1134" s="798" t="s">
        <v>174</v>
      </c>
      <c r="H1134" s="793" t="s">
        <v>235</v>
      </c>
      <c r="I1134" s="587">
        <f>0.25/1.08*D16</f>
        <v>31.249999999999996</v>
      </c>
      <c r="J1134" s="574" t="s">
        <v>174</v>
      </c>
      <c r="K1134" s="587">
        <f>(F1134*I1134)</f>
        <v>16.668749999999999</v>
      </c>
    </row>
    <row r="1135" spans="1:33" hidden="1">
      <c r="A1135" s="1132"/>
      <c r="G1135" s="798" t="s">
        <v>129</v>
      </c>
      <c r="H1135" s="793" t="s">
        <v>236</v>
      </c>
      <c r="I1135" s="575"/>
      <c r="J1135" s="574" t="s">
        <v>129</v>
      </c>
      <c r="K1135" s="587">
        <v>0</v>
      </c>
    </row>
    <row r="1136" spans="1:33" hidden="1">
      <c r="A1136" s="1132"/>
      <c r="H1136" s="793" t="s">
        <v>237</v>
      </c>
      <c r="I1136" s="575"/>
      <c r="J1136" s="580"/>
      <c r="K1136" s="575"/>
      <c r="AG1136" s="793" t="s">
        <v>849</v>
      </c>
    </row>
    <row r="1137" spans="1:33" hidden="1">
      <c r="A1137" s="1132"/>
      <c r="I1137" s="575"/>
      <c r="J1137" s="580"/>
      <c r="K1137" s="582" t="s">
        <v>117</v>
      </c>
      <c r="AG1137" s="793" t="s">
        <v>849</v>
      </c>
    </row>
    <row r="1138" spans="1:33" hidden="1">
      <c r="A1138" s="1132"/>
      <c r="H1138" s="1098" t="s">
        <v>238</v>
      </c>
      <c r="I1138" s="575"/>
      <c r="J1138" s="580"/>
      <c r="K1138" s="587">
        <f>SUM(K1131:K1135)</f>
        <v>167.93115</v>
      </c>
      <c r="AG1138" s="793" t="s">
        <v>849</v>
      </c>
    </row>
    <row r="1139" spans="1:33" hidden="1">
      <c r="A1139" s="1132"/>
      <c r="I1139" s="575"/>
      <c r="J1139" s="580"/>
      <c r="K1139" s="582" t="s">
        <v>117</v>
      </c>
      <c r="AG1139" s="793" t="s">
        <v>849</v>
      </c>
    </row>
    <row r="1140" spans="1:33" hidden="1">
      <c r="A1140" s="1132"/>
      <c r="H1140" s="1098" t="s">
        <v>239</v>
      </c>
      <c r="I1140" s="575"/>
      <c r="J1140" s="580"/>
      <c r="K1140" s="587">
        <f>ROUND(K1138/0.5334,1)</f>
        <v>314.8</v>
      </c>
      <c r="AG1140" s="793" t="s">
        <v>849</v>
      </c>
    </row>
    <row r="1141" spans="1:33" hidden="1">
      <c r="A1141" s="1132"/>
      <c r="F1141" s="793" t="s">
        <v>115</v>
      </c>
      <c r="I1141" s="575"/>
      <c r="J1141" s="580"/>
      <c r="K1141" s="582" t="s">
        <v>155</v>
      </c>
    </row>
    <row r="1142" spans="1:33" hidden="1">
      <c r="A1142" s="1132"/>
      <c r="F1142" s="793" t="s">
        <v>115</v>
      </c>
      <c r="G1142" s="798" t="s">
        <v>115</v>
      </c>
      <c r="H1142" s="793" t="s">
        <v>115</v>
      </c>
      <c r="I1142" s="575"/>
      <c r="J1142" s="580"/>
      <c r="K1142" s="575"/>
    </row>
    <row r="1143" spans="1:33" hidden="1">
      <c r="A1143" s="1132"/>
      <c r="F1143" s="1098" t="s">
        <v>392</v>
      </c>
      <c r="G1143" s="798" t="s">
        <v>122</v>
      </c>
      <c r="H1143" s="793" t="s">
        <v>1617</v>
      </c>
      <c r="I1143" s="575"/>
      <c r="J1143" s="580"/>
      <c r="K1143" s="575"/>
      <c r="AG1143" s="793" t="s">
        <v>849</v>
      </c>
    </row>
    <row r="1144" spans="1:33" hidden="1">
      <c r="A1144" s="1132"/>
      <c r="H1144" s="793" t="s">
        <v>3548</v>
      </c>
      <c r="I1144" s="575"/>
      <c r="J1144" s="580"/>
      <c r="K1144" s="575"/>
      <c r="AG1144" s="793" t="s">
        <v>849</v>
      </c>
    </row>
    <row r="1145" spans="1:33" hidden="1">
      <c r="A1145" s="1132"/>
      <c r="H1145" s="796" t="s">
        <v>117</v>
      </c>
      <c r="I1145" s="575"/>
      <c r="J1145" s="580"/>
      <c r="K1145" s="575"/>
      <c r="AG1145" s="793" t="s">
        <v>849</v>
      </c>
    </row>
    <row r="1146" spans="1:33" hidden="1">
      <c r="A1146" s="1132"/>
      <c r="F1146" s="800">
        <v>1</v>
      </c>
      <c r="G1146" s="798" t="s">
        <v>148</v>
      </c>
      <c r="H1146" s="793" t="s">
        <v>3549</v>
      </c>
      <c r="I1146" s="587">
        <f>(C638)</f>
        <v>37</v>
      </c>
      <c r="J1146" s="574" t="s">
        <v>148</v>
      </c>
      <c r="K1146" s="587">
        <f>(F1146*I1146)</f>
        <v>37</v>
      </c>
      <c r="AG1146" s="793" t="s">
        <v>849</v>
      </c>
    </row>
    <row r="1147" spans="1:33" hidden="1">
      <c r="A1147" s="1132"/>
      <c r="I1147" s="575"/>
      <c r="J1147" s="580"/>
      <c r="K1147" s="582" t="s">
        <v>155</v>
      </c>
      <c r="AG1147" s="793" t="s">
        <v>849</v>
      </c>
    </row>
    <row r="1148" spans="1:33" hidden="1">
      <c r="A1148" s="1132"/>
      <c r="I1148" s="575"/>
      <c r="J1148" s="580"/>
      <c r="K1148" s="575"/>
      <c r="AG1148" s="793" t="s">
        <v>849</v>
      </c>
    </row>
    <row r="1149" spans="1:33" hidden="1">
      <c r="A1149" s="1132"/>
      <c r="F1149" s="1098" t="s">
        <v>396</v>
      </c>
      <c r="G1149" s="798" t="s">
        <v>122</v>
      </c>
      <c r="H1149" s="793" t="s">
        <v>3550</v>
      </c>
      <c r="I1149" s="573" t="s">
        <v>115</v>
      </c>
      <c r="J1149" s="574" t="s">
        <v>206</v>
      </c>
      <c r="K1149" s="587">
        <v>3.7</v>
      </c>
      <c r="AG1149" s="793" t="s">
        <v>849</v>
      </c>
    </row>
    <row r="1150" spans="1:33" hidden="1">
      <c r="A1150" s="1132"/>
      <c r="H1150" s="793" t="s">
        <v>1625</v>
      </c>
      <c r="I1150" s="575"/>
      <c r="J1150" s="580"/>
      <c r="K1150" s="582" t="s">
        <v>155</v>
      </c>
      <c r="AG1150" s="793" t="s">
        <v>849</v>
      </c>
    </row>
    <row r="1151" spans="1:33" hidden="1">
      <c r="A1151" s="1132"/>
      <c r="I1151" s="575"/>
      <c r="J1151" s="580"/>
      <c r="K1151" s="575"/>
      <c r="AG1151" s="793" t="s">
        <v>849</v>
      </c>
    </row>
    <row r="1152" spans="1:33" hidden="1">
      <c r="A1152" s="1132"/>
      <c r="F1152" s="1098" t="s">
        <v>408</v>
      </c>
      <c r="G1152" s="798" t="s">
        <v>122</v>
      </c>
      <c r="H1152" s="793" t="s">
        <v>1626</v>
      </c>
      <c r="I1152" s="575"/>
      <c r="J1152" s="580"/>
      <c r="K1152" s="575"/>
      <c r="AG1152" s="793" t="s">
        <v>849</v>
      </c>
    </row>
    <row r="1153" spans="1:33" hidden="1">
      <c r="A1153" s="1132"/>
      <c r="H1153" s="793" t="s">
        <v>1627</v>
      </c>
      <c r="I1153" s="575"/>
      <c r="J1153" s="580"/>
      <c r="K1153" s="575"/>
      <c r="AG1153" s="793" t="s">
        <v>849</v>
      </c>
    </row>
    <row r="1154" spans="1:33" hidden="1">
      <c r="A1154" s="1132"/>
      <c r="H1154" s="796" t="s">
        <v>117</v>
      </c>
      <c r="I1154" s="575"/>
      <c r="J1154" s="580"/>
      <c r="K1154" s="575"/>
      <c r="AG1154" s="793" t="s">
        <v>849</v>
      </c>
    </row>
    <row r="1155" spans="1:33" hidden="1">
      <c r="A1155" s="1132"/>
      <c r="F1155" s="800">
        <v>0.22</v>
      </c>
      <c r="G1155" s="798" t="s">
        <v>126</v>
      </c>
      <c r="H1155" s="793" t="s">
        <v>134</v>
      </c>
      <c r="I1155" s="587" t="e">
        <f>(K40)</f>
        <v>#REF!</v>
      </c>
      <c r="J1155" s="574" t="s">
        <v>126</v>
      </c>
      <c r="K1155" s="587" t="e">
        <f>(F1155*I1155)</f>
        <v>#REF!</v>
      </c>
      <c r="AG1155" s="793" t="s">
        <v>849</v>
      </c>
    </row>
    <row r="1156" spans="1:33" hidden="1">
      <c r="A1156" s="1132"/>
      <c r="F1156" s="800">
        <v>2.2000000000000002</v>
      </c>
      <c r="G1156" s="798" t="s">
        <v>1</v>
      </c>
      <c r="H1156" s="793" t="s">
        <v>144</v>
      </c>
      <c r="I1156" s="587">
        <f>(C10)</f>
        <v>150</v>
      </c>
      <c r="J1156" s="574" t="s">
        <v>1</v>
      </c>
      <c r="K1156" s="587">
        <f>(F1156*I1156)</f>
        <v>330</v>
      </c>
      <c r="AG1156" s="793" t="s">
        <v>849</v>
      </c>
    </row>
    <row r="1157" spans="1:33" hidden="1">
      <c r="A1157" s="1132"/>
      <c r="F1157" s="800">
        <v>0.5</v>
      </c>
      <c r="G1157" s="798" t="s">
        <v>1</v>
      </c>
      <c r="H1157" s="793" t="s">
        <v>1628</v>
      </c>
      <c r="I1157" s="587">
        <f>(C12)</f>
        <v>95</v>
      </c>
      <c r="J1157" s="574" t="s">
        <v>1</v>
      </c>
      <c r="K1157" s="587">
        <f>(F1157*I1157)</f>
        <v>47.5</v>
      </c>
      <c r="AG1157" s="793" t="s">
        <v>849</v>
      </c>
    </row>
    <row r="1158" spans="1:33" hidden="1">
      <c r="A1158" s="1132"/>
      <c r="F1158" s="800">
        <v>3.2</v>
      </c>
      <c r="G1158" s="798" t="s">
        <v>1</v>
      </c>
      <c r="H1158" s="793" t="s">
        <v>147</v>
      </c>
      <c r="I1158" s="587">
        <f>(C13)</f>
        <v>85</v>
      </c>
      <c r="J1158" s="574" t="s">
        <v>1</v>
      </c>
      <c r="K1158" s="587">
        <f>(F1158*I1158)</f>
        <v>272</v>
      </c>
      <c r="AG1158" s="793" t="s">
        <v>849</v>
      </c>
    </row>
    <row r="1159" spans="1:33" hidden="1">
      <c r="A1159" s="1132"/>
      <c r="G1159" s="798" t="s">
        <v>129</v>
      </c>
      <c r="H1159" s="793" t="s">
        <v>130</v>
      </c>
      <c r="I1159" s="573" t="s">
        <v>115</v>
      </c>
      <c r="J1159" s="574" t="s">
        <v>129</v>
      </c>
      <c r="K1159" s="587">
        <v>0</v>
      </c>
      <c r="AG1159" s="793" t="s">
        <v>849</v>
      </c>
    </row>
    <row r="1160" spans="1:33" hidden="1">
      <c r="A1160" s="1132"/>
      <c r="I1160" s="575"/>
      <c r="J1160" s="580"/>
      <c r="K1160" s="582" t="s">
        <v>117</v>
      </c>
      <c r="AG1160" s="793" t="s">
        <v>849</v>
      </c>
    </row>
    <row r="1161" spans="1:33" hidden="1">
      <c r="A1161" s="1132"/>
      <c r="H1161" s="793" t="s">
        <v>153</v>
      </c>
      <c r="I1161" s="575"/>
      <c r="J1161" s="580"/>
      <c r="K1161" s="587" t="e">
        <f>SUM(K1155:K1159)</f>
        <v>#REF!</v>
      </c>
      <c r="AG1161" s="793" t="s">
        <v>849</v>
      </c>
    </row>
    <row r="1162" spans="1:33" hidden="1">
      <c r="A1162" s="1132"/>
      <c r="I1162" s="575"/>
      <c r="J1162" s="580"/>
      <c r="K1162" s="582" t="s">
        <v>117</v>
      </c>
      <c r="AG1162" s="793" t="s">
        <v>849</v>
      </c>
    </row>
    <row r="1163" spans="1:33" hidden="1">
      <c r="A1163" s="1132"/>
      <c r="H1163" s="793" t="s">
        <v>154</v>
      </c>
      <c r="I1163" s="575"/>
      <c r="J1163" s="580"/>
      <c r="K1163" s="587" t="e">
        <f>(K1161/10)</f>
        <v>#REF!</v>
      </c>
      <c r="AG1163" s="793" t="s">
        <v>849</v>
      </c>
    </row>
    <row r="1164" spans="1:33" hidden="1">
      <c r="A1164" s="1132"/>
      <c r="I1164" s="575"/>
      <c r="J1164" s="580"/>
      <c r="K1164" s="582" t="s">
        <v>155</v>
      </c>
      <c r="AG1164" s="793" t="s">
        <v>849</v>
      </c>
    </row>
    <row r="1165" spans="1:33" hidden="1">
      <c r="A1165" s="1132"/>
      <c r="F1165" s="1098" t="s">
        <v>1635</v>
      </c>
      <c r="G1165" s="798" t="s">
        <v>122</v>
      </c>
      <c r="H1165" s="793" t="s">
        <v>1636</v>
      </c>
      <c r="I1165" s="575"/>
      <c r="J1165" s="580"/>
      <c r="K1165" s="575"/>
      <c r="AG1165" s="793" t="s">
        <v>849</v>
      </c>
    </row>
    <row r="1166" spans="1:33" hidden="1">
      <c r="A1166" s="1132"/>
      <c r="H1166" s="793" t="s">
        <v>1638</v>
      </c>
      <c r="I1166" s="575"/>
      <c r="J1166" s="580"/>
      <c r="K1166" s="575"/>
      <c r="AG1166" s="793" t="s">
        <v>849</v>
      </c>
    </row>
    <row r="1167" spans="1:33" hidden="1">
      <c r="A1167" s="1132"/>
      <c r="H1167" s="796" t="s">
        <v>117</v>
      </c>
      <c r="I1167" s="575"/>
      <c r="J1167" s="580"/>
      <c r="K1167" s="575"/>
      <c r="AG1167" s="793" t="s">
        <v>849</v>
      </c>
    </row>
    <row r="1168" spans="1:33" hidden="1">
      <c r="A1168" s="1132"/>
      <c r="F1168" s="800">
        <v>160</v>
      </c>
      <c r="G1168" s="798" t="s">
        <v>1576</v>
      </c>
      <c r="H1168" s="793" t="s">
        <v>1639</v>
      </c>
      <c r="I1168" s="587">
        <f>(C136)</f>
        <v>8240</v>
      </c>
      <c r="J1168" s="574" t="s">
        <v>498</v>
      </c>
      <c r="K1168" s="587">
        <f>(F1168*I1168)/1000</f>
        <v>1318.4</v>
      </c>
      <c r="AG1168" s="793" t="s">
        <v>636</v>
      </c>
    </row>
    <row r="1169" spans="1:33" hidden="1">
      <c r="A1169" s="1132"/>
      <c r="H1169" s="793" t="s">
        <v>1640</v>
      </c>
      <c r="I1169" s="573" t="s">
        <v>115</v>
      </c>
      <c r="J1169" s="580"/>
      <c r="K1169" s="573" t="s">
        <v>115</v>
      </c>
    </row>
    <row r="1170" spans="1:33" hidden="1">
      <c r="A1170" s="1132"/>
      <c r="F1170" s="800">
        <v>0.21</v>
      </c>
      <c r="G1170" s="798" t="s">
        <v>126</v>
      </c>
      <c r="H1170" s="793" t="s">
        <v>142</v>
      </c>
      <c r="I1170" s="587" t="e">
        <f>(K32)</f>
        <v>#REF!</v>
      </c>
      <c r="J1170" s="574" t="s">
        <v>126</v>
      </c>
      <c r="K1170" s="587" t="e">
        <f>(F1170*I1170)</f>
        <v>#REF!</v>
      </c>
    </row>
    <row r="1171" spans="1:33" hidden="1">
      <c r="A1171" s="1132"/>
      <c r="H1171" s="793" t="s">
        <v>160</v>
      </c>
      <c r="I1171" s="573" t="s">
        <v>115</v>
      </c>
      <c r="J1171" s="580"/>
      <c r="K1171" s="573" t="s">
        <v>115</v>
      </c>
      <c r="AG1171" s="793" t="s">
        <v>849</v>
      </c>
    </row>
    <row r="1172" spans="1:33" hidden="1">
      <c r="A1172" s="1132"/>
      <c r="F1172" s="800">
        <v>1.1000000000000001</v>
      </c>
      <c r="G1172" s="798" t="s">
        <v>1</v>
      </c>
      <c r="H1172" s="793" t="s">
        <v>144</v>
      </c>
      <c r="I1172" s="587">
        <f>(C10)</f>
        <v>150</v>
      </c>
      <c r="J1172" s="574" t="s">
        <v>1</v>
      </c>
      <c r="K1172" s="587">
        <f>(F1172*I1172)</f>
        <v>165</v>
      </c>
      <c r="AG1172" s="793" t="s">
        <v>849</v>
      </c>
    </row>
    <row r="1173" spans="1:33" hidden="1">
      <c r="A1173" s="1132"/>
      <c r="F1173" s="800">
        <v>1.1000000000000001</v>
      </c>
      <c r="G1173" s="798" t="s">
        <v>1</v>
      </c>
      <c r="H1173" s="793" t="s">
        <v>145</v>
      </c>
      <c r="I1173" s="587">
        <f>(C11)</f>
        <v>135</v>
      </c>
      <c r="J1173" s="574" t="s">
        <v>1</v>
      </c>
      <c r="K1173" s="587">
        <f>(F1173*I1173)</f>
        <v>148.5</v>
      </c>
      <c r="AG1173" s="793" t="s">
        <v>849</v>
      </c>
    </row>
    <row r="1174" spans="1:33" hidden="1">
      <c r="A1174" s="1132"/>
      <c r="F1174" s="800">
        <v>2.2000000000000002</v>
      </c>
      <c r="G1174" s="798" t="s">
        <v>1</v>
      </c>
      <c r="H1174" s="793" t="s">
        <v>146</v>
      </c>
      <c r="I1174" s="587">
        <f>(C12)</f>
        <v>95</v>
      </c>
      <c r="J1174" s="574" t="s">
        <v>1</v>
      </c>
      <c r="K1174" s="587">
        <f>(F1174*I1174)</f>
        <v>209.00000000000003</v>
      </c>
      <c r="AG1174" s="793" t="s">
        <v>849</v>
      </c>
    </row>
    <row r="1175" spans="1:33" hidden="1">
      <c r="A1175" s="1132"/>
      <c r="F1175" s="800">
        <v>2.2000000000000002</v>
      </c>
      <c r="G1175" s="798" t="s">
        <v>1</v>
      </c>
      <c r="H1175" s="793" t="s">
        <v>147</v>
      </c>
      <c r="I1175" s="587">
        <f>(C13)</f>
        <v>85</v>
      </c>
      <c r="J1175" s="574" t="s">
        <v>1</v>
      </c>
      <c r="K1175" s="587">
        <f>(F1175*I1175)</f>
        <v>187.00000000000003</v>
      </c>
      <c r="AG1175" s="793" t="s">
        <v>849</v>
      </c>
    </row>
    <row r="1176" spans="1:33" hidden="1">
      <c r="A1176" s="1132"/>
      <c r="F1176" s="1108">
        <v>22</v>
      </c>
      <c r="G1176" s="798" t="s">
        <v>148</v>
      </c>
      <c r="H1176" s="793" t="s">
        <v>125</v>
      </c>
      <c r="I1176" s="587">
        <f>(C67)</f>
        <v>3800</v>
      </c>
      <c r="J1176" s="574" t="s">
        <v>124</v>
      </c>
      <c r="K1176" s="587">
        <f>(F1176*I1176)/1000</f>
        <v>83.6</v>
      </c>
      <c r="AG1176" s="793" t="s">
        <v>849</v>
      </c>
    </row>
    <row r="1177" spans="1:33" hidden="1">
      <c r="A1177" s="1132"/>
      <c r="F1177" s="800">
        <v>1.6</v>
      </c>
      <c r="G1177" s="798" t="s">
        <v>1</v>
      </c>
      <c r="H1177" s="793" t="s">
        <v>145</v>
      </c>
      <c r="I1177" s="587">
        <f>(C11)</f>
        <v>135</v>
      </c>
      <c r="J1177" s="574" t="s">
        <v>1</v>
      </c>
      <c r="K1177" s="587">
        <f>(F1177*I1177)</f>
        <v>216</v>
      </c>
      <c r="AG1177" s="793" t="s">
        <v>849</v>
      </c>
    </row>
    <row r="1178" spans="1:33" hidden="1">
      <c r="A1178" s="1132"/>
      <c r="F1178" s="800">
        <v>0.5</v>
      </c>
      <c r="G1178" s="798" t="s">
        <v>1</v>
      </c>
      <c r="H1178" s="793" t="s">
        <v>146</v>
      </c>
      <c r="I1178" s="587">
        <f>(C12)</f>
        <v>95</v>
      </c>
      <c r="J1178" s="574" t="s">
        <v>1</v>
      </c>
      <c r="K1178" s="587">
        <f>(F1178*I1178)</f>
        <v>47.5</v>
      </c>
      <c r="AG1178" s="793" t="s">
        <v>849</v>
      </c>
    </row>
    <row r="1179" spans="1:33" hidden="1">
      <c r="A1179" s="1132"/>
      <c r="F1179" s="800">
        <v>1.1000000000000001</v>
      </c>
      <c r="G1179" s="798" t="s">
        <v>1</v>
      </c>
      <c r="H1179" s="793" t="s">
        <v>147</v>
      </c>
      <c r="I1179" s="587">
        <f>(C13)</f>
        <v>85</v>
      </c>
      <c r="J1179" s="574" t="s">
        <v>1</v>
      </c>
      <c r="K1179" s="587">
        <f>(F1179*I1179)</f>
        <v>93.500000000000014</v>
      </c>
      <c r="AG1179" s="793" t="s">
        <v>849</v>
      </c>
    </row>
    <row r="1180" spans="1:33" hidden="1">
      <c r="A1180" s="1132"/>
      <c r="F1180" s="793" t="s">
        <v>251</v>
      </c>
      <c r="H1180" s="793" t="s">
        <v>1643</v>
      </c>
      <c r="I1180" s="573" t="s">
        <v>115</v>
      </c>
      <c r="J1180" s="580"/>
      <c r="K1180" s="573" t="s">
        <v>115</v>
      </c>
      <c r="AG1180" s="793" t="s">
        <v>849</v>
      </c>
    </row>
    <row r="1181" spans="1:33" hidden="1">
      <c r="A1181" s="1132"/>
      <c r="F1181" s="800">
        <v>1</v>
      </c>
      <c r="G1181" s="798" t="s">
        <v>129</v>
      </c>
      <c r="H1181" s="793" t="s">
        <v>1644</v>
      </c>
      <c r="I1181" s="587">
        <f>(C57)</f>
        <v>35</v>
      </c>
      <c r="J1181" s="574" t="s">
        <v>129</v>
      </c>
      <c r="K1181" s="587">
        <f>(F1181*I1181)</f>
        <v>35</v>
      </c>
      <c r="AG1181" s="793" t="s">
        <v>849</v>
      </c>
    </row>
    <row r="1182" spans="1:33" hidden="1">
      <c r="A1182" s="1132"/>
      <c r="F1182" s="800">
        <v>1</v>
      </c>
      <c r="G1182" s="798" t="s">
        <v>129</v>
      </c>
      <c r="H1182" s="793" t="s">
        <v>1647</v>
      </c>
      <c r="I1182" s="587">
        <f>(C58)</f>
        <v>15</v>
      </c>
      <c r="J1182" s="574" t="s">
        <v>129</v>
      </c>
      <c r="K1182" s="587">
        <f>(F1182*I1182)</f>
        <v>15</v>
      </c>
      <c r="AG1182" s="793" t="s">
        <v>849</v>
      </c>
    </row>
    <row r="1183" spans="1:33" hidden="1">
      <c r="A1183" s="1132"/>
      <c r="F1183" s="800">
        <v>1</v>
      </c>
      <c r="G1183" s="798" t="s">
        <v>129</v>
      </c>
      <c r="H1183" s="793" t="s">
        <v>1648</v>
      </c>
      <c r="I1183" s="587">
        <f>(C28)</f>
        <v>58.33</v>
      </c>
      <c r="J1183" s="574" t="s">
        <v>129</v>
      </c>
      <c r="K1183" s="587">
        <f>(F1183*I1183)</f>
        <v>58.33</v>
      </c>
      <c r="AG1183" s="793" t="s">
        <v>849</v>
      </c>
    </row>
    <row r="1184" spans="1:33" hidden="1">
      <c r="A1184" s="1132"/>
      <c r="F1184" s="800">
        <v>1.1000000000000001</v>
      </c>
      <c r="G1184" s="798" t="s">
        <v>1</v>
      </c>
      <c r="H1184" s="793" t="s">
        <v>1649</v>
      </c>
      <c r="I1184" s="587">
        <f>(C29)</f>
        <v>120</v>
      </c>
      <c r="J1184" s="574" t="s">
        <v>1</v>
      </c>
      <c r="K1184" s="587">
        <f>(F1184*I1184)</f>
        <v>132</v>
      </c>
      <c r="AG1184" s="793" t="s">
        <v>849</v>
      </c>
    </row>
    <row r="1185" spans="1:33" hidden="1">
      <c r="A1185" s="1132"/>
      <c r="F1185" s="800">
        <v>2.2000000000000002</v>
      </c>
      <c r="G1185" s="798" t="s">
        <v>1</v>
      </c>
      <c r="H1185" s="793" t="s">
        <v>1652</v>
      </c>
      <c r="I1185" s="587">
        <f>(C13)</f>
        <v>85</v>
      </c>
      <c r="J1185" s="574" t="s">
        <v>1</v>
      </c>
      <c r="K1185" s="587">
        <f>(F1185*I1185)</f>
        <v>187.00000000000003</v>
      </c>
      <c r="AG1185" s="793" t="s">
        <v>849</v>
      </c>
    </row>
    <row r="1186" spans="1:33" hidden="1">
      <c r="A1186" s="1132"/>
      <c r="G1186" s="798" t="s">
        <v>129</v>
      </c>
      <c r="H1186" s="793" t="s">
        <v>130</v>
      </c>
      <c r="I1186" s="575"/>
      <c r="J1186" s="574" t="s">
        <v>129</v>
      </c>
      <c r="K1186" s="587">
        <v>0</v>
      </c>
      <c r="AG1186" s="793" t="s">
        <v>849</v>
      </c>
    </row>
    <row r="1187" spans="1:33" hidden="1">
      <c r="A1187" s="1132"/>
      <c r="I1187" s="575"/>
      <c r="J1187" s="580"/>
      <c r="K1187" s="582" t="s">
        <v>117</v>
      </c>
      <c r="AG1187" s="793" t="s">
        <v>849</v>
      </c>
    </row>
    <row r="1188" spans="1:33" hidden="1">
      <c r="A1188" s="1132"/>
      <c r="H1188" s="793" t="s">
        <v>153</v>
      </c>
      <c r="I1188" s="575"/>
      <c r="J1188" s="580"/>
      <c r="K1188" s="587" t="e">
        <f>SUM(K1168:K1186)</f>
        <v>#REF!</v>
      </c>
      <c r="AG1188" s="793" t="s">
        <v>849</v>
      </c>
    </row>
    <row r="1189" spans="1:33" hidden="1">
      <c r="A1189" s="1132"/>
      <c r="I1189" s="575"/>
      <c r="J1189" s="580"/>
      <c r="K1189" s="582" t="s">
        <v>117</v>
      </c>
      <c r="AG1189" s="793" t="s">
        <v>849</v>
      </c>
    </row>
    <row r="1190" spans="1:33" hidden="1">
      <c r="A1190" s="1132"/>
      <c r="F1190" s="793" t="s">
        <v>115</v>
      </c>
      <c r="I1190" s="575"/>
      <c r="J1190" s="580"/>
      <c r="K1190" s="575"/>
    </row>
    <row r="1191" spans="1:33" hidden="1">
      <c r="A1191" s="1132"/>
      <c r="H1191" s="793" t="s">
        <v>154</v>
      </c>
      <c r="I1191" s="575"/>
      <c r="J1191" s="580"/>
      <c r="K1191" s="587" t="e">
        <f>(K1188/10)</f>
        <v>#REF!</v>
      </c>
      <c r="AG1191" s="793" t="s">
        <v>849</v>
      </c>
    </row>
    <row r="1192" spans="1:33" hidden="1">
      <c r="A1192" s="1132"/>
      <c r="F1192" s="793" t="s">
        <v>115</v>
      </c>
      <c r="I1192" s="575"/>
      <c r="J1192" s="580"/>
      <c r="K1192" s="575"/>
    </row>
    <row r="1193" spans="1:33" hidden="1">
      <c r="A1193" s="1132"/>
      <c r="I1193" s="575"/>
      <c r="J1193" s="580"/>
      <c r="K1193" s="582" t="s">
        <v>155</v>
      </c>
      <c r="AG1193" s="793" t="s">
        <v>849</v>
      </c>
    </row>
    <row r="1194" spans="1:33" hidden="1">
      <c r="A1194" s="1132"/>
      <c r="F1194" s="1109">
        <v>29.5</v>
      </c>
      <c r="G1194" s="798" t="s">
        <v>122</v>
      </c>
      <c r="H1194" s="793" t="s">
        <v>156</v>
      </c>
      <c r="I1194" s="575"/>
      <c r="J1194" s="580"/>
      <c r="K1194" s="575"/>
      <c r="AG1194" s="793" t="s">
        <v>849</v>
      </c>
    </row>
    <row r="1195" spans="1:33" hidden="1">
      <c r="A1195" s="1132"/>
      <c r="H1195" s="793" t="s">
        <v>157</v>
      </c>
      <c r="I1195" s="575"/>
      <c r="J1195" s="580"/>
      <c r="K1195" s="575"/>
      <c r="AG1195" s="793" t="s">
        <v>849</v>
      </c>
    </row>
    <row r="1196" spans="1:33" hidden="1">
      <c r="A1196" s="1132"/>
      <c r="H1196" s="793" t="s">
        <v>158</v>
      </c>
      <c r="I1196" s="575"/>
      <c r="J1196" s="580"/>
      <c r="K1196" s="575"/>
      <c r="AG1196" s="793" t="s">
        <v>849</v>
      </c>
    </row>
    <row r="1197" spans="1:33" hidden="1">
      <c r="A1197" s="1132"/>
      <c r="H1197" s="796" t="s">
        <v>117</v>
      </c>
      <c r="I1197" s="582" t="s">
        <v>117</v>
      </c>
      <c r="J1197" s="580"/>
      <c r="K1197" s="575"/>
      <c r="AG1197" s="793" t="s">
        <v>849</v>
      </c>
    </row>
    <row r="1198" spans="1:33" hidden="1">
      <c r="A1198" s="1132"/>
      <c r="F1198" s="800">
        <v>10</v>
      </c>
      <c r="G1198" s="798" t="s">
        <v>140</v>
      </c>
      <c r="H1198" s="793" t="s">
        <v>159</v>
      </c>
      <c r="I1198" s="587">
        <f>(C579)</f>
        <v>301</v>
      </c>
      <c r="J1198" s="574" t="s">
        <v>140</v>
      </c>
      <c r="K1198" s="587">
        <f>(F1198*I1198)</f>
        <v>3010</v>
      </c>
      <c r="AG1198" s="793" t="s">
        <v>849</v>
      </c>
    </row>
    <row r="1199" spans="1:33" hidden="1">
      <c r="A1199" s="1132"/>
      <c r="F1199" s="800">
        <v>0.21</v>
      </c>
      <c r="G1199" s="798" t="s">
        <v>126</v>
      </c>
      <c r="H1199" s="793" t="s">
        <v>142</v>
      </c>
      <c r="I1199" s="587" t="e">
        <f>(K32)</f>
        <v>#REF!</v>
      </c>
      <c r="J1199" s="574" t="s">
        <v>126</v>
      </c>
      <c r="K1199" s="587" t="e">
        <f>(F1199*I1199)</f>
        <v>#REF!</v>
      </c>
      <c r="AG1199" s="793" t="s">
        <v>849</v>
      </c>
    </row>
    <row r="1200" spans="1:33" hidden="1">
      <c r="A1200" s="1132"/>
      <c r="H1200" s="793" t="s">
        <v>160</v>
      </c>
      <c r="I1200" s="573" t="s">
        <v>115</v>
      </c>
      <c r="J1200" s="580"/>
      <c r="K1200" s="573" t="s">
        <v>115</v>
      </c>
      <c r="AG1200" s="793" t="s">
        <v>849</v>
      </c>
    </row>
    <row r="1201" spans="1:33" hidden="1">
      <c r="A1201" s="1132"/>
      <c r="F1201" s="800">
        <v>1.1000000000000001</v>
      </c>
      <c r="G1201" s="798" t="s">
        <v>1</v>
      </c>
      <c r="H1201" s="793" t="s">
        <v>144</v>
      </c>
      <c r="I1201" s="587">
        <f>(C10)</f>
        <v>150</v>
      </c>
      <c r="J1201" s="574" t="s">
        <v>1</v>
      </c>
      <c r="K1201" s="587">
        <f>(F1201*I1201)</f>
        <v>165</v>
      </c>
      <c r="AG1201" s="793" t="s">
        <v>849</v>
      </c>
    </row>
    <row r="1202" spans="1:33" hidden="1">
      <c r="A1202" s="1132"/>
      <c r="F1202" s="800">
        <v>1.1000000000000001</v>
      </c>
      <c r="G1202" s="798" t="s">
        <v>1</v>
      </c>
      <c r="H1202" s="793" t="s">
        <v>145</v>
      </c>
      <c r="I1202" s="587">
        <f>(C11)</f>
        <v>135</v>
      </c>
      <c r="J1202" s="574" t="s">
        <v>1</v>
      </c>
      <c r="K1202" s="587">
        <f>(F1202*I1202)</f>
        <v>148.5</v>
      </c>
      <c r="AG1202" s="793" t="s">
        <v>849</v>
      </c>
    </row>
    <row r="1203" spans="1:33" hidden="1">
      <c r="A1203" s="1132"/>
      <c r="F1203" s="800">
        <v>2.2000000000000002</v>
      </c>
      <c r="G1203" s="798" t="s">
        <v>1</v>
      </c>
      <c r="H1203" s="793" t="s">
        <v>146</v>
      </c>
      <c r="I1203" s="587">
        <f>(C12)</f>
        <v>95</v>
      </c>
      <c r="J1203" s="574" t="s">
        <v>1</v>
      </c>
      <c r="K1203" s="587">
        <f>(F1203*I1203)</f>
        <v>209.00000000000003</v>
      </c>
      <c r="AG1203" s="793" t="s">
        <v>849</v>
      </c>
    </row>
    <row r="1204" spans="1:33" hidden="1">
      <c r="A1204" s="1132"/>
      <c r="F1204" s="800">
        <v>2.2000000000000002</v>
      </c>
      <c r="G1204" s="798" t="s">
        <v>1</v>
      </c>
      <c r="H1204" s="793" t="s">
        <v>147</v>
      </c>
      <c r="I1204" s="587">
        <f>(C13)</f>
        <v>85</v>
      </c>
      <c r="J1204" s="574" t="s">
        <v>1</v>
      </c>
      <c r="K1204" s="587">
        <f>(F1204*I1204)</f>
        <v>187.00000000000003</v>
      </c>
    </row>
    <row r="1205" spans="1:33" hidden="1">
      <c r="A1205" s="1132"/>
      <c r="F1205" s="1108">
        <v>20</v>
      </c>
      <c r="G1205" s="798" t="s">
        <v>148</v>
      </c>
      <c r="H1205" s="793" t="s">
        <v>125</v>
      </c>
      <c r="I1205" s="587">
        <f>(C67)</f>
        <v>3800</v>
      </c>
      <c r="J1205" s="574" t="s">
        <v>124</v>
      </c>
      <c r="K1205" s="587">
        <f>(F1205*I1205)/1000</f>
        <v>76</v>
      </c>
    </row>
    <row r="1206" spans="1:33" hidden="1">
      <c r="A1206" s="1132"/>
      <c r="F1206" s="1108">
        <v>2</v>
      </c>
      <c r="G1206" s="798" t="s">
        <v>148</v>
      </c>
      <c r="H1206" s="793" t="s">
        <v>3551</v>
      </c>
      <c r="I1206" s="587">
        <f>C586</f>
        <v>19</v>
      </c>
      <c r="J1206" s="574" t="s">
        <v>148</v>
      </c>
      <c r="K1206" s="587">
        <f>(F1206*I1206)</f>
        <v>38</v>
      </c>
      <c r="AG1206" s="793" t="s">
        <v>115</v>
      </c>
    </row>
    <row r="1207" spans="1:33" hidden="1">
      <c r="A1207" s="1132"/>
      <c r="F1207" s="800">
        <v>1.6</v>
      </c>
      <c r="G1207" s="798" t="s">
        <v>1</v>
      </c>
      <c r="H1207" s="793" t="s">
        <v>145</v>
      </c>
      <c r="I1207" s="587">
        <f>(C11)</f>
        <v>135</v>
      </c>
      <c r="J1207" s="574" t="s">
        <v>1</v>
      </c>
      <c r="K1207" s="587">
        <f>(F1207*I1207)</f>
        <v>216</v>
      </c>
    </row>
    <row r="1208" spans="1:33" hidden="1">
      <c r="A1208" s="1132"/>
      <c r="F1208" s="800">
        <v>0.5</v>
      </c>
      <c r="G1208" s="798" t="s">
        <v>1</v>
      </c>
      <c r="H1208" s="793" t="s">
        <v>146</v>
      </c>
      <c r="I1208" s="587">
        <f>(C12)</f>
        <v>95</v>
      </c>
      <c r="J1208" s="574" t="s">
        <v>1</v>
      </c>
      <c r="K1208" s="587">
        <f>(F1208*I1208)</f>
        <v>47.5</v>
      </c>
    </row>
    <row r="1209" spans="1:33" hidden="1">
      <c r="A1209" s="1132"/>
      <c r="F1209" s="800">
        <v>1.1000000000000001</v>
      </c>
      <c r="G1209" s="798" t="s">
        <v>1</v>
      </c>
      <c r="H1209" s="793" t="s">
        <v>147</v>
      </c>
      <c r="I1209" s="587">
        <f>(C13)</f>
        <v>85</v>
      </c>
      <c r="J1209" s="574" t="s">
        <v>1</v>
      </c>
      <c r="K1209" s="587">
        <f>(F1209*I1209)</f>
        <v>93.500000000000014</v>
      </c>
    </row>
    <row r="1210" spans="1:33" hidden="1">
      <c r="A1210" s="1132"/>
      <c r="G1210" s="798" t="s">
        <v>129</v>
      </c>
      <c r="H1210" s="793" t="s">
        <v>130</v>
      </c>
      <c r="I1210" s="575"/>
      <c r="J1210" s="574" t="s">
        <v>129</v>
      </c>
      <c r="K1210" s="587">
        <v>0</v>
      </c>
    </row>
    <row r="1211" spans="1:33" hidden="1">
      <c r="A1211" s="1132"/>
      <c r="I1211" s="575"/>
      <c r="J1211" s="580"/>
      <c r="K1211" s="582" t="s">
        <v>117</v>
      </c>
    </row>
    <row r="1212" spans="1:33" hidden="1">
      <c r="A1212" s="1132"/>
      <c r="H1212" s="793" t="s">
        <v>153</v>
      </c>
      <c r="I1212" s="575"/>
      <c r="J1212" s="580"/>
      <c r="K1212" s="587" t="e">
        <f>SUM(K1198:K1210)</f>
        <v>#REF!</v>
      </c>
    </row>
    <row r="1213" spans="1:33" hidden="1">
      <c r="A1213" s="1132"/>
      <c r="I1213" s="575"/>
      <c r="J1213" s="580"/>
      <c r="K1213" s="582" t="s">
        <v>117</v>
      </c>
    </row>
    <row r="1214" spans="1:33" hidden="1">
      <c r="A1214" s="1132"/>
      <c r="H1214" s="793" t="s">
        <v>154</v>
      </c>
      <c r="I1214" s="575"/>
      <c r="J1214" s="580"/>
      <c r="K1214" s="587" t="e">
        <f>(K1212/10)</f>
        <v>#REF!</v>
      </c>
    </row>
    <row r="1215" spans="1:33" hidden="1">
      <c r="A1215" s="1132"/>
      <c r="I1215" s="575"/>
      <c r="J1215" s="580"/>
      <c r="K1215" s="582" t="s">
        <v>155</v>
      </c>
    </row>
    <row r="1216" spans="1:33" hidden="1">
      <c r="A1216" s="1132"/>
      <c r="F1216" s="1109">
        <v>29.4</v>
      </c>
      <c r="G1216" s="798" t="s">
        <v>122</v>
      </c>
      <c r="H1216" s="793" t="s">
        <v>1665</v>
      </c>
      <c r="I1216" s="575"/>
      <c r="J1216" s="580"/>
      <c r="K1216" s="575"/>
    </row>
    <row r="1217" spans="1:11" hidden="1">
      <c r="A1217" s="1132"/>
      <c r="H1217" s="793" t="s">
        <v>1667</v>
      </c>
      <c r="I1217" s="575"/>
      <c r="J1217" s="580"/>
      <c r="K1217" s="575"/>
    </row>
    <row r="1218" spans="1:11" hidden="1">
      <c r="A1218" s="1132"/>
      <c r="H1218" s="796" t="s">
        <v>117</v>
      </c>
      <c r="I1218" s="575"/>
      <c r="J1218" s="580"/>
      <c r="K1218" s="575"/>
    </row>
    <row r="1219" spans="1:11" hidden="1">
      <c r="A1219" s="1132"/>
      <c r="F1219" s="800">
        <v>1.86</v>
      </c>
      <c r="G1219" s="798" t="s">
        <v>140</v>
      </c>
      <c r="H1219" s="793" t="s">
        <v>1668</v>
      </c>
      <c r="I1219" s="587">
        <f>C580</f>
        <v>325</v>
      </c>
      <c r="J1219" s="574" t="s">
        <v>140</v>
      </c>
      <c r="K1219" s="587">
        <f>(F1219*I1219)</f>
        <v>604.5</v>
      </c>
    </row>
    <row r="1220" spans="1:11" hidden="1">
      <c r="A1220" s="1132"/>
      <c r="F1220" s="800">
        <v>0.4</v>
      </c>
      <c r="G1220" s="798" t="s">
        <v>148</v>
      </c>
      <c r="H1220" s="793" t="s">
        <v>3552</v>
      </c>
      <c r="I1220" s="587">
        <f>C586</f>
        <v>19</v>
      </c>
      <c r="J1220" s="574" t="s">
        <v>148</v>
      </c>
      <c r="K1220" s="587">
        <f>(F1220*I1220)</f>
        <v>7.6000000000000005</v>
      </c>
    </row>
    <row r="1221" spans="1:11" hidden="1">
      <c r="A1221" s="1132"/>
      <c r="F1221" s="800">
        <v>0.02</v>
      </c>
      <c r="G1221" s="798" t="s">
        <v>126</v>
      </c>
      <c r="H1221" s="793" t="s">
        <v>1664</v>
      </c>
      <c r="I1221" s="587" t="e">
        <f>K23</f>
        <v>#REF!</v>
      </c>
      <c r="J1221" s="574" t="s">
        <v>126</v>
      </c>
      <c r="K1221" s="587" t="e">
        <f>(F1221*I1221)</f>
        <v>#REF!</v>
      </c>
    </row>
    <row r="1222" spans="1:11" hidden="1">
      <c r="A1222" s="1132"/>
      <c r="F1222" s="800">
        <v>1</v>
      </c>
      <c r="G1222" s="798" t="s">
        <v>1</v>
      </c>
      <c r="H1222" s="793" t="s">
        <v>144</v>
      </c>
      <c r="I1222" s="587">
        <f>C10</f>
        <v>150</v>
      </c>
      <c r="J1222" s="574" t="s">
        <v>1</v>
      </c>
      <c r="K1222" s="587">
        <f>(F1222*I1222)</f>
        <v>150</v>
      </c>
    </row>
    <row r="1223" spans="1:11" hidden="1">
      <c r="A1223" s="1132"/>
      <c r="F1223" s="800">
        <v>1</v>
      </c>
      <c r="G1223" s="798" t="s">
        <v>1</v>
      </c>
      <c r="H1223" s="793" t="s">
        <v>1666</v>
      </c>
      <c r="I1223" s="587">
        <f>C12</f>
        <v>95</v>
      </c>
      <c r="J1223" s="574" t="s">
        <v>1</v>
      </c>
      <c r="K1223" s="587">
        <f>(F1223*I1223)</f>
        <v>95</v>
      </c>
    </row>
    <row r="1224" spans="1:11" hidden="1">
      <c r="A1224" s="1132"/>
      <c r="G1224" s="798" t="s">
        <v>129</v>
      </c>
      <c r="H1224" s="793" t="s">
        <v>130</v>
      </c>
      <c r="I1224" s="575"/>
      <c r="J1224" s="574" t="s">
        <v>129</v>
      </c>
      <c r="K1224" s="587">
        <v>0</v>
      </c>
    </row>
    <row r="1225" spans="1:11" hidden="1">
      <c r="A1225" s="1132"/>
      <c r="I1225" s="575"/>
      <c r="J1225" s="580"/>
      <c r="K1225" s="582" t="s">
        <v>117</v>
      </c>
    </row>
    <row r="1226" spans="1:11" hidden="1">
      <c r="A1226" s="1132"/>
      <c r="H1226" s="793" t="s">
        <v>1669</v>
      </c>
      <c r="I1226" s="575"/>
      <c r="J1226" s="580"/>
      <c r="K1226" s="587" t="e">
        <f>SUM(K1219:K1224)</f>
        <v>#REF!</v>
      </c>
    </row>
    <row r="1227" spans="1:11" hidden="1">
      <c r="A1227" s="1132"/>
      <c r="I1227" s="575"/>
      <c r="J1227" s="580"/>
      <c r="K1227" s="582" t="s">
        <v>117</v>
      </c>
    </row>
    <row r="1228" spans="1:11" hidden="1">
      <c r="A1228" s="1132"/>
      <c r="H1228" s="793" t="s">
        <v>154</v>
      </c>
      <c r="I1228" s="575"/>
      <c r="J1228" s="580"/>
      <c r="K1228" s="587" t="e">
        <f>(K1226/1.86)</f>
        <v>#REF!</v>
      </c>
    </row>
    <row r="1229" spans="1:11" hidden="1">
      <c r="A1229" s="1132"/>
      <c r="I1229" s="575"/>
      <c r="J1229" s="580"/>
      <c r="K1229" s="582" t="s">
        <v>155</v>
      </c>
    </row>
    <row r="1230" spans="1:11" hidden="1">
      <c r="A1230" s="1132"/>
      <c r="F1230" s="1098" t="s">
        <v>416</v>
      </c>
      <c r="G1230" s="798" t="s">
        <v>122</v>
      </c>
      <c r="H1230" s="793" t="s">
        <v>1626</v>
      </c>
      <c r="I1230" s="575"/>
      <c r="J1230" s="580"/>
      <c r="K1230" s="575"/>
    </row>
    <row r="1231" spans="1:11" hidden="1">
      <c r="A1231" s="1132"/>
      <c r="H1231" s="793" t="s">
        <v>1627</v>
      </c>
      <c r="I1231" s="575"/>
      <c r="J1231" s="580"/>
      <c r="K1231" s="575"/>
    </row>
    <row r="1232" spans="1:11" hidden="1">
      <c r="A1232" s="1132"/>
      <c r="H1232" s="793" t="s">
        <v>1679</v>
      </c>
      <c r="I1232" s="575"/>
      <c r="J1232" s="580"/>
      <c r="K1232" s="575"/>
    </row>
    <row r="1233" spans="1:11" hidden="1">
      <c r="A1233" s="1132"/>
      <c r="H1233" s="793" t="s">
        <v>1681</v>
      </c>
      <c r="I1233" s="575"/>
      <c r="J1233" s="580"/>
      <c r="K1233" s="575"/>
    </row>
    <row r="1234" spans="1:11" hidden="1">
      <c r="A1234" s="1132"/>
      <c r="H1234" s="796" t="s">
        <v>117</v>
      </c>
      <c r="I1234" s="575"/>
      <c r="J1234" s="580"/>
      <c r="K1234" s="575"/>
    </row>
    <row r="1235" spans="1:11" hidden="1">
      <c r="A1235" s="1132"/>
      <c r="F1235" s="800">
        <v>0.24</v>
      </c>
      <c r="G1235" s="798" t="s">
        <v>126</v>
      </c>
      <c r="H1235" s="793" t="s">
        <v>1683</v>
      </c>
      <c r="I1235" s="587" t="e">
        <f>(C70)</f>
        <v>#REF!</v>
      </c>
      <c r="J1235" s="574" t="s">
        <v>126</v>
      </c>
      <c r="K1235" s="587" t="e">
        <f>(F1235*I1235)</f>
        <v>#REF!</v>
      </c>
    </row>
    <row r="1236" spans="1:11" hidden="1">
      <c r="A1236" s="1132"/>
      <c r="F1236" s="1108">
        <v>0.11700000000000001</v>
      </c>
      <c r="G1236" s="798" t="s">
        <v>124</v>
      </c>
      <c r="H1236" s="793" t="s">
        <v>125</v>
      </c>
      <c r="I1236" s="587">
        <f>(C67)</f>
        <v>3800</v>
      </c>
      <c r="J1236" s="574" t="s">
        <v>124</v>
      </c>
      <c r="K1236" s="587">
        <f>(F1236*I1236)</f>
        <v>444.6</v>
      </c>
    </row>
    <row r="1237" spans="1:11" hidden="1">
      <c r="A1237" s="1132"/>
      <c r="F1237" s="800">
        <v>0.5</v>
      </c>
      <c r="G1237" s="798" t="s">
        <v>1</v>
      </c>
      <c r="H1237" s="793" t="s">
        <v>144</v>
      </c>
      <c r="I1237" s="587">
        <f>(C10)</f>
        <v>150</v>
      </c>
      <c r="J1237" s="574" t="s">
        <v>1</v>
      </c>
      <c r="K1237" s="587">
        <f>(F1237*I1237)</f>
        <v>75</v>
      </c>
    </row>
    <row r="1238" spans="1:11" hidden="1">
      <c r="A1238" s="1132"/>
      <c r="F1238" s="800">
        <v>1.1000000000000001</v>
      </c>
      <c r="G1238" s="798" t="s">
        <v>1</v>
      </c>
      <c r="H1238" s="793" t="s">
        <v>1628</v>
      </c>
      <c r="I1238" s="587">
        <f>(C12)</f>
        <v>95</v>
      </c>
      <c r="J1238" s="574" t="s">
        <v>1</v>
      </c>
      <c r="K1238" s="587">
        <f>(F1238*I1238)</f>
        <v>104.50000000000001</v>
      </c>
    </row>
    <row r="1239" spans="1:11" hidden="1">
      <c r="A1239" s="1132"/>
      <c r="F1239" s="800">
        <v>4.3</v>
      </c>
      <c r="G1239" s="798" t="s">
        <v>1</v>
      </c>
      <c r="H1239" s="793" t="s">
        <v>147</v>
      </c>
      <c r="I1239" s="587">
        <f>(C13)</f>
        <v>85</v>
      </c>
      <c r="J1239" s="574" t="s">
        <v>1</v>
      </c>
      <c r="K1239" s="587">
        <f>(F1239*I1239)</f>
        <v>365.5</v>
      </c>
    </row>
    <row r="1240" spans="1:11" hidden="1">
      <c r="A1240" s="1132"/>
      <c r="G1240" s="798" t="s">
        <v>129</v>
      </c>
      <c r="H1240" s="793" t="s">
        <v>130</v>
      </c>
      <c r="I1240" s="575"/>
      <c r="J1240" s="574" t="s">
        <v>129</v>
      </c>
      <c r="K1240" s="587">
        <v>0</v>
      </c>
    </row>
    <row r="1241" spans="1:11" hidden="1">
      <c r="A1241" s="1132"/>
      <c r="I1241" s="575"/>
      <c r="J1241" s="580"/>
      <c r="K1241" s="582" t="s">
        <v>117</v>
      </c>
    </row>
    <row r="1242" spans="1:11" hidden="1">
      <c r="A1242" s="1132"/>
      <c r="H1242" s="793" t="s">
        <v>153</v>
      </c>
      <c r="I1242" s="575"/>
      <c r="J1242" s="580"/>
      <c r="K1242" s="587" t="e">
        <f>SUM(K1235:K1240)</f>
        <v>#REF!</v>
      </c>
    </row>
    <row r="1243" spans="1:11" hidden="1">
      <c r="A1243" s="1132"/>
      <c r="I1243" s="575"/>
      <c r="J1243" s="580"/>
      <c r="K1243" s="582" t="s">
        <v>117</v>
      </c>
    </row>
    <row r="1244" spans="1:11" hidden="1">
      <c r="A1244" s="1132"/>
      <c r="H1244" s="793" t="s">
        <v>154</v>
      </c>
      <c r="I1244" s="575"/>
      <c r="J1244" s="580"/>
      <c r="K1244" s="587" t="e">
        <f>(K1242/10)</f>
        <v>#REF!</v>
      </c>
    </row>
    <row r="1245" spans="1:11" hidden="1">
      <c r="A1245" s="1132"/>
      <c r="F1245" s="793" t="s">
        <v>115</v>
      </c>
      <c r="I1245" s="575"/>
      <c r="J1245" s="580"/>
      <c r="K1245" s="575"/>
    </row>
    <row r="1246" spans="1:11" hidden="1">
      <c r="A1246" s="1132"/>
      <c r="I1246" s="575"/>
      <c r="J1246" s="580"/>
      <c r="K1246" s="582" t="s">
        <v>155</v>
      </c>
    </row>
    <row r="1247" spans="1:11" hidden="1">
      <c r="A1247" s="1132"/>
      <c r="F1247" s="1098" t="s">
        <v>1688</v>
      </c>
      <c r="G1247" s="798" t="s">
        <v>122</v>
      </c>
      <c r="H1247" s="1111" t="s">
        <v>1689</v>
      </c>
      <c r="I1247" s="575"/>
      <c r="J1247" s="580"/>
      <c r="K1247" s="575"/>
    </row>
    <row r="1248" spans="1:11" hidden="1">
      <c r="A1248" s="1132"/>
      <c r="H1248" s="793" t="s">
        <v>1692</v>
      </c>
      <c r="I1248" s="575"/>
      <c r="J1248" s="580"/>
      <c r="K1248" s="575"/>
    </row>
    <row r="1249" spans="1:11" hidden="1">
      <c r="A1249" s="1132"/>
      <c r="H1249" s="793" t="s">
        <v>1694</v>
      </c>
      <c r="I1249" s="575"/>
      <c r="J1249" s="580"/>
      <c r="K1249" s="575"/>
    </row>
    <row r="1250" spans="1:11" hidden="1">
      <c r="A1250" s="1132"/>
      <c r="H1250" s="793" t="s">
        <v>1695</v>
      </c>
      <c r="I1250" s="575"/>
      <c r="J1250" s="580"/>
      <c r="K1250" s="575"/>
    </row>
    <row r="1251" spans="1:11" hidden="1">
      <c r="A1251" s="1132"/>
      <c r="H1251" s="793" t="s">
        <v>1697</v>
      </c>
      <c r="I1251" s="575"/>
      <c r="J1251" s="580"/>
      <c r="K1251" s="575"/>
    </row>
    <row r="1252" spans="1:11" hidden="1">
      <c r="A1252" s="1132"/>
      <c r="H1252" s="796" t="s">
        <v>117</v>
      </c>
      <c r="I1252" s="575"/>
      <c r="J1252" s="580"/>
      <c r="K1252" s="575"/>
    </row>
    <row r="1253" spans="1:11" hidden="1">
      <c r="A1253" s="1132"/>
      <c r="F1253" s="800">
        <v>12.8</v>
      </c>
      <c r="G1253" s="798" t="s">
        <v>126</v>
      </c>
      <c r="H1253" s="793" t="s">
        <v>1700</v>
      </c>
      <c r="I1253" s="587" t="e">
        <f>(C82)</f>
        <v>#REF!</v>
      </c>
      <c r="J1253" s="574" t="s">
        <v>126</v>
      </c>
      <c r="K1253" s="587" t="e">
        <f>(F1253*I1253)</f>
        <v>#REF!</v>
      </c>
    </row>
    <row r="1254" spans="1:11" hidden="1">
      <c r="A1254" s="1132"/>
      <c r="F1254" s="800">
        <v>5</v>
      </c>
      <c r="G1254" s="798" t="s">
        <v>126</v>
      </c>
      <c r="H1254" s="793" t="s">
        <v>1701</v>
      </c>
      <c r="I1254" s="587" t="e">
        <f>(C85)</f>
        <v>#REF!</v>
      </c>
      <c r="J1254" s="574" t="s">
        <v>126</v>
      </c>
      <c r="K1254" s="587" t="e">
        <f>(F1254*I1254)</f>
        <v>#REF!</v>
      </c>
    </row>
    <row r="1255" spans="1:11" hidden="1">
      <c r="A1255" s="1132"/>
      <c r="F1255" s="800">
        <v>1.8</v>
      </c>
      <c r="G1255" s="798" t="s">
        <v>1</v>
      </c>
      <c r="H1255" s="793" t="s">
        <v>144</v>
      </c>
      <c r="I1255" s="587">
        <f>(C10)</f>
        <v>150</v>
      </c>
      <c r="J1255" s="574" t="s">
        <v>1</v>
      </c>
      <c r="K1255" s="587">
        <f>(F1255*I1255)</f>
        <v>270</v>
      </c>
    </row>
    <row r="1256" spans="1:11" hidden="1">
      <c r="A1256" s="1132"/>
      <c r="F1256" s="800">
        <v>17.7</v>
      </c>
      <c r="G1256" s="798" t="s">
        <v>1</v>
      </c>
      <c r="H1256" s="793" t="s">
        <v>1628</v>
      </c>
      <c r="I1256" s="587">
        <f>(C12)</f>
        <v>95</v>
      </c>
      <c r="J1256" s="574" t="s">
        <v>1</v>
      </c>
      <c r="K1256" s="587">
        <f>(F1256*I1256)</f>
        <v>1681.5</v>
      </c>
    </row>
    <row r="1257" spans="1:11" hidden="1">
      <c r="A1257" s="1132"/>
      <c r="F1257" s="800">
        <v>14.1</v>
      </c>
      <c r="G1257" s="798" t="s">
        <v>1</v>
      </c>
      <c r="H1257" s="793" t="s">
        <v>147</v>
      </c>
      <c r="I1257" s="587">
        <f>(C13)</f>
        <v>85</v>
      </c>
      <c r="J1257" s="574" t="s">
        <v>1</v>
      </c>
      <c r="K1257" s="587">
        <f>(F1257*I1257)</f>
        <v>1198.5</v>
      </c>
    </row>
    <row r="1258" spans="1:11" hidden="1">
      <c r="A1258" s="1132"/>
      <c r="G1258" s="798" t="s">
        <v>129</v>
      </c>
      <c r="H1258" s="793" t="s">
        <v>130</v>
      </c>
      <c r="I1258" s="575"/>
      <c r="J1258" s="574" t="s">
        <v>129</v>
      </c>
      <c r="K1258" s="587">
        <v>0</v>
      </c>
    </row>
    <row r="1259" spans="1:11" hidden="1">
      <c r="A1259" s="1132"/>
      <c r="I1259" s="575"/>
      <c r="J1259" s="580"/>
      <c r="K1259" s="582" t="s">
        <v>117</v>
      </c>
    </row>
    <row r="1260" spans="1:11" hidden="1">
      <c r="A1260" s="1132"/>
      <c r="H1260" s="793" t="s">
        <v>455</v>
      </c>
      <c r="I1260" s="575"/>
      <c r="J1260" s="580"/>
      <c r="K1260" s="587" t="e">
        <f>SUM(K1253:K1258)</f>
        <v>#REF!</v>
      </c>
    </row>
    <row r="1261" spans="1:11" hidden="1">
      <c r="A1261" s="1132"/>
      <c r="I1261" s="575"/>
      <c r="J1261" s="580"/>
      <c r="K1261" s="582" t="s">
        <v>117</v>
      </c>
    </row>
    <row r="1262" spans="1:11" hidden="1">
      <c r="A1262" s="1132"/>
      <c r="H1262" s="793" t="s">
        <v>383</v>
      </c>
      <c r="I1262" s="575"/>
      <c r="J1262" s="580"/>
      <c r="K1262" s="587" t="e">
        <f>(K1260/10)</f>
        <v>#REF!</v>
      </c>
    </row>
    <row r="1263" spans="1:11" hidden="1">
      <c r="A1263" s="1132"/>
      <c r="I1263" s="575"/>
      <c r="J1263" s="580"/>
      <c r="K1263" s="582" t="s">
        <v>155</v>
      </c>
    </row>
    <row r="1264" spans="1:11" hidden="1">
      <c r="A1264" s="1132"/>
      <c r="I1264" s="575"/>
      <c r="J1264" s="580"/>
      <c r="K1264" s="575"/>
    </row>
    <row r="1265" spans="1:11" hidden="1">
      <c r="A1265" s="1132"/>
      <c r="G1265" s="798" t="s">
        <v>558</v>
      </c>
      <c r="H1265" s="793" t="s">
        <v>1704</v>
      </c>
      <c r="I1265" s="575"/>
      <c r="J1265" s="580"/>
      <c r="K1265" s="575"/>
    </row>
    <row r="1266" spans="1:11" hidden="1">
      <c r="A1266" s="1132"/>
      <c r="H1266" s="793" t="s">
        <v>1705</v>
      </c>
      <c r="I1266" s="575"/>
      <c r="J1266" s="580"/>
      <c r="K1266" s="575"/>
    </row>
    <row r="1267" spans="1:11" hidden="1">
      <c r="A1267" s="1132"/>
      <c r="H1267" s="796" t="s">
        <v>117</v>
      </c>
      <c r="I1267" s="575"/>
      <c r="J1267" s="580"/>
      <c r="K1267" s="575"/>
    </row>
    <row r="1268" spans="1:11" hidden="1">
      <c r="A1268" s="1132"/>
      <c r="F1268" s="800">
        <v>0.04</v>
      </c>
      <c r="G1268" s="798" t="s">
        <v>126</v>
      </c>
      <c r="H1268" s="793" t="s">
        <v>1706</v>
      </c>
      <c r="I1268" s="587" t="e">
        <f>(K32)</f>
        <v>#REF!</v>
      </c>
      <c r="J1268" s="574" t="s">
        <v>126</v>
      </c>
      <c r="K1268" s="587" t="e">
        <f>(F1268*I1268)</f>
        <v>#REF!</v>
      </c>
    </row>
    <row r="1269" spans="1:11" hidden="1">
      <c r="A1269" s="1132"/>
      <c r="F1269" s="800">
        <v>2.2000000000000002</v>
      </c>
      <c r="G1269" s="798" t="s">
        <v>1</v>
      </c>
      <c r="H1269" s="793" t="s">
        <v>145</v>
      </c>
      <c r="I1269" s="587">
        <f>(C11)</f>
        <v>135</v>
      </c>
      <c r="J1269" s="574" t="s">
        <v>1</v>
      </c>
      <c r="K1269" s="587">
        <f>(F1269*I1269)</f>
        <v>297</v>
      </c>
    </row>
    <row r="1270" spans="1:11" hidden="1">
      <c r="A1270" s="1132"/>
      <c r="F1270" s="800">
        <v>0.5</v>
      </c>
      <c r="G1270" s="798" t="s">
        <v>1</v>
      </c>
      <c r="H1270" s="793" t="s">
        <v>146</v>
      </c>
      <c r="I1270" s="587">
        <f>(C12)</f>
        <v>95</v>
      </c>
      <c r="J1270" s="574" t="s">
        <v>1</v>
      </c>
      <c r="K1270" s="587">
        <f>(F1270*I1270)</f>
        <v>47.5</v>
      </c>
    </row>
    <row r="1271" spans="1:11" hidden="1">
      <c r="A1271" s="1132"/>
      <c r="F1271" s="800">
        <v>1.1000000000000001</v>
      </c>
      <c r="G1271" s="798" t="s">
        <v>1</v>
      </c>
      <c r="H1271" s="793" t="s">
        <v>147</v>
      </c>
      <c r="I1271" s="587">
        <f>(C13)</f>
        <v>85</v>
      </c>
      <c r="J1271" s="574" t="s">
        <v>1</v>
      </c>
      <c r="K1271" s="587">
        <f>(F1271*I1271)</f>
        <v>93.500000000000014</v>
      </c>
    </row>
    <row r="1272" spans="1:11" hidden="1">
      <c r="A1272" s="1132"/>
      <c r="G1272" s="798" t="s">
        <v>129</v>
      </c>
      <c r="H1272" s="793" t="s">
        <v>130</v>
      </c>
      <c r="I1272" s="575"/>
      <c r="J1272" s="574" t="s">
        <v>129</v>
      </c>
      <c r="K1272" s="587">
        <v>0</v>
      </c>
    </row>
    <row r="1273" spans="1:11" hidden="1">
      <c r="A1273" s="1132"/>
      <c r="I1273" s="575"/>
      <c r="J1273" s="580"/>
      <c r="K1273" s="582" t="s">
        <v>117</v>
      </c>
    </row>
    <row r="1274" spans="1:11" hidden="1">
      <c r="A1274" s="1132"/>
      <c r="H1274" s="793" t="s">
        <v>153</v>
      </c>
      <c r="I1274" s="575"/>
      <c r="J1274" s="580"/>
      <c r="K1274" s="587" t="e">
        <f>SUM(K1268:K1272)</f>
        <v>#REF!</v>
      </c>
    </row>
    <row r="1275" spans="1:11" hidden="1">
      <c r="A1275" s="1132"/>
      <c r="I1275" s="575"/>
      <c r="J1275" s="580"/>
      <c r="K1275" s="582" t="s">
        <v>117</v>
      </c>
    </row>
    <row r="1276" spans="1:11" hidden="1">
      <c r="A1276" s="1132"/>
      <c r="H1276" s="793" t="s">
        <v>154</v>
      </c>
      <c r="I1276" s="575"/>
      <c r="J1276" s="580"/>
      <c r="K1276" s="587" t="e">
        <f>(K1274/10)</f>
        <v>#REF!</v>
      </c>
    </row>
    <row r="1277" spans="1:11" hidden="1">
      <c r="A1277" s="1132"/>
      <c r="I1277" s="575"/>
      <c r="J1277" s="580"/>
      <c r="K1277" s="582" t="s">
        <v>155</v>
      </c>
    </row>
    <row r="1278" spans="1:11" hidden="1">
      <c r="A1278" s="1132"/>
      <c r="I1278" s="575"/>
      <c r="J1278" s="580"/>
      <c r="K1278" s="575"/>
    </row>
    <row r="1279" spans="1:11" hidden="1">
      <c r="A1279" s="1132"/>
      <c r="F1279" s="1109">
        <v>32.1</v>
      </c>
      <c r="G1279" s="798" t="s">
        <v>122</v>
      </c>
      <c r="H1279" s="793" t="s">
        <v>1707</v>
      </c>
      <c r="I1279" s="575"/>
      <c r="J1279" s="580"/>
      <c r="K1279" s="575"/>
    </row>
    <row r="1280" spans="1:11" hidden="1">
      <c r="A1280" s="1132"/>
      <c r="H1280" s="793" t="s">
        <v>1708</v>
      </c>
      <c r="I1280" s="575"/>
      <c r="J1280" s="580"/>
      <c r="K1280" s="575"/>
    </row>
    <row r="1281" spans="1:11" hidden="1">
      <c r="A1281" s="1132"/>
      <c r="H1281" s="793" t="s">
        <v>1709</v>
      </c>
      <c r="I1281" s="575"/>
      <c r="J1281" s="580"/>
      <c r="K1281" s="575"/>
    </row>
    <row r="1282" spans="1:11" hidden="1">
      <c r="A1282" s="1132"/>
      <c r="H1282" s="793" t="s">
        <v>3553</v>
      </c>
      <c r="I1282" s="575"/>
      <c r="J1282" s="580"/>
      <c r="K1282" s="575"/>
    </row>
    <row r="1283" spans="1:11" hidden="1">
      <c r="A1283" s="1132"/>
      <c r="H1283" s="793" t="s">
        <v>1712</v>
      </c>
      <c r="I1283" s="575"/>
      <c r="J1283" s="580"/>
      <c r="K1283" s="575"/>
    </row>
    <row r="1284" spans="1:11" hidden="1">
      <c r="A1284" s="1132"/>
      <c r="H1284" s="796" t="s">
        <v>117</v>
      </c>
      <c r="I1284" s="575"/>
      <c r="J1284" s="580"/>
      <c r="K1284" s="575"/>
    </row>
    <row r="1285" spans="1:11" hidden="1">
      <c r="A1285" s="1132"/>
      <c r="F1285" s="800">
        <v>190</v>
      </c>
      <c r="G1285" s="798" t="s">
        <v>1576</v>
      </c>
      <c r="H1285" s="793" t="s">
        <v>504</v>
      </c>
      <c r="I1285" s="587">
        <f>(C83)</f>
        <v>4500</v>
      </c>
      <c r="J1285" s="574" t="s">
        <v>498</v>
      </c>
      <c r="K1285" s="587">
        <f>(F1285*I1285)/1000</f>
        <v>855</v>
      </c>
    </row>
    <row r="1286" spans="1:11" hidden="1">
      <c r="A1286" s="1132"/>
      <c r="F1286" s="800">
        <v>0.12</v>
      </c>
      <c r="G1286" s="798" t="s">
        <v>126</v>
      </c>
      <c r="H1286" s="793" t="s">
        <v>142</v>
      </c>
      <c r="I1286" s="587" t="e">
        <f>(K32)</f>
        <v>#REF!</v>
      </c>
      <c r="J1286" s="574" t="s">
        <v>126</v>
      </c>
      <c r="K1286" s="587" t="e">
        <f t="shared" ref="K1286:K1292" si="53">(F1286*I1286)</f>
        <v>#REF!</v>
      </c>
    </row>
    <row r="1287" spans="1:11" hidden="1">
      <c r="A1287" s="1132"/>
      <c r="F1287" s="800">
        <v>10</v>
      </c>
      <c r="G1287" s="798" t="s">
        <v>140</v>
      </c>
      <c r="H1287" s="793" t="s">
        <v>1718</v>
      </c>
      <c r="I1287" s="587" t="e">
        <f>(K1276)</f>
        <v>#REF!</v>
      </c>
      <c r="J1287" s="574" t="s">
        <v>140</v>
      </c>
      <c r="K1287" s="587" t="e">
        <f t="shared" si="53"/>
        <v>#REF!</v>
      </c>
    </row>
    <row r="1288" spans="1:11" hidden="1">
      <c r="A1288" s="1132"/>
      <c r="F1288" s="800">
        <v>1.54</v>
      </c>
      <c r="G1288" s="798" t="s">
        <v>148</v>
      </c>
      <c r="H1288" s="793" t="s">
        <v>1721</v>
      </c>
      <c r="I1288" s="587">
        <f>C631</f>
        <v>30</v>
      </c>
      <c r="J1288" s="574" t="s">
        <v>148</v>
      </c>
      <c r="K1288" s="587">
        <f t="shared" si="53"/>
        <v>46.2</v>
      </c>
    </row>
    <row r="1289" spans="1:11" hidden="1">
      <c r="A1289" s="1132"/>
      <c r="F1289" s="800">
        <v>1.1000000000000001</v>
      </c>
      <c r="G1289" s="798" t="s">
        <v>1</v>
      </c>
      <c r="H1289" s="793" t="s">
        <v>144</v>
      </c>
      <c r="I1289" s="587">
        <f>(C10)</f>
        <v>150</v>
      </c>
      <c r="J1289" s="574" t="s">
        <v>1</v>
      </c>
      <c r="K1289" s="587">
        <f t="shared" si="53"/>
        <v>165</v>
      </c>
    </row>
    <row r="1290" spans="1:11" hidden="1">
      <c r="A1290" s="1132"/>
      <c r="F1290" s="800">
        <v>2.1</v>
      </c>
      <c r="G1290" s="798" t="s">
        <v>1</v>
      </c>
      <c r="H1290" s="793" t="s">
        <v>145</v>
      </c>
      <c r="I1290" s="587">
        <f>(C11)</f>
        <v>135</v>
      </c>
      <c r="J1290" s="574" t="s">
        <v>1</v>
      </c>
      <c r="K1290" s="587">
        <f t="shared" si="53"/>
        <v>283.5</v>
      </c>
    </row>
    <row r="1291" spans="1:11" hidden="1">
      <c r="A1291" s="1132"/>
      <c r="F1291" s="800">
        <v>2.2000000000000002</v>
      </c>
      <c r="G1291" s="798" t="s">
        <v>1</v>
      </c>
      <c r="H1291" s="793" t="s">
        <v>146</v>
      </c>
      <c r="I1291" s="587">
        <f>(C12)</f>
        <v>95</v>
      </c>
      <c r="J1291" s="574" t="s">
        <v>1</v>
      </c>
      <c r="K1291" s="587">
        <f t="shared" si="53"/>
        <v>209.00000000000003</v>
      </c>
    </row>
    <row r="1292" spans="1:11" hidden="1">
      <c r="A1292" s="1132"/>
      <c r="F1292" s="800">
        <v>1.1000000000000001</v>
      </c>
      <c r="G1292" s="798" t="s">
        <v>1</v>
      </c>
      <c r="H1292" s="793" t="s">
        <v>147</v>
      </c>
      <c r="I1292" s="587">
        <f>(C13)</f>
        <v>85</v>
      </c>
      <c r="J1292" s="574" t="s">
        <v>1</v>
      </c>
      <c r="K1292" s="587">
        <f t="shared" si="53"/>
        <v>93.500000000000014</v>
      </c>
    </row>
    <row r="1293" spans="1:11" hidden="1">
      <c r="A1293" s="1132"/>
      <c r="G1293" s="798" t="s">
        <v>129</v>
      </c>
      <c r="H1293" s="793" t="s">
        <v>130</v>
      </c>
      <c r="I1293" s="575"/>
      <c r="J1293" s="574" t="s">
        <v>129</v>
      </c>
      <c r="K1293" s="587">
        <v>0</v>
      </c>
    </row>
    <row r="1294" spans="1:11" hidden="1">
      <c r="A1294" s="1132"/>
      <c r="I1294" s="575"/>
      <c r="J1294" s="580"/>
      <c r="K1294" s="582" t="s">
        <v>117</v>
      </c>
    </row>
    <row r="1295" spans="1:11" hidden="1">
      <c r="A1295" s="1132"/>
      <c r="H1295" s="793" t="s">
        <v>153</v>
      </c>
      <c r="I1295" s="575"/>
      <c r="J1295" s="580"/>
      <c r="K1295" s="587" t="e">
        <f>SUM(K1285:K1293)</f>
        <v>#REF!</v>
      </c>
    </row>
    <row r="1296" spans="1:11" hidden="1">
      <c r="A1296" s="1132"/>
      <c r="I1296" s="575"/>
      <c r="J1296" s="580"/>
      <c r="K1296" s="582" t="s">
        <v>117</v>
      </c>
    </row>
    <row r="1297" spans="1:11" hidden="1">
      <c r="A1297" s="1132"/>
      <c r="H1297" s="793" t="s">
        <v>154</v>
      </c>
      <c r="I1297" s="575"/>
      <c r="J1297" s="580"/>
      <c r="K1297" s="587" t="e">
        <f>(K1295/10)</f>
        <v>#REF!</v>
      </c>
    </row>
    <row r="1298" spans="1:11" hidden="1">
      <c r="A1298" s="1132"/>
      <c r="I1298" s="575"/>
      <c r="J1298" s="580"/>
      <c r="K1298" s="582" t="s">
        <v>155</v>
      </c>
    </row>
    <row r="1299" spans="1:11" hidden="1">
      <c r="A1299" s="1132"/>
      <c r="I1299" s="575"/>
      <c r="J1299" s="580"/>
      <c r="K1299" s="582"/>
    </row>
    <row r="1300" spans="1:11" hidden="1">
      <c r="A1300" s="1132"/>
      <c r="I1300" s="575"/>
      <c r="J1300" s="580"/>
      <c r="K1300" s="582"/>
    </row>
    <row r="1301" spans="1:11" hidden="1">
      <c r="A1301" s="1132"/>
      <c r="F1301" s="1109">
        <v>32.200000000000003</v>
      </c>
      <c r="G1301" s="798" t="s">
        <v>122</v>
      </c>
      <c r="H1301" s="793" t="s">
        <v>1707</v>
      </c>
      <c r="I1301" s="575"/>
      <c r="J1301" s="580"/>
      <c r="K1301" s="582"/>
    </row>
    <row r="1302" spans="1:11" hidden="1">
      <c r="A1302" s="1132"/>
      <c r="H1302" s="793" t="s">
        <v>1708</v>
      </c>
      <c r="I1302" s="575"/>
      <c r="J1302" s="580"/>
      <c r="K1302" s="582"/>
    </row>
    <row r="1303" spans="1:11" hidden="1">
      <c r="A1303" s="1132"/>
      <c r="H1303" s="793" t="s">
        <v>1709</v>
      </c>
      <c r="I1303" s="575"/>
      <c r="J1303" s="580"/>
      <c r="K1303" s="582"/>
    </row>
    <row r="1304" spans="1:11" hidden="1">
      <c r="A1304" s="1132"/>
      <c r="H1304" s="793" t="s">
        <v>3553</v>
      </c>
      <c r="I1304" s="575"/>
      <c r="J1304" s="580"/>
      <c r="K1304" s="582"/>
    </row>
    <row r="1305" spans="1:11" hidden="1">
      <c r="A1305" s="1132"/>
      <c r="H1305" s="793" t="s">
        <v>1712</v>
      </c>
      <c r="I1305" s="575"/>
      <c r="J1305" s="580"/>
      <c r="K1305" s="582"/>
    </row>
    <row r="1306" spans="1:11" hidden="1">
      <c r="A1306" s="1132"/>
      <c r="H1306" s="796" t="s">
        <v>117</v>
      </c>
      <c r="I1306" s="575"/>
      <c r="J1306" s="580"/>
      <c r="K1306" s="582"/>
    </row>
    <row r="1307" spans="1:11" hidden="1">
      <c r="A1307" s="1132"/>
      <c r="F1307" s="800">
        <v>190</v>
      </c>
      <c r="G1307" s="798" t="s">
        <v>1576</v>
      </c>
      <c r="H1307" s="793" t="s">
        <v>1741</v>
      </c>
      <c r="I1307" s="575">
        <f>E83</f>
        <v>3550</v>
      </c>
      <c r="J1307" s="574" t="s">
        <v>498</v>
      </c>
      <c r="K1307" s="587">
        <f>(F1307*I1307)/1000</f>
        <v>674.5</v>
      </c>
    </row>
    <row r="1308" spans="1:11" hidden="1">
      <c r="A1308" s="1132"/>
      <c r="F1308" s="800">
        <v>0.12</v>
      </c>
      <c r="G1308" s="798" t="s">
        <v>126</v>
      </c>
      <c r="H1308" s="793" t="s">
        <v>142</v>
      </c>
      <c r="I1308" s="575" t="e">
        <f>K32</f>
        <v>#REF!</v>
      </c>
      <c r="J1308" s="574" t="s">
        <v>126</v>
      </c>
      <c r="K1308" s="587" t="e">
        <f t="shared" ref="K1308:K1314" si="54">(F1308*I1308)</f>
        <v>#REF!</v>
      </c>
    </row>
    <row r="1309" spans="1:11" hidden="1">
      <c r="A1309" s="1132"/>
      <c r="F1309" s="800">
        <v>10</v>
      </c>
      <c r="G1309" s="798" t="s">
        <v>140</v>
      </c>
      <c r="H1309" s="793" t="s">
        <v>1718</v>
      </c>
      <c r="I1309" s="575" t="e">
        <f>K1276</f>
        <v>#REF!</v>
      </c>
      <c r="J1309" s="574" t="s">
        <v>140</v>
      </c>
      <c r="K1309" s="587" t="e">
        <f t="shared" si="54"/>
        <v>#REF!</v>
      </c>
    </row>
    <row r="1310" spans="1:11" hidden="1">
      <c r="A1310" s="1132"/>
      <c r="F1310" s="800">
        <v>5.8</v>
      </c>
      <c r="G1310" s="798" t="s">
        <v>148</v>
      </c>
      <c r="H1310" s="793" t="s">
        <v>1721</v>
      </c>
      <c r="I1310" s="575">
        <f>C631</f>
        <v>30</v>
      </c>
      <c r="J1310" s="574" t="s">
        <v>148</v>
      </c>
      <c r="K1310" s="587">
        <f t="shared" si="54"/>
        <v>174</v>
      </c>
    </row>
    <row r="1311" spans="1:11" hidden="1">
      <c r="A1311" s="1132"/>
      <c r="F1311" s="800">
        <v>1.1000000000000001</v>
      </c>
      <c r="G1311" s="798" t="s">
        <v>1</v>
      </c>
      <c r="H1311" s="793" t="s">
        <v>144</v>
      </c>
      <c r="I1311" s="575">
        <f>C10</f>
        <v>150</v>
      </c>
      <c r="J1311" s="574" t="s">
        <v>1</v>
      </c>
      <c r="K1311" s="587">
        <f t="shared" si="54"/>
        <v>165</v>
      </c>
    </row>
    <row r="1312" spans="1:11" hidden="1">
      <c r="A1312" s="1132"/>
      <c r="F1312" s="800">
        <v>2.1</v>
      </c>
      <c r="G1312" s="798" t="s">
        <v>1</v>
      </c>
      <c r="H1312" s="793" t="s">
        <v>145</v>
      </c>
      <c r="I1312" s="575">
        <f>C11</f>
        <v>135</v>
      </c>
      <c r="J1312" s="574" t="s">
        <v>1</v>
      </c>
      <c r="K1312" s="587">
        <f t="shared" si="54"/>
        <v>283.5</v>
      </c>
    </row>
    <row r="1313" spans="1:11" hidden="1">
      <c r="A1313" s="1132"/>
      <c r="F1313" s="800">
        <v>2.2000000000000002</v>
      </c>
      <c r="G1313" s="798" t="s">
        <v>1</v>
      </c>
      <c r="H1313" s="793" t="s">
        <v>146</v>
      </c>
      <c r="I1313" s="575">
        <f>C12</f>
        <v>95</v>
      </c>
      <c r="J1313" s="574" t="s">
        <v>1</v>
      </c>
      <c r="K1313" s="587">
        <f t="shared" si="54"/>
        <v>209.00000000000003</v>
      </c>
    </row>
    <row r="1314" spans="1:11" hidden="1">
      <c r="A1314" s="1132"/>
      <c r="F1314" s="800">
        <v>1.1000000000000001</v>
      </c>
      <c r="G1314" s="798" t="s">
        <v>1</v>
      </c>
      <c r="H1314" s="793" t="s">
        <v>147</v>
      </c>
      <c r="I1314" s="575">
        <f>C13</f>
        <v>85</v>
      </c>
      <c r="J1314" s="574" t="s">
        <v>1</v>
      </c>
      <c r="K1314" s="587">
        <f t="shared" si="54"/>
        <v>93.500000000000014</v>
      </c>
    </row>
    <row r="1315" spans="1:11" hidden="1">
      <c r="A1315" s="1132"/>
      <c r="G1315" s="798" t="s">
        <v>129</v>
      </c>
      <c r="H1315" s="793" t="s">
        <v>130</v>
      </c>
      <c r="I1315" s="575"/>
      <c r="J1315" s="574" t="s">
        <v>129</v>
      </c>
      <c r="K1315" s="587">
        <v>0</v>
      </c>
    </row>
    <row r="1316" spans="1:11" hidden="1">
      <c r="A1316" s="1132"/>
      <c r="I1316" s="575"/>
      <c r="J1316" s="580"/>
      <c r="K1316" s="582" t="s">
        <v>117</v>
      </c>
    </row>
    <row r="1317" spans="1:11" hidden="1">
      <c r="A1317" s="1132"/>
      <c r="H1317" s="793" t="s">
        <v>153</v>
      </c>
      <c r="I1317" s="575"/>
      <c r="J1317" s="580"/>
      <c r="K1317" s="587" t="e">
        <f>SUM(K1307:K1315)</f>
        <v>#REF!</v>
      </c>
    </row>
    <row r="1318" spans="1:11" hidden="1">
      <c r="A1318" s="1132"/>
      <c r="I1318" s="575"/>
      <c r="J1318" s="580"/>
      <c r="K1318" s="582" t="s">
        <v>117</v>
      </c>
    </row>
    <row r="1319" spans="1:11" hidden="1">
      <c r="A1319" s="1132"/>
      <c r="H1319" s="793" t="s">
        <v>154</v>
      </c>
      <c r="I1319" s="575"/>
      <c r="J1319" s="580"/>
      <c r="K1319" s="587" t="e">
        <f>(K1317/10)</f>
        <v>#REF!</v>
      </c>
    </row>
    <row r="1320" spans="1:11" hidden="1">
      <c r="A1320" s="1132"/>
      <c r="I1320" s="575"/>
      <c r="J1320" s="580"/>
      <c r="K1320" s="582" t="s">
        <v>155</v>
      </c>
    </row>
    <row r="1321" spans="1:11" hidden="1">
      <c r="A1321" s="1132"/>
      <c r="I1321" s="575"/>
      <c r="J1321" s="580"/>
      <c r="K1321" s="582"/>
    </row>
    <row r="1322" spans="1:11" hidden="1">
      <c r="A1322" s="1132"/>
      <c r="F1322" s="1098" t="s">
        <v>1744</v>
      </c>
      <c r="G1322" s="798" t="s">
        <v>122</v>
      </c>
      <c r="H1322" s="793" t="s">
        <v>1745</v>
      </c>
      <c r="I1322" s="575"/>
      <c r="J1322" s="580"/>
      <c r="K1322" s="575"/>
    </row>
    <row r="1323" spans="1:11" hidden="1">
      <c r="A1323" s="1132"/>
      <c r="H1323" s="796" t="s">
        <v>117</v>
      </c>
      <c r="I1323" s="575"/>
      <c r="J1323" s="580"/>
      <c r="K1323" s="575"/>
    </row>
    <row r="1324" spans="1:11" hidden="1">
      <c r="A1324" s="1132"/>
      <c r="F1324" s="800">
        <v>0.14000000000000001</v>
      </c>
      <c r="G1324" s="798" t="s">
        <v>126</v>
      </c>
      <c r="H1324" s="793" t="s">
        <v>135</v>
      </c>
      <c r="I1324" s="587" t="e">
        <f>(K49)</f>
        <v>#REF!</v>
      </c>
      <c r="J1324" s="574" t="s">
        <v>126</v>
      </c>
      <c r="K1324" s="587" t="e">
        <f>(F1324*I1324)</f>
        <v>#REF!</v>
      </c>
    </row>
    <row r="1325" spans="1:11" hidden="1">
      <c r="A1325" s="1132"/>
      <c r="F1325" s="800">
        <v>1.1000000000000001</v>
      </c>
      <c r="G1325" s="798" t="s">
        <v>209</v>
      </c>
      <c r="H1325" s="793" t="s">
        <v>144</v>
      </c>
      <c r="I1325" s="587">
        <f>(C10)</f>
        <v>150</v>
      </c>
      <c r="J1325" s="574" t="s">
        <v>209</v>
      </c>
      <c r="K1325" s="587">
        <f>(F1325*I1325)</f>
        <v>165</v>
      </c>
    </row>
    <row r="1326" spans="1:11" hidden="1">
      <c r="A1326" s="1132"/>
      <c r="F1326" s="800">
        <v>0.5</v>
      </c>
      <c r="G1326" s="798" t="s">
        <v>209</v>
      </c>
      <c r="H1326" s="793" t="s">
        <v>146</v>
      </c>
      <c r="I1326" s="587">
        <f>(C12)</f>
        <v>95</v>
      </c>
      <c r="J1326" s="574" t="s">
        <v>209</v>
      </c>
      <c r="K1326" s="587">
        <f>(F1326*I1326)</f>
        <v>47.5</v>
      </c>
    </row>
    <row r="1327" spans="1:11" hidden="1">
      <c r="A1327" s="1132"/>
      <c r="F1327" s="800">
        <v>1.1000000000000001</v>
      </c>
      <c r="G1327" s="798" t="s">
        <v>209</v>
      </c>
      <c r="H1327" s="793" t="s">
        <v>147</v>
      </c>
      <c r="I1327" s="587">
        <f>(C13)</f>
        <v>85</v>
      </c>
      <c r="J1327" s="574" t="s">
        <v>209</v>
      </c>
      <c r="K1327" s="587">
        <f>(F1327*I1327)</f>
        <v>93.500000000000014</v>
      </c>
    </row>
    <row r="1328" spans="1:11" hidden="1">
      <c r="A1328" s="1132"/>
      <c r="G1328" s="798" t="s">
        <v>129</v>
      </c>
      <c r="H1328" s="793" t="s">
        <v>130</v>
      </c>
      <c r="I1328" s="573" t="s">
        <v>115</v>
      </c>
      <c r="J1328" s="574" t="s">
        <v>129</v>
      </c>
      <c r="K1328" s="587">
        <v>0</v>
      </c>
    </row>
    <row r="1329" spans="1:11" hidden="1">
      <c r="A1329" s="1132"/>
      <c r="I1329" s="575"/>
      <c r="J1329" s="580"/>
      <c r="K1329" s="582" t="s">
        <v>117</v>
      </c>
    </row>
    <row r="1330" spans="1:11" hidden="1">
      <c r="A1330" s="1132"/>
      <c r="H1330" s="793" t="s">
        <v>153</v>
      </c>
      <c r="I1330" s="575"/>
      <c r="J1330" s="580"/>
      <c r="K1330" s="587" t="e">
        <f>SUM(K1324:K1328)</f>
        <v>#REF!</v>
      </c>
    </row>
    <row r="1331" spans="1:11" hidden="1">
      <c r="A1331" s="1132"/>
      <c r="I1331" s="575"/>
      <c r="J1331" s="580"/>
      <c r="K1331" s="582" t="s">
        <v>117</v>
      </c>
    </row>
    <row r="1332" spans="1:11" hidden="1">
      <c r="A1332" s="1132"/>
      <c r="H1332" s="793" t="s">
        <v>154</v>
      </c>
      <c r="I1332" s="575"/>
      <c r="J1332" s="580"/>
      <c r="K1332" s="587" t="e">
        <f>(K1330/10)</f>
        <v>#REF!</v>
      </c>
    </row>
    <row r="1333" spans="1:11" hidden="1">
      <c r="A1333" s="1132"/>
      <c r="F1333" s="793" t="s">
        <v>115</v>
      </c>
      <c r="I1333" s="575"/>
      <c r="J1333" s="580"/>
      <c r="K1333" s="575"/>
    </row>
    <row r="1334" spans="1:11" hidden="1">
      <c r="A1334" s="1132"/>
      <c r="I1334" s="575"/>
      <c r="J1334" s="580"/>
      <c r="K1334" s="582" t="s">
        <v>155</v>
      </c>
    </row>
    <row r="1335" spans="1:11" hidden="1">
      <c r="A1335" s="1132"/>
      <c r="F1335" s="1098" t="s">
        <v>1754</v>
      </c>
      <c r="G1335" s="798" t="s">
        <v>122</v>
      </c>
      <c r="H1335" s="793" t="s">
        <v>1755</v>
      </c>
      <c r="I1335" s="575"/>
      <c r="J1335" s="580"/>
      <c r="K1335" s="575"/>
    </row>
    <row r="1336" spans="1:11" hidden="1">
      <c r="A1336" s="1132"/>
      <c r="H1336" s="796" t="s">
        <v>117</v>
      </c>
      <c r="I1336" s="575"/>
      <c r="J1336" s="580"/>
      <c r="K1336" s="575"/>
    </row>
    <row r="1337" spans="1:11" hidden="1">
      <c r="A1337" s="1132"/>
      <c r="F1337" s="800">
        <v>0.14000000000000001</v>
      </c>
      <c r="G1337" s="798" t="s">
        <v>126</v>
      </c>
      <c r="H1337" s="793" t="s">
        <v>134</v>
      </c>
      <c r="I1337" s="587" t="e">
        <f>(K40)</f>
        <v>#REF!</v>
      </c>
      <c r="J1337" s="574" t="s">
        <v>126</v>
      </c>
      <c r="K1337" s="587" t="e">
        <f>(F1337*I1337)</f>
        <v>#REF!</v>
      </c>
    </row>
    <row r="1338" spans="1:11" hidden="1">
      <c r="A1338" s="1132"/>
      <c r="F1338" s="800">
        <v>1.1000000000000001</v>
      </c>
      <c r="G1338" s="798" t="s">
        <v>209</v>
      </c>
      <c r="H1338" s="793" t="s">
        <v>144</v>
      </c>
      <c r="I1338" s="587">
        <f>(C10)</f>
        <v>150</v>
      </c>
      <c r="J1338" s="574" t="s">
        <v>209</v>
      </c>
      <c r="K1338" s="587">
        <f>(F1338*I1338)</f>
        <v>165</v>
      </c>
    </row>
    <row r="1339" spans="1:11" hidden="1">
      <c r="A1339" s="1132"/>
      <c r="F1339" s="800">
        <v>0.5</v>
      </c>
      <c r="G1339" s="798" t="s">
        <v>209</v>
      </c>
      <c r="H1339" s="793" t="s">
        <v>146</v>
      </c>
      <c r="I1339" s="587">
        <f>(C12)</f>
        <v>95</v>
      </c>
      <c r="J1339" s="574" t="s">
        <v>209</v>
      </c>
      <c r="K1339" s="587">
        <f>(F1339*I1339)</f>
        <v>47.5</v>
      </c>
    </row>
    <row r="1340" spans="1:11" hidden="1">
      <c r="A1340" s="1132"/>
      <c r="F1340" s="800">
        <v>1.1000000000000001</v>
      </c>
      <c r="G1340" s="798" t="s">
        <v>209</v>
      </c>
      <c r="H1340" s="793" t="s">
        <v>147</v>
      </c>
      <c r="I1340" s="587">
        <f>(C13)</f>
        <v>85</v>
      </c>
      <c r="J1340" s="574" t="s">
        <v>209</v>
      </c>
      <c r="K1340" s="587">
        <f>(F1340*I1340)</f>
        <v>93.500000000000014</v>
      </c>
    </row>
    <row r="1341" spans="1:11" hidden="1">
      <c r="A1341" s="1132"/>
      <c r="G1341" s="798" t="s">
        <v>129</v>
      </c>
      <c r="H1341" s="793" t="s">
        <v>130</v>
      </c>
      <c r="I1341" s="573" t="s">
        <v>115</v>
      </c>
      <c r="J1341" s="574" t="s">
        <v>129</v>
      </c>
      <c r="K1341" s="587">
        <v>0</v>
      </c>
    </row>
    <row r="1342" spans="1:11" hidden="1">
      <c r="A1342" s="1132"/>
      <c r="I1342" s="575"/>
      <c r="J1342" s="580"/>
      <c r="K1342" s="582" t="s">
        <v>117</v>
      </c>
    </row>
    <row r="1343" spans="1:11" hidden="1">
      <c r="A1343" s="1132"/>
      <c r="H1343" s="793" t="s">
        <v>153</v>
      </c>
      <c r="I1343" s="575"/>
      <c r="J1343" s="580"/>
      <c r="K1343" s="587" t="e">
        <f>SUM(K1337:K1341)</f>
        <v>#REF!</v>
      </c>
    </row>
    <row r="1344" spans="1:11" hidden="1">
      <c r="A1344" s="1132"/>
      <c r="I1344" s="575"/>
      <c r="J1344" s="580"/>
      <c r="K1344" s="582" t="s">
        <v>117</v>
      </c>
    </row>
    <row r="1345" spans="1:11" hidden="1">
      <c r="A1345" s="1132"/>
      <c r="H1345" s="793" t="s">
        <v>154</v>
      </c>
      <c r="I1345" s="575"/>
      <c r="J1345" s="580"/>
      <c r="K1345" s="587" t="e">
        <f>(K1343/10)</f>
        <v>#REF!</v>
      </c>
    </row>
    <row r="1346" spans="1:11" hidden="1">
      <c r="A1346" s="1132"/>
      <c r="I1346" s="575"/>
      <c r="J1346" s="580"/>
      <c r="K1346" s="582" t="s">
        <v>155</v>
      </c>
    </row>
    <row r="1347" spans="1:11" hidden="1">
      <c r="A1347" s="1132"/>
      <c r="F1347" s="1098" t="s">
        <v>1760</v>
      </c>
      <c r="G1347" s="798" t="s">
        <v>122</v>
      </c>
      <c r="H1347" s="793" t="s">
        <v>1761</v>
      </c>
      <c r="I1347" s="575"/>
      <c r="J1347" s="580"/>
      <c r="K1347" s="575"/>
    </row>
    <row r="1348" spans="1:11" hidden="1">
      <c r="A1348" s="1132"/>
      <c r="H1348" s="796" t="s">
        <v>117</v>
      </c>
      <c r="I1348" s="575"/>
      <c r="J1348" s="580"/>
      <c r="K1348" s="575"/>
    </row>
    <row r="1349" spans="1:11" hidden="1">
      <c r="A1349" s="1132"/>
      <c r="F1349" s="800">
        <v>0.1</v>
      </c>
      <c r="G1349" s="798" t="s">
        <v>126</v>
      </c>
      <c r="H1349" s="793" t="s">
        <v>133</v>
      </c>
      <c r="I1349" s="587" t="e">
        <f>(K32)</f>
        <v>#REF!</v>
      </c>
      <c r="J1349" s="574" t="s">
        <v>126</v>
      </c>
      <c r="K1349" s="587" t="e">
        <f>(F1349*I1349)</f>
        <v>#REF!</v>
      </c>
    </row>
    <row r="1350" spans="1:11" hidden="1">
      <c r="A1350" s="1132"/>
      <c r="F1350" s="800">
        <v>1.1000000000000001</v>
      </c>
      <c r="G1350" s="798" t="s">
        <v>209</v>
      </c>
      <c r="H1350" s="793" t="s">
        <v>144</v>
      </c>
      <c r="I1350" s="587">
        <f>(C10)</f>
        <v>150</v>
      </c>
      <c r="J1350" s="574" t="s">
        <v>209</v>
      </c>
      <c r="K1350" s="587">
        <f>(F1350*I1350)</f>
        <v>165</v>
      </c>
    </row>
    <row r="1351" spans="1:11" hidden="1">
      <c r="A1351" s="1132"/>
      <c r="F1351" s="800">
        <v>1.1000000000000001</v>
      </c>
      <c r="G1351" s="798" t="s">
        <v>209</v>
      </c>
      <c r="H1351" s="793" t="s">
        <v>146</v>
      </c>
      <c r="I1351" s="587">
        <f>(C12)</f>
        <v>95</v>
      </c>
      <c r="J1351" s="574" t="s">
        <v>209</v>
      </c>
      <c r="K1351" s="587">
        <f>(F1351*I1351)</f>
        <v>104.50000000000001</v>
      </c>
    </row>
    <row r="1352" spans="1:11" hidden="1">
      <c r="A1352" s="1132"/>
      <c r="F1352" s="800">
        <v>1.1000000000000001</v>
      </c>
      <c r="G1352" s="798" t="s">
        <v>209</v>
      </c>
      <c r="H1352" s="793" t="s">
        <v>147</v>
      </c>
      <c r="I1352" s="587">
        <f>(C13)</f>
        <v>85</v>
      </c>
      <c r="J1352" s="574" t="s">
        <v>209</v>
      </c>
      <c r="K1352" s="587">
        <f>(F1352*I1352)</f>
        <v>93.500000000000014</v>
      </c>
    </row>
    <row r="1353" spans="1:11" hidden="1">
      <c r="A1353" s="1132"/>
      <c r="G1353" s="798" t="s">
        <v>129</v>
      </c>
      <c r="H1353" s="793" t="s">
        <v>130</v>
      </c>
      <c r="I1353" s="573" t="s">
        <v>115</v>
      </c>
      <c r="J1353" s="574" t="s">
        <v>129</v>
      </c>
      <c r="K1353" s="587">
        <v>0</v>
      </c>
    </row>
    <row r="1354" spans="1:11" hidden="1">
      <c r="A1354" s="1132"/>
      <c r="I1354" s="575"/>
      <c r="J1354" s="580"/>
      <c r="K1354" s="582" t="s">
        <v>117</v>
      </c>
    </row>
    <row r="1355" spans="1:11" hidden="1">
      <c r="A1355" s="1132"/>
      <c r="H1355" s="793" t="s">
        <v>153</v>
      </c>
      <c r="I1355" s="575"/>
      <c r="J1355" s="580"/>
      <c r="K1355" s="587" t="e">
        <f>SUM(K1349:K1353)</f>
        <v>#REF!</v>
      </c>
    </row>
    <row r="1356" spans="1:11" hidden="1">
      <c r="A1356" s="1132"/>
      <c r="I1356" s="575"/>
      <c r="J1356" s="580"/>
      <c r="K1356" s="582" t="s">
        <v>117</v>
      </c>
    </row>
    <row r="1357" spans="1:11" hidden="1">
      <c r="A1357" s="1132"/>
      <c r="H1357" s="793" t="s">
        <v>154</v>
      </c>
      <c r="I1357" s="575"/>
      <c r="J1357" s="580"/>
      <c r="K1357" s="587" t="e">
        <f>(K1355/10)</f>
        <v>#REF!</v>
      </c>
    </row>
    <row r="1358" spans="1:11" hidden="1">
      <c r="A1358" s="1132"/>
      <c r="I1358" s="575"/>
      <c r="J1358" s="580"/>
      <c r="K1358" s="582" t="s">
        <v>155</v>
      </c>
    </row>
    <row r="1359" spans="1:11" hidden="1">
      <c r="A1359" s="1132"/>
      <c r="I1359" s="575"/>
      <c r="J1359" s="580"/>
      <c r="K1359" s="575"/>
    </row>
    <row r="1360" spans="1:11" hidden="1">
      <c r="A1360" s="1132"/>
      <c r="G1360" s="798" t="s">
        <v>122</v>
      </c>
      <c r="H1360" s="793" t="s">
        <v>1765</v>
      </c>
      <c r="I1360" s="575"/>
      <c r="J1360" s="580"/>
      <c r="K1360" s="575"/>
    </row>
    <row r="1361" spans="1:11" hidden="1">
      <c r="A1361" s="1132"/>
      <c r="H1361" s="793" t="s">
        <v>1766</v>
      </c>
      <c r="I1361" s="575"/>
      <c r="J1361" s="580"/>
      <c r="K1361" s="575"/>
    </row>
    <row r="1362" spans="1:11" hidden="1">
      <c r="A1362" s="1132"/>
      <c r="H1362" s="793" t="s">
        <v>1767</v>
      </c>
      <c r="I1362" s="575"/>
      <c r="J1362" s="580"/>
      <c r="K1362" s="575"/>
    </row>
    <row r="1363" spans="1:11" hidden="1">
      <c r="A1363" s="1132"/>
      <c r="H1363" s="796" t="s">
        <v>117</v>
      </c>
      <c r="I1363" s="575"/>
      <c r="J1363" s="580"/>
      <c r="K1363" s="575"/>
    </row>
    <row r="1364" spans="1:11" hidden="1">
      <c r="A1364" s="1132"/>
      <c r="F1364" s="800">
        <v>0.14000000000000001</v>
      </c>
      <c r="G1364" s="798" t="s">
        <v>126</v>
      </c>
      <c r="H1364" s="793" t="s">
        <v>133</v>
      </c>
      <c r="I1364" s="587" t="e">
        <f>(K32)</f>
        <v>#REF!</v>
      </c>
      <c r="J1364" s="574" t="s">
        <v>126</v>
      </c>
      <c r="K1364" s="587" t="e">
        <f>(F1364*I1364)</f>
        <v>#REF!</v>
      </c>
    </row>
    <row r="1365" spans="1:11" hidden="1">
      <c r="A1365" s="1132"/>
      <c r="F1365" s="800">
        <v>1.1000000000000001</v>
      </c>
      <c r="G1365" s="798" t="s">
        <v>209</v>
      </c>
      <c r="H1365" s="793" t="s">
        <v>144</v>
      </c>
      <c r="I1365" s="587">
        <f>(C10)</f>
        <v>150</v>
      </c>
      <c r="J1365" s="574" t="s">
        <v>209</v>
      </c>
      <c r="K1365" s="587">
        <f>(F1365*I1365)</f>
        <v>165</v>
      </c>
    </row>
    <row r="1366" spans="1:11" hidden="1">
      <c r="A1366" s="1132"/>
      <c r="F1366" s="800">
        <v>0.5</v>
      </c>
      <c r="G1366" s="798" t="s">
        <v>209</v>
      </c>
      <c r="H1366" s="793" t="s">
        <v>146</v>
      </c>
      <c r="I1366" s="587">
        <f>(C12)</f>
        <v>95</v>
      </c>
      <c r="J1366" s="574" t="s">
        <v>209</v>
      </c>
      <c r="K1366" s="587">
        <f>(F1366*I1366)</f>
        <v>47.5</v>
      </c>
    </row>
    <row r="1367" spans="1:11" hidden="1">
      <c r="A1367" s="1132"/>
      <c r="F1367" s="800">
        <v>1.1000000000000001</v>
      </c>
      <c r="G1367" s="798" t="s">
        <v>209</v>
      </c>
      <c r="H1367" s="793" t="s">
        <v>147</v>
      </c>
      <c r="I1367" s="587">
        <f>(C13)</f>
        <v>85</v>
      </c>
      <c r="J1367" s="574" t="s">
        <v>209</v>
      </c>
      <c r="K1367" s="587">
        <f>(F1367*I1367)</f>
        <v>93.500000000000014</v>
      </c>
    </row>
    <row r="1368" spans="1:11" hidden="1">
      <c r="A1368" s="1132"/>
      <c r="F1368" s="800">
        <v>2</v>
      </c>
      <c r="G1368" s="798" t="s">
        <v>148</v>
      </c>
      <c r="H1368" s="793" t="s">
        <v>1771</v>
      </c>
      <c r="I1368" s="587">
        <f>(C631)</f>
        <v>30</v>
      </c>
      <c r="J1368" s="574" t="s">
        <v>148</v>
      </c>
      <c r="K1368" s="587">
        <f>(F1368*I1368)</f>
        <v>60</v>
      </c>
    </row>
    <row r="1369" spans="1:11" hidden="1">
      <c r="A1369" s="1132"/>
      <c r="G1369" s="798" t="s">
        <v>129</v>
      </c>
      <c r="H1369" s="793" t="s">
        <v>130</v>
      </c>
      <c r="I1369" s="573" t="s">
        <v>115</v>
      </c>
      <c r="J1369" s="574" t="s">
        <v>129</v>
      </c>
      <c r="K1369" s="587">
        <v>0</v>
      </c>
    </row>
    <row r="1370" spans="1:11" hidden="1">
      <c r="A1370" s="1132"/>
      <c r="I1370" s="575"/>
      <c r="J1370" s="580"/>
      <c r="K1370" s="582" t="s">
        <v>117</v>
      </c>
    </row>
    <row r="1371" spans="1:11" hidden="1">
      <c r="A1371" s="1132"/>
      <c r="F1371" s="793" t="s">
        <v>115</v>
      </c>
      <c r="H1371" s="793" t="s">
        <v>153</v>
      </c>
      <c r="I1371" s="575"/>
      <c r="J1371" s="580"/>
      <c r="K1371" s="587" t="e">
        <f>SUM(K1364:K1369)</f>
        <v>#REF!</v>
      </c>
    </row>
    <row r="1372" spans="1:11" hidden="1">
      <c r="A1372" s="1132"/>
      <c r="I1372" s="575"/>
      <c r="J1372" s="580"/>
      <c r="K1372" s="582" t="s">
        <v>117</v>
      </c>
    </row>
    <row r="1373" spans="1:11" hidden="1">
      <c r="A1373" s="1132"/>
      <c r="H1373" s="793" t="s">
        <v>154</v>
      </c>
      <c r="I1373" s="575"/>
      <c r="J1373" s="580"/>
      <c r="K1373" s="587" t="e">
        <f>(K1371/10)</f>
        <v>#REF!</v>
      </c>
    </row>
    <row r="1374" spans="1:11" hidden="1">
      <c r="A1374" s="1132"/>
      <c r="I1374" s="575"/>
      <c r="J1374" s="580"/>
      <c r="K1374" s="582" t="s">
        <v>155</v>
      </c>
    </row>
    <row r="1375" spans="1:11" hidden="1">
      <c r="A1375" s="1132"/>
      <c r="H1375" s="793" t="s">
        <v>115</v>
      </c>
      <c r="I1375" s="575"/>
      <c r="J1375" s="580"/>
      <c r="K1375" s="575"/>
    </row>
    <row r="1376" spans="1:11" hidden="1">
      <c r="A1376" s="1132"/>
      <c r="I1376" s="575"/>
      <c r="J1376" s="580"/>
      <c r="K1376" s="575"/>
    </row>
    <row r="1377" spans="1:11" hidden="1">
      <c r="A1377" s="1132"/>
      <c r="F1377" s="1098" t="s">
        <v>1775</v>
      </c>
      <c r="G1377" s="798" t="s">
        <v>122</v>
      </c>
      <c r="H1377" s="793" t="s">
        <v>1776</v>
      </c>
      <c r="I1377" s="575"/>
      <c r="J1377" s="580"/>
      <c r="K1377" s="575"/>
    </row>
    <row r="1378" spans="1:11" hidden="1">
      <c r="A1378" s="1132"/>
      <c r="H1378" s="793" t="s">
        <v>1777</v>
      </c>
      <c r="I1378" s="575"/>
      <c r="J1378" s="580"/>
      <c r="K1378" s="575"/>
    </row>
    <row r="1379" spans="1:11" hidden="1">
      <c r="A1379" s="1132"/>
      <c r="H1379" s="793" t="s">
        <v>1779</v>
      </c>
      <c r="I1379" s="575"/>
      <c r="J1379" s="580"/>
      <c r="K1379" s="575"/>
    </row>
    <row r="1380" spans="1:11" hidden="1">
      <c r="A1380" s="1132"/>
      <c r="H1380" s="793" t="s">
        <v>1780</v>
      </c>
      <c r="I1380" s="575"/>
      <c r="J1380" s="580"/>
      <c r="K1380" s="575"/>
    </row>
    <row r="1381" spans="1:11" hidden="1">
      <c r="A1381" s="1132"/>
      <c r="H1381" s="796" t="s">
        <v>117</v>
      </c>
      <c r="I1381" s="582" t="s">
        <v>117</v>
      </c>
      <c r="J1381" s="580"/>
      <c r="K1381" s="575"/>
    </row>
    <row r="1382" spans="1:11" hidden="1">
      <c r="A1382" s="1132"/>
      <c r="G1382" s="798" t="s">
        <v>1196</v>
      </c>
      <c r="H1382" s="793" t="s">
        <v>1782</v>
      </c>
      <c r="I1382" s="575"/>
      <c r="J1382" s="580"/>
      <c r="K1382" s="575"/>
    </row>
    <row r="1383" spans="1:11" hidden="1">
      <c r="A1383" s="1132"/>
      <c r="G1383" s="798" t="s">
        <v>117</v>
      </c>
      <c r="H1383" s="796" t="s">
        <v>117</v>
      </c>
      <c r="I1383" s="575"/>
      <c r="J1383" s="580"/>
      <c r="K1383" s="575"/>
    </row>
    <row r="1384" spans="1:11" hidden="1">
      <c r="A1384" s="1132"/>
      <c r="F1384" s="1119">
        <v>1.4E-2</v>
      </c>
      <c r="G1384" s="798" t="s">
        <v>429</v>
      </c>
      <c r="H1384" s="793" t="s">
        <v>1783</v>
      </c>
      <c r="I1384" s="587" t="e">
        <f>K49</f>
        <v>#REF!</v>
      </c>
      <c r="J1384" s="574" t="s">
        <v>429</v>
      </c>
      <c r="K1384" s="587" t="e">
        <f>(F1384*I1384)</f>
        <v>#REF!</v>
      </c>
    </row>
    <row r="1385" spans="1:11" hidden="1">
      <c r="A1385" s="1132"/>
      <c r="F1385" s="800">
        <v>0.3</v>
      </c>
      <c r="G1385" s="798" t="s">
        <v>233</v>
      </c>
      <c r="H1385" s="793" t="s">
        <v>1784</v>
      </c>
      <c r="I1385" s="587">
        <f>C10</f>
        <v>150</v>
      </c>
      <c r="J1385" s="574" t="s">
        <v>233</v>
      </c>
      <c r="K1385" s="587">
        <f>(F1385*I1385)</f>
        <v>45</v>
      </c>
    </row>
    <row r="1386" spans="1:11" hidden="1">
      <c r="A1386" s="1132"/>
      <c r="F1386" s="800">
        <v>0.3</v>
      </c>
      <c r="G1386" s="798" t="s">
        <v>233</v>
      </c>
      <c r="H1386" s="793" t="s">
        <v>956</v>
      </c>
      <c r="I1386" s="587">
        <f>C12</f>
        <v>95</v>
      </c>
      <c r="J1386" s="574" t="s">
        <v>233</v>
      </c>
      <c r="K1386" s="587">
        <f>(F1386*I1386)</f>
        <v>28.5</v>
      </c>
    </row>
    <row r="1387" spans="1:11" hidden="1">
      <c r="A1387" s="1132"/>
      <c r="G1387" s="798" t="s">
        <v>129</v>
      </c>
      <c r="H1387" s="793" t="s">
        <v>236</v>
      </c>
      <c r="I1387" s="575"/>
      <c r="J1387" s="574" t="s">
        <v>129</v>
      </c>
      <c r="K1387" s="575">
        <v>0</v>
      </c>
    </row>
    <row r="1388" spans="1:11" hidden="1">
      <c r="A1388" s="1132"/>
      <c r="I1388" s="575"/>
      <c r="J1388" s="580"/>
      <c r="K1388" s="582" t="s">
        <v>117</v>
      </c>
    </row>
    <row r="1389" spans="1:11" hidden="1">
      <c r="A1389" s="1132"/>
      <c r="H1389" s="1098" t="s">
        <v>1786</v>
      </c>
      <c r="I1389" s="575"/>
      <c r="J1389" s="580"/>
      <c r="K1389" s="587" t="e">
        <f>SUM(K1384:K1387)</f>
        <v>#REF!</v>
      </c>
    </row>
    <row r="1390" spans="1:11" hidden="1">
      <c r="A1390" s="1132"/>
      <c r="I1390" s="575"/>
      <c r="J1390" s="580"/>
      <c r="K1390" s="582" t="s">
        <v>117</v>
      </c>
    </row>
    <row r="1391" spans="1:11" hidden="1">
      <c r="A1391" s="1132"/>
      <c r="H1391" s="1098" t="s">
        <v>1787</v>
      </c>
      <c r="I1391" s="575"/>
      <c r="J1391" s="580"/>
      <c r="K1391" s="587" t="e">
        <f>K1389/6.77</f>
        <v>#REF!</v>
      </c>
    </row>
    <row r="1392" spans="1:11" hidden="1">
      <c r="A1392" s="1132"/>
      <c r="F1392" s="793" t="s">
        <v>115</v>
      </c>
      <c r="I1392" s="575"/>
      <c r="J1392" s="580"/>
      <c r="K1392" s="575"/>
    </row>
    <row r="1393" spans="1:11" hidden="1">
      <c r="A1393" s="1132"/>
      <c r="I1393" s="575"/>
      <c r="J1393" s="580"/>
      <c r="K1393" s="582" t="s">
        <v>155</v>
      </c>
    </row>
    <row r="1394" spans="1:11" hidden="1">
      <c r="A1394" s="1132"/>
      <c r="G1394" s="798" t="s">
        <v>1225</v>
      </c>
      <c r="H1394" s="793" t="s">
        <v>1788</v>
      </c>
      <c r="I1394" s="575"/>
      <c r="J1394" s="580"/>
      <c r="K1394" s="575"/>
    </row>
    <row r="1395" spans="1:11" hidden="1">
      <c r="A1395" s="1132"/>
      <c r="G1395" s="798" t="s">
        <v>117</v>
      </c>
      <c r="H1395" s="796" t="s">
        <v>117</v>
      </c>
      <c r="I1395" s="575"/>
      <c r="J1395" s="580"/>
      <c r="K1395" s="575"/>
    </row>
    <row r="1396" spans="1:11" hidden="1">
      <c r="A1396" s="1132"/>
      <c r="F1396" s="1119">
        <v>7.0000000000000001E-3</v>
      </c>
      <c r="G1396" s="798" t="s">
        <v>429</v>
      </c>
      <c r="H1396" s="793" t="s">
        <v>1783</v>
      </c>
      <c r="I1396" s="587" t="e">
        <f>K49</f>
        <v>#REF!</v>
      </c>
      <c r="J1396" s="574" t="s">
        <v>429</v>
      </c>
      <c r="K1396" s="587" t="e">
        <f>(F1396*I1396)</f>
        <v>#REF!</v>
      </c>
    </row>
    <row r="1397" spans="1:11" hidden="1">
      <c r="A1397" s="1132"/>
      <c r="F1397" s="800">
        <v>0.2</v>
      </c>
      <c r="G1397" s="798" t="s">
        <v>233</v>
      </c>
      <c r="H1397" s="793" t="s">
        <v>1784</v>
      </c>
      <c r="I1397" s="587">
        <f>C10</f>
        <v>150</v>
      </c>
      <c r="J1397" s="574" t="s">
        <v>233</v>
      </c>
      <c r="K1397" s="587">
        <f>(F1397*I1397)</f>
        <v>30</v>
      </c>
    </row>
    <row r="1398" spans="1:11" hidden="1">
      <c r="A1398" s="1132"/>
      <c r="F1398" s="800">
        <v>0.2</v>
      </c>
      <c r="G1398" s="798" t="s">
        <v>233</v>
      </c>
      <c r="H1398" s="793" t="s">
        <v>956</v>
      </c>
      <c r="I1398" s="587">
        <f>C12</f>
        <v>95</v>
      </c>
      <c r="J1398" s="574" t="s">
        <v>233</v>
      </c>
      <c r="K1398" s="587">
        <f>(F1398*I1398)</f>
        <v>19</v>
      </c>
    </row>
    <row r="1399" spans="1:11" hidden="1">
      <c r="A1399" s="1132"/>
      <c r="H1399" s="793" t="s">
        <v>236</v>
      </c>
      <c r="I1399" s="575"/>
      <c r="J1399" s="580"/>
      <c r="K1399" s="575">
        <v>0</v>
      </c>
    </row>
    <row r="1400" spans="1:11" hidden="1">
      <c r="A1400" s="1132"/>
      <c r="I1400" s="575"/>
      <c r="J1400" s="580"/>
      <c r="K1400" s="582" t="s">
        <v>117</v>
      </c>
    </row>
    <row r="1401" spans="1:11" hidden="1">
      <c r="A1401" s="1132"/>
      <c r="H1401" s="1098" t="s">
        <v>1786</v>
      </c>
      <c r="I1401" s="575"/>
      <c r="J1401" s="580"/>
      <c r="K1401" s="587" t="e">
        <f>SUM(K1396:K1399)</f>
        <v>#REF!</v>
      </c>
    </row>
    <row r="1402" spans="1:11" hidden="1">
      <c r="A1402" s="1132"/>
      <c r="I1402" s="575"/>
      <c r="J1402" s="580"/>
      <c r="K1402" s="582" t="s">
        <v>117</v>
      </c>
    </row>
    <row r="1403" spans="1:11" hidden="1">
      <c r="A1403" s="1132"/>
      <c r="H1403" s="1098" t="s">
        <v>1787</v>
      </c>
      <c r="I1403" s="575"/>
      <c r="J1403" s="580"/>
      <c r="K1403" s="587" t="e">
        <f>K1401/6.77</f>
        <v>#REF!</v>
      </c>
    </row>
    <row r="1404" spans="1:11" hidden="1">
      <c r="A1404" s="1132"/>
      <c r="I1404" s="575"/>
      <c r="J1404" s="580"/>
      <c r="K1404" s="582" t="s">
        <v>155</v>
      </c>
    </row>
    <row r="1405" spans="1:11" hidden="1">
      <c r="A1405" s="1132"/>
      <c r="I1405" s="575"/>
      <c r="J1405" s="580"/>
      <c r="K1405" s="582"/>
    </row>
    <row r="1406" spans="1:11" hidden="1">
      <c r="A1406" s="1132"/>
      <c r="I1406" s="575"/>
      <c r="J1406" s="580"/>
      <c r="K1406" s="582"/>
    </row>
    <row r="1407" spans="1:11" hidden="1">
      <c r="A1407" s="1132"/>
      <c r="G1407" s="798" t="s">
        <v>1258</v>
      </c>
      <c r="H1407" s="793" t="s">
        <v>1791</v>
      </c>
      <c r="I1407" s="575"/>
      <c r="J1407" s="580"/>
      <c r="K1407" s="582"/>
    </row>
    <row r="1408" spans="1:11" hidden="1">
      <c r="A1408" s="1132"/>
      <c r="G1408" s="798" t="s">
        <v>117</v>
      </c>
      <c r="H1408" s="796" t="s">
        <v>117</v>
      </c>
      <c r="I1408" s="575"/>
      <c r="J1408" s="580"/>
      <c r="K1408" s="582"/>
    </row>
    <row r="1409" spans="1:11" hidden="1">
      <c r="A1409" s="1132"/>
      <c r="F1409" s="1119">
        <v>4.7000000000000002E-3</v>
      </c>
      <c r="G1409" s="798" t="s">
        <v>429</v>
      </c>
      <c r="H1409" s="793" t="s">
        <v>1783</v>
      </c>
      <c r="I1409" s="575" t="e">
        <f>K49</f>
        <v>#REF!</v>
      </c>
      <c r="J1409" s="574" t="s">
        <v>429</v>
      </c>
      <c r="K1409" s="587" t="e">
        <f>(F1409*I1409)</f>
        <v>#REF!</v>
      </c>
    </row>
    <row r="1410" spans="1:11" hidden="1">
      <c r="A1410" s="1132"/>
      <c r="F1410" s="800">
        <v>0.15</v>
      </c>
      <c r="G1410" s="798" t="s">
        <v>233</v>
      </c>
      <c r="H1410" s="793" t="s">
        <v>1784</v>
      </c>
      <c r="I1410" s="575">
        <f>C10</f>
        <v>150</v>
      </c>
      <c r="J1410" s="574" t="s">
        <v>233</v>
      </c>
      <c r="K1410" s="587">
        <f>(F1410*I1410)</f>
        <v>22.5</v>
      </c>
    </row>
    <row r="1411" spans="1:11" hidden="1">
      <c r="A1411" s="1132"/>
      <c r="F1411" s="800">
        <v>0.15</v>
      </c>
      <c r="G1411" s="798" t="s">
        <v>233</v>
      </c>
      <c r="H1411" s="793" t="s">
        <v>956</v>
      </c>
      <c r="I1411" s="575">
        <f>C12</f>
        <v>95</v>
      </c>
      <c r="J1411" s="574" t="s">
        <v>233</v>
      </c>
      <c r="K1411" s="587">
        <f>(F1411*I1411)</f>
        <v>14.25</v>
      </c>
    </row>
    <row r="1412" spans="1:11" hidden="1">
      <c r="A1412" s="1132"/>
      <c r="H1412" s="793" t="s">
        <v>236</v>
      </c>
      <c r="I1412" s="575"/>
      <c r="J1412" s="580"/>
      <c r="K1412" s="575">
        <v>0</v>
      </c>
    </row>
    <row r="1413" spans="1:11" hidden="1">
      <c r="A1413" s="1132"/>
      <c r="I1413" s="575"/>
      <c r="J1413" s="580"/>
      <c r="K1413" s="582" t="s">
        <v>117</v>
      </c>
    </row>
    <row r="1414" spans="1:11" hidden="1">
      <c r="A1414" s="1132"/>
      <c r="H1414" s="1098" t="s">
        <v>1786</v>
      </c>
      <c r="I1414" s="575"/>
      <c r="J1414" s="580"/>
      <c r="K1414" s="587" t="e">
        <f>SUM(K1409:K1412)</f>
        <v>#REF!</v>
      </c>
    </row>
    <row r="1415" spans="1:11" hidden="1">
      <c r="A1415" s="1132"/>
      <c r="I1415" s="575"/>
      <c r="J1415" s="580"/>
      <c r="K1415" s="582" t="s">
        <v>117</v>
      </c>
    </row>
    <row r="1416" spans="1:11" hidden="1">
      <c r="A1416" s="1132"/>
      <c r="H1416" s="1098" t="s">
        <v>1787</v>
      </c>
      <c r="I1416" s="575"/>
      <c r="J1416" s="580"/>
      <c r="K1416" s="587" t="e">
        <f>K1414/6.77</f>
        <v>#REF!</v>
      </c>
    </row>
    <row r="1417" spans="1:11" hidden="1">
      <c r="A1417" s="1132"/>
      <c r="I1417" s="575"/>
      <c r="J1417" s="580"/>
      <c r="K1417" s="582" t="s">
        <v>155</v>
      </c>
    </row>
    <row r="1418" spans="1:11" hidden="1">
      <c r="A1418" s="1132"/>
      <c r="I1418" s="575"/>
      <c r="J1418" s="580"/>
      <c r="K1418" s="582"/>
    </row>
    <row r="1419" spans="1:11" hidden="1">
      <c r="A1419" s="1132"/>
      <c r="F1419" s="1109">
        <v>37.1</v>
      </c>
      <c r="G1419" s="798" t="s">
        <v>122</v>
      </c>
      <c r="H1419" s="793" t="s">
        <v>1793</v>
      </c>
      <c r="I1419" s="575"/>
      <c r="J1419" s="580"/>
      <c r="K1419" s="575"/>
    </row>
    <row r="1420" spans="1:11" hidden="1">
      <c r="A1420" s="1132"/>
      <c r="H1420" s="796" t="s">
        <v>117</v>
      </c>
      <c r="I1420" s="575"/>
      <c r="J1420" s="580"/>
      <c r="K1420" s="575"/>
    </row>
    <row r="1421" spans="1:11" hidden="1">
      <c r="A1421" s="1132"/>
      <c r="F1421" s="800">
        <v>0.09</v>
      </c>
      <c r="G1421" s="798" t="s">
        <v>126</v>
      </c>
      <c r="H1421" s="793" t="s">
        <v>508</v>
      </c>
      <c r="I1421" s="587">
        <f>(C84)</f>
        <v>773</v>
      </c>
      <c r="J1421" s="574" t="s">
        <v>126</v>
      </c>
      <c r="K1421" s="587">
        <f>(F1421*I1421)</f>
        <v>69.569999999999993</v>
      </c>
    </row>
    <row r="1422" spans="1:11" hidden="1">
      <c r="A1422" s="1132"/>
      <c r="F1422" s="800">
        <v>2.2000000000000002</v>
      </c>
      <c r="G1422" s="798" t="s">
        <v>209</v>
      </c>
      <c r="H1422" s="793" t="s">
        <v>145</v>
      </c>
      <c r="I1422" s="587">
        <f>(C11)</f>
        <v>135</v>
      </c>
      <c r="J1422" s="574" t="s">
        <v>209</v>
      </c>
      <c r="K1422" s="587">
        <f>(F1422*I1422)</f>
        <v>297</v>
      </c>
    </row>
    <row r="1423" spans="1:11" hidden="1">
      <c r="A1423" s="1132"/>
      <c r="F1423" s="800">
        <v>0.5</v>
      </c>
      <c r="G1423" s="798" t="s">
        <v>209</v>
      </c>
      <c r="H1423" s="793" t="s">
        <v>146</v>
      </c>
      <c r="I1423" s="587">
        <f>(C12)</f>
        <v>95</v>
      </c>
      <c r="J1423" s="574" t="s">
        <v>209</v>
      </c>
      <c r="K1423" s="587">
        <f>(F1423*I1423)</f>
        <v>47.5</v>
      </c>
    </row>
    <row r="1424" spans="1:11" hidden="1">
      <c r="A1424" s="1132"/>
      <c r="F1424" s="800">
        <v>3.8</v>
      </c>
      <c r="G1424" s="798" t="s">
        <v>209</v>
      </c>
      <c r="H1424" s="793" t="s">
        <v>147</v>
      </c>
      <c r="I1424" s="587">
        <f>(C13)</f>
        <v>85</v>
      </c>
      <c r="J1424" s="574" t="s">
        <v>209</v>
      </c>
      <c r="K1424" s="587">
        <f>(F1424*I1424)</f>
        <v>323</v>
      </c>
    </row>
    <row r="1425" spans="1:11" hidden="1">
      <c r="A1425" s="1132"/>
      <c r="G1425" s="798" t="s">
        <v>129</v>
      </c>
      <c r="H1425" s="793" t="s">
        <v>1795</v>
      </c>
      <c r="I1425" s="573" t="s">
        <v>115</v>
      </c>
      <c r="J1425" s="574" t="s">
        <v>129</v>
      </c>
      <c r="K1425" s="587">
        <v>1.5</v>
      </c>
    </row>
    <row r="1426" spans="1:11" hidden="1">
      <c r="A1426" s="1132"/>
      <c r="I1426" s="575"/>
      <c r="J1426" s="580"/>
      <c r="K1426" s="582" t="s">
        <v>117</v>
      </c>
    </row>
    <row r="1427" spans="1:11" hidden="1">
      <c r="A1427" s="1132"/>
      <c r="H1427" s="793" t="s">
        <v>771</v>
      </c>
      <c r="I1427" s="575"/>
      <c r="J1427" s="580"/>
      <c r="K1427" s="587">
        <f>SUM(K1420:K1425)</f>
        <v>738.56999999999994</v>
      </c>
    </row>
    <row r="1428" spans="1:11" hidden="1">
      <c r="A1428" s="1132"/>
      <c r="I1428" s="575"/>
      <c r="J1428" s="580"/>
      <c r="K1428" s="582" t="s">
        <v>117</v>
      </c>
    </row>
    <row r="1429" spans="1:11" hidden="1">
      <c r="A1429" s="1132"/>
      <c r="H1429" s="793" t="s">
        <v>154</v>
      </c>
      <c r="I1429" s="575"/>
      <c r="J1429" s="580"/>
      <c r="K1429" s="587">
        <f>(K1427/100)</f>
        <v>7.385699999999999</v>
      </c>
    </row>
    <row r="1430" spans="1:11" hidden="1">
      <c r="A1430" s="1132"/>
      <c r="I1430" s="575"/>
      <c r="J1430" s="580"/>
      <c r="K1430" s="582" t="s">
        <v>155</v>
      </c>
    </row>
    <row r="1431" spans="1:11" hidden="1">
      <c r="A1431" s="1132"/>
      <c r="F1431" s="1098" t="s">
        <v>1796</v>
      </c>
      <c r="G1431" s="798" t="s">
        <v>122</v>
      </c>
      <c r="H1431" s="793" t="s">
        <v>1797</v>
      </c>
      <c r="I1431" s="575"/>
      <c r="J1431" s="580"/>
      <c r="K1431" s="575"/>
    </row>
    <row r="1432" spans="1:11" hidden="1">
      <c r="A1432" s="1132"/>
      <c r="H1432" s="793" t="s">
        <v>1798</v>
      </c>
      <c r="I1432" s="575"/>
      <c r="J1432" s="580"/>
      <c r="K1432" s="575"/>
    </row>
    <row r="1433" spans="1:11" hidden="1">
      <c r="A1433" s="1132"/>
      <c r="H1433" s="793" t="s">
        <v>1799</v>
      </c>
      <c r="I1433" s="575"/>
      <c r="J1433" s="580"/>
      <c r="K1433" s="575"/>
    </row>
    <row r="1434" spans="1:11" hidden="1">
      <c r="A1434" s="1132"/>
      <c r="H1434" s="793" t="s">
        <v>1800</v>
      </c>
      <c r="I1434" s="575"/>
      <c r="J1434" s="580"/>
      <c r="K1434" s="575"/>
    </row>
    <row r="1435" spans="1:11" hidden="1">
      <c r="A1435" s="1132"/>
      <c r="H1435" s="796" t="s">
        <v>117</v>
      </c>
      <c r="I1435" s="575"/>
      <c r="J1435" s="580"/>
      <c r="K1435" s="575"/>
    </row>
    <row r="1436" spans="1:11" hidden="1">
      <c r="A1436" s="1132"/>
      <c r="F1436" s="800">
        <v>4.8</v>
      </c>
      <c r="G1436" s="798" t="s">
        <v>148</v>
      </c>
      <c r="H1436" s="793" t="s">
        <v>1801</v>
      </c>
      <c r="I1436" s="587">
        <f>(C270)</f>
        <v>35</v>
      </c>
      <c r="J1436" s="574" t="s">
        <v>148</v>
      </c>
      <c r="K1436" s="587">
        <f>(F1436*I1436)</f>
        <v>168</v>
      </c>
    </row>
    <row r="1437" spans="1:11" hidden="1">
      <c r="A1437" s="1132"/>
      <c r="F1437" s="800">
        <v>0.75</v>
      </c>
      <c r="G1437" s="798" t="s">
        <v>209</v>
      </c>
      <c r="H1437" s="793" t="s">
        <v>1802</v>
      </c>
      <c r="I1437" s="587">
        <f>(C14)</f>
        <v>120</v>
      </c>
      <c r="J1437" s="574" t="s">
        <v>209</v>
      </c>
      <c r="K1437" s="587">
        <f>(F1437*I1437)</f>
        <v>90</v>
      </c>
    </row>
    <row r="1438" spans="1:11" hidden="1">
      <c r="A1438" s="1132"/>
      <c r="F1438" s="800">
        <v>0.75</v>
      </c>
      <c r="G1438" s="798" t="s">
        <v>209</v>
      </c>
      <c r="H1438" s="793" t="s">
        <v>1628</v>
      </c>
      <c r="I1438" s="587">
        <f>(C12)</f>
        <v>95</v>
      </c>
      <c r="J1438" s="574" t="s">
        <v>209</v>
      </c>
      <c r="K1438" s="587">
        <f>(F1438*I1438)</f>
        <v>71.25</v>
      </c>
    </row>
    <row r="1439" spans="1:11" hidden="1">
      <c r="A1439" s="1132"/>
      <c r="F1439" s="800">
        <v>1.2</v>
      </c>
      <c r="G1439" s="798" t="s">
        <v>209</v>
      </c>
      <c r="H1439" s="793" t="s">
        <v>147</v>
      </c>
      <c r="I1439" s="587">
        <f>(C13)</f>
        <v>85</v>
      </c>
      <c r="J1439" s="574" t="s">
        <v>209</v>
      </c>
      <c r="K1439" s="587">
        <f>(F1439*I1439)</f>
        <v>102</v>
      </c>
    </row>
    <row r="1440" spans="1:11" hidden="1">
      <c r="A1440" s="1132"/>
      <c r="G1440" s="798" t="s">
        <v>129</v>
      </c>
      <c r="H1440" s="793" t="s">
        <v>769</v>
      </c>
      <c r="I1440" s="573" t="s">
        <v>115</v>
      </c>
      <c r="J1440" s="574" t="s">
        <v>129</v>
      </c>
      <c r="K1440" s="587">
        <v>1.45</v>
      </c>
    </row>
    <row r="1441" spans="1:11" hidden="1">
      <c r="A1441" s="1132"/>
      <c r="I1441" s="575"/>
      <c r="J1441" s="580"/>
      <c r="K1441" s="582" t="s">
        <v>117</v>
      </c>
    </row>
    <row r="1442" spans="1:11" hidden="1">
      <c r="A1442" s="1132"/>
      <c r="H1442" s="793" t="s">
        <v>153</v>
      </c>
      <c r="I1442" s="575"/>
      <c r="J1442" s="580"/>
      <c r="K1442" s="587">
        <f>SUM(K1436:K1440)</f>
        <v>432.7</v>
      </c>
    </row>
    <row r="1443" spans="1:11" hidden="1">
      <c r="A1443" s="1132"/>
      <c r="I1443" s="575"/>
      <c r="J1443" s="580"/>
      <c r="K1443" s="582" t="s">
        <v>117</v>
      </c>
    </row>
    <row r="1444" spans="1:11" hidden="1">
      <c r="A1444" s="1132"/>
      <c r="H1444" s="793" t="s">
        <v>154</v>
      </c>
      <c r="I1444" s="575"/>
      <c r="J1444" s="580"/>
      <c r="K1444" s="587">
        <f>(K1442/10)</f>
        <v>43.269999999999996</v>
      </c>
    </row>
    <row r="1445" spans="1:11" hidden="1">
      <c r="A1445" s="1132"/>
      <c r="I1445" s="575"/>
      <c r="J1445" s="580"/>
      <c r="K1445" s="582" t="s">
        <v>155</v>
      </c>
    </row>
    <row r="1446" spans="1:11" hidden="1">
      <c r="A1446" s="1132"/>
      <c r="F1446" s="1098" t="s">
        <v>1803</v>
      </c>
      <c r="G1446" s="798" t="s">
        <v>122</v>
      </c>
      <c r="H1446" s="1098" t="s">
        <v>1807</v>
      </c>
      <c r="I1446" s="575"/>
      <c r="J1446" s="580"/>
      <c r="K1446" s="575"/>
    </row>
    <row r="1447" spans="1:11" hidden="1">
      <c r="A1447" s="1132"/>
      <c r="H1447" s="1098" t="s">
        <v>777</v>
      </c>
      <c r="I1447" s="575"/>
      <c r="J1447" s="580"/>
      <c r="K1447" s="575"/>
    </row>
    <row r="1448" spans="1:11" hidden="1">
      <c r="A1448" s="1132"/>
      <c r="F1448" s="800">
        <v>3.08</v>
      </c>
      <c r="G1448" s="798" t="s">
        <v>1806</v>
      </c>
      <c r="H1448" s="793" t="s">
        <v>1807</v>
      </c>
      <c r="I1448" s="587">
        <v>120</v>
      </c>
      <c r="J1448" s="574" t="s">
        <v>1806</v>
      </c>
      <c r="K1448" s="587">
        <f>(F1448*I1448)</f>
        <v>369.6</v>
      </c>
    </row>
    <row r="1449" spans="1:11" hidden="1">
      <c r="A1449" s="1132"/>
      <c r="F1449" s="800">
        <v>0.5</v>
      </c>
      <c r="G1449" s="798" t="s">
        <v>233</v>
      </c>
      <c r="H1449" s="793" t="s">
        <v>1808</v>
      </c>
      <c r="I1449" s="587">
        <f>C14</f>
        <v>120</v>
      </c>
      <c r="J1449" s="574" t="s">
        <v>233</v>
      </c>
      <c r="K1449" s="587">
        <f>(F1449*I1449)</f>
        <v>60</v>
      </c>
    </row>
    <row r="1450" spans="1:11" hidden="1">
      <c r="A1450" s="1132"/>
      <c r="F1450" s="800">
        <v>0.5</v>
      </c>
      <c r="G1450" s="798" t="s">
        <v>233</v>
      </c>
      <c r="H1450" s="793" t="s">
        <v>956</v>
      </c>
      <c r="I1450" s="587">
        <f>C12</f>
        <v>95</v>
      </c>
      <c r="J1450" s="574" t="s">
        <v>233</v>
      </c>
      <c r="K1450" s="587">
        <f>(F1450*I1450)</f>
        <v>47.5</v>
      </c>
    </row>
    <row r="1451" spans="1:11" hidden="1">
      <c r="A1451" s="1132"/>
      <c r="F1451" s="800">
        <v>0.8</v>
      </c>
      <c r="G1451" s="798" t="s">
        <v>233</v>
      </c>
      <c r="H1451" s="793" t="s">
        <v>1809</v>
      </c>
      <c r="I1451" s="587">
        <f>C13</f>
        <v>85</v>
      </c>
      <c r="J1451" s="574" t="s">
        <v>233</v>
      </c>
      <c r="K1451" s="587">
        <f>(F1451*I1451)</f>
        <v>68</v>
      </c>
    </row>
    <row r="1452" spans="1:11" hidden="1">
      <c r="A1452" s="1132"/>
      <c r="G1452" s="798" t="s">
        <v>129</v>
      </c>
      <c r="H1452" s="793" t="s">
        <v>769</v>
      </c>
      <c r="I1452" s="575"/>
      <c r="J1452" s="574" t="s">
        <v>129</v>
      </c>
      <c r="K1452" s="587">
        <v>1.5</v>
      </c>
    </row>
    <row r="1453" spans="1:11" hidden="1">
      <c r="A1453" s="1132"/>
      <c r="I1453" s="575"/>
      <c r="J1453" s="580"/>
      <c r="K1453" s="575"/>
    </row>
    <row r="1454" spans="1:11" hidden="1">
      <c r="A1454" s="1132"/>
      <c r="I1454" s="575"/>
      <c r="J1454" s="580"/>
      <c r="K1454" s="582" t="s">
        <v>117</v>
      </c>
    </row>
    <row r="1455" spans="1:11" hidden="1">
      <c r="A1455" s="1132"/>
      <c r="H1455" s="1098" t="s">
        <v>1811</v>
      </c>
      <c r="I1455" s="575"/>
      <c r="J1455" s="580"/>
      <c r="K1455" s="587">
        <f>SUM(K1448:K1452)</f>
        <v>546.6</v>
      </c>
    </row>
    <row r="1456" spans="1:11" hidden="1">
      <c r="A1456" s="1132"/>
      <c r="I1456" s="575"/>
      <c r="J1456" s="580"/>
      <c r="K1456" s="582" t="s">
        <v>117</v>
      </c>
    </row>
    <row r="1457" spans="1:11" hidden="1">
      <c r="A1457" s="1132"/>
      <c r="F1457" s="793" t="s">
        <v>115</v>
      </c>
      <c r="G1457" s="798" t="s">
        <v>115</v>
      </c>
      <c r="H1457" s="1098" t="s">
        <v>239</v>
      </c>
      <c r="I1457" s="573" t="s">
        <v>115</v>
      </c>
      <c r="J1457" s="574" t="s">
        <v>115</v>
      </c>
      <c r="K1457" s="587">
        <f>K1455/10</f>
        <v>54.660000000000004</v>
      </c>
    </row>
    <row r="1458" spans="1:11" hidden="1">
      <c r="A1458" s="1132"/>
      <c r="I1458" s="575"/>
      <c r="J1458" s="580"/>
      <c r="K1458" s="582" t="s">
        <v>155</v>
      </c>
    </row>
    <row r="1459" spans="1:11" hidden="1">
      <c r="A1459" s="1132"/>
      <c r="F1459" s="1098" t="s">
        <v>1690</v>
      </c>
      <c r="G1459" s="798" t="s">
        <v>122</v>
      </c>
      <c r="H1459" s="793" t="s">
        <v>1825</v>
      </c>
      <c r="I1459" s="575"/>
      <c r="J1459" s="580"/>
      <c r="K1459" s="575"/>
    </row>
    <row r="1460" spans="1:11" hidden="1">
      <c r="A1460" s="1132"/>
      <c r="H1460" s="793" t="s">
        <v>184</v>
      </c>
      <c r="I1460" s="575"/>
      <c r="J1460" s="580"/>
      <c r="K1460" s="575"/>
    </row>
    <row r="1461" spans="1:11" hidden="1">
      <c r="A1461" s="1132"/>
      <c r="H1461" s="793" t="s">
        <v>185</v>
      </c>
      <c r="I1461" s="575"/>
      <c r="J1461" s="580"/>
      <c r="K1461" s="575"/>
    </row>
    <row r="1462" spans="1:11" hidden="1">
      <c r="A1462" s="1132"/>
      <c r="H1462" s="796" t="s">
        <v>117</v>
      </c>
      <c r="I1462" s="575"/>
      <c r="J1462" s="580"/>
      <c r="K1462" s="575"/>
    </row>
    <row r="1463" spans="1:11" hidden="1">
      <c r="A1463" s="1132"/>
      <c r="F1463" s="800">
        <v>1.44</v>
      </c>
      <c r="G1463" s="798" t="s">
        <v>171</v>
      </c>
      <c r="H1463" s="793" t="s">
        <v>1815</v>
      </c>
      <c r="I1463" s="587">
        <f>(C195)</f>
        <v>100</v>
      </c>
      <c r="J1463" s="574" t="s">
        <v>171</v>
      </c>
      <c r="K1463" s="587">
        <f>(F1463*I1463)</f>
        <v>144</v>
      </c>
    </row>
    <row r="1464" spans="1:11" hidden="1">
      <c r="A1464" s="1132"/>
      <c r="F1464" s="800">
        <v>0.7</v>
      </c>
      <c r="G1464" s="798" t="s">
        <v>1</v>
      </c>
      <c r="H1464" s="793" t="s">
        <v>181</v>
      </c>
      <c r="I1464" s="587">
        <f>(C14)</f>
        <v>120</v>
      </c>
      <c r="J1464" s="574" t="s">
        <v>1</v>
      </c>
      <c r="K1464" s="587">
        <f>(F1464*I1464)</f>
        <v>84</v>
      </c>
    </row>
    <row r="1465" spans="1:11" hidden="1">
      <c r="A1465" s="1132"/>
      <c r="F1465" s="800">
        <v>2.5499999999999998</v>
      </c>
      <c r="G1465" s="798" t="s">
        <v>171</v>
      </c>
      <c r="H1465" s="793" t="s">
        <v>187</v>
      </c>
      <c r="I1465" s="587">
        <f>(C194)</f>
        <v>160</v>
      </c>
      <c r="J1465" s="574" t="s">
        <v>171</v>
      </c>
      <c r="K1465" s="587">
        <f>(F1465*I1465)</f>
        <v>408</v>
      </c>
    </row>
    <row r="1466" spans="1:11" hidden="1">
      <c r="A1466" s="1132"/>
      <c r="F1466" s="800">
        <v>1.2</v>
      </c>
      <c r="G1466" s="798" t="s">
        <v>1</v>
      </c>
      <c r="H1466" s="793" t="s">
        <v>181</v>
      </c>
      <c r="I1466" s="587">
        <f>(C14)</f>
        <v>120</v>
      </c>
      <c r="J1466" s="574" t="s">
        <v>1</v>
      </c>
      <c r="K1466" s="587">
        <f>(F1466*I1466)</f>
        <v>144</v>
      </c>
    </row>
    <row r="1467" spans="1:11" hidden="1">
      <c r="A1467" s="1132"/>
      <c r="G1467" s="798" t="s">
        <v>129</v>
      </c>
      <c r="H1467" s="793" t="s">
        <v>182</v>
      </c>
      <c r="I1467" s="573" t="s">
        <v>115</v>
      </c>
      <c r="J1467" s="574" t="s">
        <v>129</v>
      </c>
      <c r="K1467" s="587">
        <v>1.5</v>
      </c>
    </row>
    <row r="1468" spans="1:11" hidden="1">
      <c r="A1468" s="1132"/>
      <c r="I1468" s="575"/>
      <c r="J1468" s="580"/>
      <c r="K1468" s="582" t="s">
        <v>117</v>
      </c>
    </row>
    <row r="1469" spans="1:11" hidden="1">
      <c r="A1469" s="1132"/>
      <c r="H1469" s="793" t="s">
        <v>153</v>
      </c>
      <c r="I1469" s="575"/>
      <c r="J1469" s="580"/>
      <c r="K1469" s="587">
        <f>SUM(K1463:K1467)</f>
        <v>781.5</v>
      </c>
    </row>
    <row r="1470" spans="1:11" hidden="1">
      <c r="A1470" s="1132"/>
      <c r="I1470" s="575"/>
      <c r="J1470" s="580"/>
      <c r="K1470" s="582" t="s">
        <v>117</v>
      </c>
    </row>
    <row r="1471" spans="1:11" hidden="1">
      <c r="A1471" s="1132"/>
      <c r="H1471" s="793" t="s">
        <v>154</v>
      </c>
      <c r="I1471" s="575"/>
      <c r="J1471" s="580"/>
      <c r="K1471" s="587">
        <f>(K1469/10)</f>
        <v>78.150000000000006</v>
      </c>
    </row>
    <row r="1472" spans="1:11" hidden="1">
      <c r="A1472" s="1132"/>
      <c r="F1472" s="793" t="s">
        <v>115</v>
      </c>
      <c r="I1472" s="575"/>
      <c r="J1472" s="580"/>
      <c r="K1472" s="575"/>
    </row>
    <row r="1473" spans="1:11" hidden="1">
      <c r="A1473" s="1132"/>
      <c r="I1473" s="575"/>
      <c r="J1473" s="580"/>
      <c r="K1473" s="582" t="s">
        <v>155</v>
      </c>
    </row>
    <row r="1474" spans="1:11" hidden="1">
      <c r="A1474" s="1132"/>
      <c r="F1474" s="1105">
        <v>41</v>
      </c>
      <c r="G1474" s="798" t="s">
        <v>122</v>
      </c>
      <c r="H1474" s="793" t="s">
        <v>1825</v>
      </c>
      <c r="I1474" s="575"/>
      <c r="J1474" s="580"/>
      <c r="K1474" s="575"/>
    </row>
    <row r="1475" spans="1:11" hidden="1">
      <c r="A1475" s="1132"/>
      <c r="H1475" s="793" t="s">
        <v>191</v>
      </c>
      <c r="I1475" s="575"/>
      <c r="J1475" s="580"/>
      <c r="K1475" s="575"/>
    </row>
    <row r="1476" spans="1:11" hidden="1">
      <c r="A1476" s="1132"/>
      <c r="H1476" s="793" t="s">
        <v>185</v>
      </c>
      <c r="I1476" s="575"/>
      <c r="J1476" s="580"/>
      <c r="K1476" s="575"/>
    </row>
    <row r="1477" spans="1:11" hidden="1">
      <c r="A1477" s="1132"/>
      <c r="H1477" s="796" t="s">
        <v>117</v>
      </c>
      <c r="I1477" s="575"/>
      <c r="J1477" s="580"/>
      <c r="K1477" s="575"/>
    </row>
    <row r="1478" spans="1:11" hidden="1">
      <c r="A1478" s="1132"/>
      <c r="F1478" s="800">
        <v>2.2200000000000002</v>
      </c>
      <c r="G1478" s="798" t="s">
        <v>171</v>
      </c>
      <c r="H1478" s="793" t="s">
        <v>187</v>
      </c>
      <c r="I1478" s="587">
        <f>(C206)</f>
        <v>150</v>
      </c>
      <c r="J1478" s="574" t="s">
        <v>171</v>
      </c>
      <c r="K1478" s="587">
        <f>(F1478*I1478)</f>
        <v>333.00000000000006</v>
      </c>
    </row>
    <row r="1479" spans="1:11" hidden="1">
      <c r="A1479" s="1132"/>
      <c r="F1479" s="800">
        <v>1.1000000000000001</v>
      </c>
      <c r="G1479" s="798" t="s">
        <v>1</v>
      </c>
      <c r="H1479" s="793" t="s">
        <v>181</v>
      </c>
      <c r="I1479" s="587">
        <f>(C14)</f>
        <v>120</v>
      </c>
      <c r="J1479" s="574" t="s">
        <v>1</v>
      </c>
      <c r="K1479" s="587">
        <f>(F1479*I1479)</f>
        <v>132</v>
      </c>
    </row>
    <row r="1480" spans="1:11" hidden="1">
      <c r="A1480" s="1132"/>
      <c r="G1480" s="798" t="s">
        <v>129</v>
      </c>
      <c r="H1480" s="793" t="s">
        <v>182</v>
      </c>
      <c r="I1480" s="573" t="s">
        <v>115</v>
      </c>
      <c r="J1480" s="574" t="s">
        <v>129</v>
      </c>
      <c r="K1480" s="587">
        <v>1.5</v>
      </c>
    </row>
    <row r="1481" spans="1:11" hidden="1">
      <c r="A1481" s="1132"/>
      <c r="I1481" s="575"/>
      <c r="J1481" s="580"/>
      <c r="K1481" s="582" t="s">
        <v>117</v>
      </c>
    </row>
    <row r="1482" spans="1:11" hidden="1">
      <c r="A1482" s="1132"/>
      <c r="H1482" s="793" t="s">
        <v>153</v>
      </c>
      <c r="I1482" s="575"/>
      <c r="J1482" s="580"/>
      <c r="K1482" s="587">
        <f>SUM(K1478:K1480)</f>
        <v>466.50000000000006</v>
      </c>
    </row>
    <row r="1483" spans="1:11" hidden="1">
      <c r="A1483" s="1132"/>
      <c r="I1483" s="575"/>
      <c r="J1483" s="580"/>
      <c r="K1483" s="582" t="s">
        <v>117</v>
      </c>
    </row>
    <row r="1484" spans="1:11" hidden="1">
      <c r="A1484" s="1132"/>
      <c r="H1484" s="793" t="s">
        <v>154</v>
      </c>
      <c r="I1484" s="575"/>
      <c r="J1484" s="580"/>
      <c r="K1484" s="587">
        <f>(K1482/10)</f>
        <v>46.650000000000006</v>
      </c>
    </row>
    <row r="1485" spans="1:11" hidden="1">
      <c r="A1485" s="1132"/>
      <c r="H1485" s="793"/>
      <c r="I1485" s="575"/>
      <c r="J1485" s="580"/>
      <c r="K1485" s="587"/>
    </row>
    <row r="1486" spans="1:11" hidden="1">
      <c r="A1486" s="1132"/>
      <c r="H1486" s="793"/>
      <c r="I1486" s="575"/>
      <c r="J1486" s="580"/>
      <c r="K1486" s="587"/>
    </row>
    <row r="1487" spans="1:11" hidden="1">
      <c r="A1487" s="1132"/>
      <c r="F1487" s="1105">
        <v>238</v>
      </c>
      <c r="G1487" s="798" t="s">
        <v>122</v>
      </c>
      <c r="H1487" s="793" t="s">
        <v>1831</v>
      </c>
      <c r="I1487" s="575"/>
      <c r="J1487" s="580"/>
      <c r="K1487" s="575"/>
    </row>
    <row r="1488" spans="1:11" hidden="1">
      <c r="A1488" s="1132"/>
      <c r="H1488" s="793" t="s">
        <v>3554</v>
      </c>
      <c r="I1488" s="575"/>
      <c r="J1488" s="580"/>
      <c r="K1488" s="575"/>
    </row>
    <row r="1489" spans="1:11" hidden="1">
      <c r="A1489" s="1132"/>
      <c r="H1489" s="796" t="s">
        <v>117</v>
      </c>
      <c r="I1489" s="575"/>
      <c r="J1489" s="580"/>
      <c r="K1489" s="575"/>
    </row>
    <row r="1490" spans="1:11" hidden="1">
      <c r="A1490" s="1132"/>
      <c r="F1490" s="800">
        <v>20</v>
      </c>
      <c r="G1490" s="798" t="s">
        <v>171</v>
      </c>
      <c r="H1490" s="793" t="s">
        <v>3555</v>
      </c>
      <c r="I1490" s="587">
        <f>D40</f>
        <v>105.45</v>
      </c>
      <c r="J1490" s="574" t="s">
        <v>171</v>
      </c>
      <c r="K1490" s="587">
        <f>(F1490*I1490)</f>
        <v>2109</v>
      </c>
    </row>
    <row r="1491" spans="1:11" hidden="1">
      <c r="A1491" s="1132"/>
      <c r="H1491" s="793" t="s">
        <v>1834</v>
      </c>
      <c r="I1491" s="575"/>
      <c r="J1491" s="580"/>
      <c r="K1491" s="573" t="s">
        <v>115</v>
      </c>
    </row>
    <row r="1492" spans="1:11" hidden="1">
      <c r="A1492" s="1132"/>
      <c r="F1492" s="800">
        <v>50</v>
      </c>
      <c r="G1492" s="798" t="s">
        <v>148</v>
      </c>
      <c r="H1492" s="793" t="s">
        <v>125</v>
      </c>
      <c r="I1492" s="587">
        <f>C67/1000</f>
        <v>3.8</v>
      </c>
      <c r="J1492" s="574" t="s">
        <v>148</v>
      </c>
      <c r="K1492" s="587">
        <f>(F1492*I1492)</f>
        <v>190</v>
      </c>
    </row>
    <row r="1493" spans="1:11" hidden="1">
      <c r="A1493" s="1132"/>
      <c r="F1493" s="800">
        <v>1</v>
      </c>
      <c r="G1493" s="798" t="s">
        <v>129</v>
      </c>
      <c r="H1493" s="793" t="s">
        <v>1835</v>
      </c>
      <c r="I1493" s="587">
        <v>75</v>
      </c>
      <c r="J1493" s="574" t="s">
        <v>129</v>
      </c>
      <c r="K1493" s="587">
        <f>(F1493*I1493)</f>
        <v>75</v>
      </c>
    </row>
    <row r="1494" spans="1:11" hidden="1">
      <c r="A1494" s="1132"/>
      <c r="F1494" s="800">
        <v>1</v>
      </c>
      <c r="G1494" s="798" t="s">
        <v>129</v>
      </c>
      <c r="H1494" s="793" t="s">
        <v>1836</v>
      </c>
      <c r="I1494" s="587">
        <f>C38</f>
        <v>40</v>
      </c>
      <c r="J1494" s="574" t="s">
        <v>129</v>
      </c>
      <c r="K1494" s="587">
        <f>(F1494*I1494)</f>
        <v>40</v>
      </c>
    </row>
    <row r="1495" spans="1:11" hidden="1">
      <c r="A1495" s="1132"/>
      <c r="F1495" s="800">
        <v>2.5</v>
      </c>
      <c r="G1495" s="798" t="s">
        <v>129</v>
      </c>
      <c r="H1495" s="793" t="s">
        <v>1837</v>
      </c>
      <c r="I1495" s="587">
        <f>D14</f>
        <v>110</v>
      </c>
      <c r="J1495" s="574" t="s">
        <v>129</v>
      </c>
      <c r="K1495" s="587">
        <f>(F1495*I1495)</f>
        <v>275</v>
      </c>
    </row>
    <row r="1496" spans="1:11" hidden="1">
      <c r="A1496" s="1132"/>
      <c r="G1496" s="798" t="s">
        <v>129</v>
      </c>
      <c r="H1496" s="793" t="s">
        <v>1838</v>
      </c>
      <c r="I1496" s="575"/>
      <c r="J1496" s="574" t="s">
        <v>129</v>
      </c>
      <c r="K1496" s="685">
        <v>1.5</v>
      </c>
    </row>
    <row r="1497" spans="1:11" hidden="1">
      <c r="A1497" s="1132"/>
      <c r="I1497" s="575"/>
      <c r="J1497" s="580"/>
      <c r="K1497" s="582" t="s">
        <v>117</v>
      </c>
    </row>
    <row r="1498" spans="1:11" hidden="1">
      <c r="A1498" s="1132"/>
      <c r="H1498" s="793" t="s">
        <v>1839</v>
      </c>
      <c r="I1498" s="575"/>
      <c r="J1498" s="580"/>
      <c r="K1498" s="587">
        <f>SUM(K1490:K1496)</f>
        <v>2690.5</v>
      </c>
    </row>
    <row r="1499" spans="1:11" hidden="1">
      <c r="A1499" s="1132"/>
      <c r="H1499" s="793"/>
      <c r="I1499" s="575"/>
      <c r="J1499" s="580"/>
      <c r="K1499" s="582" t="s">
        <v>117</v>
      </c>
    </row>
    <row r="1500" spans="1:11" hidden="1">
      <c r="A1500" s="1132"/>
      <c r="I1500" s="575"/>
      <c r="J1500" s="580"/>
      <c r="K1500" s="582"/>
    </row>
    <row r="1501" spans="1:11" hidden="1">
      <c r="A1501" s="1132"/>
      <c r="F1501" s="1098" t="s">
        <v>1840</v>
      </c>
      <c r="G1501" s="798" t="s">
        <v>122</v>
      </c>
      <c r="H1501" s="793" t="s">
        <v>1841</v>
      </c>
      <c r="I1501" s="575"/>
      <c r="J1501" s="580"/>
      <c r="K1501" s="575"/>
    </row>
    <row r="1502" spans="1:11" hidden="1">
      <c r="A1502" s="1132"/>
      <c r="H1502" s="793" t="s">
        <v>1842</v>
      </c>
      <c r="I1502" s="575"/>
      <c r="J1502" s="580"/>
      <c r="K1502" s="575"/>
    </row>
    <row r="1503" spans="1:11" hidden="1">
      <c r="A1503" s="1132"/>
      <c r="H1503" s="796" t="s">
        <v>117</v>
      </c>
      <c r="I1503" s="575"/>
      <c r="J1503" s="580"/>
      <c r="K1503" s="575"/>
    </row>
    <row r="1504" spans="1:11" hidden="1">
      <c r="A1504" s="1132"/>
      <c r="F1504" s="800">
        <v>1</v>
      </c>
      <c r="G1504" s="798" t="s">
        <v>1843</v>
      </c>
      <c r="H1504" s="793" t="s">
        <v>1844</v>
      </c>
      <c r="I1504" s="587">
        <f>(C138)</f>
        <v>28000</v>
      </c>
      <c r="J1504" s="574" t="s">
        <v>1123</v>
      </c>
      <c r="K1504" s="587">
        <f>(F1504*I1504)/10</f>
        <v>2800</v>
      </c>
    </row>
    <row r="1505" spans="1:15" hidden="1">
      <c r="A1505" s="1132"/>
      <c r="F1505" s="1108">
        <v>0.01</v>
      </c>
      <c r="G1505" s="798" t="s">
        <v>1843</v>
      </c>
      <c r="H1505" s="793" t="s">
        <v>1845</v>
      </c>
      <c r="I1505" s="587">
        <f>(C142)</f>
        <v>30000</v>
      </c>
      <c r="J1505" s="574" t="s">
        <v>1123</v>
      </c>
      <c r="K1505" s="587">
        <f>(F1505*I1505)/10</f>
        <v>30</v>
      </c>
    </row>
    <row r="1506" spans="1:15" hidden="1">
      <c r="A1506" s="1132"/>
      <c r="F1506" s="1108">
        <v>3.5</v>
      </c>
      <c r="G1506" s="798" t="s">
        <v>1</v>
      </c>
      <c r="H1506" s="793" t="s">
        <v>1846</v>
      </c>
      <c r="I1506" s="587">
        <f>(C17)</f>
        <v>130</v>
      </c>
      <c r="J1506" s="574" t="s">
        <v>227</v>
      </c>
      <c r="K1506" s="587">
        <f>(F1506*I1506)</f>
        <v>455</v>
      </c>
      <c r="O1506" s="794">
        <f>92+18.4</f>
        <v>110.4</v>
      </c>
    </row>
    <row r="1507" spans="1:15" hidden="1">
      <c r="A1507" s="1132"/>
      <c r="F1507" s="800">
        <v>1.3</v>
      </c>
      <c r="G1507" s="798" t="s">
        <v>148</v>
      </c>
      <c r="H1507" s="793" t="s">
        <v>1847</v>
      </c>
      <c r="I1507" s="587">
        <f>C67/1000</f>
        <v>3.8</v>
      </c>
      <c r="J1507" s="574" t="s">
        <v>148</v>
      </c>
      <c r="K1507" s="587">
        <f>(F1507*I1507)</f>
        <v>4.9399999999999995</v>
      </c>
      <c r="O1507" s="794">
        <f>95+19</f>
        <v>114</v>
      </c>
    </row>
    <row r="1508" spans="1:15" hidden="1">
      <c r="A1508" s="1132"/>
      <c r="F1508" s="800">
        <v>0.25</v>
      </c>
      <c r="G1508" s="798" t="s">
        <v>1</v>
      </c>
      <c r="H1508" s="793" t="s">
        <v>1848</v>
      </c>
      <c r="I1508" s="587">
        <f>D14</f>
        <v>110</v>
      </c>
      <c r="J1508" s="574" t="s">
        <v>227</v>
      </c>
      <c r="K1508" s="587">
        <f>(F1508*I1508)</f>
        <v>27.5</v>
      </c>
    </row>
    <row r="1509" spans="1:15" hidden="1">
      <c r="A1509" s="1132"/>
      <c r="F1509" s="1108"/>
      <c r="G1509" s="798" t="s">
        <v>129</v>
      </c>
      <c r="H1509" s="793" t="s">
        <v>130</v>
      </c>
      <c r="I1509" s="575"/>
      <c r="J1509" s="574" t="s">
        <v>129</v>
      </c>
      <c r="K1509" s="587">
        <f>(F1509*I1509)</f>
        <v>0</v>
      </c>
    </row>
    <row r="1510" spans="1:15" hidden="1">
      <c r="A1510" s="1132"/>
      <c r="F1510" s="1108"/>
      <c r="I1510" s="575"/>
      <c r="J1510" s="580"/>
      <c r="K1510" s="582" t="s">
        <v>117</v>
      </c>
    </row>
    <row r="1511" spans="1:15" hidden="1">
      <c r="A1511" s="1132"/>
      <c r="F1511" s="1108"/>
      <c r="H1511" s="793" t="s">
        <v>1849</v>
      </c>
      <c r="I1511" s="575"/>
      <c r="J1511" s="580"/>
      <c r="K1511" s="587">
        <f>SUM(K1504:K1509)</f>
        <v>3317.44</v>
      </c>
    </row>
    <row r="1512" spans="1:15" hidden="1">
      <c r="A1512" s="1132"/>
      <c r="F1512" s="1108"/>
      <c r="I1512" s="575"/>
      <c r="J1512" s="580"/>
      <c r="K1512" s="582" t="s">
        <v>117</v>
      </c>
    </row>
    <row r="1513" spans="1:15" hidden="1">
      <c r="A1513" s="1132"/>
      <c r="F1513" s="1108"/>
      <c r="H1513" s="793" t="s">
        <v>1850</v>
      </c>
      <c r="I1513" s="575"/>
      <c r="J1513" s="580"/>
      <c r="K1513" s="587">
        <f>(K1511*10)</f>
        <v>33174.400000000001</v>
      </c>
    </row>
    <row r="1514" spans="1:15" hidden="1">
      <c r="A1514" s="1132"/>
      <c r="F1514" s="1108"/>
      <c r="I1514" s="575"/>
      <c r="J1514" s="580"/>
      <c r="K1514" s="582" t="s">
        <v>155</v>
      </c>
    </row>
    <row r="1515" spans="1:15" hidden="1">
      <c r="A1515" s="1132"/>
      <c r="F1515" s="1108"/>
      <c r="I1515" s="575"/>
      <c r="J1515" s="580"/>
      <c r="K1515" s="582"/>
    </row>
    <row r="1516" spans="1:15" hidden="1">
      <c r="A1516" s="1132"/>
      <c r="F1516" s="1108"/>
      <c r="H1516" s="1137" t="s">
        <v>1851</v>
      </c>
      <c r="I1516" s="575"/>
      <c r="J1516" s="580"/>
      <c r="K1516" s="582"/>
    </row>
    <row r="1517" spans="1:15" hidden="1">
      <c r="A1517" s="1132"/>
      <c r="F1517" s="800">
        <v>1</v>
      </c>
      <c r="G1517" s="798" t="s">
        <v>1843</v>
      </c>
      <c r="H1517" s="793" t="s">
        <v>1852</v>
      </c>
      <c r="I1517" s="575">
        <f>C137</f>
        <v>26500</v>
      </c>
      <c r="J1517" s="574" t="s">
        <v>1123</v>
      </c>
      <c r="K1517" s="587">
        <f>(F1517*I1517)/10</f>
        <v>2650</v>
      </c>
    </row>
    <row r="1518" spans="1:15" hidden="1">
      <c r="A1518" s="1132"/>
      <c r="F1518" s="1108">
        <v>0.01</v>
      </c>
      <c r="G1518" s="798" t="s">
        <v>1843</v>
      </c>
      <c r="H1518" s="793" t="s">
        <v>1845</v>
      </c>
      <c r="I1518" s="575">
        <f>C142</f>
        <v>30000</v>
      </c>
      <c r="J1518" s="574" t="s">
        <v>1123</v>
      </c>
      <c r="K1518" s="587">
        <f>(F1518*I1518)/10</f>
        <v>30</v>
      </c>
    </row>
    <row r="1519" spans="1:15" hidden="1">
      <c r="A1519" s="1132"/>
      <c r="F1519" s="1108">
        <v>3.5</v>
      </c>
      <c r="G1519" s="798" t="s">
        <v>1</v>
      </c>
      <c r="H1519" s="793" t="s">
        <v>1846</v>
      </c>
      <c r="I1519" s="575">
        <f>C17</f>
        <v>130</v>
      </c>
      <c r="J1519" s="574" t="s">
        <v>227</v>
      </c>
      <c r="K1519" s="587">
        <f>(F1519*I1519)</f>
        <v>455</v>
      </c>
    </row>
    <row r="1520" spans="1:15" hidden="1">
      <c r="A1520" s="1132"/>
      <c r="F1520" s="800">
        <v>1.3</v>
      </c>
      <c r="G1520" s="798" t="s">
        <v>148</v>
      </c>
      <c r="H1520" s="793" t="s">
        <v>1847</v>
      </c>
      <c r="I1520" s="575">
        <f>C67/1000</f>
        <v>3.8</v>
      </c>
      <c r="J1520" s="574" t="s">
        <v>148</v>
      </c>
      <c r="K1520" s="587">
        <f>(F1520*I1520)</f>
        <v>4.9399999999999995</v>
      </c>
    </row>
    <row r="1521" spans="1:11" hidden="1">
      <c r="A1521" s="1132"/>
      <c r="F1521" s="800">
        <v>0.25</v>
      </c>
      <c r="G1521" s="798" t="s">
        <v>1</v>
      </c>
      <c r="H1521" s="793" t="s">
        <v>1848</v>
      </c>
      <c r="I1521" s="575">
        <f>D14</f>
        <v>110</v>
      </c>
      <c r="J1521" s="574" t="s">
        <v>227</v>
      </c>
      <c r="K1521" s="587">
        <f>(F1521*I1521)</f>
        <v>27.5</v>
      </c>
    </row>
    <row r="1522" spans="1:11" hidden="1">
      <c r="A1522" s="1132"/>
      <c r="F1522" s="1108"/>
      <c r="G1522" s="798" t="s">
        <v>129</v>
      </c>
      <c r="H1522" s="793" t="s">
        <v>130</v>
      </c>
      <c r="I1522" s="575"/>
      <c r="J1522" s="574" t="s">
        <v>129</v>
      </c>
      <c r="K1522" s="587">
        <f>(F1522*I1522)</f>
        <v>0</v>
      </c>
    </row>
    <row r="1523" spans="1:11" hidden="1">
      <c r="A1523" s="1132"/>
      <c r="F1523" s="1108"/>
      <c r="I1523" s="575"/>
      <c r="J1523" s="580"/>
      <c r="K1523" s="582" t="s">
        <v>117</v>
      </c>
    </row>
    <row r="1524" spans="1:11" hidden="1">
      <c r="A1524" s="1132"/>
      <c r="F1524" s="1108"/>
      <c r="H1524" s="793" t="s">
        <v>1849</v>
      </c>
      <c r="I1524" s="575"/>
      <c r="J1524" s="580"/>
      <c r="K1524" s="587">
        <f>SUM(K1517:K1522)</f>
        <v>3167.44</v>
      </c>
    </row>
    <row r="1525" spans="1:11" hidden="1">
      <c r="A1525" s="1132"/>
      <c r="F1525" s="1108"/>
      <c r="I1525" s="575"/>
      <c r="J1525" s="580"/>
      <c r="K1525" s="582" t="s">
        <v>117</v>
      </c>
    </row>
    <row r="1526" spans="1:11" hidden="1">
      <c r="A1526" s="1132"/>
      <c r="F1526" s="1108"/>
      <c r="H1526" s="793" t="s">
        <v>1850</v>
      </c>
      <c r="I1526" s="575"/>
      <c r="J1526" s="580"/>
      <c r="K1526" s="587">
        <f>(K1524*10)</f>
        <v>31674.400000000001</v>
      </c>
    </row>
    <row r="1527" spans="1:11" hidden="1">
      <c r="A1527" s="1132"/>
      <c r="F1527" s="1108"/>
      <c r="I1527" s="575"/>
      <c r="J1527" s="580"/>
      <c r="K1527" s="582" t="s">
        <v>155</v>
      </c>
    </row>
    <row r="1528" spans="1:11" hidden="1">
      <c r="A1528" s="1132"/>
      <c r="F1528" s="1108"/>
      <c r="H1528" s="793" t="s">
        <v>115</v>
      </c>
      <c r="I1528" s="575"/>
      <c r="J1528" s="580"/>
      <c r="K1528" s="573" t="s">
        <v>115</v>
      </c>
    </row>
    <row r="1529" spans="1:11" hidden="1">
      <c r="A1529" s="1132"/>
      <c r="F1529" s="1138" t="s">
        <v>1853</v>
      </c>
      <c r="G1529" s="798" t="s">
        <v>1196</v>
      </c>
      <c r="H1529" s="793" t="s">
        <v>1841</v>
      </c>
      <c r="I1529" s="575"/>
      <c r="J1529" s="580"/>
      <c r="K1529" s="575"/>
    </row>
    <row r="1530" spans="1:11" hidden="1">
      <c r="A1530" s="1132"/>
      <c r="F1530" s="1108"/>
      <c r="H1530" s="793" t="s">
        <v>1855</v>
      </c>
      <c r="I1530" s="575"/>
      <c r="J1530" s="580"/>
      <c r="K1530" s="575"/>
    </row>
    <row r="1531" spans="1:11" hidden="1">
      <c r="A1531" s="1132"/>
      <c r="F1531" s="1108"/>
      <c r="H1531" s="796" t="s">
        <v>117</v>
      </c>
      <c r="I1531" s="575"/>
      <c r="J1531" s="580"/>
      <c r="K1531" s="575"/>
    </row>
    <row r="1532" spans="1:11" hidden="1">
      <c r="A1532" s="1132"/>
      <c r="F1532" s="800">
        <v>1</v>
      </c>
      <c r="G1532" s="798" t="s">
        <v>1843</v>
      </c>
      <c r="H1532" s="793" t="s">
        <v>1844</v>
      </c>
      <c r="I1532" s="587">
        <f>(C138)</f>
        <v>28000</v>
      </c>
      <c r="J1532" s="574" t="s">
        <v>1123</v>
      </c>
      <c r="K1532" s="587">
        <f>(F1532*I1532)/10</f>
        <v>2800</v>
      </c>
    </row>
    <row r="1533" spans="1:11" hidden="1">
      <c r="A1533" s="1132"/>
      <c r="F1533" s="1108">
        <v>0.01</v>
      </c>
      <c r="G1533" s="798" t="s">
        <v>1843</v>
      </c>
      <c r="H1533" s="793" t="s">
        <v>1845</v>
      </c>
      <c r="I1533" s="587">
        <f>(C142)</f>
        <v>30000</v>
      </c>
      <c r="J1533" s="574" t="s">
        <v>1123</v>
      </c>
      <c r="K1533" s="587">
        <f>(F1533*I1533)/10</f>
        <v>30</v>
      </c>
    </row>
    <row r="1534" spans="1:11" hidden="1">
      <c r="A1534" s="1132"/>
      <c r="F1534" s="1108">
        <v>3.5</v>
      </c>
      <c r="G1534" s="798" t="s">
        <v>1</v>
      </c>
      <c r="H1534" s="793" t="s">
        <v>1846</v>
      </c>
      <c r="I1534" s="587">
        <f>(C17)</f>
        <v>130</v>
      </c>
      <c r="J1534" s="574" t="s">
        <v>1</v>
      </c>
      <c r="K1534" s="587">
        <f>(F1534*I1534)</f>
        <v>455</v>
      </c>
    </row>
    <row r="1535" spans="1:11" hidden="1">
      <c r="A1535" s="1132"/>
      <c r="F1535" s="1108"/>
      <c r="G1535" s="798" t="s">
        <v>129</v>
      </c>
      <c r="H1535" s="793" t="s">
        <v>130</v>
      </c>
      <c r="I1535" s="575"/>
      <c r="J1535" s="574" t="s">
        <v>129</v>
      </c>
      <c r="K1535" s="587">
        <v>0</v>
      </c>
    </row>
    <row r="1536" spans="1:11" hidden="1">
      <c r="A1536" s="1132"/>
      <c r="I1536" s="575"/>
      <c r="J1536" s="580"/>
      <c r="K1536" s="582" t="s">
        <v>117</v>
      </c>
    </row>
    <row r="1537" spans="1:11" hidden="1">
      <c r="A1537" s="1132"/>
      <c r="H1537" s="793" t="s">
        <v>1849</v>
      </c>
      <c r="I1537" s="575"/>
      <c r="J1537" s="580"/>
      <c r="K1537" s="587">
        <f>SUM(K1532:K1535)</f>
        <v>3285</v>
      </c>
    </row>
    <row r="1538" spans="1:11" hidden="1">
      <c r="A1538" s="1132"/>
      <c r="I1538" s="575"/>
      <c r="J1538" s="580"/>
      <c r="K1538" s="582" t="s">
        <v>117</v>
      </c>
    </row>
    <row r="1539" spans="1:11" hidden="1">
      <c r="A1539" s="1132"/>
      <c r="H1539" s="793" t="s">
        <v>1850</v>
      </c>
      <c r="I1539" s="575"/>
      <c r="J1539" s="580"/>
      <c r="K1539" s="587">
        <f>(K1537*10)</f>
        <v>32850</v>
      </c>
    </row>
    <row r="1540" spans="1:11" hidden="1">
      <c r="A1540" s="1132"/>
      <c r="H1540" s="793" t="s">
        <v>115</v>
      </c>
      <c r="I1540" s="575"/>
      <c r="J1540" s="580"/>
      <c r="K1540" s="573" t="s">
        <v>115</v>
      </c>
    </row>
    <row r="1541" spans="1:11" hidden="1">
      <c r="A1541" s="1132"/>
      <c r="G1541" s="792" t="s">
        <v>1225</v>
      </c>
      <c r="H1541" s="793" t="s">
        <v>1841</v>
      </c>
      <c r="I1541" s="575"/>
      <c r="J1541" s="580"/>
      <c r="K1541" s="573"/>
    </row>
    <row r="1542" spans="1:11" hidden="1">
      <c r="A1542" s="1132"/>
      <c r="H1542" s="793" t="s">
        <v>1857</v>
      </c>
      <c r="I1542" s="575"/>
      <c r="J1542" s="580"/>
      <c r="K1542" s="573"/>
    </row>
    <row r="1543" spans="1:11" hidden="1">
      <c r="A1543" s="1132"/>
      <c r="F1543" s="1108"/>
      <c r="H1543" s="796" t="s">
        <v>117</v>
      </c>
      <c r="I1543" s="575"/>
      <c r="J1543" s="580"/>
      <c r="K1543" s="573"/>
    </row>
    <row r="1544" spans="1:11" hidden="1">
      <c r="A1544" s="1132"/>
      <c r="F1544" s="800">
        <v>1</v>
      </c>
      <c r="G1544" s="798" t="s">
        <v>1843</v>
      </c>
      <c r="H1544" s="793" t="s">
        <v>1852</v>
      </c>
      <c r="I1544" s="575">
        <f>C137</f>
        <v>26500</v>
      </c>
      <c r="J1544" s="574" t="s">
        <v>1123</v>
      </c>
      <c r="K1544" s="587">
        <f>(F1544*I1544)/10</f>
        <v>2650</v>
      </c>
    </row>
    <row r="1545" spans="1:11" hidden="1">
      <c r="A1545" s="1132"/>
      <c r="F1545" s="1108">
        <v>0.01</v>
      </c>
      <c r="G1545" s="798" t="s">
        <v>1843</v>
      </c>
      <c r="H1545" s="793" t="s">
        <v>1845</v>
      </c>
      <c r="I1545" s="575">
        <f>C142</f>
        <v>30000</v>
      </c>
      <c r="J1545" s="574" t="s">
        <v>1123</v>
      </c>
      <c r="K1545" s="587">
        <f>(F1545*I1545)/10</f>
        <v>30</v>
      </c>
    </row>
    <row r="1546" spans="1:11" hidden="1">
      <c r="A1546" s="1132"/>
      <c r="F1546" s="1108">
        <v>3.5</v>
      </c>
      <c r="G1546" s="798" t="s">
        <v>1</v>
      </c>
      <c r="H1546" s="793" t="s">
        <v>1846</v>
      </c>
      <c r="I1546" s="575">
        <f>C17</f>
        <v>130</v>
      </c>
      <c r="J1546" s="574" t="s">
        <v>1</v>
      </c>
      <c r="K1546" s="587">
        <f>(F1546*I1546)</f>
        <v>455</v>
      </c>
    </row>
    <row r="1547" spans="1:11" hidden="1">
      <c r="A1547" s="1132"/>
      <c r="F1547" s="1108"/>
      <c r="G1547" s="798" t="s">
        <v>129</v>
      </c>
      <c r="H1547" s="793" t="s">
        <v>130</v>
      </c>
      <c r="I1547" s="575"/>
      <c r="J1547" s="574" t="s">
        <v>129</v>
      </c>
      <c r="K1547" s="587">
        <v>0</v>
      </c>
    </row>
    <row r="1548" spans="1:11" hidden="1">
      <c r="A1548" s="1132"/>
      <c r="I1548" s="575"/>
      <c r="J1548" s="580"/>
      <c r="K1548" s="582" t="s">
        <v>117</v>
      </c>
    </row>
    <row r="1549" spans="1:11" hidden="1">
      <c r="A1549" s="1132"/>
      <c r="H1549" s="793" t="s">
        <v>1849</v>
      </c>
      <c r="I1549" s="575"/>
      <c r="J1549" s="580"/>
      <c r="K1549" s="587">
        <f>SUM(K1544:K1547)</f>
        <v>3135</v>
      </c>
    </row>
    <row r="1550" spans="1:11" hidden="1">
      <c r="A1550" s="1132"/>
      <c r="I1550" s="575"/>
      <c r="J1550" s="580"/>
      <c r="K1550" s="582" t="s">
        <v>117</v>
      </c>
    </row>
    <row r="1551" spans="1:11" hidden="1">
      <c r="A1551" s="1132"/>
      <c r="H1551" s="793" t="s">
        <v>1850</v>
      </c>
      <c r="I1551" s="575"/>
      <c r="J1551" s="580"/>
      <c r="K1551" s="587">
        <f>(K1549*10)</f>
        <v>31350</v>
      </c>
    </row>
    <row r="1552" spans="1:11" hidden="1">
      <c r="A1552" s="1132"/>
      <c r="H1552" s="793" t="s">
        <v>115</v>
      </c>
      <c r="I1552" s="575"/>
      <c r="J1552" s="580"/>
      <c r="K1552" s="575"/>
    </row>
    <row r="1553" spans="1:11" hidden="1">
      <c r="A1553" s="1132"/>
      <c r="F1553" s="1109">
        <v>44.1</v>
      </c>
      <c r="G1553" s="798" t="s">
        <v>122</v>
      </c>
      <c r="H1553" s="793" t="s">
        <v>1858</v>
      </c>
      <c r="I1553" s="575"/>
      <c r="J1553" s="580"/>
      <c r="K1553" s="575"/>
    </row>
    <row r="1554" spans="1:11" hidden="1">
      <c r="A1554" s="1132"/>
      <c r="H1554" s="793" t="s">
        <v>1859</v>
      </c>
      <c r="I1554" s="575"/>
      <c r="J1554" s="580"/>
      <c r="K1554" s="575"/>
    </row>
    <row r="1555" spans="1:11" hidden="1">
      <c r="A1555" s="1132"/>
      <c r="H1555" s="793" t="s">
        <v>3556</v>
      </c>
      <c r="I1555" s="575"/>
      <c r="J1555" s="580"/>
      <c r="K1555" s="575"/>
    </row>
    <row r="1556" spans="1:11" hidden="1">
      <c r="A1556" s="1132"/>
      <c r="H1556" s="796" t="s">
        <v>117</v>
      </c>
      <c r="I1556" s="575"/>
      <c r="J1556" s="580"/>
      <c r="K1556" s="575"/>
    </row>
    <row r="1557" spans="1:11" hidden="1">
      <c r="A1557" s="1132"/>
      <c r="F1557" s="800">
        <v>3</v>
      </c>
      <c r="G1557" s="798" t="s">
        <v>203</v>
      </c>
      <c r="H1557" s="793" t="s">
        <v>1861</v>
      </c>
      <c r="I1557" s="587">
        <f>(C598)</f>
        <v>120</v>
      </c>
      <c r="J1557" s="574" t="s">
        <v>203</v>
      </c>
      <c r="K1557" s="587">
        <f t="shared" ref="K1557:K1562" si="55">(F1557*I1557)</f>
        <v>360</v>
      </c>
    </row>
    <row r="1558" spans="1:11" hidden="1">
      <c r="A1558" s="1132"/>
      <c r="F1558" s="800">
        <v>1</v>
      </c>
      <c r="G1558" s="798" t="s">
        <v>209</v>
      </c>
      <c r="H1558" s="793" t="s">
        <v>1862</v>
      </c>
      <c r="I1558" s="587">
        <f>(C601)</f>
        <v>65</v>
      </c>
      <c r="J1558" s="574" t="s">
        <v>209</v>
      </c>
      <c r="K1558" s="587">
        <f t="shared" si="55"/>
        <v>65</v>
      </c>
    </row>
    <row r="1559" spans="1:11" hidden="1">
      <c r="A1559" s="1132"/>
      <c r="F1559" s="800">
        <v>1</v>
      </c>
      <c r="G1559" s="798" t="s">
        <v>209</v>
      </c>
      <c r="H1559" s="793" t="s">
        <v>1863</v>
      </c>
      <c r="I1559" s="587">
        <f>(C604)</f>
        <v>45</v>
      </c>
      <c r="J1559" s="574" t="s">
        <v>209</v>
      </c>
      <c r="K1559" s="587">
        <f t="shared" si="55"/>
        <v>45</v>
      </c>
    </row>
    <row r="1560" spans="1:11" hidden="1">
      <c r="A1560" s="1132"/>
      <c r="F1560" s="800">
        <v>2</v>
      </c>
      <c r="G1560" s="798" t="s">
        <v>209</v>
      </c>
      <c r="H1560" s="793" t="s">
        <v>1864</v>
      </c>
      <c r="I1560" s="587">
        <f>C575</f>
        <v>16.440000000000001</v>
      </c>
      <c r="J1560" s="574" t="s">
        <v>209</v>
      </c>
      <c r="K1560" s="587">
        <f t="shared" si="55"/>
        <v>32.880000000000003</v>
      </c>
    </row>
    <row r="1561" spans="1:11" hidden="1">
      <c r="A1561" s="1132"/>
      <c r="F1561" s="800">
        <v>1</v>
      </c>
      <c r="G1561" s="798" t="s">
        <v>209</v>
      </c>
      <c r="H1561" s="793" t="s">
        <v>1865</v>
      </c>
      <c r="I1561" s="587">
        <f>(C666)</f>
        <v>18</v>
      </c>
      <c r="J1561" s="574" t="s">
        <v>209</v>
      </c>
      <c r="K1561" s="587">
        <f t="shared" si="55"/>
        <v>18</v>
      </c>
    </row>
    <row r="1562" spans="1:11" hidden="1">
      <c r="A1562" s="1132"/>
      <c r="F1562" s="800">
        <v>0.5</v>
      </c>
      <c r="G1562" s="798" t="s">
        <v>209</v>
      </c>
      <c r="H1562" s="793" t="s">
        <v>210</v>
      </c>
      <c r="I1562" s="587">
        <f>(C15)</f>
        <v>130</v>
      </c>
      <c r="J1562" s="574" t="s">
        <v>209</v>
      </c>
      <c r="K1562" s="587">
        <f t="shared" si="55"/>
        <v>65</v>
      </c>
    </row>
    <row r="1563" spans="1:11" hidden="1">
      <c r="A1563" s="1132"/>
      <c r="G1563" s="798" t="s">
        <v>129</v>
      </c>
      <c r="H1563" s="793" t="s">
        <v>1867</v>
      </c>
      <c r="I1563" s="575"/>
      <c r="J1563" s="574" t="s">
        <v>129</v>
      </c>
      <c r="K1563" s="587">
        <v>0.75</v>
      </c>
    </row>
    <row r="1564" spans="1:11" hidden="1">
      <c r="A1564" s="1132"/>
      <c r="H1564" s="793" t="s">
        <v>1868</v>
      </c>
      <c r="I1564" s="575"/>
      <c r="J1564" s="580"/>
      <c r="K1564" s="575"/>
    </row>
    <row r="1565" spans="1:11" hidden="1">
      <c r="A1565" s="1132"/>
      <c r="I1565" s="575"/>
      <c r="J1565" s="580"/>
      <c r="K1565" s="582" t="s">
        <v>117</v>
      </c>
    </row>
    <row r="1566" spans="1:11" hidden="1">
      <c r="A1566" s="1132"/>
      <c r="H1566" s="793" t="s">
        <v>215</v>
      </c>
      <c r="I1566" s="575"/>
      <c r="J1566" s="580"/>
      <c r="K1566" s="587">
        <f>SUM(K1557:K1563)</f>
        <v>586.63</v>
      </c>
    </row>
    <row r="1567" spans="1:11" hidden="1">
      <c r="A1567" s="1132"/>
      <c r="F1567" s="793" t="s">
        <v>115</v>
      </c>
      <c r="I1567" s="575"/>
      <c r="J1567" s="580"/>
      <c r="K1567" s="575"/>
    </row>
    <row r="1568" spans="1:11" hidden="1">
      <c r="A1568" s="1132"/>
      <c r="I1568" s="575"/>
      <c r="J1568" s="580"/>
      <c r="K1568" s="582" t="s">
        <v>117</v>
      </c>
    </row>
    <row r="1569" spans="1:11" hidden="1">
      <c r="A1569" s="1132"/>
      <c r="H1569" s="793" t="s">
        <v>216</v>
      </c>
      <c r="I1569" s="575"/>
      <c r="J1569" s="580"/>
      <c r="K1569" s="587">
        <f>(K1566/3)</f>
        <v>195.54333333333332</v>
      </c>
    </row>
    <row r="1570" spans="1:11" hidden="1">
      <c r="A1570" s="1132"/>
      <c r="H1570" s="793"/>
      <c r="I1570" s="575"/>
      <c r="J1570" s="580"/>
      <c r="K1570" s="582" t="s">
        <v>155</v>
      </c>
    </row>
    <row r="1571" spans="1:11" hidden="1">
      <c r="A1571" s="1132"/>
      <c r="F1571" s="1098" t="s">
        <v>1869</v>
      </c>
      <c r="H1571" s="793" t="s">
        <v>1870</v>
      </c>
      <c r="I1571" s="575"/>
      <c r="J1571" s="580"/>
      <c r="K1571" s="575"/>
    </row>
    <row r="1572" spans="1:11" hidden="1">
      <c r="A1572" s="1132"/>
      <c r="H1572" s="793" t="s">
        <v>1871</v>
      </c>
      <c r="I1572" s="575"/>
      <c r="J1572" s="580"/>
      <c r="K1572" s="575"/>
    </row>
    <row r="1573" spans="1:11" hidden="1">
      <c r="A1573" s="1132"/>
      <c r="H1573" s="793" t="s">
        <v>1872</v>
      </c>
      <c r="I1573" s="575"/>
      <c r="J1573" s="580"/>
      <c r="K1573" s="575"/>
    </row>
    <row r="1574" spans="1:11" hidden="1">
      <c r="A1574" s="1132"/>
      <c r="H1574" s="796" t="s">
        <v>117</v>
      </c>
      <c r="I1574" s="575"/>
      <c r="J1574" s="580"/>
      <c r="K1574" s="575"/>
    </row>
    <row r="1575" spans="1:11" hidden="1">
      <c r="A1575" s="1132"/>
      <c r="F1575" s="800">
        <v>0.15</v>
      </c>
      <c r="G1575" s="798" t="s">
        <v>126</v>
      </c>
      <c r="H1575" s="793" t="s">
        <v>1873</v>
      </c>
      <c r="I1575" s="587" t="e">
        <f>(C70)</f>
        <v>#REF!</v>
      </c>
      <c r="J1575" s="574" t="s">
        <v>126</v>
      </c>
      <c r="K1575" s="587" t="e">
        <f>(F1575*I1575)</f>
        <v>#REF!</v>
      </c>
    </row>
    <row r="1576" spans="1:11" hidden="1">
      <c r="A1576" s="1132"/>
      <c r="F1576" s="1119">
        <v>8.6499999999999994E-2</v>
      </c>
      <c r="G1576" s="798" t="s">
        <v>124</v>
      </c>
      <c r="H1576" s="793" t="s">
        <v>125</v>
      </c>
      <c r="I1576" s="587">
        <f>(C67)</f>
        <v>3800</v>
      </c>
      <c r="J1576" s="574" t="s">
        <v>124</v>
      </c>
      <c r="K1576" s="587">
        <f>(F1576*I1576)</f>
        <v>328.7</v>
      </c>
    </row>
    <row r="1577" spans="1:11" hidden="1">
      <c r="A1577" s="1132"/>
      <c r="F1577" s="800">
        <v>1.6</v>
      </c>
      <c r="G1577" s="798" t="s">
        <v>1</v>
      </c>
      <c r="H1577" s="793" t="s">
        <v>144</v>
      </c>
      <c r="I1577" s="587">
        <f>(C10)</f>
        <v>150</v>
      </c>
      <c r="J1577" s="574" t="s">
        <v>1</v>
      </c>
      <c r="K1577" s="587">
        <f>(F1577*I1577)</f>
        <v>240</v>
      </c>
    </row>
    <row r="1578" spans="1:11" hidden="1">
      <c r="A1578" s="1132"/>
      <c r="F1578" s="800">
        <v>0.5</v>
      </c>
      <c r="G1578" s="798" t="s">
        <v>1</v>
      </c>
      <c r="H1578" s="793" t="s">
        <v>146</v>
      </c>
      <c r="I1578" s="587">
        <f>(C12)</f>
        <v>95</v>
      </c>
      <c r="J1578" s="574" t="s">
        <v>1</v>
      </c>
      <c r="K1578" s="587">
        <f>(F1578*I1578)</f>
        <v>47.5</v>
      </c>
    </row>
    <row r="1579" spans="1:11" hidden="1">
      <c r="A1579" s="1132"/>
      <c r="F1579" s="800">
        <v>1.1000000000000001</v>
      </c>
      <c r="G1579" s="798" t="s">
        <v>1</v>
      </c>
      <c r="H1579" s="793" t="s">
        <v>147</v>
      </c>
      <c r="I1579" s="587">
        <f>(C13)</f>
        <v>85</v>
      </c>
      <c r="J1579" s="574" t="s">
        <v>1</v>
      </c>
      <c r="K1579" s="587">
        <f>(F1579*I1579)</f>
        <v>93.500000000000014</v>
      </c>
    </row>
    <row r="1580" spans="1:11" hidden="1">
      <c r="A1580" s="1132"/>
      <c r="G1580" s="798" t="s">
        <v>129</v>
      </c>
      <c r="H1580" s="793" t="s">
        <v>130</v>
      </c>
      <c r="I1580" s="573" t="s">
        <v>115</v>
      </c>
      <c r="J1580" s="574" t="s">
        <v>129</v>
      </c>
      <c r="K1580" s="587">
        <v>0</v>
      </c>
    </row>
    <row r="1581" spans="1:11" hidden="1">
      <c r="A1581" s="1132"/>
      <c r="I1581" s="575"/>
      <c r="J1581" s="580"/>
      <c r="K1581" s="582" t="s">
        <v>117</v>
      </c>
    </row>
    <row r="1582" spans="1:11" hidden="1">
      <c r="A1582" s="1132"/>
      <c r="H1582" s="793" t="s">
        <v>153</v>
      </c>
      <c r="I1582" s="575"/>
      <c r="J1582" s="580"/>
      <c r="K1582" s="587" t="e">
        <f>SUM(K1575:K1580)</f>
        <v>#REF!</v>
      </c>
    </row>
    <row r="1583" spans="1:11" hidden="1">
      <c r="A1583" s="1132"/>
      <c r="I1583" s="575"/>
      <c r="J1583" s="580"/>
      <c r="K1583" s="582" t="s">
        <v>117</v>
      </c>
    </row>
    <row r="1584" spans="1:11" hidden="1">
      <c r="A1584" s="1132"/>
      <c r="H1584" s="793" t="s">
        <v>154</v>
      </c>
      <c r="I1584" s="575"/>
      <c r="J1584" s="580"/>
      <c r="K1584" s="587" t="e">
        <f>(K1582/10)</f>
        <v>#REF!</v>
      </c>
    </row>
    <row r="1585" spans="1:11" hidden="1">
      <c r="A1585" s="1132"/>
      <c r="I1585" s="575"/>
      <c r="J1585" s="580"/>
      <c r="K1585" s="582" t="s">
        <v>155</v>
      </c>
    </row>
    <row r="1586" spans="1:11" hidden="1">
      <c r="A1586" s="1132"/>
      <c r="F1586" s="1098" t="s">
        <v>1874</v>
      </c>
      <c r="G1586" s="798" t="s">
        <v>122</v>
      </c>
      <c r="H1586" s="793" t="s">
        <v>1875</v>
      </c>
      <c r="I1586" s="575"/>
      <c r="J1586" s="580"/>
      <c r="K1586" s="575"/>
    </row>
    <row r="1587" spans="1:11" hidden="1">
      <c r="A1587" s="1132"/>
      <c r="H1587" s="793" t="s">
        <v>1876</v>
      </c>
      <c r="I1587" s="575"/>
      <c r="J1587" s="580"/>
      <c r="K1587" s="575"/>
    </row>
    <row r="1588" spans="1:11" hidden="1">
      <c r="A1588" s="1132"/>
      <c r="H1588" s="793" t="s">
        <v>1877</v>
      </c>
      <c r="I1588" s="575"/>
      <c r="J1588" s="574" t="s">
        <v>115</v>
      </c>
      <c r="K1588" s="575"/>
    </row>
    <row r="1589" spans="1:11" hidden="1">
      <c r="A1589" s="1132"/>
      <c r="H1589" s="793" t="s">
        <v>1878</v>
      </c>
      <c r="I1589" s="575"/>
      <c r="J1589" s="580"/>
      <c r="K1589" s="575"/>
    </row>
    <row r="1590" spans="1:11" hidden="1">
      <c r="A1590" s="1132"/>
      <c r="H1590" s="793" t="s">
        <v>1879</v>
      </c>
      <c r="I1590" s="575"/>
      <c r="J1590" s="580"/>
      <c r="K1590" s="575"/>
    </row>
    <row r="1591" spans="1:11" hidden="1">
      <c r="A1591" s="1132"/>
      <c r="H1591" s="793" t="s">
        <v>1880</v>
      </c>
      <c r="I1591" s="575"/>
      <c r="J1591" s="580"/>
      <c r="K1591" s="575"/>
    </row>
    <row r="1592" spans="1:11" hidden="1">
      <c r="A1592" s="1132"/>
      <c r="H1592" s="793" t="s">
        <v>1881</v>
      </c>
      <c r="I1592" s="575"/>
      <c r="J1592" s="580"/>
      <c r="K1592" s="575"/>
    </row>
    <row r="1593" spans="1:11" hidden="1">
      <c r="A1593" s="1132"/>
      <c r="H1593" s="793" t="s">
        <v>1882</v>
      </c>
      <c r="I1593" s="575"/>
      <c r="J1593" s="580"/>
      <c r="K1593" s="575"/>
    </row>
    <row r="1594" spans="1:11" hidden="1">
      <c r="A1594" s="1132"/>
      <c r="H1594" s="793" t="s">
        <v>1883</v>
      </c>
      <c r="I1594" s="575"/>
      <c r="J1594" s="580"/>
      <c r="K1594" s="575"/>
    </row>
    <row r="1595" spans="1:11" hidden="1">
      <c r="A1595" s="1132"/>
      <c r="H1595" s="796" t="s">
        <v>155</v>
      </c>
      <c r="I1595" s="575"/>
      <c r="J1595" s="580"/>
      <c r="K1595" s="575"/>
    </row>
    <row r="1596" spans="1:11" hidden="1">
      <c r="A1596" s="1132"/>
      <c r="I1596" s="575"/>
      <c r="J1596" s="580"/>
      <c r="K1596" s="575"/>
    </row>
    <row r="1597" spans="1:11" hidden="1">
      <c r="A1597" s="1132"/>
      <c r="F1597" s="800">
        <v>1</v>
      </c>
      <c r="G1597" s="798" t="s">
        <v>231</v>
      </c>
      <c r="H1597" s="793" t="s">
        <v>3557</v>
      </c>
      <c r="I1597" s="587">
        <v>50</v>
      </c>
      <c r="J1597" s="574" t="s">
        <v>231</v>
      </c>
      <c r="K1597" s="587">
        <f>(F1597*I1597)</f>
        <v>50</v>
      </c>
    </row>
    <row r="1598" spans="1:11" hidden="1">
      <c r="A1598" s="1132"/>
      <c r="F1598" s="800">
        <v>1</v>
      </c>
      <c r="G1598" s="798" t="s">
        <v>1885</v>
      </c>
      <c r="H1598" s="793" t="s">
        <v>1886</v>
      </c>
      <c r="I1598" s="587">
        <v>9</v>
      </c>
      <c r="J1598" s="574" t="s">
        <v>1885</v>
      </c>
      <c r="K1598" s="587">
        <f>(F1598*I1598)</f>
        <v>9</v>
      </c>
    </row>
    <row r="1599" spans="1:11" hidden="1">
      <c r="A1599" s="1132"/>
      <c r="G1599" s="798" t="s">
        <v>129</v>
      </c>
      <c r="H1599" s="793" t="s">
        <v>1887</v>
      </c>
      <c r="I1599" s="575"/>
      <c r="J1599" s="574" t="s">
        <v>129</v>
      </c>
      <c r="K1599" s="587">
        <v>7</v>
      </c>
    </row>
    <row r="1600" spans="1:11" hidden="1">
      <c r="A1600" s="1132"/>
      <c r="I1600" s="575"/>
      <c r="J1600" s="580"/>
      <c r="K1600" s="582" t="s">
        <v>117</v>
      </c>
    </row>
    <row r="1601" spans="1:11" hidden="1">
      <c r="A1601" s="1132"/>
      <c r="H1601" s="1098" t="s">
        <v>1888</v>
      </c>
      <c r="I1601" s="575"/>
      <c r="J1601" s="580"/>
      <c r="K1601" s="587">
        <f>SUM(K1597:K1599)</f>
        <v>66</v>
      </c>
    </row>
    <row r="1602" spans="1:11" hidden="1">
      <c r="A1602" s="1132"/>
      <c r="I1602" s="575"/>
      <c r="J1602" s="580"/>
      <c r="K1602" s="582" t="s">
        <v>155</v>
      </c>
    </row>
    <row r="1603" spans="1:11" hidden="1">
      <c r="A1603" s="1132"/>
      <c r="F1603" s="1098" t="s">
        <v>1889</v>
      </c>
      <c r="G1603" s="798" t="s">
        <v>122</v>
      </c>
      <c r="H1603" s="793" t="s">
        <v>1890</v>
      </c>
      <c r="I1603" s="575"/>
      <c r="J1603" s="580"/>
      <c r="K1603" s="575"/>
    </row>
    <row r="1604" spans="1:11" hidden="1">
      <c r="A1604" s="1132"/>
      <c r="H1604" s="793" t="s">
        <v>1891</v>
      </c>
      <c r="I1604" s="575"/>
      <c r="J1604" s="580"/>
      <c r="K1604" s="575"/>
    </row>
    <row r="1605" spans="1:11" hidden="1">
      <c r="A1605" s="1132"/>
      <c r="H1605" s="793" t="s">
        <v>1892</v>
      </c>
      <c r="I1605" s="575"/>
      <c r="J1605" s="580"/>
      <c r="K1605" s="575"/>
    </row>
    <row r="1606" spans="1:11" hidden="1">
      <c r="A1606" s="1132"/>
      <c r="H1606" s="793" t="s">
        <v>1893</v>
      </c>
      <c r="I1606" s="575"/>
      <c r="J1606" s="580"/>
      <c r="K1606" s="575"/>
    </row>
    <row r="1607" spans="1:11" hidden="1">
      <c r="A1607" s="1132"/>
      <c r="H1607" s="793" t="s">
        <v>1894</v>
      </c>
      <c r="I1607" s="575"/>
      <c r="J1607" s="580"/>
      <c r="K1607" s="575"/>
    </row>
    <row r="1608" spans="1:11" hidden="1">
      <c r="A1608" s="1132"/>
      <c r="H1608" s="796" t="s">
        <v>117</v>
      </c>
      <c r="I1608" s="582" t="s">
        <v>117</v>
      </c>
      <c r="J1608" s="580"/>
      <c r="K1608" s="575"/>
    </row>
    <row r="1609" spans="1:11" hidden="1">
      <c r="A1609" s="1132"/>
      <c r="F1609" s="800">
        <v>1</v>
      </c>
      <c r="G1609" s="798" t="s">
        <v>1895</v>
      </c>
      <c r="H1609" s="793" t="s">
        <v>1896</v>
      </c>
      <c r="I1609" s="587">
        <v>27.3</v>
      </c>
      <c r="J1609" s="574" t="s">
        <v>227</v>
      </c>
      <c r="K1609" s="587">
        <f>(F1609*I1609)</f>
        <v>27.3</v>
      </c>
    </row>
    <row r="1610" spans="1:11" hidden="1">
      <c r="A1610" s="1132"/>
      <c r="G1610" s="798" t="s">
        <v>129</v>
      </c>
      <c r="H1610" s="793" t="s">
        <v>1897</v>
      </c>
      <c r="I1610" s="575"/>
      <c r="J1610" s="574" t="s">
        <v>129</v>
      </c>
      <c r="K1610" s="587">
        <v>7.5</v>
      </c>
    </row>
    <row r="1611" spans="1:11" hidden="1">
      <c r="A1611" s="1132"/>
      <c r="G1611" s="798" t="s">
        <v>129</v>
      </c>
      <c r="H1611" s="793" t="s">
        <v>1898</v>
      </c>
      <c r="I1611" s="575"/>
      <c r="J1611" s="574" t="s">
        <v>129</v>
      </c>
      <c r="K1611" s="587">
        <v>1.2</v>
      </c>
    </row>
    <row r="1612" spans="1:11" hidden="1">
      <c r="A1612" s="1132"/>
      <c r="H1612" s="793" t="s">
        <v>1899</v>
      </c>
      <c r="I1612" s="575"/>
      <c r="J1612" s="580"/>
      <c r="K1612" s="582" t="s">
        <v>117</v>
      </c>
    </row>
    <row r="1613" spans="1:11" hidden="1">
      <c r="A1613" s="1132"/>
      <c r="H1613" s="1098" t="s">
        <v>1888</v>
      </c>
      <c r="I1613" s="575"/>
      <c r="J1613" s="580"/>
      <c r="K1613" s="587">
        <f>SUM(K1609:K1611)</f>
        <v>36</v>
      </c>
    </row>
    <row r="1614" spans="1:11" hidden="1">
      <c r="A1614" s="1132"/>
      <c r="I1614" s="575"/>
      <c r="J1614" s="580"/>
      <c r="K1614" s="582" t="s">
        <v>155</v>
      </c>
    </row>
    <row r="1615" spans="1:11" hidden="1">
      <c r="A1615" s="1132"/>
      <c r="F1615" s="1098" t="s">
        <v>1900</v>
      </c>
      <c r="G1615" s="798" t="s">
        <v>122</v>
      </c>
      <c r="H1615" s="793" t="s">
        <v>1901</v>
      </c>
      <c r="I1615" s="575"/>
      <c r="J1615" s="580"/>
      <c r="K1615" s="575"/>
    </row>
    <row r="1616" spans="1:11" hidden="1">
      <c r="A1616" s="1132"/>
      <c r="H1616" s="793" t="s">
        <v>1902</v>
      </c>
      <c r="I1616" s="575"/>
      <c r="J1616" s="580"/>
      <c r="K1616" s="573" t="s">
        <v>115</v>
      </c>
    </row>
    <row r="1617" spans="1:11" hidden="1">
      <c r="A1617" s="1132"/>
      <c r="H1617" s="796" t="s">
        <v>117</v>
      </c>
      <c r="I1617" s="575"/>
      <c r="J1617" s="580"/>
      <c r="K1617" s="575"/>
    </row>
    <row r="1618" spans="1:11" hidden="1">
      <c r="A1618" s="1132"/>
      <c r="F1618" s="800">
        <v>1</v>
      </c>
      <c r="G1618" s="798" t="s">
        <v>1895</v>
      </c>
      <c r="H1618" s="793" t="s">
        <v>1903</v>
      </c>
      <c r="I1618" s="587">
        <v>20</v>
      </c>
      <c r="J1618" s="574" t="s">
        <v>227</v>
      </c>
      <c r="K1618" s="587">
        <f>(F1618*I1618)</f>
        <v>20</v>
      </c>
    </row>
    <row r="1619" spans="1:11" hidden="1">
      <c r="A1619" s="1132"/>
      <c r="G1619" s="798" t="s">
        <v>129</v>
      </c>
      <c r="H1619" s="793" t="s">
        <v>1904</v>
      </c>
      <c r="I1619" s="575"/>
      <c r="J1619" s="574" t="s">
        <v>129</v>
      </c>
      <c r="K1619" s="587">
        <v>5</v>
      </c>
    </row>
    <row r="1620" spans="1:11" hidden="1">
      <c r="A1620" s="1132"/>
      <c r="I1620" s="575"/>
      <c r="J1620" s="580"/>
      <c r="K1620" s="582" t="s">
        <v>117</v>
      </c>
    </row>
    <row r="1621" spans="1:11" hidden="1">
      <c r="A1621" s="1132"/>
      <c r="H1621" s="1098" t="s">
        <v>1905</v>
      </c>
      <c r="I1621" s="575"/>
      <c r="J1621" s="580"/>
      <c r="K1621" s="587">
        <f>SUM(K1617:K1619)</f>
        <v>25</v>
      </c>
    </row>
    <row r="1622" spans="1:11" hidden="1">
      <c r="A1622" s="1132"/>
      <c r="I1622" s="575"/>
      <c r="J1622" s="580"/>
      <c r="K1622" s="582" t="s">
        <v>155</v>
      </c>
    </row>
    <row r="1623" spans="1:11" hidden="1">
      <c r="A1623" s="1132"/>
      <c r="F1623" s="1098" t="s">
        <v>1906</v>
      </c>
      <c r="G1623" s="798" t="s">
        <v>122</v>
      </c>
      <c r="H1623" s="793" t="s">
        <v>1907</v>
      </c>
      <c r="I1623" s="575"/>
      <c r="J1623" s="580"/>
      <c r="K1623" s="575"/>
    </row>
    <row r="1624" spans="1:11" hidden="1">
      <c r="A1624" s="1132"/>
      <c r="H1624" s="796" t="s">
        <v>117</v>
      </c>
      <c r="I1624" s="582" t="s">
        <v>117</v>
      </c>
      <c r="J1624" s="580"/>
      <c r="K1624" s="575"/>
    </row>
    <row r="1625" spans="1:11" hidden="1">
      <c r="A1625" s="1132"/>
      <c r="F1625" s="800">
        <v>1</v>
      </c>
      <c r="G1625" s="798" t="s">
        <v>1895</v>
      </c>
      <c r="H1625" s="793" t="s">
        <v>1908</v>
      </c>
      <c r="I1625" s="587">
        <v>1</v>
      </c>
      <c r="J1625" s="574" t="s">
        <v>227</v>
      </c>
      <c r="K1625" s="587">
        <f>(F1625*I1625)</f>
        <v>1</v>
      </c>
    </row>
    <row r="1626" spans="1:11" hidden="1">
      <c r="A1626" s="1132"/>
      <c r="G1626" s="798" t="s">
        <v>129</v>
      </c>
      <c r="H1626" s="793" t="s">
        <v>1904</v>
      </c>
      <c r="I1626" s="575"/>
      <c r="J1626" s="574" t="s">
        <v>129</v>
      </c>
      <c r="K1626" s="587">
        <v>0.25</v>
      </c>
    </row>
    <row r="1627" spans="1:11" hidden="1">
      <c r="A1627" s="1132"/>
      <c r="I1627" s="575"/>
      <c r="J1627" s="580"/>
      <c r="K1627" s="582" t="s">
        <v>117</v>
      </c>
    </row>
    <row r="1628" spans="1:11" hidden="1">
      <c r="A1628" s="1132"/>
      <c r="H1628" s="1098" t="s">
        <v>1905</v>
      </c>
      <c r="I1628" s="575"/>
      <c r="J1628" s="580"/>
      <c r="K1628" s="587">
        <f>SUM(K1623:K1626)</f>
        <v>1.25</v>
      </c>
    </row>
    <row r="1629" spans="1:11" hidden="1">
      <c r="A1629" s="1132"/>
      <c r="F1629" s="793" t="s">
        <v>115</v>
      </c>
      <c r="I1629" s="575"/>
      <c r="J1629" s="580"/>
      <c r="K1629" s="582" t="s">
        <v>117</v>
      </c>
    </row>
    <row r="1630" spans="1:11" hidden="1">
      <c r="A1630" s="1132"/>
      <c r="F1630" s="1109">
        <v>50.1</v>
      </c>
      <c r="G1630" s="798" t="s">
        <v>122</v>
      </c>
      <c r="H1630" s="793" t="s">
        <v>1909</v>
      </c>
      <c r="I1630" s="575"/>
      <c r="J1630" s="580"/>
      <c r="K1630" s="575"/>
    </row>
    <row r="1631" spans="1:11" hidden="1">
      <c r="A1631" s="1132"/>
      <c r="H1631" s="793" t="s">
        <v>1910</v>
      </c>
      <c r="I1631" s="575"/>
      <c r="J1631" s="580"/>
      <c r="K1631" s="575"/>
    </row>
    <row r="1632" spans="1:11" hidden="1">
      <c r="A1632" s="1132"/>
      <c r="H1632" s="793" t="s">
        <v>1911</v>
      </c>
      <c r="I1632" s="575"/>
      <c r="J1632" s="580"/>
      <c r="K1632" s="575"/>
    </row>
    <row r="1633" spans="1:11" hidden="1">
      <c r="A1633" s="1132"/>
      <c r="H1633" s="793" t="s">
        <v>1912</v>
      </c>
      <c r="I1633" s="575"/>
      <c r="J1633" s="580"/>
      <c r="K1633" s="575"/>
    </row>
    <row r="1634" spans="1:11" hidden="1">
      <c r="A1634" s="1132"/>
      <c r="H1634" s="793" t="s">
        <v>1913</v>
      </c>
      <c r="I1634" s="575"/>
      <c r="J1634" s="580"/>
      <c r="K1634" s="575"/>
    </row>
    <row r="1635" spans="1:11" hidden="1">
      <c r="A1635" s="1132"/>
      <c r="H1635" s="796" t="s">
        <v>117</v>
      </c>
      <c r="I1635" s="582" t="s">
        <v>117</v>
      </c>
      <c r="J1635" s="580"/>
      <c r="K1635" s="575"/>
    </row>
    <row r="1636" spans="1:11" hidden="1">
      <c r="A1636" s="1132"/>
      <c r="F1636" s="800">
        <v>9</v>
      </c>
      <c r="G1636" s="798" t="s">
        <v>429</v>
      </c>
      <c r="H1636" s="793" t="s">
        <v>1914</v>
      </c>
      <c r="I1636" s="587" t="e">
        <f>C73</f>
        <v>#REF!</v>
      </c>
      <c r="J1636" s="574" t="s">
        <v>429</v>
      </c>
      <c r="K1636" s="587" t="e">
        <f>(F1636*I1636)</f>
        <v>#REF!</v>
      </c>
    </row>
    <row r="1637" spans="1:11" hidden="1">
      <c r="A1637" s="1132"/>
      <c r="F1637" s="800">
        <v>4.5</v>
      </c>
      <c r="G1637" s="798" t="s">
        <v>429</v>
      </c>
      <c r="H1637" s="793" t="s">
        <v>1915</v>
      </c>
      <c r="I1637" s="587" t="e">
        <f>K32</f>
        <v>#REF!</v>
      </c>
      <c r="J1637" s="574" t="s">
        <v>429</v>
      </c>
      <c r="K1637" s="587" t="e">
        <f>(F1637*I1637)</f>
        <v>#REF!</v>
      </c>
    </row>
    <row r="1638" spans="1:11" hidden="1">
      <c r="A1638" s="1132"/>
      <c r="F1638" s="800">
        <v>1.8</v>
      </c>
      <c r="G1638" s="798" t="s">
        <v>233</v>
      </c>
      <c r="H1638" s="793" t="s">
        <v>1916</v>
      </c>
      <c r="I1638" s="587">
        <f>C11</f>
        <v>135</v>
      </c>
      <c r="J1638" s="574" t="s">
        <v>227</v>
      </c>
      <c r="K1638" s="587">
        <f>(F1638*I1638)</f>
        <v>243</v>
      </c>
    </row>
    <row r="1639" spans="1:11" hidden="1">
      <c r="A1639" s="1132"/>
      <c r="F1639" s="800">
        <v>17.7</v>
      </c>
      <c r="G1639" s="798" t="s">
        <v>233</v>
      </c>
      <c r="H1639" s="793" t="s">
        <v>956</v>
      </c>
      <c r="I1639" s="587">
        <f>C12</f>
        <v>95</v>
      </c>
      <c r="J1639" s="574" t="s">
        <v>227</v>
      </c>
      <c r="K1639" s="587">
        <f>(F1639*I1639)</f>
        <v>1681.5</v>
      </c>
    </row>
    <row r="1640" spans="1:11" hidden="1">
      <c r="A1640" s="1132"/>
      <c r="F1640" s="800">
        <v>14.1</v>
      </c>
      <c r="G1640" s="798" t="s">
        <v>233</v>
      </c>
      <c r="H1640" s="793" t="s">
        <v>1809</v>
      </c>
      <c r="I1640" s="587">
        <f>C13</f>
        <v>85</v>
      </c>
      <c r="J1640" s="574" t="s">
        <v>227</v>
      </c>
      <c r="K1640" s="587">
        <f>(F1640*I1640)</f>
        <v>1198.5</v>
      </c>
    </row>
    <row r="1641" spans="1:11" hidden="1">
      <c r="A1641" s="1132"/>
      <c r="I1641" s="575"/>
      <c r="J1641" s="580"/>
      <c r="K1641" s="582" t="s">
        <v>117</v>
      </c>
    </row>
    <row r="1642" spans="1:11" hidden="1">
      <c r="A1642" s="1132"/>
      <c r="H1642" s="1098" t="s">
        <v>1917</v>
      </c>
      <c r="I1642" s="575"/>
      <c r="J1642" s="580"/>
      <c r="K1642" s="587" t="e">
        <f>SUM(K1636:K1640)</f>
        <v>#REF!</v>
      </c>
    </row>
    <row r="1643" spans="1:11" hidden="1">
      <c r="A1643" s="1132"/>
      <c r="I1643" s="575"/>
      <c r="J1643" s="580"/>
      <c r="K1643" s="582" t="s">
        <v>117</v>
      </c>
    </row>
    <row r="1644" spans="1:11" hidden="1">
      <c r="A1644" s="1132"/>
      <c r="H1644" s="1098" t="s">
        <v>1918</v>
      </c>
      <c r="I1644" s="575"/>
      <c r="J1644" s="580"/>
      <c r="K1644" s="587" t="e">
        <f>(K1642/10)</f>
        <v>#REF!</v>
      </c>
    </row>
    <row r="1645" spans="1:11" hidden="1">
      <c r="A1645" s="1132"/>
      <c r="I1645" s="575"/>
      <c r="J1645" s="580"/>
      <c r="K1645" s="582" t="s">
        <v>155</v>
      </c>
    </row>
    <row r="1646" spans="1:11" hidden="1">
      <c r="A1646" s="1132"/>
      <c r="I1646" s="575"/>
      <c r="J1646" s="580"/>
      <c r="K1646" s="575"/>
    </row>
    <row r="1647" spans="1:11" hidden="1">
      <c r="A1647" s="1132"/>
      <c r="G1647" s="798" t="s">
        <v>558</v>
      </c>
      <c r="H1647" s="793" t="s">
        <v>1919</v>
      </c>
      <c r="I1647" s="575"/>
      <c r="J1647" s="580"/>
      <c r="K1647" s="575"/>
    </row>
    <row r="1648" spans="1:11" hidden="1">
      <c r="A1648" s="1132"/>
      <c r="H1648" s="793" t="s">
        <v>1920</v>
      </c>
      <c r="I1648" s="575"/>
      <c r="J1648" s="580"/>
      <c r="K1648" s="575"/>
    </row>
    <row r="1649" spans="1:11" hidden="1">
      <c r="A1649" s="1132"/>
      <c r="H1649" s="796" t="s">
        <v>117</v>
      </c>
      <c r="I1649" s="582" t="s">
        <v>117</v>
      </c>
      <c r="J1649" s="580"/>
      <c r="K1649" s="575"/>
    </row>
    <row r="1650" spans="1:11" hidden="1">
      <c r="A1650" s="1132"/>
      <c r="I1650" s="575"/>
      <c r="J1650" s="580"/>
      <c r="K1650" s="575"/>
    </row>
    <row r="1651" spans="1:11" hidden="1">
      <c r="A1651" s="1132"/>
      <c r="F1651" s="1108">
        <v>0.314</v>
      </c>
      <c r="G1651" s="798" t="s">
        <v>429</v>
      </c>
      <c r="H1651" s="793" t="s">
        <v>1921</v>
      </c>
      <c r="I1651" s="587" t="e">
        <f>K1644</f>
        <v>#REF!</v>
      </c>
      <c r="J1651" s="574" t="s">
        <v>429</v>
      </c>
      <c r="K1651" s="587" t="e">
        <f>(F1651*I1651)</f>
        <v>#REF!</v>
      </c>
    </row>
    <row r="1652" spans="1:11" hidden="1">
      <c r="A1652" s="1132"/>
      <c r="F1652" s="800">
        <v>18</v>
      </c>
      <c r="G1652" s="798" t="s">
        <v>233</v>
      </c>
      <c r="H1652" s="793" t="s">
        <v>3558</v>
      </c>
      <c r="I1652" s="587">
        <v>2</v>
      </c>
      <c r="J1652" s="574" t="s">
        <v>227</v>
      </c>
      <c r="K1652" s="587">
        <f>(F1652*I1652)</f>
        <v>36</v>
      </c>
    </row>
    <row r="1653" spans="1:11" hidden="1">
      <c r="A1653" s="1132"/>
      <c r="F1653" s="800">
        <v>18</v>
      </c>
      <c r="G1653" s="798" t="s">
        <v>233</v>
      </c>
      <c r="H1653" s="793" t="s">
        <v>1923</v>
      </c>
      <c r="I1653" s="587">
        <v>1</v>
      </c>
      <c r="J1653" s="574" t="s">
        <v>227</v>
      </c>
      <c r="K1653" s="587">
        <f>(F1653*I1653)</f>
        <v>18</v>
      </c>
    </row>
    <row r="1654" spans="1:11" hidden="1">
      <c r="A1654" s="1132"/>
      <c r="F1654" s="800">
        <v>18</v>
      </c>
      <c r="G1654" s="798" t="s">
        <v>233</v>
      </c>
      <c r="H1654" s="793" t="s">
        <v>1924</v>
      </c>
      <c r="I1654" s="587">
        <v>2</v>
      </c>
      <c r="J1654" s="574" t="s">
        <v>227</v>
      </c>
      <c r="K1654" s="587">
        <f>(F1654*I1654)</f>
        <v>36</v>
      </c>
    </row>
    <row r="1655" spans="1:11" hidden="1">
      <c r="A1655" s="1132"/>
      <c r="I1655" s="575"/>
      <c r="J1655" s="580"/>
      <c r="K1655" s="582" t="s">
        <v>117</v>
      </c>
    </row>
    <row r="1656" spans="1:11" hidden="1">
      <c r="A1656" s="1132"/>
      <c r="H1656" s="1098" t="s">
        <v>1925</v>
      </c>
      <c r="I1656" s="575"/>
      <c r="J1656" s="580"/>
      <c r="K1656" s="587" t="e">
        <f>SUM(K1650:K1654)</f>
        <v>#REF!</v>
      </c>
    </row>
    <row r="1657" spans="1:11" hidden="1">
      <c r="A1657" s="1132"/>
      <c r="I1657" s="575"/>
      <c r="J1657" s="580"/>
      <c r="K1657" s="582" t="s">
        <v>117</v>
      </c>
    </row>
    <row r="1658" spans="1:11" hidden="1">
      <c r="A1658" s="1132"/>
      <c r="H1658" s="1098" t="s">
        <v>1926</v>
      </c>
      <c r="I1658" s="575"/>
      <c r="J1658" s="580"/>
      <c r="K1658" s="587" t="e">
        <f>(K1656/6.28)</f>
        <v>#REF!</v>
      </c>
    </row>
    <row r="1659" spans="1:11" hidden="1">
      <c r="A1659" s="1132"/>
      <c r="I1659" s="575"/>
      <c r="J1659" s="580"/>
      <c r="K1659" s="582" t="s">
        <v>155</v>
      </c>
    </row>
    <row r="1660" spans="1:11" hidden="1">
      <c r="A1660" s="1132"/>
      <c r="F1660" s="793" t="s">
        <v>115</v>
      </c>
      <c r="H1660" s="793" t="s">
        <v>1927</v>
      </c>
      <c r="I1660" s="575"/>
      <c r="J1660" s="580"/>
      <c r="K1660" s="575"/>
    </row>
    <row r="1661" spans="1:11" hidden="1">
      <c r="A1661" s="1132"/>
      <c r="H1661" s="796" t="s">
        <v>117</v>
      </c>
      <c r="I1661" s="575"/>
      <c r="J1661" s="580"/>
      <c r="K1661" s="575"/>
    </row>
    <row r="1662" spans="1:11" hidden="1">
      <c r="A1662" s="1132"/>
      <c r="F1662" s="1108">
        <v>0.01</v>
      </c>
      <c r="G1662" s="798" t="s">
        <v>429</v>
      </c>
      <c r="H1662" s="793" t="s">
        <v>1921</v>
      </c>
      <c r="I1662" s="587" t="e">
        <f>K1644</f>
        <v>#REF!</v>
      </c>
      <c r="J1662" s="574" t="s">
        <v>429</v>
      </c>
      <c r="K1662" s="587" t="e">
        <f>(F1662*I1662)</f>
        <v>#REF!</v>
      </c>
    </row>
    <row r="1663" spans="1:11" hidden="1">
      <c r="A1663" s="1132"/>
      <c r="F1663" s="800">
        <v>0.01</v>
      </c>
      <c r="G1663" s="798" t="s">
        <v>642</v>
      </c>
      <c r="H1663" s="793" t="s">
        <v>1928</v>
      </c>
      <c r="I1663" s="685" t="s">
        <v>166</v>
      </c>
      <c r="J1663" s="580"/>
      <c r="K1663" s="587">
        <v>1.2</v>
      </c>
    </row>
    <row r="1664" spans="1:11" hidden="1">
      <c r="A1664" s="1132"/>
      <c r="I1664" s="661"/>
      <c r="J1664" s="580"/>
      <c r="K1664" s="582" t="s">
        <v>117</v>
      </c>
    </row>
    <row r="1665" spans="1:11" hidden="1">
      <c r="A1665" s="1132"/>
      <c r="H1665" s="1098" t="s">
        <v>1929</v>
      </c>
      <c r="I1665" s="575"/>
      <c r="J1665" s="580"/>
      <c r="K1665" s="587" t="e">
        <f>SUM(K1659:K1663)</f>
        <v>#REF!</v>
      </c>
    </row>
    <row r="1666" spans="1:11" hidden="1">
      <c r="A1666" s="1132"/>
      <c r="I1666" s="575"/>
      <c r="J1666" s="580"/>
      <c r="K1666" s="582" t="s">
        <v>117</v>
      </c>
    </row>
    <row r="1667" spans="1:11" hidden="1">
      <c r="A1667" s="1132"/>
      <c r="H1667" s="1098" t="s">
        <v>1930</v>
      </c>
      <c r="I1667" s="575"/>
      <c r="J1667" s="580"/>
      <c r="K1667" s="587" t="e">
        <f>K1665/0.01</f>
        <v>#REF!</v>
      </c>
    </row>
    <row r="1668" spans="1:11" hidden="1">
      <c r="A1668" s="1132"/>
      <c r="I1668" s="575"/>
      <c r="J1668" s="580"/>
      <c r="K1668" s="582" t="s">
        <v>155</v>
      </c>
    </row>
    <row r="1669" spans="1:11" hidden="1">
      <c r="A1669" s="1132"/>
      <c r="F1669" s="1098" t="s">
        <v>1931</v>
      </c>
      <c r="G1669" s="798" t="s">
        <v>558</v>
      </c>
      <c r="H1669" s="793" t="s">
        <v>1919</v>
      </c>
      <c r="I1669" s="575"/>
      <c r="J1669" s="580"/>
      <c r="K1669" s="575"/>
    </row>
    <row r="1670" spans="1:11" hidden="1">
      <c r="A1670" s="1132"/>
      <c r="H1670" s="1111" t="s">
        <v>1932</v>
      </c>
      <c r="I1670" s="575"/>
      <c r="J1670" s="580"/>
      <c r="K1670" s="575"/>
    </row>
    <row r="1671" spans="1:11" hidden="1">
      <c r="A1671" s="1132"/>
      <c r="H1671" s="796" t="s">
        <v>117</v>
      </c>
      <c r="I1671" s="582" t="s">
        <v>117</v>
      </c>
      <c r="J1671" s="580"/>
      <c r="K1671" s="575"/>
    </row>
    <row r="1672" spans="1:11" hidden="1">
      <c r="A1672" s="1132"/>
      <c r="F1672" s="1108">
        <v>0.40500000000000003</v>
      </c>
      <c r="G1672" s="798" t="s">
        <v>429</v>
      </c>
      <c r="H1672" s="793" t="s">
        <v>1921</v>
      </c>
      <c r="I1672" s="587" t="e">
        <f>K1667</f>
        <v>#REF!</v>
      </c>
      <c r="J1672" s="574" t="s">
        <v>429</v>
      </c>
      <c r="K1672" s="587" t="e">
        <f>(F1672*I1672)</f>
        <v>#REF!</v>
      </c>
    </row>
    <row r="1673" spans="1:11" hidden="1">
      <c r="A1673" s="1132"/>
      <c r="F1673" s="793" t="s">
        <v>115</v>
      </c>
      <c r="G1673" s="798" t="s">
        <v>115</v>
      </c>
      <c r="H1673" s="793" t="s">
        <v>1933</v>
      </c>
      <c r="I1673" s="685" t="s">
        <v>166</v>
      </c>
      <c r="J1673" s="580"/>
      <c r="K1673" s="573" t="s">
        <v>115</v>
      </c>
    </row>
    <row r="1674" spans="1:11" hidden="1">
      <c r="A1674" s="1132"/>
      <c r="I1674" s="575"/>
      <c r="J1674" s="580"/>
      <c r="K1674" s="582" t="s">
        <v>117</v>
      </c>
    </row>
    <row r="1675" spans="1:11" hidden="1">
      <c r="A1675" s="1132"/>
      <c r="H1675" s="1098" t="s">
        <v>1934</v>
      </c>
      <c r="I1675" s="575"/>
      <c r="J1675" s="580"/>
      <c r="K1675" s="587" t="e">
        <f>SUM(K1669:K1673)</f>
        <v>#REF!</v>
      </c>
    </row>
    <row r="1676" spans="1:11" hidden="1">
      <c r="A1676" s="1132"/>
      <c r="I1676" s="575"/>
      <c r="J1676" s="580"/>
      <c r="K1676" s="582" t="s">
        <v>117</v>
      </c>
    </row>
    <row r="1677" spans="1:11" hidden="1">
      <c r="A1677" s="1132"/>
      <c r="H1677" s="1098" t="s">
        <v>1935</v>
      </c>
      <c r="I1677" s="575"/>
      <c r="J1677" s="580"/>
      <c r="K1677" s="587" t="e">
        <f>K1675/9</f>
        <v>#REF!</v>
      </c>
    </row>
    <row r="1678" spans="1:11" hidden="1">
      <c r="A1678" s="1132"/>
      <c r="I1678" s="575"/>
      <c r="J1678" s="580"/>
      <c r="K1678" s="582" t="s">
        <v>155</v>
      </c>
    </row>
    <row r="1679" spans="1:11" hidden="1">
      <c r="A1679" s="1132"/>
      <c r="F1679" s="1098" t="s">
        <v>1936</v>
      </c>
      <c r="H1679" s="793" t="s">
        <v>1937</v>
      </c>
      <c r="I1679" s="575"/>
      <c r="J1679" s="580"/>
      <c r="K1679" s="575"/>
    </row>
    <row r="1680" spans="1:11" hidden="1">
      <c r="A1680" s="1132"/>
      <c r="H1680" s="796" t="s">
        <v>117</v>
      </c>
      <c r="I1680" s="575"/>
      <c r="J1680" s="580"/>
      <c r="K1680" s="575"/>
    </row>
    <row r="1681" spans="1:11" hidden="1">
      <c r="A1681" s="1132"/>
      <c r="F1681" s="800">
        <v>4.32</v>
      </c>
      <c r="G1681" s="798" t="s">
        <v>126</v>
      </c>
      <c r="H1681" s="793" t="s">
        <v>1938</v>
      </c>
      <c r="I1681" s="587">
        <f>C61</f>
        <v>25</v>
      </c>
      <c r="J1681" s="574" t="s">
        <v>126</v>
      </c>
      <c r="K1681" s="587">
        <f t="shared" ref="K1681:K1688" si="56">(F1681*I1681)</f>
        <v>108</v>
      </c>
    </row>
    <row r="1682" spans="1:11" hidden="1">
      <c r="A1682" s="1132"/>
      <c r="F1682" s="800">
        <v>1.44</v>
      </c>
      <c r="G1682" s="798" t="s">
        <v>126</v>
      </c>
      <c r="H1682" s="793" t="s">
        <v>1939</v>
      </c>
      <c r="I1682" s="587">
        <v>60.5</v>
      </c>
      <c r="J1682" s="574" t="s">
        <v>126</v>
      </c>
      <c r="K1682" s="587">
        <f t="shared" si="56"/>
        <v>87.11999999999999</v>
      </c>
    </row>
    <row r="1683" spans="1:11" hidden="1">
      <c r="A1683" s="1132"/>
      <c r="F1683" s="800">
        <v>1.44</v>
      </c>
      <c r="G1683" s="798" t="s">
        <v>126</v>
      </c>
      <c r="H1683" s="793" t="s">
        <v>1940</v>
      </c>
      <c r="I1683" s="587">
        <f>C35</f>
        <v>169</v>
      </c>
      <c r="J1683" s="574" t="s">
        <v>126</v>
      </c>
      <c r="K1683" s="587">
        <f t="shared" si="56"/>
        <v>243.35999999999999</v>
      </c>
    </row>
    <row r="1684" spans="1:11" hidden="1">
      <c r="A1684" s="1132"/>
      <c r="F1684" s="800">
        <v>1.44</v>
      </c>
      <c r="G1684" s="798" t="s">
        <v>126</v>
      </c>
      <c r="H1684" s="793" t="s">
        <v>1941</v>
      </c>
      <c r="I1684" s="587" t="e">
        <f>C78</f>
        <v>#REF!</v>
      </c>
      <c r="J1684" s="574" t="s">
        <v>126</v>
      </c>
      <c r="K1684" s="587" t="e">
        <f t="shared" si="56"/>
        <v>#REF!</v>
      </c>
    </row>
    <row r="1685" spans="1:11" hidden="1">
      <c r="A1685" s="1132"/>
      <c r="F1685" s="800">
        <v>2.88</v>
      </c>
      <c r="G1685" s="798" t="s">
        <v>126</v>
      </c>
      <c r="H1685" s="793" t="s">
        <v>1942</v>
      </c>
      <c r="I1685" s="587">
        <v>10</v>
      </c>
      <c r="J1685" s="574" t="s">
        <v>126</v>
      </c>
      <c r="K1685" s="587">
        <f t="shared" si="56"/>
        <v>28.799999999999997</v>
      </c>
    </row>
    <row r="1686" spans="1:11" hidden="1">
      <c r="A1686" s="1132"/>
      <c r="F1686" s="800">
        <v>20</v>
      </c>
      <c r="G1686" s="798" t="s">
        <v>188</v>
      </c>
      <c r="H1686" s="793" t="s">
        <v>1943</v>
      </c>
      <c r="I1686" s="587">
        <v>40</v>
      </c>
      <c r="J1686" s="574" t="s">
        <v>188</v>
      </c>
      <c r="K1686" s="587">
        <f t="shared" si="56"/>
        <v>800</v>
      </c>
    </row>
    <row r="1687" spans="1:11" hidden="1">
      <c r="A1687" s="1132"/>
      <c r="F1687" s="800">
        <v>42</v>
      </c>
      <c r="G1687" s="798" t="s">
        <v>1944</v>
      </c>
      <c r="H1687" s="793" t="s">
        <v>3559</v>
      </c>
      <c r="I1687" s="587">
        <v>10</v>
      </c>
      <c r="J1687" s="574" t="s">
        <v>1944</v>
      </c>
      <c r="K1687" s="587">
        <f t="shared" si="56"/>
        <v>420</v>
      </c>
    </row>
    <row r="1688" spans="1:11" hidden="1">
      <c r="A1688" s="1132"/>
      <c r="F1688" s="800">
        <v>4.32</v>
      </c>
      <c r="G1688" s="798" t="s">
        <v>126</v>
      </c>
      <c r="H1688" s="793" t="s">
        <v>1946</v>
      </c>
      <c r="I1688" s="587">
        <f>C27</f>
        <v>7.8</v>
      </c>
      <c r="J1688" s="574" t="s">
        <v>126</v>
      </c>
      <c r="K1688" s="587">
        <f t="shared" si="56"/>
        <v>33.695999999999998</v>
      </c>
    </row>
    <row r="1689" spans="1:11" hidden="1">
      <c r="A1689" s="1132"/>
      <c r="F1689" s="1098" t="s">
        <v>1947</v>
      </c>
      <c r="H1689" s="793" t="s">
        <v>1948</v>
      </c>
      <c r="I1689" s="575"/>
      <c r="J1689" s="580"/>
      <c r="K1689" s="587">
        <v>2000</v>
      </c>
    </row>
    <row r="1690" spans="1:11" hidden="1">
      <c r="A1690" s="1132"/>
      <c r="I1690" s="575"/>
      <c r="J1690" s="580"/>
      <c r="K1690" s="582" t="s">
        <v>117</v>
      </c>
    </row>
    <row r="1691" spans="1:11" hidden="1">
      <c r="A1691" s="1132"/>
      <c r="H1691" s="793" t="s">
        <v>1949</v>
      </c>
      <c r="I1691" s="575"/>
      <c r="J1691" s="580"/>
      <c r="K1691" s="587" t="e">
        <f>SUM(K1681:K1689)</f>
        <v>#REF!</v>
      </c>
    </row>
    <row r="1692" spans="1:11" hidden="1">
      <c r="A1692" s="1132"/>
      <c r="I1692" s="575"/>
      <c r="J1692" s="580"/>
      <c r="K1692" s="582" t="s">
        <v>117</v>
      </c>
    </row>
    <row r="1693" spans="1:11" hidden="1">
      <c r="A1693" s="1132"/>
      <c r="H1693" s="793" t="s">
        <v>1950</v>
      </c>
      <c r="I1693" s="575"/>
      <c r="J1693" s="580"/>
      <c r="K1693" s="587" t="e">
        <f>K1691/20</f>
        <v>#REF!</v>
      </c>
    </row>
    <row r="1694" spans="1:11" hidden="1">
      <c r="A1694" s="1132"/>
      <c r="I1694" s="575"/>
      <c r="J1694" s="580"/>
      <c r="K1694" s="582" t="s">
        <v>155</v>
      </c>
    </row>
    <row r="1695" spans="1:11" hidden="1">
      <c r="A1695" s="1132"/>
      <c r="I1695" s="575"/>
      <c r="J1695" s="580"/>
      <c r="K1695" s="575"/>
    </row>
    <row r="1696" spans="1:11" hidden="1">
      <c r="A1696" s="1132"/>
      <c r="F1696" s="1098" t="s">
        <v>1951</v>
      </c>
      <c r="H1696" s="793" t="s">
        <v>1952</v>
      </c>
      <c r="I1696" s="575"/>
      <c r="J1696" s="580"/>
      <c r="K1696" s="575"/>
    </row>
    <row r="1697" spans="1:11" hidden="1">
      <c r="A1697" s="1132"/>
      <c r="H1697" s="796" t="s">
        <v>117</v>
      </c>
      <c r="I1697" s="575"/>
      <c r="J1697" s="580"/>
      <c r="K1697" s="575"/>
    </row>
    <row r="1698" spans="1:11" hidden="1">
      <c r="A1698" s="1132"/>
      <c r="F1698" s="800">
        <v>0.1</v>
      </c>
      <c r="G1698" s="798" t="s">
        <v>126</v>
      </c>
      <c r="H1698" s="793" t="s">
        <v>1938</v>
      </c>
      <c r="I1698" s="587">
        <f>K90</f>
        <v>50</v>
      </c>
      <c r="J1698" s="574" t="s">
        <v>126</v>
      </c>
      <c r="K1698" s="587">
        <f t="shared" ref="K1698:K1703" si="57">(F1698*I1698)</f>
        <v>5</v>
      </c>
    </row>
    <row r="1699" spans="1:11" hidden="1">
      <c r="A1699" s="1132"/>
      <c r="F1699" s="800">
        <v>6.3</v>
      </c>
      <c r="G1699" s="798" t="s">
        <v>1944</v>
      </c>
      <c r="H1699" s="793" t="s">
        <v>3560</v>
      </c>
      <c r="I1699" s="592">
        <v>21</v>
      </c>
      <c r="J1699" s="574" t="s">
        <v>1944</v>
      </c>
      <c r="K1699" s="587">
        <f t="shared" si="57"/>
        <v>132.29999999999998</v>
      </c>
    </row>
    <row r="1700" spans="1:11" hidden="1">
      <c r="A1700" s="1132"/>
      <c r="F1700" s="800">
        <v>6.3</v>
      </c>
      <c r="G1700" s="798" t="s">
        <v>1944</v>
      </c>
      <c r="H1700" s="793" t="s">
        <v>3559</v>
      </c>
      <c r="I1700" s="587">
        <v>10</v>
      </c>
      <c r="J1700" s="574" t="s">
        <v>1944</v>
      </c>
      <c r="K1700" s="587">
        <f t="shared" si="57"/>
        <v>63</v>
      </c>
    </row>
    <row r="1701" spans="1:11" hidden="1">
      <c r="A1701" s="1132"/>
      <c r="F1701" s="800">
        <v>3.15</v>
      </c>
      <c r="G1701" s="798" t="s">
        <v>110</v>
      </c>
      <c r="H1701" s="793" t="s">
        <v>1955</v>
      </c>
      <c r="I1701" s="592">
        <v>22.6</v>
      </c>
      <c r="J1701" s="574" t="s">
        <v>110</v>
      </c>
      <c r="K1701" s="587">
        <f t="shared" si="57"/>
        <v>71.19</v>
      </c>
    </row>
    <row r="1702" spans="1:11" hidden="1">
      <c r="A1702" s="1132"/>
      <c r="F1702" s="800">
        <v>0.25</v>
      </c>
      <c r="G1702" s="798" t="s">
        <v>1895</v>
      </c>
      <c r="H1702" s="793" t="s">
        <v>1956</v>
      </c>
      <c r="I1702" s="587">
        <f>D16</f>
        <v>135</v>
      </c>
      <c r="J1702" s="574" t="s">
        <v>1895</v>
      </c>
      <c r="K1702" s="587">
        <f t="shared" si="57"/>
        <v>33.75</v>
      </c>
    </row>
    <row r="1703" spans="1:11" hidden="1">
      <c r="A1703" s="1132"/>
      <c r="F1703" s="800">
        <v>0.2</v>
      </c>
      <c r="G1703" s="798" t="s">
        <v>1895</v>
      </c>
      <c r="H1703" s="793" t="s">
        <v>1957</v>
      </c>
      <c r="I1703" s="587">
        <f>C17</f>
        <v>130</v>
      </c>
      <c r="J1703" s="574" t="s">
        <v>1895</v>
      </c>
      <c r="K1703" s="587">
        <f t="shared" si="57"/>
        <v>26</v>
      </c>
    </row>
    <row r="1704" spans="1:11" hidden="1">
      <c r="A1704" s="1132"/>
      <c r="H1704" s="793" t="s">
        <v>1958</v>
      </c>
      <c r="I1704" s="573" t="s">
        <v>115</v>
      </c>
      <c r="J1704" s="574" t="s">
        <v>115</v>
      </c>
      <c r="K1704" s="587">
        <v>0</v>
      </c>
    </row>
    <row r="1705" spans="1:11" hidden="1">
      <c r="A1705" s="1132"/>
      <c r="I1705" s="575"/>
      <c r="J1705" s="574" t="s">
        <v>115</v>
      </c>
      <c r="K1705" s="582" t="s">
        <v>117</v>
      </c>
    </row>
    <row r="1706" spans="1:11" hidden="1">
      <c r="A1706" s="1132"/>
      <c r="F1706" s="793" t="s">
        <v>115</v>
      </c>
      <c r="G1706" s="798" t="s">
        <v>115</v>
      </c>
      <c r="H1706" s="793" t="s">
        <v>1950</v>
      </c>
      <c r="I1706" s="575"/>
      <c r="J1706" s="580"/>
      <c r="K1706" s="587">
        <f>SUM(K1698:K1704)</f>
        <v>331.24</v>
      </c>
    </row>
    <row r="1707" spans="1:11" hidden="1">
      <c r="A1707" s="1132"/>
      <c r="H1707" s="793" t="s">
        <v>115</v>
      </c>
      <c r="I1707" s="575"/>
      <c r="J1707" s="580"/>
      <c r="K1707" s="582" t="s">
        <v>117</v>
      </c>
    </row>
    <row r="1708" spans="1:11" hidden="1">
      <c r="A1708" s="1132"/>
      <c r="I1708" s="575"/>
      <c r="J1708" s="580"/>
      <c r="K1708" s="582"/>
    </row>
    <row r="1709" spans="1:11" hidden="1">
      <c r="A1709" s="1132"/>
      <c r="F1709" s="1098" t="s">
        <v>1959</v>
      </c>
      <c r="H1709" s="793" t="s">
        <v>1960</v>
      </c>
      <c r="I1709" s="575"/>
      <c r="J1709" s="580"/>
      <c r="K1709" s="575"/>
    </row>
    <row r="1710" spans="1:11" hidden="1">
      <c r="A1710" s="1132"/>
      <c r="H1710" s="796" t="s">
        <v>117</v>
      </c>
      <c r="I1710" s="575"/>
      <c r="J1710" s="580"/>
      <c r="K1710" s="575"/>
    </row>
    <row r="1711" spans="1:11" hidden="1">
      <c r="A1711" s="1132"/>
      <c r="F1711" s="1119">
        <v>0.48599999999999999</v>
      </c>
      <c r="G1711" s="798" t="s">
        <v>642</v>
      </c>
      <c r="H1711" s="793" t="s">
        <v>1938</v>
      </c>
      <c r="I1711" s="587">
        <f>C61</f>
        <v>25</v>
      </c>
      <c r="J1711" s="574" t="s">
        <v>642</v>
      </c>
      <c r="K1711" s="587">
        <f t="shared" ref="K1711:K1717" si="58">(F1711*I1711)</f>
        <v>12.15</v>
      </c>
    </row>
    <row r="1712" spans="1:11" hidden="1">
      <c r="A1712" s="1132"/>
      <c r="F1712" s="1119">
        <v>0.48599999999999999</v>
      </c>
      <c r="G1712" s="798" t="s">
        <v>642</v>
      </c>
      <c r="H1712" s="793" t="s">
        <v>1961</v>
      </c>
      <c r="I1712" s="587" t="e">
        <f>K203</f>
        <v>#REF!</v>
      </c>
      <c r="J1712" s="574" t="s">
        <v>642</v>
      </c>
      <c r="K1712" s="587" t="e">
        <f t="shared" si="58"/>
        <v>#REF!</v>
      </c>
    </row>
    <row r="1713" spans="1:11" hidden="1">
      <c r="A1713" s="1132"/>
      <c r="F1713" s="800">
        <v>81.75</v>
      </c>
      <c r="G1713" s="798" t="s">
        <v>1962</v>
      </c>
      <c r="H1713" s="793" t="s">
        <v>1963</v>
      </c>
      <c r="I1713" s="587">
        <v>30</v>
      </c>
      <c r="J1713" s="574" t="s">
        <v>1962</v>
      </c>
      <c r="K1713" s="587">
        <f t="shared" si="58"/>
        <v>2452.5</v>
      </c>
    </row>
    <row r="1714" spans="1:11" hidden="1">
      <c r="A1714" s="1132"/>
      <c r="F1714" s="800">
        <v>7.2</v>
      </c>
      <c r="G1714" s="798" t="s">
        <v>1962</v>
      </c>
      <c r="H1714" s="793" t="s">
        <v>1964</v>
      </c>
      <c r="I1714" s="587">
        <v>30</v>
      </c>
      <c r="J1714" s="574" t="s">
        <v>1962</v>
      </c>
      <c r="K1714" s="587">
        <f t="shared" si="58"/>
        <v>216</v>
      </c>
    </row>
    <row r="1715" spans="1:11" hidden="1">
      <c r="A1715" s="1132"/>
      <c r="F1715" s="800">
        <v>43.68</v>
      </c>
      <c r="G1715" s="798" t="s">
        <v>1962</v>
      </c>
      <c r="H1715" s="793" t="s">
        <v>1965</v>
      </c>
      <c r="I1715" s="587">
        <f>I1713</f>
        <v>30</v>
      </c>
      <c r="J1715" s="574" t="s">
        <v>1962</v>
      </c>
      <c r="K1715" s="587">
        <f t="shared" si="58"/>
        <v>1310.4000000000001</v>
      </c>
    </row>
    <row r="1716" spans="1:11" hidden="1">
      <c r="A1716" s="1132"/>
      <c r="F1716" s="800">
        <v>132.63</v>
      </c>
      <c r="G1716" s="798" t="s">
        <v>1962</v>
      </c>
      <c r="H1716" s="793" t="s">
        <v>1966</v>
      </c>
      <c r="I1716" s="592">
        <v>12.3</v>
      </c>
      <c r="J1716" s="574" t="s">
        <v>1962</v>
      </c>
      <c r="K1716" s="587">
        <f t="shared" si="58"/>
        <v>1631.3489999999999</v>
      </c>
    </row>
    <row r="1717" spans="1:11" hidden="1">
      <c r="A1717" s="1132"/>
      <c r="F1717" s="800">
        <v>2.2000000000000002</v>
      </c>
      <c r="G1717" s="798" t="s">
        <v>110</v>
      </c>
      <c r="H1717" s="793" t="s">
        <v>3561</v>
      </c>
      <c r="I1717" s="587">
        <v>360</v>
      </c>
      <c r="J1717" s="574" t="s">
        <v>110</v>
      </c>
      <c r="K1717" s="587">
        <f t="shared" si="58"/>
        <v>792.00000000000011</v>
      </c>
    </row>
    <row r="1718" spans="1:11" hidden="1">
      <c r="A1718" s="1132"/>
      <c r="F1718" s="802" t="s">
        <v>166</v>
      </c>
      <c r="H1718" s="793" t="s">
        <v>1968</v>
      </c>
      <c r="I1718" s="685" t="s">
        <v>166</v>
      </c>
      <c r="J1718" s="580"/>
      <c r="K1718" s="587">
        <v>250</v>
      </c>
    </row>
    <row r="1719" spans="1:11" hidden="1">
      <c r="A1719" s="1132"/>
      <c r="F1719" s="802" t="s">
        <v>166</v>
      </c>
      <c r="H1719" s="793" t="s">
        <v>1969</v>
      </c>
      <c r="I1719" s="685" t="s">
        <v>166</v>
      </c>
      <c r="J1719" s="580"/>
      <c r="K1719" s="587">
        <v>20</v>
      </c>
    </row>
    <row r="1720" spans="1:11" hidden="1">
      <c r="A1720" s="1132"/>
      <c r="I1720" s="575"/>
      <c r="J1720" s="580"/>
      <c r="K1720" s="582" t="s">
        <v>117</v>
      </c>
    </row>
    <row r="1721" spans="1:11" hidden="1">
      <c r="A1721" s="1132"/>
      <c r="I1721" s="575"/>
      <c r="J1721" s="580"/>
      <c r="K1721" s="587" t="e">
        <f>SUM(K1711:K1720)</f>
        <v>#REF!</v>
      </c>
    </row>
    <row r="1722" spans="1:11" hidden="1">
      <c r="A1722" s="1132"/>
      <c r="I1722" s="575"/>
      <c r="J1722" s="580"/>
      <c r="K1722" s="582" t="s">
        <v>117</v>
      </c>
    </row>
    <row r="1723" spans="1:11" hidden="1">
      <c r="A1723" s="1132"/>
      <c r="I1723" s="575"/>
      <c r="J1723" s="580"/>
      <c r="K1723" s="582"/>
    </row>
    <row r="1724" spans="1:11" hidden="1">
      <c r="A1724" s="1132"/>
      <c r="F1724" s="1105">
        <v>86</v>
      </c>
      <c r="H1724" s="793" t="s">
        <v>1970</v>
      </c>
      <c r="I1724" s="575"/>
      <c r="J1724" s="580"/>
      <c r="K1724" s="587">
        <f>C777</f>
        <v>30</v>
      </c>
    </row>
    <row r="1725" spans="1:11" hidden="1">
      <c r="A1725" s="1132"/>
      <c r="F1725" s="1109"/>
      <c r="H1725" s="793"/>
      <c r="I1725" s="575"/>
      <c r="J1725" s="580"/>
      <c r="K1725" s="587"/>
    </row>
    <row r="1726" spans="1:11" hidden="1">
      <c r="A1726" s="1132"/>
      <c r="F1726" s="1098" t="s">
        <v>1971</v>
      </c>
      <c r="H1726" s="793" t="s">
        <v>3562</v>
      </c>
      <c r="I1726" s="575"/>
      <c r="J1726" s="580"/>
      <c r="K1726" s="573">
        <v>3135</v>
      </c>
    </row>
    <row r="1727" spans="1:11" hidden="1">
      <c r="A1727" s="1132"/>
      <c r="H1727" s="793" t="s">
        <v>1973</v>
      </c>
      <c r="I1727" s="575"/>
      <c r="J1727" s="580"/>
      <c r="K1727" s="575">
        <f>K1726</f>
        <v>3135</v>
      </c>
    </row>
    <row r="1728" spans="1:11" hidden="1">
      <c r="A1728" s="1132"/>
      <c r="F1728" s="793" t="s">
        <v>115</v>
      </c>
      <c r="I1728" s="575"/>
      <c r="J1728" s="580"/>
      <c r="K1728" s="575"/>
    </row>
    <row r="1729" spans="1:11" hidden="1">
      <c r="A1729" s="1132"/>
      <c r="F1729" s="1109"/>
      <c r="G1729" s="798" t="s">
        <v>122</v>
      </c>
      <c r="H1729" s="793" t="s">
        <v>807</v>
      </c>
      <c r="I1729" s="575"/>
      <c r="J1729" s="580"/>
      <c r="K1729" s="575"/>
    </row>
    <row r="1730" spans="1:11" hidden="1">
      <c r="A1730" s="1132"/>
      <c r="H1730" s="793" t="s">
        <v>1975</v>
      </c>
      <c r="I1730" s="575"/>
      <c r="J1730" s="580"/>
      <c r="K1730" s="575"/>
    </row>
    <row r="1731" spans="1:11" hidden="1">
      <c r="A1731" s="1132"/>
      <c r="H1731" s="793" t="s">
        <v>873</v>
      </c>
      <c r="I1731" s="575"/>
      <c r="J1731" s="580"/>
      <c r="K1731" s="575"/>
    </row>
    <row r="1732" spans="1:11" hidden="1">
      <c r="A1732" s="1132"/>
      <c r="H1732" s="796" t="s">
        <v>117</v>
      </c>
      <c r="I1732" s="575"/>
      <c r="J1732" s="580"/>
      <c r="K1732" s="575"/>
    </row>
    <row r="1733" spans="1:11" hidden="1">
      <c r="A1733" s="1132"/>
      <c r="G1733" s="798" t="s">
        <v>1976</v>
      </c>
      <c r="H1733" s="793" t="s">
        <v>873</v>
      </c>
      <c r="I1733" s="575"/>
      <c r="J1733" s="580"/>
      <c r="K1733" s="573" t="s">
        <v>1977</v>
      </c>
    </row>
    <row r="1734" spans="1:11" hidden="1">
      <c r="A1734" s="1132"/>
      <c r="H1734" s="796" t="s">
        <v>117</v>
      </c>
      <c r="I1734" s="575"/>
      <c r="J1734" s="580"/>
      <c r="K1734" s="582" t="s">
        <v>155</v>
      </c>
    </row>
    <row r="1735" spans="1:11" hidden="1">
      <c r="A1735" s="1132"/>
      <c r="F1735" s="800">
        <v>30</v>
      </c>
      <c r="G1735" s="798" t="s">
        <v>203</v>
      </c>
      <c r="H1735" s="793" t="s">
        <v>879</v>
      </c>
      <c r="I1735" s="587">
        <f>(C639)</f>
        <v>3</v>
      </c>
      <c r="J1735" s="574" t="s">
        <v>203</v>
      </c>
      <c r="K1735" s="587">
        <f>(F1735*I1735)</f>
        <v>90</v>
      </c>
    </row>
    <row r="1736" spans="1:11" hidden="1">
      <c r="A1736" s="1132"/>
      <c r="F1736" s="793" t="s">
        <v>115</v>
      </c>
      <c r="H1736" s="793" t="s">
        <v>882</v>
      </c>
      <c r="I1736" s="573" t="s">
        <v>115</v>
      </c>
      <c r="J1736" s="580"/>
      <c r="K1736" s="573" t="s">
        <v>115</v>
      </c>
    </row>
    <row r="1737" spans="1:11" hidden="1">
      <c r="A1737" s="1132"/>
      <c r="F1737" s="800">
        <v>8</v>
      </c>
      <c r="G1737" s="798" t="s">
        <v>209</v>
      </c>
      <c r="H1737" s="793" t="s">
        <v>823</v>
      </c>
      <c r="I1737" s="587">
        <f>(C641)</f>
        <v>2.2000000000000002</v>
      </c>
      <c r="J1737" s="574" t="s">
        <v>209</v>
      </c>
      <c r="K1737" s="587">
        <f t="shared" ref="K1737:K1742" si="59">(F1737*I1737)</f>
        <v>17.600000000000001</v>
      </c>
    </row>
    <row r="1738" spans="1:11" hidden="1">
      <c r="A1738" s="1132"/>
      <c r="F1738" s="800">
        <v>8</v>
      </c>
      <c r="G1738" s="798" t="s">
        <v>209</v>
      </c>
      <c r="H1738" s="793" t="s">
        <v>826</v>
      </c>
      <c r="I1738" s="587">
        <f>(C642)</f>
        <v>3.2</v>
      </c>
      <c r="J1738" s="574" t="s">
        <v>209</v>
      </c>
      <c r="K1738" s="587">
        <f t="shared" si="59"/>
        <v>25.6</v>
      </c>
    </row>
    <row r="1739" spans="1:11" hidden="1">
      <c r="A1739" s="1132"/>
      <c r="F1739" s="800">
        <v>3</v>
      </c>
      <c r="G1739" s="798" t="s">
        <v>209</v>
      </c>
      <c r="H1739" s="793" t="s">
        <v>887</v>
      </c>
      <c r="I1739" s="587">
        <f>(C41)</f>
        <v>110</v>
      </c>
      <c r="J1739" s="574" t="s">
        <v>209</v>
      </c>
      <c r="K1739" s="587">
        <f t="shared" si="59"/>
        <v>330</v>
      </c>
    </row>
    <row r="1740" spans="1:11" hidden="1">
      <c r="A1740" s="1132"/>
      <c r="F1740" s="800">
        <v>1</v>
      </c>
      <c r="G1740" s="798" t="s">
        <v>209</v>
      </c>
      <c r="H1740" s="793" t="s">
        <v>1978</v>
      </c>
      <c r="I1740" s="587">
        <f>(C10)</f>
        <v>150</v>
      </c>
      <c r="J1740" s="574" t="s">
        <v>209</v>
      </c>
      <c r="K1740" s="587">
        <f t="shared" si="59"/>
        <v>150</v>
      </c>
    </row>
    <row r="1741" spans="1:11" hidden="1">
      <c r="A1741" s="1132"/>
      <c r="F1741" s="800">
        <v>2</v>
      </c>
      <c r="G1741" s="798" t="s">
        <v>209</v>
      </c>
      <c r="H1741" s="793" t="s">
        <v>146</v>
      </c>
      <c r="I1741" s="587">
        <f>(C12)</f>
        <v>95</v>
      </c>
      <c r="J1741" s="574" t="s">
        <v>209</v>
      </c>
      <c r="K1741" s="587">
        <f t="shared" si="59"/>
        <v>190</v>
      </c>
    </row>
    <row r="1742" spans="1:11" hidden="1">
      <c r="A1742" s="1132"/>
      <c r="F1742" s="800">
        <v>1</v>
      </c>
      <c r="G1742" s="798" t="s">
        <v>209</v>
      </c>
      <c r="H1742" s="793" t="s">
        <v>147</v>
      </c>
      <c r="I1742" s="587">
        <f>(C13)</f>
        <v>85</v>
      </c>
      <c r="J1742" s="574" t="s">
        <v>209</v>
      </c>
      <c r="K1742" s="587">
        <f t="shared" si="59"/>
        <v>85</v>
      </c>
    </row>
    <row r="1743" spans="1:11" hidden="1">
      <c r="A1743" s="1132"/>
      <c r="G1743" s="798" t="s">
        <v>129</v>
      </c>
      <c r="H1743" s="793" t="s">
        <v>1979</v>
      </c>
      <c r="I1743" s="573" t="s">
        <v>115</v>
      </c>
      <c r="J1743" s="574" t="s">
        <v>129</v>
      </c>
      <c r="K1743" s="587">
        <v>5</v>
      </c>
    </row>
    <row r="1744" spans="1:11" hidden="1">
      <c r="A1744" s="1132"/>
      <c r="H1744" s="793" t="s">
        <v>1980</v>
      </c>
      <c r="I1744" s="573" t="s">
        <v>115</v>
      </c>
      <c r="J1744" s="580"/>
      <c r="K1744" s="573" t="s">
        <v>115</v>
      </c>
    </row>
    <row r="1745" spans="1:11" hidden="1">
      <c r="A1745" s="1132"/>
      <c r="G1745" s="798" t="s">
        <v>129</v>
      </c>
      <c r="H1745" s="793" t="s">
        <v>130</v>
      </c>
      <c r="I1745" s="575"/>
      <c r="J1745" s="574" t="s">
        <v>129</v>
      </c>
      <c r="K1745" s="587">
        <v>0</v>
      </c>
    </row>
    <row r="1746" spans="1:11" hidden="1">
      <c r="A1746" s="1132"/>
      <c r="I1746" s="575"/>
      <c r="J1746" s="580"/>
      <c r="K1746" s="582" t="s">
        <v>117</v>
      </c>
    </row>
    <row r="1747" spans="1:11" hidden="1">
      <c r="A1747" s="1132"/>
      <c r="H1747" s="793" t="s">
        <v>893</v>
      </c>
      <c r="I1747" s="575"/>
      <c r="J1747" s="580"/>
      <c r="K1747" s="587">
        <f>SUM(K1735:K1745)</f>
        <v>893.2</v>
      </c>
    </row>
    <row r="1748" spans="1:11" hidden="1">
      <c r="A1748" s="1132"/>
      <c r="I1748" s="575"/>
      <c r="J1748" s="580"/>
      <c r="K1748" s="582" t="s">
        <v>117</v>
      </c>
    </row>
    <row r="1749" spans="1:11" hidden="1">
      <c r="A1749" s="1132"/>
      <c r="H1749" s="793" t="s">
        <v>216</v>
      </c>
      <c r="I1749" s="575"/>
      <c r="J1749" s="580"/>
      <c r="K1749" s="587">
        <f>(K1747/30)</f>
        <v>29.773333333333333</v>
      </c>
    </row>
    <row r="1750" spans="1:11" hidden="1">
      <c r="A1750" s="1132"/>
      <c r="I1750" s="575"/>
      <c r="J1750" s="580"/>
      <c r="K1750" s="582" t="s">
        <v>117</v>
      </c>
    </row>
    <row r="1751" spans="1:11" hidden="1">
      <c r="A1751" s="1132"/>
      <c r="G1751" s="798" t="s">
        <v>1225</v>
      </c>
      <c r="H1751" s="793" t="s">
        <v>873</v>
      </c>
      <c r="I1751" s="575"/>
      <c r="J1751" s="580"/>
      <c r="K1751" s="573" t="s">
        <v>1981</v>
      </c>
    </row>
    <row r="1752" spans="1:11" hidden="1">
      <c r="A1752" s="1132"/>
      <c r="H1752" s="796" t="s">
        <v>117</v>
      </c>
      <c r="I1752" s="575"/>
      <c r="J1752" s="580"/>
      <c r="K1752" s="582" t="s">
        <v>155</v>
      </c>
    </row>
    <row r="1753" spans="1:11" hidden="1">
      <c r="A1753" s="1132"/>
      <c r="F1753" s="800">
        <v>30</v>
      </c>
      <c r="G1753" s="798" t="s">
        <v>203</v>
      </c>
      <c r="H1753" s="793" t="s">
        <v>879</v>
      </c>
      <c r="I1753" s="587">
        <f>(C639)</f>
        <v>3</v>
      </c>
      <c r="J1753" s="574" t="s">
        <v>203</v>
      </c>
      <c r="K1753" s="587">
        <f>(F1753*I1753)</f>
        <v>90</v>
      </c>
    </row>
    <row r="1754" spans="1:11" hidden="1">
      <c r="A1754" s="1132"/>
      <c r="F1754" s="793" t="s">
        <v>115</v>
      </c>
      <c r="H1754" s="793" t="s">
        <v>882</v>
      </c>
      <c r="I1754" s="573" t="s">
        <v>115</v>
      </c>
      <c r="J1754" s="580"/>
      <c r="K1754" s="573" t="s">
        <v>115</v>
      </c>
    </row>
    <row r="1755" spans="1:11" hidden="1">
      <c r="A1755" s="1132"/>
      <c r="F1755" s="800">
        <v>8</v>
      </c>
      <c r="G1755" s="798" t="s">
        <v>209</v>
      </c>
      <c r="H1755" s="793" t="s">
        <v>823</v>
      </c>
      <c r="I1755" s="587">
        <f>(C641)</f>
        <v>2.2000000000000002</v>
      </c>
      <c r="J1755" s="574" t="s">
        <v>209</v>
      </c>
      <c r="K1755" s="587">
        <f t="shared" ref="K1755:K1760" si="60">(F1755*I1755)</f>
        <v>17.600000000000001</v>
      </c>
    </row>
    <row r="1756" spans="1:11" hidden="1">
      <c r="A1756" s="1132"/>
      <c r="F1756" s="800">
        <v>8</v>
      </c>
      <c r="G1756" s="798" t="s">
        <v>209</v>
      </c>
      <c r="H1756" s="793" t="s">
        <v>826</v>
      </c>
      <c r="I1756" s="587">
        <f>(D642)</f>
        <v>3.2</v>
      </c>
      <c r="J1756" s="574" t="s">
        <v>209</v>
      </c>
      <c r="K1756" s="587">
        <f t="shared" si="60"/>
        <v>25.6</v>
      </c>
    </row>
    <row r="1757" spans="1:11" hidden="1">
      <c r="A1757" s="1132"/>
      <c r="F1757" s="800">
        <v>3</v>
      </c>
      <c r="G1757" s="798" t="s">
        <v>209</v>
      </c>
      <c r="H1757" s="793" t="s">
        <v>887</v>
      </c>
      <c r="I1757" s="587">
        <f>(C41)</f>
        <v>110</v>
      </c>
      <c r="J1757" s="574" t="s">
        <v>209</v>
      </c>
      <c r="K1757" s="587">
        <f t="shared" si="60"/>
        <v>330</v>
      </c>
    </row>
    <row r="1758" spans="1:11" hidden="1">
      <c r="A1758" s="1132"/>
      <c r="F1758" s="800">
        <v>1</v>
      </c>
      <c r="G1758" s="798" t="s">
        <v>209</v>
      </c>
      <c r="H1758" s="793" t="s">
        <v>1978</v>
      </c>
      <c r="I1758" s="587">
        <f>(C10)</f>
        <v>150</v>
      </c>
      <c r="J1758" s="574" t="s">
        <v>209</v>
      </c>
      <c r="K1758" s="587">
        <f t="shared" si="60"/>
        <v>150</v>
      </c>
    </row>
    <row r="1759" spans="1:11" hidden="1">
      <c r="A1759" s="1132"/>
      <c r="F1759" s="800">
        <v>2</v>
      </c>
      <c r="G1759" s="798" t="s">
        <v>209</v>
      </c>
      <c r="H1759" s="793" t="s">
        <v>146</v>
      </c>
      <c r="I1759" s="587">
        <f>(C12)</f>
        <v>95</v>
      </c>
      <c r="J1759" s="574" t="s">
        <v>209</v>
      </c>
      <c r="K1759" s="587">
        <f t="shared" si="60"/>
        <v>190</v>
      </c>
    </row>
    <row r="1760" spans="1:11" hidden="1">
      <c r="A1760" s="1132"/>
      <c r="F1760" s="800">
        <v>1</v>
      </c>
      <c r="G1760" s="798" t="s">
        <v>209</v>
      </c>
      <c r="H1760" s="793" t="s">
        <v>147</v>
      </c>
      <c r="I1760" s="587">
        <f>(C13)</f>
        <v>85</v>
      </c>
      <c r="J1760" s="574" t="s">
        <v>209</v>
      </c>
      <c r="K1760" s="587">
        <f t="shared" si="60"/>
        <v>85</v>
      </c>
    </row>
    <row r="1761" spans="1:11" hidden="1">
      <c r="A1761" s="1132"/>
      <c r="G1761" s="798" t="s">
        <v>129</v>
      </c>
      <c r="H1761" s="793" t="s">
        <v>1979</v>
      </c>
      <c r="I1761" s="573" t="s">
        <v>115</v>
      </c>
      <c r="J1761" s="574" t="s">
        <v>129</v>
      </c>
      <c r="K1761" s="587">
        <v>5</v>
      </c>
    </row>
    <row r="1762" spans="1:11" hidden="1">
      <c r="A1762" s="1132"/>
      <c r="H1762" s="793" t="s">
        <v>1980</v>
      </c>
      <c r="I1762" s="573" t="s">
        <v>115</v>
      </c>
      <c r="J1762" s="580"/>
      <c r="K1762" s="573" t="s">
        <v>115</v>
      </c>
    </row>
    <row r="1763" spans="1:11" hidden="1">
      <c r="A1763" s="1132"/>
      <c r="G1763" s="798" t="s">
        <v>129</v>
      </c>
      <c r="H1763" s="793" t="s">
        <v>130</v>
      </c>
      <c r="I1763" s="575"/>
      <c r="J1763" s="574" t="s">
        <v>129</v>
      </c>
      <c r="K1763" s="587">
        <v>0</v>
      </c>
    </row>
    <row r="1764" spans="1:11" hidden="1">
      <c r="A1764" s="1132"/>
      <c r="I1764" s="575"/>
      <c r="J1764" s="580"/>
      <c r="K1764" s="582" t="s">
        <v>117</v>
      </c>
    </row>
    <row r="1765" spans="1:11" hidden="1">
      <c r="A1765" s="1132"/>
      <c r="H1765" s="793" t="s">
        <v>893</v>
      </c>
      <c r="I1765" s="575"/>
      <c r="J1765" s="580"/>
      <c r="K1765" s="587">
        <f>SUM(K1753:K1763)</f>
        <v>893.2</v>
      </c>
    </row>
    <row r="1766" spans="1:11" hidden="1">
      <c r="A1766" s="1132"/>
      <c r="I1766" s="575"/>
      <c r="J1766" s="580"/>
      <c r="K1766" s="582" t="s">
        <v>117</v>
      </c>
    </row>
    <row r="1767" spans="1:11" hidden="1">
      <c r="A1767" s="1132"/>
      <c r="H1767" s="793" t="s">
        <v>216</v>
      </c>
      <c r="I1767" s="575"/>
      <c r="J1767" s="580"/>
      <c r="K1767" s="587">
        <f>(K1765/30)</f>
        <v>29.773333333333333</v>
      </c>
    </row>
    <row r="1768" spans="1:11" hidden="1">
      <c r="A1768" s="1132"/>
      <c r="I1768" s="575"/>
      <c r="J1768" s="580"/>
      <c r="K1768" s="582" t="s">
        <v>117</v>
      </c>
    </row>
    <row r="1769" spans="1:11" hidden="1">
      <c r="A1769" s="1132"/>
      <c r="G1769" s="798" t="s">
        <v>1196</v>
      </c>
      <c r="H1769" s="793" t="s">
        <v>873</v>
      </c>
      <c r="I1769" s="575"/>
      <c r="J1769" s="580"/>
      <c r="K1769" s="573" t="s">
        <v>1982</v>
      </c>
    </row>
    <row r="1770" spans="1:11" hidden="1">
      <c r="A1770" s="1132"/>
      <c r="H1770" s="796" t="s">
        <v>117</v>
      </c>
      <c r="I1770" s="575"/>
      <c r="J1770" s="580"/>
      <c r="K1770" s="582" t="s">
        <v>155</v>
      </c>
    </row>
    <row r="1771" spans="1:11" hidden="1">
      <c r="A1771" s="1132"/>
      <c r="F1771" s="800">
        <v>30</v>
      </c>
      <c r="G1771" s="798" t="s">
        <v>203</v>
      </c>
      <c r="H1771" s="793" t="s">
        <v>879</v>
      </c>
      <c r="I1771" s="587">
        <f>(C639)</f>
        <v>3</v>
      </c>
      <c r="J1771" s="574" t="s">
        <v>203</v>
      </c>
      <c r="K1771" s="587">
        <f>(F1771*I1771)</f>
        <v>90</v>
      </c>
    </row>
    <row r="1772" spans="1:11" hidden="1">
      <c r="A1772" s="1132"/>
      <c r="F1772" s="793" t="s">
        <v>115</v>
      </c>
      <c r="H1772" s="793" t="s">
        <v>882</v>
      </c>
      <c r="I1772" s="573" t="s">
        <v>115</v>
      </c>
      <c r="J1772" s="580"/>
      <c r="K1772" s="573" t="s">
        <v>115</v>
      </c>
    </row>
    <row r="1773" spans="1:11" hidden="1">
      <c r="A1773" s="1132"/>
      <c r="F1773" s="800">
        <v>8</v>
      </c>
      <c r="G1773" s="798" t="s">
        <v>209</v>
      </c>
      <c r="H1773" s="793" t="s">
        <v>823</v>
      </c>
      <c r="I1773" s="587">
        <f>(D641)</f>
        <v>2.7</v>
      </c>
      <c r="J1773" s="574" t="s">
        <v>209</v>
      </c>
      <c r="K1773" s="587">
        <f t="shared" ref="K1773:K1778" si="61">(F1773*I1773)</f>
        <v>21.6</v>
      </c>
    </row>
    <row r="1774" spans="1:11" hidden="1">
      <c r="A1774" s="1132"/>
      <c r="F1774" s="800">
        <v>8</v>
      </c>
      <c r="G1774" s="798" t="s">
        <v>209</v>
      </c>
      <c r="H1774" s="793" t="s">
        <v>826</v>
      </c>
      <c r="I1774" s="587">
        <f>(C647)</f>
        <v>6.4</v>
      </c>
      <c r="J1774" s="574" t="s">
        <v>209</v>
      </c>
      <c r="K1774" s="587">
        <f t="shared" si="61"/>
        <v>51.2</v>
      </c>
    </row>
    <row r="1775" spans="1:11" hidden="1">
      <c r="A1775" s="1132"/>
      <c r="F1775" s="800">
        <v>3</v>
      </c>
      <c r="G1775" s="798" t="s">
        <v>209</v>
      </c>
      <c r="H1775" s="793" t="s">
        <v>887</v>
      </c>
      <c r="I1775" s="587">
        <f>(C41)</f>
        <v>110</v>
      </c>
      <c r="J1775" s="574" t="s">
        <v>209</v>
      </c>
      <c r="K1775" s="587">
        <f t="shared" si="61"/>
        <v>330</v>
      </c>
    </row>
    <row r="1776" spans="1:11" hidden="1">
      <c r="A1776" s="1132"/>
      <c r="F1776" s="800">
        <v>1</v>
      </c>
      <c r="G1776" s="798" t="s">
        <v>209</v>
      </c>
      <c r="H1776" s="793" t="s">
        <v>1978</v>
      </c>
      <c r="I1776" s="587">
        <f>(C10)</f>
        <v>150</v>
      </c>
      <c r="J1776" s="574" t="s">
        <v>209</v>
      </c>
      <c r="K1776" s="587">
        <f t="shared" si="61"/>
        <v>150</v>
      </c>
    </row>
    <row r="1777" spans="1:11" hidden="1">
      <c r="A1777" s="1132"/>
      <c r="F1777" s="800">
        <v>2</v>
      </c>
      <c r="G1777" s="798" t="s">
        <v>209</v>
      </c>
      <c r="H1777" s="793" t="s">
        <v>146</v>
      </c>
      <c r="I1777" s="587">
        <f>(C12)</f>
        <v>95</v>
      </c>
      <c r="J1777" s="574" t="s">
        <v>209</v>
      </c>
      <c r="K1777" s="587">
        <f t="shared" si="61"/>
        <v>190</v>
      </c>
    </row>
    <row r="1778" spans="1:11" hidden="1">
      <c r="A1778" s="1132"/>
      <c r="F1778" s="800">
        <v>1</v>
      </c>
      <c r="G1778" s="798" t="s">
        <v>209</v>
      </c>
      <c r="H1778" s="793" t="s">
        <v>147</v>
      </c>
      <c r="I1778" s="587">
        <f>(C13)</f>
        <v>85</v>
      </c>
      <c r="J1778" s="574" t="s">
        <v>209</v>
      </c>
      <c r="K1778" s="587">
        <f t="shared" si="61"/>
        <v>85</v>
      </c>
    </row>
    <row r="1779" spans="1:11" hidden="1">
      <c r="A1779" s="1132"/>
      <c r="G1779" s="798" t="s">
        <v>129</v>
      </c>
      <c r="H1779" s="793" t="s">
        <v>1979</v>
      </c>
      <c r="I1779" s="573" t="s">
        <v>115</v>
      </c>
      <c r="J1779" s="574" t="s">
        <v>129</v>
      </c>
      <c r="K1779" s="587">
        <v>5</v>
      </c>
    </row>
    <row r="1780" spans="1:11" hidden="1">
      <c r="A1780" s="1132"/>
      <c r="H1780" s="793" t="s">
        <v>1980</v>
      </c>
      <c r="I1780" s="573" t="s">
        <v>115</v>
      </c>
      <c r="J1780" s="580"/>
      <c r="K1780" s="573" t="s">
        <v>115</v>
      </c>
    </row>
    <row r="1781" spans="1:11" hidden="1">
      <c r="A1781" s="1132"/>
      <c r="G1781" s="798" t="s">
        <v>129</v>
      </c>
      <c r="H1781" s="793" t="s">
        <v>130</v>
      </c>
      <c r="I1781" s="575"/>
      <c r="J1781" s="574" t="s">
        <v>129</v>
      </c>
      <c r="K1781" s="587">
        <v>0</v>
      </c>
    </row>
    <row r="1782" spans="1:11" hidden="1">
      <c r="A1782" s="1132"/>
      <c r="I1782" s="575"/>
      <c r="J1782" s="580"/>
      <c r="K1782" s="582" t="s">
        <v>117</v>
      </c>
    </row>
    <row r="1783" spans="1:11" hidden="1">
      <c r="A1783" s="1132"/>
      <c r="H1783" s="793" t="s">
        <v>893</v>
      </c>
      <c r="I1783" s="575"/>
      <c r="J1783" s="580"/>
      <c r="K1783" s="587">
        <f>SUM(K1771:K1781)</f>
        <v>922.8</v>
      </c>
    </row>
    <row r="1784" spans="1:11" hidden="1">
      <c r="A1784" s="1132"/>
      <c r="I1784" s="575"/>
      <c r="J1784" s="580"/>
      <c r="K1784" s="582" t="s">
        <v>117</v>
      </c>
    </row>
    <row r="1785" spans="1:11" hidden="1">
      <c r="A1785" s="1132"/>
      <c r="H1785" s="793" t="s">
        <v>216</v>
      </c>
      <c r="I1785" s="575"/>
      <c r="J1785" s="580"/>
      <c r="K1785" s="587">
        <f>(K1783/30)</f>
        <v>30.759999999999998</v>
      </c>
    </row>
    <row r="1786" spans="1:11" hidden="1">
      <c r="A1786" s="1132"/>
      <c r="I1786" s="575"/>
      <c r="J1786" s="580"/>
      <c r="K1786" s="582" t="s">
        <v>117</v>
      </c>
    </row>
    <row r="1787" spans="1:11" hidden="1">
      <c r="A1787" s="1132"/>
      <c r="I1787" s="575"/>
      <c r="J1787" s="580"/>
      <c r="K1787" s="575"/>
    </row>
    <row r="1788" spans="1:11" hidden="1">
      <c r="A1788" s="1132"/>
      <c r="F1788" s="1139">
        <v>52</v>
      </c>
      <c r="G1788" s="798" t="s">
        <v>122</v>
      </c>
      <c r="H1788" s="793" t="s">
        <v>1984</v>
      </c>
      <c r="I1788" s="575"/>
      <c r="J1788" s="580"/>
      <c r="K1788" s="575"/>
    </row>
    <row r="1789" spans="1:11" hidden="1">
      <c r="A1789" s="1132"/>
      <c r="H1789" s="793" t="s">
        <v>1985</v>
      </c>
      <c r="I1789" s="575"/>
      <c r="J1789" s="580"/>
      <c r="K1789" s="575"/>
    </row>
    <row r="1790" spans="1:11" hidden="1">
      <c r="A1790" s="1132"/>
      <c r="H1790" s="793" t="s">
        <v>1987</v>
      </c>
      <c r="I1790" s="575"/>
      <c r="J1790" s="580"/>
      <c r="K1790" s="575"/>
    </row>
    <row r="1791" spans="1:11" hidden="1">
      <c r="A1791" s="1132"/>
      <c r="H1791" s="793" t="s">
        <v>1989</v>
      </c>
      <c r="I1791" s="575"/>
      <c r="J1791" s="580"/>
      <c r="K1791" s="575"/>
    </row>
    <row r="1792" spans="1:11" hidden="1">
      <c r="A1792" s="1132"/>
      <c r="H1792" s="793" t="s">
        <v>1990</v>
      </c>
      <c r="I1792" s="575"/>
      <c r="J1792" s="580"/>
      <c r="K1792" s="575"/>
    </row>
    <row r="1793" spans="1:11" hidden="1">
      <c r="A1793" s="1132"/>
      <c r="H1793" s="793" t="s">
        <v>1991</v>
      </c>
      <c r="I1793" s="575"/>
      <c r="J1793" s="580"/>
      <c r="K1793" s="575"/>
    </row>
    <row r="1794" spans="1:11" hidden="1">
      <c r="A1794" s="1132"/>
      <c r="H1794" s="793" t="s">
        <v>1992</v>
      </c>
      <c r="I1794" s="575"/>
      <c r="J1794" s="580"/>
      <c r="K1794" s="575"/>
    </row>
    <row r="1795" spans="1:11" hidden="1">
      <c r="A1795" s="1132"/>
      <c r="H1795" s="793" t="s">
        <v>1993</v>
      </c>
      <c r="I1795" s="575"/>
      <c r="J1795" s="580"/>
      <c r="K1795" s="575"/>
    </row>
    <row r="1796" spans="1:11" hidden="1">
      <c r="A1796" s="1132"/>
      <c r="H1796" s="796" t="s">
        <v>155</v>
      </c>
      <c r="I1796" s="582" t="s">
        <v>155</v>
      </c>
      <c r="J1796" s="580"/>
      <c r="K1796" s="575"/>
    </row>
    <row r="1797" spans="1:11" hidden="1">
      <c r="A1797" s="1132"/>
      <c r="G1797" s="798" t="s">
        <v>122</v>
      </c>
      <c r="H1797" s="793" t="s">
        <v>1994</v>
      </c>
      <c r="I1797" s="575"/>
      <c r="J1797" s="580"/>
      <c r="K1797" s="575"/>
    </row>
    <row r="1798" spans="1:11" hidden="1">
      <c r="A1798" s="1132"/>
      <c r="H1798" s="793" t="s">
        <v>1995</v>
      </c>
      <c r="I1798" s="575"/>
      <c r="J1798" s="580"/>
      <c r="K1798" s="575"/>
    </row>
    <row r="1799" spans="1:11" hidden="1">
      <c r="A1799" s="1132"/>
      <c r="G1799" s="798" t="s">
        <v>1258</v>
      </c>
      <c r="H1799" s="793" t="s">
        <v>1996</v>
      </c>
      <c r="I1799" s="575"/>
      <c r="J1799" s="580"/>
      <c r="K1799" s="575"/>
    </row>
    <row r="1800" spans="1:11" hidden="1">
      <c r="A1800" s="1132"/>
      <c r="H1800" s="796" t="s">
        <v>117</v>
      </c>
      <c r="I1800" s="575"/>
      <c r="J1800" s="580"/>
      <c r="K1800" s="575"/>
    </row>
    <row r="1801" spans="1:11" hidden="1">
      <c r="A1801" s="1132"/>
      <c r="F1801" s="800">
        <v>1</v>
      </c>
      <c r="G1801" s="798" t="s">
        <v>231</v>
      </c>
      <c r="H1801" s="793" t="s">
        <v>1997</v>
      </c>
      <c r="I1801" s="587">
        <f>C509</f>
        <v>32.9</v>
      </c>
      <c r="J1801" s="574" t="s">
        <v>231</v>
      </c>
      <c r="K1801" s="587">
        <f>(F1801*I1801)</f>
        <v>32.9</v>
      </c>
    </row>
    <row r="1802" spans="1:11" hidden="1">
      <c r="A1802" s="1132"/>
      <c r="F1802" s="800">
        <v>1</v>
      </c>
      <c r="G1802" s="798" t="s">
        <v>129</v>
      </c>
      <c r="H1802" s="793" t="s">
        <v>1998</v>
      </c>
      <c r="I1802" s="587">
        <f>I1801*0.7</f>
        <v>23.029999999999998</v>
      </c>
      <c r="J1802" s="574" t="s">
        <v>129</v>
      </c>
      <c r="K1802" s="587">
        <f>(F1802*I1802)</f>
        <v>23.029999999999998</v>
      </c>
    </row>
    <row r="1803" spans="1:11" hidden="1">
      <c r="A1803" s="1132"/>
      <c r="F1803" s="800">
        <v>1</v>
      </c>
      <c r="G1803" s="798" t="s">
        <v>231</v>
      </c>
      <c r="H1803" s="793" t="s">
        <v>1999</v>
      </c>
      <c r="I1803" s="587">
        <f>K1749</f>
        <v>29.773333333333333</v>
      </c>
      <c r="J1803" s="574" t="s">
        <v>231</v>
      </c>
      <c r="K1803" s="587">
        <f>(F1803*I1803)</f>
        <v>29.773333333333333</v>
      </c>
    </row>
    <row r="1804" spans="1:11" hidden="1">
      <c r="A1804" s="1132"/>
      <c r="I1804" s="573" t="s">
        <v>115</v>
      </c>
      <c r="J1804" s="580"/>
      <c r="K1804" s="582" t="s">
        <v>117</v>
      </c>
    </row>
    <row r="1805" spans="1:11" hidden="1">
      <c r="A1805" s="1132"/>
      <c r="H1805" s="793" t="s">
        <v>2000</v>
      </c>
      <c r="I1805" s="575"/>
      <c r="J1805" s="580"/>
      <c r="K1805" s="587">
        <f>SUM(K1801:K1803)</f>
        <v>85.703333333333319</v>
      </c>
    </row>
    <row r="1806" spans="1:11" hidden="1">
      <c r="A1806" s="1132"/>
      <c r="H1806" s="793" t="s">
        <v>115</v>
      </c>
      <c r="I1806" s="573" t="s">
        <v>115</v>
      </c>
      <c r="J1806" s="580"/>
      <c r="K1806" s="582" t="s">
        <v>155</v>
      </c>
    </row>
    <row r="1807" spans="1:11" hidden="1">
      <c r="A1807" s="1132"/>
      <c r="G1807" s="798" t="s">
        <v>1225</v>
      </c>
      <c r="H1807" s="793" t="s">
        <v>2002</v>
      </c>
      <c r="I1807" s="575"/>
      <c r="J1807" s="580"/>
      <c r="K1807" s="575"/>
    </row>
    <row r="1808" spans="1:11" hidden="1">
      <c r="A1808" s="1132"/>
      <c r="H1808" s="796" t="s">
        <v>117</v>
      </c>
      <c r="I1808" s="575"/>
      <c r="J1808" s="580"/>
      <c r="K1808" s="575"/>
    </row>
    <row r="1809" spans="1:11" hidden="1">
      <c r="A1809" s="1132"/>
      <c r="F1809" s="800">
        <v>1</v>
      </c>
      <c r="G1809" s="798" t="s">
        <v>231</v>
      </c>
      <c r="H1809" s="793" t="s">
        <v>2004</v>
      </c>
      <c r="I1809" s="587">
        <f>C510</f>
        <v>48.8</v>
      </c>
      <c r="J1809" s="574" t="s">
        <v>231</v>
      </c>
      <c r="K1809" s="587">
        <f>(F1809*I1809)</f>
        <v>48.8</v>
      </c>
    </row>
    <row r="1810" spans="1:11" hidden="1">
      <c r="A1810" s="1132"/>
      <c r="F1810" s="800">
        <v>1</v>
      </c>
      <c r="G1810" s="798" t="s">
        <v>129</v>
      </c>
      <c r="H1810" s="793" t="s">
        <v>2006</v>
      </c>
      <c r="I1810" s="587">
        <f>I1809*0.4</f>
        <v>19.52</v>
      </c>
      <c r="J1810" s="574" t="s">
        <v>129</v>
      </c>
      <c r="K1810" s="587">
        <f>(F1810*I1810)</f>
        <v>19.52</v>
      </c>
    </row>
    <row r="1811" spans="1:11" hidden="1">
      <c r="A1811" s="1132"/>
      <c r="F1811" s="800">
        <v>1</v>
      </c>
      <c r="G1811" s="798" t="s">
        <v>231</v>
      </c>
      <c r="H1811" s="793" t="s">
        <v>1999</v>
      </c>
      <c r="I1811" s="587">
        <f>K1767</f>
        <v>29.773333333333333</v>
      </c>
      <c r="J1811" s="574" t="s">
        <v>231</v>
      </c>
      <c r="K1811" s="587">
        <f>(F1811*I1811)</f>
        <v>29.773333333333333</v>
      </c>
    </row>
    <row r="1812" spans="1:11" hidden="1">
      <c r="A1812" s="1132"/>
      <c r="I1812" s="573" t="s">
        <v>115</v>
      </c>
      <c r="J1812" s="580"/>
      <c r="K1812" s="582" t="s">
        <v>117</v>
      </c>
    </row>
    <row r="1813" spans="1:11" hidden="1">
      <c r="A1813" s="1132"/>
      <c r="H1813" s="793" t="s">
        <v>2000</v>
      </c>
      <c r="I1813" s="575"/>
      <c r="J1813" s="580"/>
      <c r="K1813" s="587">
        <f>SUM(K1809:K1811)</f>
        <v>98.093333333333334</v>
      </c>
    </row>
    <row r="1814" spans="1:11" hidden="1">
      <c r="A1814" s="1132"/>
      <c r="I1814" s="573" t="s">
        <v>115</v>
      </c>
      <c r="J1814" s="580"/>
      <c r="K1814" s="582" t="s">
        <v>155</v>
      </c>
    </row>
    <row r="1815" spans="1:11" hidden="1">
      <c r="A1815" s="1132"/>
      <c r="G1815" s="798" t="s">
        <v>1196</v>
      </c>
      <c r="H1815" s="793" t="s">
        <v>2007</v>
      </c>
      <c r="I1815" s="575"/>
      <c r="J1815" s="580"/>
      <c r="K1815" s="575"/>
    </row>
    <row r="1816" spans="1:11" hidden="1">
      <c r="A1816" s="1132"/>
      <c r="H1816" s="796" t="s">
        <v>117</v>
      </c>
      <c r="I1816" s="575"/>
      <c r="J1816" s="580"/>
      <c r="K1816" s="575"/>
    </row>
    <row r="1817" spans="1:11" hidden="1">
      <c r="A1817" s="1132"/>
      <c r="F1817" s="800">
        <v>1</v>
      </c>
      <c r="G1817" s="798" t="s">
        <v>231</v>
      </c>
      <c r="H1817" s="793" t="s">
        <v>2009</v>
      </c>
      <c r="I1817" s="587">
        <f>C511</f>
        <v>65.7</v>
      </c>
      <c r="J1817" s="574" t="s">
        <v>231</v>
      </c>
      <c r="K1817" s="587">
        <f>(F1817*I1817)</f>
        <v>65.7</v>
      </c>
    </row>
    <row r="1818" spans="1:11" hidden="1">
      <c r="A1818" s="1132"/>
      <c r="F1818" s="800">
        <v>1</v>
      </c>
      <c r="G1818" s="798" t="s">
        <v>129</v>
      </c>
      <c r="H1818" s="793" t="s">
        <v>2005</v>
      </c>
      <c r="I1818" s="587">
        <f>I1817*0.2</f>
        <v>13.14</v>
      </c>
      <c r="J1818" s="574" t="s">
        <v>129</v>
      </c>
      <c r="K1818" s="587">
        <f>(F1818*I1818)</f>
        <v>13.14</v>
      </c>
    </row>
    <row r="1819" spans="1:11" hidden="1">
      <c r="A1819" s="1132"/>
      <c r="F1819" s="800">
        <v>1</v>
      </c>
      <c r="G1819" s="798" t="s">
        <v>231</v>
      </c>
      <c r="H1819" s="793" t="s">
        <v>1999</v>
      </c>
      <c r="I1819" s="587">
        <f>K1785</f>
        <v>30.759999999999998</v>
      </c>
      <c r="J1819" s="574" t="s">
        <v>231</v>
      </c>
      <c r="K1819" s="587">
        <f>(F1819*I1819)</f>
        <v>30.759999999999998</v>
      </c>
    </row>
    <row r="1820" spans="1:11" hidden="1">
      <c r="A1820" s="1132"/>
      <c r="I1820" s="573" t="s">
        <v>115</v>
      </c>
      <c r="J1820" s="580"/>
      <c r="K1820" s="582" t="s">
        <v>117</v>
      </c>
    </row>
    <row r="1821" spans="1:11" hidden="1">
      <c r="A1821" s="1132"/>
      <c r="H1821" s="793" t="s">
        <v>2000</v>
      </c>
      <c r="I1821" s="575"/>
      <c r="J1821" s="580"/>
      <c r="K1821" s="587">
        <f>SUM(K1817:K1819)</f>
        <v>109.6</v>
      </c>
    </row>
    <row r="1822" spans="1:11" hidden="1">
      <c r="A1822" s="1132"/>
      <c r="I1822" s="573" t="s">
        <v>115</v>
      </c>
      <c r="J1822" s="580"/>
      <c r="K1822" s="582" t="s">
        <v>155</v>
      </c>
    </row>
    <row r="1823" spans="1:11" hidden="1">
      <c r="A1823" s="1132"/>
      <c r="I1823" s="573"/>
      <c r="J1823" s="580"/>
      <c r="K1823" s="582"/>
    </row>
    <row r="1824" spans="1:11" ht="31.5" hidden="1">
      <c r="A1824" s="1132"/>
      <c r="F1824" s="1117">
        <v>52.1</v>
      </c>
      <c r="H1824" s="1140" t="s">
        <v>2014</v>
      </c>
      <c r="I1824" s="573"/>
      <c r="J1824" s="580"/>
      <c r="K1824" s="582"/>
    </row>
    <row r="1825" spans="1:11" hidden="1">
      <c r="A1825" s="1132"/>
      <c r="I1825" s="573"/>
      <c r="J1825" s="580"/>
      <c r="K1825" s="582"/>
    </row>
    <row r="1826" spans="1:11" hidden="1">
      <c r="A1826" s="1132"/>
      <c r="F1826" s="1098"/>
      <c r="G1826" s="798"/>
      <c r="H1826" s="793" t="s">
        <v>807</v>
      </c>
      <c r="I1826" s="573"/>
      <c r="J1826" s="580"/>
      <c r="K1826" s="582"/>
    </row>
    <row r="1827" spans="1:11" hidden="1">
      <c r="A1827" s="1132"/>
      <c r="G1827" s="798"/>
      <c r="H1827" s="793" t="s">
        <v>2015</v>
      </c>
      <c r="I1827" s="573"/>
      <c r="J1827" s="580"/>
      <c r="K1827" s="582"/>
    </row>
    <row r="1828" spans="1:11" hidden="1">
      <c r="A1828" s="1132"/>
      <c r="H1828" s="796" t="s">
        <v>117</v>
      </c>
      <c r="I1828" s="573"/>
      <c r="J1828" s="580"/>
      <c r="K1828" s="582"/>
    </row>
    <row r="1829" spans="1:11" hidden="1">
      <c r="A1829" s="1132"/>
      <c r="F1829" s="800">
        <v>30</v>
      </c>
      <c r="G1829" s="798" t="s">
        <v>203</v>
      </c>
      <c r="H1829" s="793" t="s">
        <v>2016</v>
      </c>
      <c r="I1829" s="685">
        <f>E639</f>
        <v>5</v>
      </c>
      <c r="J1829" s="574" t="s">
        <v>203</v>
      </c>
      <c r="K1829" s="587">
        <f>(F1829*I1829)</f>
        <v>150</v>
      </c>
    </row>
    <row r="1830" spans="1:11" hidden="1">
      <c r="A1830" s="1132"/>
      <c r="F1830" s="800">
        <v>8</v>
      </c>
      <c r="G1830" s="798" t="s">
        <v>209</v>
      </c>
      <c r="H1830" s="793" t="s">
        <v>823</v>
      </c>
      <c r="I1830" s="685">
        <f>I1737</f>
        <v>2.2000000000000002</v>
      </c>
      <c r="J1830" s="574" t="s">
        <v>209</v>
      </c>
      <c r="K1830" s="587">
        <f t="shared" ref="K1830:K1835" si="62">(F1830*I1830)</f>
        <v>17.600000000000001</v>
      </c>
    </row>
    <row r="1831" spans="1:11" hidden="1">
      <c r="A1831" s="1132"/>
      <c r="F1831" s="800">
        <v>8</v>
      </c>
      <c r="G1831" s="798" t="s">
        <v>209</v>
      </c>
      <c r="H1831" s="793" t="s">
        <v>826</v>
      </c>
      <c r="I1831" s="685">
        <f>I1738</f>
        <v>3.2</v>
      </c>
      <c r="J1831" s="574" t="s">
        <v>209</v>
      </c>
      <c r="K1831" s="587">
        <f t="shared" si="62"/>
        <v>25.6</v>
      </c>
    </row>
    <row r="1832" spans="1:11" hidden="1">
      <c r="A1832" s="1132"/>
      <c r="F1832" s="800">
        <v>3</v>
      </c>
      <c r="G1832" s="798" t="s">
        <v>209</v>
      </c>
      <c r="H1832" s="793" t="s">
        <v>887</v>
      </c>
      <c r="I1832" s="685">
        <f>C41</f>
        <v>110</v>
      </c>
      <c r="J1832" s="574" t="s">
        <v>209</v>
      </c>
      <c r="K1832" s="587">
        <f t="shared" si="62"/>
        <v>330</v>
      </c>
    </row>
    <row r="1833" spans="1:11" hidden="1">
      <c r="A1833" s="1132"/>
      <c r="F1833" s="800">
        <v>1</v>
      </c>
      <c r="G1833" s="798" t="s">
        <v>209</v>
      </c>
      <c r="H1833" s="793" t="s">
        <v>1978</v>
      </c>
      <c r="I1833" s="685">
        <f>C10</f>
        <v>150</v>
      </c>
      <c r="J1833" s="574" t="s">
        <v>209</v>
      </c>
      <c r="K1833" s="587">
        <f t="shared" si="62"/>
        <v>150</v>
      </c>
    </row>
    <row r="1834" spans="1:11" hidden="1">
      <c r="A1834" s="1132"/>
      <c r="F1834" s="800">
        <v>2</v>
      </c>
      <c r="G1834" s="798" t="s">
        <v>209</v>
      </c>
      <c r="H1834" s="793" t="s">
        <v>146</v>
      </c>
      <c r="I1834" s="685">
        <f>C12</f>
        <v>95</v>
      </c>
      <c r="J1834" s="574" t="s">
        <v>209</v>
      </c>
      <c r="K1834" s="587">
        <f t="shared" si="62"/>
        <v>190</v>
      </c>
    </row>
    <row r="1835" spans="1:11" hidden="1">
      <c r="A1835" s="1132"/>
      <c r="F1835" s="800">
        <v>1</v>
      </c>
      <c r="G1835" s="798" t="s">
        <v>209</v>
      </c>
      <c r="H1835" s="793" t="s">
        <v>147</v>
      </c>
      <c r="I1835" s="685">
        <f>C13</f>
        <v>85</v>
      </c>
      <c r="J1835" s="574" t="s">
        <v>209</v>
      </c>
      <c r="K1835" s="587">
        <f t="shared" si="62"/>
        <v>85</v>
      </c>
    </row>
    <row r="1836" spans="1:11" hidden="1">
      <c r="A1836" s="1132"/>
      <c r="I1836" s="575"/>
      <c r="J1836" s="580"/>
      <c r="K1836" s="582" t="s">
        <v>117</v>
      </c>
    </row>
    <row r="1837" spans="1:11" hidden="1">
      <c r="A1837" s="1132"/>
      <c r="H1837" s="793" t="s">
        <v>893</v>
      </c>
      <c r="I1837" s="575"/>
      <c r="J1837" s="580"/>
      <c r="K1837" s="587">
        <f>SUM(K1829:K1835)</f>
        <v>948.2</v>
      </c>
    </row>
    <row r="1838" spans="1:11" hidden="1">
      <c r="A1838" s="1132"/>
      <c r="I1838" s="575"/>
      <c r="J1838" s="580"/>
      <c r="K1838" s="582" t="s">
        <v>117</v>
      </c>
    </row>
    <row r="1839" spans="1:11" hidden="1">
      <c r="A1839" s="1132"/>
      <c r="H1839" s="793" t="s">
        <v>216</v>
      </c>
      <c r="I1839" s="575"/>
      <c r="J1839" s="580"/>
      <c r="K1839" s="587">
        <f>(K1837/30)</f>
        <v>31.606666666666669</v>
      </c>
    </row>
    <row r="1840" spans="1:11" hidden="1">
      <c r="A1840" s="1132"/>
      <c r="I1840" s="575"/>
      <c r="J1840" s="580"/>
      <c r="K1840" s="582" t="s">
        <v>117</v>
      </c>
    </row>
    <row r="1841" spans="1:11" hidden="1">
      <c r="A1841" s="1132"/>
      <c r="I1841" s="573"/>
      <c r="J1841" s="580"/>
      <c r="K1841" s="582"/>
    </row>
    <row r="1842" spans="1:11" hidden="1">
      <c r="A1842" s="1132"/>
      <c r="H1842" s="794" t="s">
        <v>2018</v>
      </c>
      <c r="I1842" s="573"/>
      <c r="J1842" s="580"/>
      <c r="K1842" s="582"/>
    </row>
    <row r="1843" spans="1:11" hidden="1">
      <c r="A1843" s="1132"/>
      <c r="H1843" s="796" t="s">
        <v>117</v>
      </c>
      <c r="I1843" s="573"/>
      <c r="J1843" s="580"/>
      <c r="K1843" s="582"/>
    </row>
    <row r="1844" spans="1:11" hidden="1">
      <c r="A1844" s="1132"/>
      <c r="F1844" s="800">
        <v>1</v>
      </c>
      <c r="G1844" s="798" t="s">
        <v>231</v>
      </c>
      <c r="H1844" s="793" t="s">
        <v>2019</v>
      </c>
      <c r="I1844" s="685">
        <f>E509</f>
        <v>70</v>
      </c>
      <c r="J1844" s="574" t="s">
        <v>231</v>
      </c>
      <c r="K1844" s="587">
        <f>(F1844*I1844)</f>
        <v>70</v>
      </c>
    </row>
    <row r="1845" spans="1:11" hidden="1">
      <c r="A1845" s="1132"/>
      <c r="F1845" s="800">
        <v>1</v>
      </c>
      <c r="G1845" s="798" t="s">
        <v>129</v>
      </c>
      <c r="H1845" s="793" t="s">
        <v>2020</v>
      </c>
      <c r="I1845" s="685">
        <f>I1844*0.2</f>
        <v>14</v>
      </c>
      <c r="J1845" s="574" t="s">
        <v>129</v>
      </c>
      <c r="K1845" s="587">
        <f>(F1845*I1845)</f>
        <v>14</v>
      </c>
    </row>
    <row r="1846" spans="1:11" hidden="1">
      <c r="A1846" s="1132"/>
      <c r="F1846" s="800">
        <v>1</v>
      </c>
      <c r="G1846" s="798" t="s">
        <v>231</v>
      </c>
      <c r="H1846" s="793" t="s">
        <v>1999</v>
      </c>
      <c r="I1846" s="685">
        <f>K1839</f>
        <v>31.606666666666669</v>
      </c>
      <c r="J1846" s="574" t="s">
        <v>231</v>
      </c>
      <c r="K1846" s="587">
        <f>(F1846*I1846)</f>
        <v>31.606666666666669</v>
      </c>
    </row>
    <row r="1847" spans="1:11" ht="31.5" hidden="1">
      <c r="A1847" s="1132"/>
      <c r="F1847" s="800"/>
      <c r="G1847" s="798"/>
      <c r="H1847" s="1113" t="s">
        <v>2021</v>
      </c>
      <c r="I1847" s="685"/>
      <c r="J1847" s="574" t="s">
        <v>129</v>
      </c>
      <c r="K1847" s="587">
        <v>1.25</v>
      </c>
    </row>
    <row r="1848" spans="1:11" hidden="1">
      <c r="A1848" s="1132"/>
      <c r="I1848" s="573"/>
      <c r="J1848" s="580"/>
      <c r="K1848" s="582" t="s">
        <v>117</v>
      </c>
    </row>
    <row r="1849" spans="1:11" hidden="1">
      <c r="A1849" s="1132"/>
      <c r="H1849" s="793" t="s">
        <v>2000</v>
      </c>
      <c r="I1849" s="573"/>
      <c r="J1849" s="580"/>
      <c r="K1849" s="587">
        <f>SUM(K1844:K1847)</f>
        <v>116.85666666666667</v>
      </c>
    </row>
    <row r="1850" spans="1:11" hidden="1">
      <c r="A1850" s="1132"/>
      <c r="I1850" s="573"/>
      <c r="J1850" s="580"/>
      <c r="K1850" s="582" t="s">
        <v>155</v>
      </c>
    </row>
    <row r="1851" spans="1:11" hidden="1">
      <c r="A1851" s="1132"/>
      <c r="I1851" s="573"/>
      <c r="J1851" s="580"/>
      <c r="K1851" s="582"/>
    </row>
    <row r="1852" spans="1:11" hidden="1">
      <c r="A1852" s="1132"/>
      <c r="I1852" s="573"/>
      <c r="J1852" s="580"/>
      <c r="K1852" s="582"/>
    </row>
    <row r="1853" spans="1:11" hidden="1">
      <c r="A1853" s="1132"/>
      <c r="F1853" s="1109">
        <v>53.1</v>
      </c>
      <c r="G1853" s="798" t="s">
        <v>122</v>
      </c>
      <c r="H1853" s="793" t="s">
        <v>2022</v>
      </c>
      <c r="I1853" s="575"/>
      <c r="J1853" s="580"/>
      <c r="K1853" s="575"/>
    </row>
    <row r="1854" spans="1:11" hidden="1">
      <c r="A1854" s="1132"/>
      <c r="H1854" s="1111" t="s">
        <v>2023</v>
      </c>
      <c r="I1854" s="575"/>
      <c r="J1854" s="580"/>
      <c r="K1854" s="575"/>
    </row>
    <row r="1855" spans="1:11" hidden="1">
      <c r="A1855" s="1132"/>
      <c r="H1855" s="793" t="s">
        <v>2024</v>
      </c>
      <c r="I1855" s="575"/>
      <c r="J1855" s="580"/>
      <c r="K1855" s="575"/>
    </row>
    <row r="1856" spans="1:11" hidden="1">
      <c r="A1856" s="1132"/>
      <c r="H1856" s="793" t="s">
        <v>2025</v>
      </c>
      <c r="I1856" s="575"/>
      <c r="J1856" s="580"/>
      <c r="K1856" s="575"/>
    </row>
    <row r="1857" spans="1:11" hidden="1">
      <c r="A1857" s="1132"/>
      <c r="H1857" s="796" t="s">
        <v>117</v>
      </c>
      <c r="I1857" s="575"/>
      <c r="J1857" s="580"/>
      <c r="K1857" s="575"/>
    </row>
    <row r="1858" spans="1:11" ht="57" hidden="1" customHeight="1">
      <c r="A1858" s="1132"/>
      <c r="F1858" s="1141">
        <v>1</v>
      </c>
      <c r="G1858" s="1141" t="s">
        <v>209</v>
      </c>
      <c r="H1858" s="1113" t="s">
        <v>3563</v>
      </c>
      <c r="I1858" s="824">
        <f>(C595)</f>
        <v>1050</v>
      </c>
      <c r="J1858" s="824" t="s">
        <v>209</v>
      </c>
      <c r="K1858" s="824">
        <f>(F1858*I1858)</f>
        <v>1050</v>
      </c>
    </row>
    <row r="1859" spans="1:11" hidden="1">
      <c r="A1859" s="1132"/>
      <c r="F1859" s="800"/>
      <c r="G1859" s="798"/>
      <c r="H1859" s="793"/>
      <c r="I1859" s="587"/>
      <c r="J1859" s="574"/>
      <c r="K1859" s="587"/>
    </row>
    <row r="1860" spans="1:11" hidden="1">
      <c r="A1860" s="1132"/>
      <c r="F1860" s="800"/>
      <c r="G1860" s="798"/>
      <c r="H1860" s="793"/>
      <c r="I1860" s="587"/>
      <c r="J1860" s="574"/>
      <c r="K1860" s="587"/>
    </row>
    <row r="1861" spans="1:11" hidden="1">
      <c r="A1861" s="1132"/>
      <c r="F1861" s="800"/>
      <c r="G1861" s="798"/>
      <c r="H1861" s="793"/>
      <c r="I1861" s="587"/>
      <c r="J1861" s="574"/>
      <c r="K1861" s="587"/>
    </row>
    <row r="1862" spans="1:11" hidden="1">
      <c r="A1862" s="1132"/>
      <c r="F1862" s="800"/>
      <c r="G1862" s="798"/>
      <c r="H1862" s="793"/>
      <c r="I1862" s="587"/>
      <c r="J1862" s="574"/>
      <c r="K1862" s="587"/>
    </row>
    <row r="1863" spans="1:11" hidden="1">
      <c r="A1863" s="1132"/>
      <c r="F1863" s="800"/>
      <c r="G1863" s="798"/>
      <c r="H1863" s="793"/>
      <c r="I1863" s="587"/>
      <c r="J1863" s="574"/>
      <c r="K1863" s="587"/>
    </row>
    <row r="1864" spans="1:11" hidden="1">
      <c r="A1864" s="1132"/>
      <c r="F1864" s="800"/>
      <c r="G1864" s="798"/>
      <c r="H1864" s="793"/>
      <c r="I1864" s="587"/>
      <c r="J1864" s="574"/>
      <c r="K1864" s="587"/>
    </row>
    <row r="1865" spans="1:11" hidden="1">
      <c r="A1865" s="1132"/>
      <c r="F1865" s="800">
        <v>0.5</v>
      </c>
      <c r="G1865" s="798" t="s">
        <v>209</v>
      </c>
      <c r="H1865" s="793" t="s">
        <v>210</v>
      </c>
      <c r="I1865" s="587">
        <f>(C15)</f>
        <v>130</v>
      </c>
      <c r="J1865" s="574" t="s">
        <v>209</v>
      </c>
      <c r="K1865" s="587">
        <f>(F1865*I1865)</f>
        <v>65</v>
      </c>
    </row>
    <row r="1866" spans="1:11" hidden="1">
      <c r="A1866" s="1132"/>
      <c r="F1866" s="800">
        <v>1</v>
      </c>
      <c r="G1866" s="798" t="s">
        <v>209</v>
      </c>
      <c r="H1866" s="793" t="s">
        <v>146</v>
      </c>
      <c r="I1866" s="587">
        <f>(C12)</f>
        <v>95</v>
      </c>
      <c r="J1866" s="574" t="s">
        <v>209</v>
      </c>
      <c r="K1866" s="587">
        <f>(F1866*I1866)</f>
        <v>95</v>
      </c>
    </row>
    <row r="1867" spans="1:11" hidden="1">
      <c r="A1867" s="1132"/>
      <c r="F1867" s="800">
        <v>0.5</v>
      </c>
      <c r="G1867" s="798" t="s">
        <v>209</v>
      </c>
      <c r="H1867" s="793" t="s">
        <v>144</v>
      </c>
      <c r="I1867" s="587">
        <f>(C10)</f>
        <v>150</v>
      </c>
      <c r="J1867" s="574" t="s">
        <v>209</v>
      </c>
      <c r="K1867" s="587">
        <f>(F1867*I1867)</f>
        <v>75</v>
      </c>
    </row>
    <row r="1868" spans="1:11" hidden="1">
      <c r="A1868" s="1132"/>
      <c r="G1868" s="798" t="s">
        <v>129</v>
      </c>
      <c r="H1868" s="793" t="s">
        <v>2029</v>
      </c>
      <c r="I1868" s="575"/>
      <c r="J1868" s="574" t="s">
        <v>129</v>
      </c>
      <c r="K1868" s="587">
        <v>0.5</v>
      </c>
    </row>
    <row r="1869" spans="1:11" hidden="1">
      <c r="A1869" s="1132"/>
      <c r="I1869" s="575"/>
      <c r="J1869" s="580"/>
      <c r="K1869" s="582" t="s">
        <v>117</v>
      </c>
    </row>
    <row r="1870" spans="1:11" hidden="1">
      <c r="A1870" s="1132"/>
      <c r="H1870" s="793" t="s">
        <v>991</v>
      </c>
      <c r="I1870" s="575"/>
      <c r="J1870" s="580"/>
      <c r="K1870" s="587">
        <f>SUM(K1858:K1868)</f>
        <v>1285.5</v>
      </c>
    </row>
    <row r="1871" spans="1:11" hidden="1">
      <c r="A1871" s="1132"/>
      <c r="I1871" s="575"/>
      <c r="J1871" s="580"/>
      <c r="K1871" s="582" t="s">
        <v>117</v>
      </c>
    </row>
    <row r="1872" spans="1:11" hidden="1">
      <c r="A1872" s="1132"/>
      <c r="F1872" s="1098" t="s">
        <v>2030</v>
      </c>
      <c r="H1872" s="793" t="s">
        <v>2031</v>
      </c>
      <c r="I1872" s="575"/>
      <c r="J1872" s="580"/>
      <c r="K1872" s="573" t="s">
        <v>3564</v>
      </c>
    </row>
    <row r="1873" spans="1:11" hidden="1">
      <c r="A1873" s="1132"/>
      <c r="I1873" s="575"/>
      <c r="J1873" s="580"/>
      <c r="K1873" s="575"/>
    </row>
    <row r="1874" spans="1:11" hidden="1">
      <c r="A1874" s="1132"/>
      <c r="F1874" s="1098" t="s">
        <v>2033</v>
      </c>
      <c r="H1874" s="793" t="s">
        <v>3565</v>
      </c>
      <c r="I1874" s="575"/>
      <c r="J1874" s="580"/>
      <c r="K1874" s="573" t="s">
        <v>3566</v>
      </c>
    </row>
    <row r="1875" spans="1:11" hidden="1">
      <c r="A1875" s="1132"/>
      <c r="F1875" s="1098"/>
      <c r="H1875" s="793"/>
      <c r="I1875" s="575"/>
      <c r="J1875" s="580"/>
      <c r="K1875" s="573"/>
    </row>
    <row r="1876" spans="1:11" hidden="1">
      <c r="A1876" s="1132"/>
      <c r="F1876" s="1105">
        <v>54</v>
      </c>
      <c r="G1876" s="798" t="s">
        <v>122</v>
      </c>
      <c r="H1876" s="793" t="s">
        <v>3567</v>
      </c>
      <c r="I1876" s="575"/>
      <c r="J1876" s="574" t="s">
        <v>227</v>
      </c>
      <c r="K1876" s="587">
        <v>140</v>
      </c>
    </row>
    <row r="1877" spans="1:11" hidden="1">
      <c r="A1877" s="1132"/>
      <c r="I1877" s="575"/>
      <c r="J1877" s="580"/>
      <c r="K1877" s="582" t="s">
        <v>155</v>
      </c>
    </row>
    <row r="1878" spans="1:11" hidden="1">
      <c r="A1878" s="1132"/>
      <c r="I1878" s="575"/>
      <c r="J1878" s="580"/>
      <c r="K1878" s="575"/>
    </row>
    <row r="1879" spans="1:11" hidden="1">
      <c r="A1879" s="1132"/>
      <c r="F1879" s="1109">
        <v>54.1</v>
      </c>
      <c r="G1879" s="798" t="s">
        <v>122</v>
      </c>
      <c r="H1879" s="793" t="s">
        <v>2036</v>
      </c>
      <c r="I1879" s="575"/>
      <c r="J1879" s="574" t="s">
        <v>227</v>
      </c>
      <c r="K1879" s="587">
        <v>240</v>
      </c>
    </row>
    <row r="1880" spans="1:11" hidden="1">
      <c r="A1880" s="1132"/>
      <c r="I1880" s="575"/>
      <c r="J1880" s="580"/>
      <c r="K1880" s="582" t="s">
        <v>155</v>
      </c>
    </row>
    <row r="1881" spans="1:11" hidden="1">
      <c r="A1881" s="1132"/>
      <c r="I1881" s="575"/>
      <c r="J1881" s="580"/>
      <c r="K1881" s="575"/>
    </row>
    <row r="1882" spans="1:11" hidden="1">
      <c r="A1882" s="1132"/>
      <c r="F1882" s="1109">
        <v>54.2</v>
      </c>
      <c r="G1882" s="798" t="s">
        <v>122</v>
      </c>
      <c r="H1882" s="793" t="s">
        <v>2037</v>
      </c>
      <c r="I1882" s="575"/>
      <c r="J1882" s="574" t="s">
        <v>227</v>
      </c>
      <c r="K1882" s="587">
        <v>270</v>
      </c>
    </row>
    <row r="1883" spans="1:11" hidden="1">
      <c r="A1883" s="1132"/>
      <c r="I1883" s="575"/>
      <c r="J1883" s="580"/>
      <c r="K1883" s="582" t="s">
        <v>155</v>
      </c>
    </row>
    <row r="1884" spans="1:11" hidden="1">
      <c r="A1884" s="1132"/>
      <c r="I1884" s="575"/>
      <c r="J1884" s="580"/>
      <c r="K1884" s="575"/>
    </row>
    <row r="1885" spans="1:11" hidden="1">
      <c r="A1885" s="1132"/>
      <c r="F1885" s="1098" t="s">
        <v>2038</v>
      </c>
      <c r="G1885" s="798" t="s">
        <v>122</v>
      </c>
      <c r="H1885" s="793" t="s">
        <v>2039</v>
      </c>
      <c r="I1885" s="575"/>
      <c r="J1885" s="580"/>
      <c r="K1885" s="575"/>
    </row>
    <row r="1886" spans="1:11" hidden="1">
      <c r="A1886" s="1132"/>
      <c r="H1886" s="793" t="s">
        <v>2040</v>
      </c>
      <c r="I1886" s="575"/>
      <c r="J1886" s="580"/>
      <c r="K1886" s="575"/>
    </row>
    <row r="1887" spans="1:11" hidden="1">
      <c r="A1887" s="1132"/>
      <c r="H1887" s="793" t="s">
        <v>2041</v>
      </c>
      <c r="I1887" s="575"/>
      <c r="J1887" s="580"/>
      <c r="K1887" s="575"/>
    </row>
    <row r="1888" spans="1:11" hidden="1">
      <c r="A1888" s="1132"/>
      <c r="H1888" s="793" t="s">
        <v>2042</v>
      </c>
      <c r="I1888" s="575"/>
      <c r="J1888" s="580"/>
      <c r="K1888" s="575"/>
    </row>
    <row r="1889" spans="1:22" hidden="1">
      <c r="A1889" s="1132"/>
      <c r="H1889" s="796" t="s">
        <v>117</v>
      </c>
      <c r="I1889" s="575"/>
      <c r="J1889" s="580"/>
      <c r="K1889" s="575"/>
    </row>
    <row r="1890" spans="1:22" hidden="1">
      <c r="A1890" s="1132"/>
      <c r="F1890" s="800">
        <v>1</v>
      </c>
      <c r="G1890" s="798" t="s">
        <v>209</v>
      </c>
      <c r="H1890" s="793" t="s">
        <v>2043</v>
      </c>
      <c r="I1890" s="587">
        <f>(C200)</f>
        <v>750</v>
      </c>
      <c r="J1890" s="574" t="s">
        <v>209</v>
      </c>
      <c r="K1890" s="587">
        <f t="shared" ref="K1890:K1896" si="63">(F1890*I1890)</f>
        <v>750</v>
      </c>
    </row>
    <row r="1891" spans="1:22" hidden="1">
      <c r="A1891" s="1132"/>
      <c r="F1891" s="800">
        <v>0.65</v>
      </c>
      <c r="G1891" s="798" t="s">
        <v>126</v>
      </c>
      <c r="H1891" s="793" t="s">
        <v>2044</v>
      </c>
      <c r="I1891" s="587">
        <f>(C61*2)</f>
        <v>50</v>
      </c>
      <c r="J1891" s="574" t="s">
        <v>126</v>
      </c>
      <c r="K1891" s="587">
        <f t="shared" si="63"/>
        <v>32.5</v>
      </c>
    </row>
    <row r="1892" spans="1:22" hidden="1">
      <c r="A1892" s="1132"/>
      <c r="F1892" s="800">
        <v>0.56999999999999995</v>
      </c>
      <c r="G1892" s="798" t="s">
        <v>126</v>
      </c>
      <c r="H1892" s="793" t="s">
        <v>2045</v>
      </c>
      <c r="I1892" s="587">
        <f>(C26)</f>
        <v>8.8000000000000007</v>
      </c>
      <c r="J1892" s="574" t="s">
        <v>126</v>
      </c>
      <c r="K1892" s="587">
        <f t="shared" si="63"/>
        <v>5.016</v>
      </c>
    </row>
    <row r="1893" spans="1:22" hidden="1">
      <c r="A1893" s="1132"/>
      <c r="F1893" s="1108">
        <v>8.1000000000000003E-2</v>
      </c>
      <c r="G1893" s="798" t="s">
        <v>126</v>
      </c>
      <c r="H1893" s="793" t="s">
        <v>2046</v>
      </c>
      <c r="I1893" s="587" t="e">
        <f>(R60)</f>
        <v>#REF!</v>
      </c>
      <c r="J1893" s="574" t="s">
        <v>126</v>
      </c>
      <c r="K1893" s="587" t="e">
        <f t="shared" si="63"/>
        <v>#REF!</v>
      </c>
    </row>
    <row r="1894" spans="1:22" hidden="1">
      <c r="A1894" s="1132"/>
      <c r="F1894" s="800">
        <v>1</v>
      </c>
      <c r="G1894" s="798" t="s">
        <v>209</v>
      </c>
      <c r="H1894" s="793" t="s">
        <v>210</v>
      </c>
      <c r="I1894" s="587">
        <f>(C15)</f>
        <v>130</v>
      </c>
      <c r="J1894" s="574" t="s">
        <v>209</v>
      </c>
      <c r="K1894" s="587">
        <f t="shared" si="63"/>
        <v>130</v>
      </c>
    </row>
    <row r="1895" spans="1:22" hidden="1">
      <c r="A1895" s="1132"/>
      <c r="F1895" s="800">
        <v>0.5</v>
      </c>
      <c r="G1895" s="798" t="s">
        <v>209</v>
      </c>
      <c r="H1895" s="793" t="s">
        <v>145</v>
      </c>
      <c r="I1895" s="587">
        <f>(C11)</f>
        <v>135</v>
      </c>
      <c r="J1895" s="574" t="s">
        <v>209</v>
      </c>
      <c r="K1895" s="587">
        <f t="shared" si="63"/>
        <v>67.5</v>
      </c>
    </row>
    <row r="1896" spans="1:22" hidden="1">
      <c r="A1896" s="1132"/>
      <c r="F1896" s="800">
        <v>0.5</v>
      </c>
      <c r="G1896" s="798" t="s">
        <v>209</v>
      </c>
      <c r="H1896" s="793" t="s">
        <v>146</v>
      </c>
      <c r="I1896" s="587">
        <f>(C12)</f>
        <v>95</v>
      </c>
      <c r="J1896" s="574" t="s">
        <v>209</v>
      </c>
      <c r="K1896" s="587">
        <f t="shared" si="63"/>
        <v>47.5</v>
      </c>
    </row>
    <row r="1897" spans="1:22" hidden="1">
      <c r="A1897" s="1132"/>
      <c r="G1897" s="798" t="s">
        <v>129</v>
      </c>
      <c r="H1897" s="793" t="s">
        <v>130</v>
      </c>
      <c r="I1897" s="573" t="s">
        <v>115</v>
      </c>
      <c r="J1897" s="574" t="s">
        <v>129</v>
      </c>
      <c r="K1897" s="587">
        <v>0</v>
      </c>
    </row>
    <row r="1898" spans="1:22" hidden="1">
      <c r="A1898" s="1132"/>
      <c r="I1898" s="575"/>
      <c r="J1898" s="580"/>
      <c r="K1898" s="582" t="s">
        <v>117</v>
      </c>
    </row>
    <row r="1899" spans="1:22" hidden="1">
      <c r="A1899" s="1132"/>
      <c r="H1899" s="793" t="s">
        <v>991</v>
      </c>
      <c r="I1899" s="575"/>
      <c r="J1899" s="580"/>
      <c r="K1899" s="587" t="e">
        <f>SUM(K1890:K1897)</f>
        <v>#REF!</v>
      </c>
    </row>
    <row r="1900" spans="1:22" hidden="1">
      <c r="A1900" s="1132"/>
      <c r="I1900" s="575"/>
      <c r="J1900" s="580"/>
      <c r="K1900" s="582" t="s">
        <v>155</v>
      </c>
    </row>
    <row r="1901" spans="1:22" hidden="1">
      <c r="A1901" s="1132"/>
      <c r="G1901" s="798" t="s">
        <v>115</v>
      </c>
      <c r="H1901" s="793" t="s">
        <v>115</v>
      </c>
      <c r="I1901" s="575"/>
      <c r="J1901" s="580"/>
      <c r="K1901" s="573" t="s">
        <v>115</v>
      </c>
    </row>
    <row r="1902" spans="1:22" hidden="1">
      <c r="A1902" s="1132"/>
      <c r="I1902" s="575"/>
      <c r="J1902" s="574" t="s">
        <v>115</v>
      </c>
      <c r="K1902" s="573" t="s">
        <v>115</v>
      </c>
    </row>
    <row r="1903" spans="1:22" hidden="1">
      <c r="A1903" s="1132"/>
      <c r="F1903" s="1098" t="s">
        <v>2049</v>
      </c>
      <c r="G1903" s="798" t="s">
        <v>122</v>
      </c>
      <c r="H1903" s="793" t="s">
        <v>2039</v>
      </c>
      <c r="I1903" s="575"/>
      <c r="J1903" s="580"/>
      <c r="K1903" s="575"/>
    </row>
    <row r="1904" spans="1:22" hidden="1">
      <c r="A1904" s="1132"/>
      <c r="H1904" s="793" t="s">
        <v>2040</v>
      </c>
      <c r="I1904" s="575"/>
      <c r="J1904" s="580"/>
      <c r="K1904" s="575"/>
      <c r="V1904" s="793" t="s">
        <v>1977</v>
      </c>
    </row>
    <row r="1905" spans="1:11" hidden="1">
      <c r="A1905" s="1132"/>
      <c r="H1905" s="793" t="s">
        <v>2041</v>
      </c>
      <c r="I1905" s="575"/>
      <c r="J1905" s="580"/>
      <c r="K1905" s="575"/>
    </row>
    <row r="1906" spans="1:11" hidden="1">
      <c r="A1906" s="1132"/>
      <c r="H1906" s="793" t="s">
        <v>2050</v>
      </c>
      <c r="I1906" s="575"/>
      <c r="J1906" s="580"/>
      <c r="K1906" s="575"/>
    </row>
    <row r="1907" spans="1:11" hidden="1">
      <c r="A1907" s="1132"/>
      <c r="H1907" s="796" t="s">
        <v>117</v>
      </c>
      <c r="I1907" s="575"/>
      <c r="J1907" s="580"/>
      <c r="K1907" s="575"/>
    </row>
    <row r="1908" spans="1:11" hidden="1">
      <c r="A1908" s="1132"/>
      <c r="F1908" s="800">
        <v>1</v>
      </c>
      <c r="G1908" s="798" t="s">
        <v>209</v>
      </c>
      <c r="H1908" s="793" t="s">
        <v>2043</v>
      </c>
      <c r="I1908" s="587">
        <f>(C200)</f>
        <v>750</v>
      </c>
      <c r="J1908" s="574" t="s">
        <v>209</v>
      </c>
      <c r="K1908" s="587">
        <f>(F1908*I1908)</f>
        <v>750</v>
      </c>
    </row>
    <row r="1909" spans="1:11" hidden="1">
      <c r="A1909" s="1132"/>
      <c r="F1909" s="1108">
        <v>0.40500000000000003</v>
      </c>
      <c r="G1909" s="798" t="s">
        <v>126</v>
      </c>
      <c r="H1909" s="793" t="s">
        <v>3568</v>
      </c>
      <c r="I1909" s="587" t="e">
        <f>(K1262)</f>
        <v>#REF!</v>
      </c>
      <c r="J1909" s="574" t="s">
        <v>126</v>
      </c>
      <c r="K1909" s="587" t="e">
        <f>(F1909*I1909)</f>
        <v>#REF!</v>
      </c>
    </row>
    <row r="1910" spans="1:11" hidden="1">
      <c r="A1910" s="1132"/>
      <c r="H1910" s="793" t="s">
        <v>2052</v>
      </c>
      <c r="I1910" s="573" t="s">
        <v>115</v>
      </c>
      <c r="J1910" s="580"/>
      <c r="K1910" s="573" t="s">
        <v>115</v>
      </c>
    </row>
    <row r="1911" spans="1:11" hidden="1">
      <c r="A1911" s="1132"/>
      <c r="F1911" s="800">
        <v>1.89</v>
      </c>
      <c r="G1911" s="798" t="s">
        <v>140</v>
      </c>
      <c r="H1911" s="793" t="s">
        <v>2053</v>
      </c>
      <c r="I1911" s="587" t="e">
        <f>(K1373)</f>
        <v>#REF!</v>
      </c>
      <c r="J1911" s="574" t="s">
        <v>140</v>
      </c>
      <c r="K1911" s="587" t="e">
        <f>(F1911*I1911)</f>
        <v>#REF!</v>
      </c>
    </row>
    <row r="1912" spans="1:11" hidden="1">
      <c r="A1912" s="1132"/>
      <c r="H1912" s="793" t="s">
        <v>2054</v>
      </c>
      <c r="I1912" s="573" t="s">
        <v>115</v>
      </c>
      <c r="J1912" s="580"/>
      <c r="K1912" s="573" t="s">
        <v>115</v>
      </c>
    </row>
    <row r="1913" spans="1:11" hidden="1">
      <c r="A1913" s="1132"/>
      <c r="F1913" s="1108">
        <v>8.1000000000000003E-2</v>
      </c>
      <c r="G1913" s="798" t="s">
        <v>126</v>
      </c>
      <c r="H1913" s="793" t="s">
        <v>2055</v>
      </c>
      <c r="I1913" s="587" t="e">
        <f>(R60)</f>
        <v>#REF!</v>
      </c>
      <c r="J1913" s="574" t="s">
        <v>126</v>
      </c>
      <c r="K1913" s="587" t="e">
        <f>(F1913*I1913)</f>
        <v>#REF!</v>
      </c>
    </row>
    <row r="1914" spans="1:11" hidden="1">
      <c r="A1914" s="1132"/>
      <c r="H1914" s="793" t="s">
        <v>2056</v>
      </c>
      <c r="I1914" s="575"/>
      <c r="J1914" s="580"/>
      <c r="K1914" s="575"/>
    </row>
    <row r="1915" spans="1:11" hidden="1">
      <c r="A1915" s="1132"/>
      <c r="F1915" s="800">
        <v>1</v>
      </c>
      <c r="G1915" s="798" t="s">
        <v>1</v>
      </c>
      <c r="H1915" s="793" t="s">
        <v>210</v>
      </c>
      <c r="I1915" s="587">
        <f>(C15)</f>
        <v>130</v>
      </c>
      <c r="J1915" s="574" t="s">
        <v>1</v>
      </c>
      <c r="K1915" s="587">
        <f>(F1915*I1915)</f>
        <v>130</v>
      </c>
    </row>
    <row r="1916" spans="1:11" hidden="1">
      <c r="A1916" s="1132"/>
      <c r="F1916" s="800">
        <v>0.5</v>
      </c>
      <c r="G1916" s="798" t="s">
        <v>209</v>
      </c>
      <c r="H1916" s="793" t="s">
        <v>145</v>
      </c>
      <c r="I1916" s="587">
        <f>(C11)</f>
        <v>135</v>
      </c>
      <c r="J1916" s="574" t="s">
        <v>209</v>
      </c>
      <c r="K1916" s="587">
        <f>(F1916*I1916)</f>
        <v>67.5</v>
      </c>
    </row>
    <row r="1917" spans="1:11" hidden="1">
      <c r="A1917" s="1132"/>
      <c r="F1917" s="800">
        <v>0.5</v>
      </c>
      <c r="G1917" s="798" t="s">
        <v>209</v>
      </c>
      <c r="H1917" s="793" t="s">
        <v>146</v>
      </c>
      <c r="I1917" s="587">
        <f>(C12)</f>
        <v>95</v>
      </c>
      <c r="J1917" s="574" t="s">
        <v>209</v>
      </c>
      <c r="K1917" s="587">
        <f>(F1917*I1917)</f>
        <v>47.5</v>
      </c>
    </row>
    <row r="1918" spans="1:11" hidden="1">
      <c r="A1918" s="1132"/>
      <c r="G1918" s="798" t="s">
        <v>129</v>
      </c>
      <c r="H1918" s="793" t="s">
        <v>130</v>
      </c>
      <c r="I1918" s="573" t="s">
        <v>115</v>
      </c>
      <c r="J1918" s="574" t="s">
        <v>129</v>
      </c>
      <c r="K1918" s="587">
        <v>0</v>
      </c>
    </row>
    <row r="1919" spans="1:11" hidden="1">
      <c r="A1919" s="1132"/>
      <c r="H1919" s="793" t="s">
        <v>115</v>
      </c>
      <c r="I1919" s="575"/>
      <c r="J1919" s="580"/>
      <c r="K1919" s="582" t="s">
        <v>117</v>
      </c>
    </row>
    <row r="1920" spans="1:11" hidden="1">
      <c r="A1920" s="1132"/>
      <c r="H1920" s="793" t="s">
        <v>991</v>
      </c>
      <c r="I1920" s="575"/>
      <c r="J1920" s="580"/>
      <c r="K1920" s="587" t="e">
        <f>SUM(K1908:K1918)</f>
        <v>#REF!</v>
      </c>
    </row>
    <row r="1921" spans="1:11" hidden="1">
      <c r="A1921" s="1132"/>
      <c r="I1921" s="575"/>
      <c r="J1921" s="580"/>
      <c r="K1921" s="582" t="s">
        <v>155</v>
      </c>
    </row>
    <row r="1922" spans="1:11" hidden="1">
      <c r="A1922" s="1132"/>
      <c r="G1922" s="798" t="s">
        <v>115</v>
      </c>
      <c r="H1922" s="793" t="s">
        <v>115</v>
      </c>
      <c r="I1922" s="575"/>
      <c r="J1922" s="580"/>
      <c r="K1922" s="573" t="s">
        <v>115</v>
      </c>
    </row>
    <row r="1923" spans="1:11" hidden="1">
      <c r="A1923" s="1132"/>
      <c r="I1923" s="575"/>
      <c r="J1923" s="574" t="s">
        <v>115</v>
      </c>
      <c r="K1923" s="573" t="s">
        <v>251</v>
      </c>
    </row>
    <row r="1924" spans="1:11" hidden="1">
      <c r="A1924" s="1132"/>
      <c r="F1924" s="1105">
        <v>57</v>
      </c>
      <c r="G1924" s="798" t="s">
        <v>122</v>
      </c>
      <c r="H1924" s="793" t="s">
        <v>2057</v>
      </c>
      <c r="I1924" s="575"/>
      <c r="J1924" s="580"/>
      <c r="K1924" s="575"/>
    </row>
    <row r="1925" spans="1:11" hidden="1">
      <c r="A1925" s="1132"/>
      <c r="H1925" s="793" t="s">
        <v>2058</v>
      </c>
      <c r="I1925" s="575"/>
      <c r="J1925" s="580"/>
      <c r="K1925" s="575"/>
    </row>
    <row r="1926" spans="1:11" hidden="1">
      <c r="A1926" s="1132"/>
      <c r="H1926" s="793" t="s">
        <v>2059</v>
      </c>
      <c r="I1926" s="575"/>
      <c r="J1926" s="580"/>
      <c r="K1926" s="575"/>
    </row>
    <row r="1927" spans="1:11" hidden="1">
      <c r="A1927" s="1132"/>
      <c r="H1927" s="796" t="s">
        <v>117</v>
      </c>
      <c r="I1927" s="575"/>
      <c r="J1927" s="580"/>
      <c r="K1927" s="575"/>
    </row>
    <row r="1928" spans="1:11" ht="95.25" hidden="1" customHeight="1">
      <c r="A1928" s="1132"/>
      <c r="F1928" s="1141">
        <v>1</v>
      </c>
      <c r="G1928" s="1141" t="s">
        <v>1006</v>
      </c>
      <c r="H1928" s="1113" t="s">
        <v>2062</v>
      </c>
      <c r="I1928" s="824">
        <f>C591</f>
        <v>1700</v>
      </c>
      <c r="J1928" s="1142" t="s">
        <v>1006</v>
      </c>
      <c r="K1928" s="824">
        <f>(F1928*I1928)</f>
        <v>1700</v>
      </c>
    </row>
    <row r="1929" spans="1:11" hidden="1">
      <c r="A1929" s="1132"/>
      <c r="F1929" s="800"/>
      <c r="G1929" s="798"/>
      <c r="H1929" s="1143" t="s">
        <v>2061</v>
      </c>
      <c r="I1929" s="587"/>
      <c r="J1929" s="574"/>
      <c r="K1929" s="587"/>
    </row>
    <row r="1930" spans="1:11" hidden="1">
      <c r="A1930" s="1132"/>
      <c r="F1930" s="800">
        <v>1</v>
      </c>
      <c r="G1930" s="798" t="s">
        <v>209</v>
      </c>
      <c r="H1930" s="793" t="s">
        <v>144</v>
      </c>
      <c r="I1930" s="587">
        <f>(C10)</f>
        <v>150</v>
      </c>
      <c r="J1930" s="574" t="s">
        <v>209</v>
      </c>
      <c r="K1930" s="587">
        <f>(F1930*I1930)</f>
        <v>150</v>
      </c>
    </row>
    <row r="1931" spans="1:11" hidden="1">
      <c r="A1931" s="1132"/>
      <c r="F1931" s="800">
        <v>2</v>
      </c>
      <c r="G1931" s="798" t="s">
        <v>209</v>
      </c>
      <c r="H1931" s="793" t="s">
        <v>210</v>
      </c>
      <c r="I1931" s="587">
        <f>(C15)</f>
        <v>130</v>
      </c>
      <c r="J1931" s="574" t="s">
        <v>209</v>
      </c>
      <c r="K1931" s="587">
        <f>(F1931*I1931)</f>
        <v>260</v>
      </c>
    </row>
    <row r="1932" spans="1:11" hidden="1">
      <c r="A1932" s="1132"/>
      <c r="F1932" s="800">
        <v>1</v>
      </c>
      <c r="G1932" s="798" t="s">
        <v>209</v>
      </c>
      <c r="H1932" s="793" t="s">
        <v>147</v>
      </c>
      <c r="I1932" s="587">
        <f>(C13)</f>
        <v>85</v>
      </c>
      <c r="J1932" s="574" t="s">
        <v>209</v>
      </c>
      <c r="K1932" s="587">
        <f>(F1932*I1932)</f>
        <v>85</v>
      </c>
    </row>
    <row r="1933" spans="1:11" hidden="1">
      <c r="A1933" s="1132"/>
      <c r="F1933" s="800"/>
      <c r="G1933" s="798"/>
      <c r="H1933" s="1143" t="s">
        <v>2063</v>
      </c>
      <c r="I1933" s="587"/>
      <c r="J1933" s="574"/>
      <c r="K1933" s="587"/>
    </row>
    <row r="1934" spans="1:11" hidden="1">
      <c r="A1934" s="1132"/>
      <c r="F1934" s="800">
        <v>0.5</v>
      </c>
      <c r="G1934" s="798" t="s">
        <v>209</v>
      </c>
      <c r="H1934" s="793" t="s">
        <v>210</v>
      </c>
      <c r="I1934" s="587">
        <f>(C15)</f>
        <v>130</v>
      </c>
      <c r="J1934" s="574" t="s">
        <v>209</v>
      </c>
      <c r="K1934" s="587">
        <f>(F1934*I1934)</f>
        <v>65</v>
      </c>
    </row>
    <row r="1935" spans="1:11" hidden="1">
      <c r="A1935" s="1132"/>
      <c r="F1935" s="800">
        <v>0.5</v>
      </c>
      <c r="G1935" s="798" t="s">
        <v>209</v>
      </c>
      <c r="H1935" s="793" t="s">
        <v>146</v>
      </c>
      <c r="I1935" s="587">
        <f>(C12)</f>
        <v>95</v>
      </c>
      <c r="J1935" s="574" t="s">
        <v>209</v>
      </c>
      <c r="K1935" s="587">
        <f>(F1935*I1935)</f>
        <v>47.5</v>
      </c>
    </row>
    <row r="1936" spans="1:11" hidden="1">
      <c r="A1936" s="1132"/>
      <c r="G1936" s="798" t="s">
        <v>129</v>
      </c>
      <c r="H1936" s="793" t="s">
        <v>130</v>
      </c>
      <c r="I1936" s="575"/>
      <c r="J1936" s="574" t="s">
        <v>129</v>
      </c>
      <c r="K1936" s="587">
        <v>0</v>
      </c>
    </row>
    <row r="1937" spans="1:11" hidden="1">
      <c r="A1937" s="1132"/>
      <c r="I1937" s="575"/>
      <c r="J1937" s="580"/>
      <c r="K1937" s="582" t="s">
        <v>117</v>
      </c>
    </row>
    <row r="1938" spans="1:11" hidden="1">
      <c r="A1938" s="1132"/>
      <c r="H1938" s="793" t="s">
        <v>991</v>
      </c>
      <c r="I1938" s="575"/>
      <c r="J1938" s="580"/>
      <c r="K1938" s="587">
        <f>SUM(K1928:K1936)</f>
        <v>2307.5</v>
      </c>
    </row>
    <row r="1939" spans="1:11" hidden="1">
      <c r="A1939" s="1132"/>
      <c r="F1939" s="793" t="s">
        <v>115</v>
      </c>
      <c r="I1939" s="575"/>
      <c r="J1939" s="580"/>
      <c r="K1939" s="575"/>
    </row>
    <row r="1940" spans="1:11" hidden="1">
      <c r="A1940" s="1132"/>
      <c r="I1940" s="575"/>
      <c r="J1940" s="580"/>
      <c r="K1940" s="582" t="s">
        <v>117</v>
      </c>
    </row>
    <row r="1941" spans="1:11" hidden="1">
      <c r="A1941" s="1132"/>
      <c r="G1941" s="798" t="s">
        <v>115</v>
      </c>
      <c r="H1941" s="793" t="s">
        <v>115</v>
      </c>
      <c r="I1941" s="575"/>
      <c r="J1941" s="580"/>
      <c r="K1941" s="573" t="s">
        <v>115</v>
      </c>
    </row>
    <row r="1942" spans="1:11" hidden="1">
      <c r="A1942" s="1132"/>
      <c r="H1942" s="793" t="s">
        <v>115</v>
      </c>
      <c r="I1942" s="575"/>
      <c r="J1942" s="580"/>
      <c r="K1942" s="575"/>
    </row>
    <row r="1943" spans="1:11" hidden="1">
      <c r="A1943" s="1132"/>
      <c r="F1943" s="1109">
        <v>57.1</v>
      </c>
      <c r="G1943" s="798" t="s">
        <v>122</v>
      </c>
      <c r="H1943" s="793" t="s">
        <v>2064</v>
      </c>
      <c r="I1943" s="575"/>
      <c r="J1943" s="580"/>
      <c r="K1943" s="575"/>
    </row>
    <row r="1944" spans="1:11" hidden="1">
      <c r="A1944" s="1132"/>
      <c r="H1944" s="793" t="s">
        <v>2058</v>
      </c>
      <c r="I1944" s="575"/>
      <c r="J1944" s="580"/>
      <c r="K1944" s="575"/>
    </row>
    <row r="1945" spans="1:11" hidden="1">
      <c r="A1945" s="1132"/>
      <c r="H1945" s="793" t="s">
        <v>2059</v>
      </c>
      <c r="I1945" s="575"/>
      <c r="J1945" s="580"/>
      <c r="K1945" s="575"/>
    </row>
    <row r="1946" spans="1:11" hidden="1">
      <c r="A1946" s="1132"/>
      <c r="H1946" s="796" t="s">
        <v>117</v>
      </c>
      <c r="I1946" s="575"/>
      <c r="J1946" s="580"/>
      <c r="K1946" s="575"/>
    </row>
    <row r="1947" spans="1:11" ht="63" hidden="1">
      <c r="A1947" s="1132"/>
      <c r="F1947" s="1141">
        <v>1</v>
      </c>
      <c r="G1947" s="1141" t="s">
        <v>1006</v>
      </c>
      <c r="H1947" s="1113" t="s">
        <v>2062</v>
      </c>
      <c r="I1947" s="575">
        <f>E591</f>
        <v>2000</v>
      </c>
      <c r="J1947" s="1142" t="s">
        <v>1006</v>
      </c>
      <c r="K1947" s="824">
        <f>(F1947*I1947)</f>
        <v>2000</v>
      </c>
    </row>
    <row r="1948" spans="1:11" hidden="1">
      <c r="A1948" s="1132"/>
      <c r="F1948" s="800"/>
      <c r="G1948" s="798"/>
      <c r="H1948" s="1143" t="s">
        <v>2061</v>
      </c>
      <c r="I1948" s="575"/>
      <c r="J1948" s="574"/>
      <c r="K1948" s="587"/>
    </row>
    <row r="1949" spans="1:11" hidden="1">
      <c r="A1949" s="1132"/>
      <c r="F1949" s="800">
        <v>1</v>
      </c>
      <c r="G1949" s="798" t="s">
        <v>209</v>
      </c>
      <c r="H1949" s="793" t="s">
        <v>144</v>
      </c>
      <c r="I1949" s="575">
        <f>C10</f>
        <v>150</v>
      </c>
      <c r="J1949" s="574" t="s">
        <v>209</v>
      </c>
      <c r="K1949" s="587">
        <f>(F1949*I1949)</f>
        <v>150</v>
      </c>
    </row>
    <row r="1950" spans="1:11" hidden="1">
      <c r="A1950" s="1132"/>
      <c r="F1950" s="800">
        <v>2</v>
      </c>
      <c r="G1950" s="798" t="s">
        <v>209</v>
      </c>
      <c r="H1950" s="793" t="s">
        <v>210</v>
      </c>
      <c r="I1950" s="575">
        <f>C15</f>
        <v>130</v>
      </c>
      <c r="J1950" s="574" t="s">
        <v>209</v>
      </c>
      <c r="K1950" s="587">
        <f>(F1950*I1950)</f>
        <v>260</v>
      </c>
    </row>
    <row r="1951" spans="1:11" hidden="1">
      <c r="A1951" s="1132"/>
      <c r="F1951" s="800">
        <v>1</v>
      </c>
      <c r="G1951" s="798" t="s">
        <v>209</v>
      </c>
      <c r="H1951" s="793" t="s">
        <v>147</v>
      </c>
      <c r="I1951" s="575">
        <f>C13</f>
        <v>85</v>
      </c>
      <c r="J1951" s="574" t="s">
        <v>209</v>
      </c>
      <c r="K1951" s="587">
        <f>(F1951*I1951)</f>
        <v>85</v>
      </c>
    </row>
    <row r="1952" spans="1:11" hidden="1">
      <c r="A1952" s="1132"/>
      <c r="F1952" s="800"/>
      <c r="G1952" s="798"/>
      <c r="H1952" s="1143" t="s">
        <v>2063</v>
      </c>
      <c r="I1952" s="575"/>
      <c r="J1952" s="574"/>
      <c r="K1952" s="587"/>
    </row>
    <row r="1953" spans="1:11" hidden="1">
      <c r="A1953" s="1132"/>
      <c r="F1953" s="800">
        <v>0.5</v>
      </c>
      <c r="G1953" s="798" t="s">
        <v>209</v>
      </c>
      <c r="H1953" s="793" t="s">
        <v>210</v>
      </c>
      <c r="I1953" s="575">
        <f>C15</f>
        <v>130</v>
      </c>
      <c r="J1953" s="574" t="s">
        <v>209</v>
      </c>
      <c r="K1953" s="587">
        <f>(F1953*I1953)</f>
        <v>65</v>
      </c>
    </row>
    <row r="1954" spans="1:11" hidden="1">
      <c r="A1954" s="1132"/>
      <c r="F1954" s="800">
        <v>0.5</v>
      </c>
      <c r="G1954" s="798" t="s">
        <v>209</v>
      </c>
      <c r="H1954" s="793" t="s">
        <v>146</v>
      </c>
      <c r="I1954" s="575">
        <f>C12</f>
        <v>95</v>
      </c>
      <c r="J1954" s="574" t="s">
        <v>209</v>
      </c>
      <c r="K1954" s="587">
        <f>(F1954*I1954)</f>
        <v>47.5</v>
      </c>
    </row>
    <row r="1955" spans="1:11" hidden="1">
      <c r="A1955" s="1132"/>
      <c r="G1955" s="798" t="s">
        <v>129</v>
      </c>
      <c r="H1955" s="793" t="s">
        <v>130</v>
      </c>
      <c r="I1955" s="575"/>
      <c r="J1955" s="574" t="s">
        <v>129</v>
      </c>
      <c r="K1955" s="587">
        <v>0</v>
      </c>
    </row>
    <row r="1956" spans="1:11" hidden="1">
      <c r="A1956" s="1132"/>
      <c r="I1956" s="575"/>
      <c r="J1956" s="580"/>
      <c r="K1956" s="582" t="s">
        <v>117</v>
      </c>
    </row>
    <row r="1957" spans="1:11" hidden="1">
      <c r="A1957" s="1132"/>
      <c r="H1957" s="793" t="s">
        <v>991</v>
      </c>
      <c r="I1957" s="575"/>
      <c r="J1957" s="580"/>
      <c r="K1957" s="587">
        <f>SUM(K1947:K1955)</f>
        <v>2607.5</v>
      </c>
    </row>
    <row r="1958" spans="1:11" hidden="1">
      <c r="A1958" s="1132"/>
      <c r="H1958" s="793"/>
      <c r="I1958" s="575"/>
      <c r="J1958" s="580"/>
      <c r="K1958" s="575"/>
    </row>
    <row r="1959" spans="1:11" hidden="1">
      <c r="A1959" s="1132"/>
      <c r="H1959" s="793"/>
      <c r="I1959" s="575"/>
      <c r="J1959" s="580"/>
      <c r="K1959" s="582" t="s">
        <v>117</v>
      </c>
    </row>
    <row r="1960" spans="1:11" hidden="1">
      <c r="A1960" s="1132"/>
      <c r="H1960" s="793"/>
      <c r="I1960" s="575"/>
      <c r="J1960" s="580"/>
      <c r="K1960" s="575"/>
    </row>
    <row r="1961" spans="1:11" hidden="1">
      <c r="A1961" s="1132"/>
      <c r="F1961" s="1098" t="s">
        <v>193</v>
      </c>
      <c r="G1961" s="798" t="s">
        <v>122</v>
      </c>
      <c r="H1961" s="793" t="s">
        <v>194</v>
      </c>
      <c r="I1961" s="575"/>
      <c r="J1961" s="580"/>
      <c r="K1961" s="575"/>
    </row>
    <row r="1962" spans="1:11" hidden="1">
      <c r="A1962" s="1132"/>
      <c r="H1962" s="793" t="s">
        <v>195</v>
      </c>
      <c r="I1962" s="575"/>
      <c r="J1962" s="580"/>
      <c r="K1962" s="575"/>
    </row>
    <row r="1963" spans="1:11" hidden="1">
      <c r="A1963" s="1132"/>
      <c r="H1963" s="796" t="s">
        <v>117</v>
      </c>
      <c r="I1963" s="575"/>
      <c r="J1963" s="580"/>
      <c r="K1963" s="575"/>
    </row>
    <row r="1964" spans="1:11" hidden="1">
      <c r="A1964" s="1132"/>
      <c r="G1964" s="798" t="s">
        <v>196</v>
      </c>
      <c r="H1964" s="793" t="s">
        <v>197</v>
      </c>
      <c r="I1964" s="575"/>
      <c r="J1964" s="580"/>
      <c r="K1964" s="575"/>
    </row>
    <row r="1965" spans="1:11" hidden="1">
      <c r="A1965" s="1132"/>
      <c r="H1965" s="793" t="s">
        <v>3569</v>
      </c>
      <c r="I1965" s="575"/>
      <c r="J1965" s="580"/>
      <c r="K1965" s="575"/>
    </row>
    <row r="1966" spans="1:11" hidden="1">
      <c r="A1966" s="1132"/>
      <c r="H1966" s="793" t="s">
        <v>198</v>
      </c>
      <c r="I1966" s="575"/>
      <c r="J1966" s="580"/>
      <c r="K1966" s="575"/>
    </row>
    <row r="1967" spans="1:11" hidden="1">
      <c r="A1967" s="1132"/>
      <c r="H1967" s="793" t="s">
        <v>199</v>
      </c>
      <c r="I1967" s="575"/>
      <c r="J1967" s="580"/>
      <c r="K1967" s="575"/>
    </row>
    <row r="1968" spans="1:11" hidden="1">
      <c r="A1968" s="1132"/>
      <c r="H1968" s="793" t="s">
        <v>200</v>
      </c>
      <c r="I1968" s="575"/>
      <c r="J1968" s="580"/>
      <c r="K1968" s="575"/>
    </row>
    <row r="1969" spans="1:11" hidden="1">
      <c r="A1969" s="1132"/>
      <c r="H1969" s="793" t="s">
        <v>201</v>
      </c>
      <c r="I1969" s="575"/>
      <c r="J1969" s="580"/>
      <c r="K1969" s="575"/>
    </row>
    <row r="1970" spans="1:11" hidden="1">
      <c r="A1970" s="1132"/>
      <c r="H1970" s="793" t="s">
        <v>3570</v>
      </c>
      <c r="I1970" s="575"/>
      <c r="J1970" s="580"/>
      <c r="K1970" s="575"/>
    </row>
    <row r="1971" spans="1:11" hidden="1">
      <c r="A1971" s="1132"/>
      <c r="H1971" s="796" t="s">
        <v>117</v>
      </c>
      <c r="I1971" s="575"/>
      <c r="J1971" s="580"/>
      <c r="K1971" s="575"/>
    </row>
    <row r="1972" spans="1:11" hidden="1">
      <c r="A1972" s="1132"/>
      <c r="F1972" s="800">
        <v>3</v>
      </c>
      <c r="G1972" s="798" t="s">
        <v>203</v>
      </c>
      <c r="H1972" s="793" t="s">
        <v>204</v>
      </c>
      <c r="I1972" s="587">
        <f>(C598)</f>
        <v>120</v>
      </c>
      <c r="J1972" s="574" t="s">
        <v>203</v>
      </c>
      <c r="K1972" s="587">
        <f t="shared" ref="K1972:K1978" si="64">(F1972*I1972)</f>
        <v>360</v>
      </c>
    </row>
    <row r="1973" spans="1:11" hidden="1">
      <c r="A1973" s="1132"/>
      <c r="F1973" s="800">
        <v>1</v>
      </c>
      <c r="G1973" s="798" t="s">
        <v>1</v>
      </c>
      <c r="H1973" s="793" t="s">
        <v>205</v>
      </c>
      <c r="I1973" s="587">
        <f>C601</f>
        <v>65</v>
      </c>
      <c r="J1973" s="574" t="s">
        <v>206</v>
      </c>
      <c r="K1973" s="587">
        <f t="shared" si="64"/>
        <v>65</v>
      </c>
    </row>
    <row r="1974" spans="1:11" hidden="1">
      <c r="A1974" s="1132"/>
      <c r="F1974" s="800">
        <v>1</v>
      </c>
      <c r="G1974" s="798" t="s">
        <v>1</v>
      </c>
      <c r="H1974" s="793" t="s">
        <v>207</v>
      </c>
      <c r="I1974" s="587">
        <f>C626</f>
        <v>12</v>
      </c>
      <c r="J1974" s="574" t="s">
        <v>206</v>
      </c>
      <c r="K1974" s="587">
        <f t="shared" si="64"/>
        <v>12</v>
      </c>
    </row>
    <row r="1975" spans="1:11" hidden="1">
      <c r="A1975" s="1132"/>
      <c r="F1975" s="800">
        <v>1</v>
      </c>
      <c r="G1975" s="798" t="s">
        <v>1</v>
      </c>
      <c r="H1975" s="793" t="s">
        <v>3571</v>
      </c>
      <c r="I1975" s="587">
        <f>C623</f>
        <v>110</v>
      </c>
      <c r="J1975" s="574" t="s">
        <v>206</v>
      </c>
      <c r="K1975" s="587">
        <f t="shared" si="64"/>
        <v>110</v>
      </c>
    </row>
    <row r="1976" spans="1:11" hidden="1">
      <c r="A1976" s="1132"/>
      <c r="F1976" s="800">
        <v>0.5</v>
      </c>
      <c r="G1976" s="798" t="s">
        <v>209</v>
      </c>
      <c r="H1976" s="793" t="s">
        <v>210</v>
      </c>
      <c r="I1976" s="587">
        <f>(C15)</f>
        <v>130</v>
      </c>
      <c r="J1976" s="574" t="s">
        <v>206</v>
      </c>
      <c r="K1976" s="587">
        <f t="shared" si="64"/>
        <v>65</v>
      </c>
    </row>
    <row r="1977" spans="1:11" hidden="1">
      <c r="A1977" s="1132"/>
      <c r="F1977" s="800">
        <v>0.5</v>
      </c>
      <c r="G1977" s="798" t="s">
        <v>209</v>
      </c>
      <c r="H1977" s="793" t="s">
        <v>145</v>
      </c>
      <c r="I1977" s="587">
        <f>(C11)</f>
        <v>135</v>
      </c>
      <c r="J1977" s="574" t="s">
        <v>206</v>
      </c>
      <c r="K1977" s="587">
        <f t="shared" si="64"/>
        <v>67.5</v>
      </c>
    </row>
    <row r="1978" spans="1:11" hidden="1">
      <c r="A1978" s="1132"/>
      <c r="F1978" s="800">
        <v>0.5</v>
      </c>
      <c r="G1978" s="798" t="s">
        <v>209</v>
      </c>
      <c r="H1978" s="793" t="s">
        <v>146</v>
      </c>
      <c r="I1978" s="587">
        <f>(C12)</f>
        <v>95</v>
      </c>
      <c r="J1978" s="574" t="s">
        <v>206</v>
      </c>
      <c r="K1978" s="587">
        <f t="shared" si="64"/>
        <v>47.5</v>
      </c>
    </row>
    <row r="1979" spans="1:11" hidden="1">
      <c r="A1979" s="1132"/>
      <c r="G1979" s="798" t="s">
        <v>129</v>
      </c>
      <c r="H1979" s="793" t="s">
        <v>211</v>
      </c>
      <c r="I1979" s="587">
        <v>2.79</v>
      </c>
      <c r="J1979" s="574" t="s">
        <v>129</v>
      </c>
      <c r="K1979" s="587">
        <v>2.79</v>
      </c>
    </row>
    <row r="1980" spans="1:11" hidden="1">
      <c r="A1980" s="1132"/>
      <c r="H1980" s="793" t="s">
        <v>212</v>
      </c>
      <c r="I1980" s="575"/>
      <c r="J1980" s="580"/>
      <c r="K1980" s="575"/>
    </row>
    <row r="1981" spans="1:11" hidden="1">
      <c r="A1981" s="1132"/>
      <c r="H1981" s="793" t="s">
        <v>213</v>
      </c>
      <c r="I1981" s="575"/>
      <c r="J1981" s="580"/>
      <c r="K1981" s="575"/>
    </row>
    <row r="1982" spans="1:11" hidden="1">
      <c r="A1982" s="1132"/>
      <c r="H1982" s="793" t="s">
        <v>214</v>
      </c>
      <c r="I1982" s="575"/>
      <c r="J1982" s="574" t="s">
        <v>129</v>
      </c>
      <c r="K1982" s="587">
        <v>0</v>
      </c>
    </row>
    <row r="1983" spans="1:11" hidden="1">
      <c r="A1983" s="1132"/>
      <c r="I1983" s="575"/>
      <c r="J1983" s="580"/>
      <c r="K1983" s="582" t="s">
        <v>117</v>
      </c>
    </row>
    <row r="1984" spans="1:11" hidden="1">
      <c r="A1984" s="1132"/>
      <c r="H1984" s="793" t="s">
        <v>215</v>
      </c>
      <c r="I1984" s="575"/>
      <c r="J1984" s="580"/>
      <c r="K1984" s="587">
        <f>SUM(K1972:K1982)</f>
        <v>729.79</v>
      </c>
    </row>
    <row r="1985" spans="1:11" hidden="1">
      <c r="A1985" s="1132"/>
      <c r="I1985" s="575"/>
      <c r="J1985" s="580"/>
      <c r="K1985" s="582" t="s">
        <v>117</v>
      </c>
    </row>
    <row r="1986" spans="1:11" hidden="1">
      <c r="A1986" s="1132"/>
      <c r="H1986" s="793" t="s">
        <v>216</v>
      </c>
      <c r="I1986" s="575"/>
      <c r="J1986" s="580"/>
      <c r="K1986" s="587">
        <f>(K1984/3)</f>
        <v>243.26333333333332</v>
      </c>
    </row>
    <row r="1987" spans="1:11" hidden="1">
      <c r="A1987" s="1132"/>
      <c r="I1987" s="575"/>
      <c r="J1987" s="580"/>
      <c r="K1987" s="582" t="s">
        <v>117</v>
      </c>
    </row>
    <row r="1988" spans="1:11" hidden="1">
      <c r="A1988" s="1132"/>
      <c r="F1988" s="1098" t="s">
        <v>217</v>
      </c>
      <c r="G1988" s="798" t="s">
        <v>218</v>
      </c>
      <c r="H1988" s="793" t="s">
        <v>219</v>
      </c>
      <c r="I1988" s="575"/>
      <c r="J1988" s="580"/>
      <c r="K1988" s="575"/>
    </row>
    <row r="1989" spans="1:11" hidden="1">
      <c r="A1989" s="1132"/>
      <c r="H1989" s="793" t="s">
        <v>3572</v>
      </c>
      <c r="I1989" s="575"/>
      <c r="J1989" s="580"/>
      <c r="K1989" s="575"/>
    </row>
    <row r="1990" spans="1:11" hidden="1">
      <c r="A1990" s="1132"/>
      <c r="H1990" s="793" t="s">
        <v>198</v>
      </c>
      <c r="I1990" s="575"/>
      <c r="J1990" s="580"/>
      <c r="K1990" s="575"/>
    </row>
    <row r="1991" spans="1:11" hidden="1">
      <c r="A1991" s="1132"/>
      <c r="H1991" s="793" t="s">
        <v>220</v>
      </c>
      <c r="I1991" s="575"/>
      <c r="J1991" s="580"/>
      <c r="K1991" s="575"/>
    </row>
    <row r="1992" spans="1:11" hidden="1">
      <c r="A1992" s="1132"/>
      <c r="H1992" s="793" t="s">
        <v>221</v>
      </c>
      <c r="I1992" s="575"/>
      <c r="J1992" s="580"/>
      <c r="K1992" s="575"/>
    </row>
    <row r="1993" spans="1:11" hidden="1">
      <c r="A1993" s="1132"/>
      <c r="H1993" s="793" t="s">
        <v>201</v>
      </c>
      <c r="I1993" s="575"/>
      <c r="J1993" s="580"/>
      <c r="K1993" s="575"/>
    </row>
    <row r="1994" spans="1:11" hidden="1">
      <c r="A1994" s="1132"/>
      <c r="H1994" s="793" t="s">
        <v>3570</v>
      </c>
      <c r="I1994" s="575"/>
      <c r="J1994" s="580"/>
      <c r="K1994" s="575"/>
    </row>
    <row r="1995" spans="1:11" hidden="1">
      <c r="A1995" s="1132"/>
      <c r="H1995" s="796" t="s">
        <v>117</v>
      </c>
      <c r="I1995" s="575"/>
      <c r="J1995" s="580"/>
      <c r="K1995" s="575"/>
    </row>
    <row r="1996" spans="1:11" hidden="1">
      <c r="A1996" s="1132"/>
      <c r="F1996" s="800">
        <v>3</v>
      </c>
      <c r="G1996" s="798" t="s">
        <v>203</v>
      </c>
      <c r="H1996" s="793" t="s">
        <v>222</v>
      </c>
      <c r="I1996" s="587">
        <f>(C599)</f>
        <v>80</v>
      </c>
      <c r="J1996" s="574" t="s">
        <v>203</v>
      </c>
      <c r="K1996" s="587">
        <f t="shared" ref="K1996:K2002" si="65">(F1996*I1996)</f>
        <v>240</v>
      </c>
    </row>
    <row r="1997" spans="1:11" hidden="1">
      <c r="A1997" s="1132"/>
      <c r="F1997" s="800">
        <v>1</v>
      </c>
      <c r="G1997" s="798" t="s">
        <v>1</v>
      </c>
      <c r="H1997" s="793" t="s">
        <v>223</v>
      </c>
      <c r="I1997" s="587">
        <f>C602</f>
        <v>40</v>
      </c>
      <c r="J1997" s="580" t="s">
        <v>1</v>
      </c>
      <c r="K1997" s="587">
        <f t="shared" si="65"/>
        <v>40</v>
      </c>
    </row>
    <row r="1998" spans="1:11" hidden="1">
      <c r="A1998" s="1132"/>
      <c r="F1998" s="800">
        <v>1</v>
      </c>
      <c r="G1998" s="798" t="s">
        <v>1</v>
      </c>
      <c r="H1998" s="793" t="s">
        <v>224</v>
      </c>
      <c r="I1998" s="587">
        <f>C627</f>
        <v>7.5</v>
      </c>
      <c r="J1998" s="580" t="s">
        <v>1</v>
      </c>
      <c r="K1998" s="587">
        <f t="shared" si="65"/>
        <v>7.5</v>
      </c>
    </row>
    <row r="1999" spans="1:11" hidden="1">
      <c r="A1999" s="1132"/>
      <c r="F1999" s="800">
        <v>1</v>
      </c>
      <c r="G1999" s="798" t="s">
        <v>1</v>
      </c>
      <c r="H1999" s="793" t="s">
        <v>225</v>
      </c>
      <c r="I1999" s="587">
        <f>C624</f>
        <v>70</v>
      </c>
      <c r="J1999" s="580" t="s">
        <v>1</v>
      </c>
      <c r="K1999" s="587">
        <f t="shared" si="65"/>
        <v>70</v>
      </c>
    </row>
    <row r="2000" spans="1:11" hidden="1">
      <c r="A2000" s="1132"/>
      <c r="F2000" s="800">
        <v>0.5</v>
      </c>
      <c r="G2000" s="798" t="s">
        <v>209</v>
      </c>
      <c r="H2000" s="793" t="s">
        <v>210</v>
      </c>
      <c r="I2000" s="587">
        <f>(C15)</f>
        <v>130</v>
      </c>
      <c r="J2000" s="574" t="s">
        <v>209</v>
      </c>
      <c r="K2000" s="587">
        <f t="shared" si="65"/>
        <v>65</v>
      </c>
    </row>
    <row r="2001" spans="1:11" hidden="1">
      <c r="A2001" s="1132"/>
      <c r="F2001" s="800">
        <v>0.5</v>
      </c>
      <c r="G2001" s="798" t="s">
        <v>209</v>
      </c>
      <c r="H2001" s="793" t="s">
        <v>145</v>
      </c>
      <c r="I2001" s="587">
        <f>(C11)</f>
        <v>135</v>
      </c>
      <c r="J2001" s="574" t="s">
        <v>209</v>
      </c>
      <c r="K2001" s="587">
        <f t="shared" si="65"/>
        <v>67.5</v>
      </c>
    </row>
    <row r="2002" spans="1:11" hidden="1">
      <c r="A2002" s="1132"/>
      <c r="F2002" s="800">
        <v>0.5</v>
      </c>
      <c r="G2002" s="798" t="s">
        <v>209</v>
      </c>
      <c r="H2002" s="793" t="s">
        <v>146</v>
      </c>
      <c r="I2002" s="587">
        <f>(C12)</f>
        <v>95</v>
      </c>
      <c r="J2002" s="574" t="s">
        <v>209</v>
      </c>
      <c r="K2002" s="587">
        <f t="shared" si="65"/>
        <v>47.5</v>
      </c>
    </row>
    <row r="2003" spans="1:11" hidden="1">
      <c r="A2003" s="1132"/>
      <c r="G2003" s="798" t="s">
        <v>129</v>
      </c>
      <c r="H2003" s="793" t="s">
        <v>211</v>
      </c>
      <c r="I2003" s="573" t="s">
        <v>115</v>
      </c>
      <c r="J2003" s="574" t="s">
        <v>129</v>
      </c>
      <c r="K2003" s="587">
        <v>2.73</v>
      </c>
    </row>
    <row r="2004" spans="1:11" hidden="1">
      <c r="A2004" s="1132"/>
      <c r="H2004" s="793" t="s">
        <v>212</v>
      </c>
      <c r="I2004" s="575"/>
      <c r="J2004" s="580"/>
      <c r="K2004" s="575"/>
    </row>
    <row r="2005" spans="1:11" hidden="1">
      <c r="A2005" s="1132"/>
      <c r="H2005" s="793" t="s">
        <v>213</v>
      </c>
      <c r="I2005" s="575"/>
      <c r="J2005" s="580"/>
      <c r="K2005" s="575"/>
    </row>
    <row r="2006" spans="1:11" hidden="1">
      <c r="A2006" s="1132"/>
      <c r="H2006" s="793" t="s">
        <v>214</v>
      </c>
      <c r="I2006" s="575"/>
      <c r="J2006" s="574" t="s">
        <v>129</v>
      </c>
      <c r="K2006" s="587">
        <v>0</v>
      </c>
    </row>
    <row r="2007" spans="1:11" hidden="1">
      <c r="A2007" s="1132"/>
      <c r="I2007" s="575"/>
      <c r="J2007" s="580"/>
      <c r="K2007" s="582" t="s">
        <v>117</v>
      </c>
    </row>
    <row r="2008" spans="1:11" hidden="1">
      <c r="A2008" s="1132"/>
      <c r="H2008" s="793" t="s">
        <v>215</v>
      </c>
      <c r="I2008" s="575"/>
      <c r="J2008" s="580"/>
      <c r="K2008" s="587">
        <f>SUM(K1996:K2006)</f>
        <v>540.23</v>
      </c>
    </row>
    <row r="2009" spans="1:11" hidden="1">
      <c r="A2009" s="1132"/>
      <c r="I2009" s="575"/>
      <c r="J2009" s="580"/>
      <c r="K2009" s="582" t="s">
        <v>117</v>
      </c>
    </row>
    <row r="2010" spans="1:11" hidden="1">
      <c r="A2010" s="1132"/>
      <c r="H2010" s="793" t="s">
        <v>216</v>
      </c>
      <c r="I2010" s="575"/>
      <c r="J2010" s="580"/>
      <c r="K2010" s="587">
        <f>(K2008/3)</f>
        <v>180.07666666666668</v>
      </c>
    </row>
    <row r="2011" spans="1:11" hidden="1">
      <c r="A2011" s="1132"/>
      <c r="I2011" s="575"/>
      <c r="J2011" s="580"/>
      <c r="K2011" s="582" t="s">
        <v>117</v>
      </c>
    </row>
    <row r="2012" spans="1:11" hidden="1">
      <c r="A2012" s="1132"/>
      <c r="F2012" s="1098" t="s">
        <v>2067</v>
      </c>
      <c r="H2012" s="793" t="s">
        <v>2068</v>
      </c>
      <c r="I2012" s="575"/>
      <c r="J2012" s="580"/>
      <c r="K2012" s="575"/>
    </row>
    <row r="2013" spans="1:11" hidden="1">
      <c r="A2013" s="1132"/>
      <c r="H2013" s="793" t="s">
        <v>2069</v>
      </c>
      <c r="I2013" s="575"/>
      <c r="J2013" s="580"/>
      <c r="K2013" s="575"/>
    </row>
    <row r="2014" spans="1:11" hidden="1">
      <c r="A2014" s="1132"/>
      <c r="F2014" s="793" t="s">
        <v>115</v>
      </c>
      <c r="H2014" s="793" t="s">
        <v>2070</v>
      </c>
      <c r="I2014" s="575"/>
      <c r="J2014" s="580"/>
      <c r="K2014" s="575"/>
    </row>
    <row r="2015" spans="1:11" hidden="1">
      <c r="A2015" s="1132"/>
      <c r="H2015" s="796" t="s">
        <v>117</v>
      </c>
      <c r="I2015" s="575"/>
      <c r="J2015" s="580"/>
      <c r="K2015" s="575"/>
    </row>
    <row r="2016" spans="1:11" hidden="1">
      <c r="A2016" s="1132"/>
      <c r="F2016" s="800">
        <v>3</v>
      </c>
      <c r="G2016" s="798" t="s">
        <v>1944</v>
      </c>
      <c r="H2016" s="793" t="s">
        <v>2071</v>
      </c>
      <c r="I2016" s="587">
        <v>108</v>
      </c>
      <c r="J2016" s="574" t="s">
        <v>1944</v>
      </c>
      <c r="K2016" s="587">
        <f>(F2016*I2016)</f>
        <v>324</v>
      </c>
    </row>
    <row r="2017" spans="1:11" hidden="1">
      <c r="A2017" s="1132"/>
      <c r="F2017" s="800">
        <v>1</v>
      </c>
      <c r="G2017" s="798" t="s">
        <v>1895</v>
      </c>
      <c r="H2017" s="793" t="s">
        <v>2072</v>
      </c>
      <c r="I2017" s="587">
        <v>12</v>
      </c>
      <c r="J2017" s="574" t="s">
        <v>1895</v>
      </c>
      <c r="K2017" s="587">
        <f>(F2017*I2017)</f>
        <v>12</v>
      </c>
    </row>
    <row r="2018" spans="1:11" hidden="1">
      <c r="A2018" s="1132"/>
      <c r="F2018" s="800">
        <v>1</v>
      </c>
      <c r="G2018" s="798" t="s">
        <v>1895</v>
      </c>
      <c r="H2018" s="793" t="s">
        <v>2073</v>
      </c>
      <c r="I2018" s="587">
        <v>8</v>
      </c>
      <c r="J2018" s="574" t="s">
        <v>1895</v>
      </c>
      <c r="K2018" s="587">
        <f>(F2018*I2018)</f>
        <v>8</v>
      </c>
    </row>
    <row r="2019" spans="1:11" hidden="1">
      <c r="A2019" s="1132"/>
      <c r="F2019" s="1098" t="s">
        <v>1947</v>
      </c>
      <c r="H2019" s="793" t="s">
        <v>2074</v>
      </c>
      <c r="I2019" s="574" t="s">
        <v>1947</v>
      </c>
      <c r="J2019" s="580"/>
      <c r="K2019" s="587">
        <v>1.21</v>
      </c>
    </row>
    <row r="2020" spans="1:11" hidden="1">
      <c r="A2020" s="1132"/>
      <c r="I2020" s="575"/>
      <c r="J2020" s="580"/>
      <c r="K2020" s="582" t="s">
        <v>117</v>
      </c>
    </row>
    <row r="2021" spans="1:11" hidden="1">
      <c r="A2021" s="1132"/>
      <c r="H2021" s="793" t="s">
        <v>2075</v>
      </c>
      <c r="I2021" s="575"/>
      <c r="J2021" s="580"/>
      <c r="K2021" s="587">
        <f>SUM(K2016:K2019)</f>
        <v>345.21</v>
      </c>
    </row>
    <row r="2022" spans="1:11" hidden="1">
      <c r="A2022" s="1132"/>
      <c r="I2022" s="575"/>
      <c r="J2022" s="580"/>
      <c r="K2022" s="582" t="s">
        <v>117</v>
      </c>
    </row>
    <row r="2023" spans="1:11" hidden="1">
      <c r="A2023" s="1132"/>
      <c r="I2023" s="575"/>
      <c r="J2023" s="580"/>
      <c r="K2023" s="575"/>
    </row>
    <row r="2024" spans="1:11" hidden="1">
      <c r="A2024" s="1132"/>
      <c r="F2024" s="1098" t="s">
        <v>2076</v>
      </c>
      <c r="G2024" s="798" t="s">
        <v>122</v>
      </c>
      <c r="H2024" s="793" t="s">
        <v>2077</v>
      </c>
      <c r="I2024" s="575"/>
      <c r="J2024" s="580"/>
      <c r="K2024" s="575"/>
    </row>
    <row r="2025" spans="1:11" hidden="1">
      <c r="A2025" s="1132"/>
      <c r="H2025" s="793" t="s">
        <v>2078</v>
      </c>
      <c r="I2025" s="575"/>
      <c r="J2025" s="580"/>
      <c r="K2025" s="575"/>
    </row>
    <row r="2026" spans="1:11" hidden="1">
      <c r="A2026" s="1132"/>
      <c r="H2026" s="796" t="s">
        <v>117</v>
      </c>
      <c r="I2026" s="575"/>
      <c r="J2026" s="580"/>
      <c r="K2026" s="575"/>
    </row>
    <row r="2027" spans="1:11" hidden="1">
      <c r="A2027" s="1132"/>
      <c r="F2027" s="800">
        <v>1</v>
      </c>
      <c r="G2027" s="798" t="s">
        <v>209</v>
      </c>
      <c r="H2027" s="793" t="s">
        <v>2078</v>
      </c>
      <c r="I2027" s="587">
        <f>(C265)</f>
        <v>115</v>
      </c>
      <c r="J2027" s="574" t="s">
        <v>209</v>
      </c>
      <c r="K2027" s="587">
        <f>(F2027*I2027)</f>
        <v>115</v>
      </c>
    </row>
    <row r="2028" spans="1:11" hidden="1">
      <c r="A2028" s="1132"/>
      <c r="F2028" s="800">
        <v>0.05</v>
      </c>
      <c r="G2028" s="798" t="s">
        <v>126</v>
      </c>
      <c r="H2028" s="793" t="s">
        <v>2079</v>
      </c>
      <c r="I2028" s="587" t="e">
        <f>(R60)</f>
        <v>#REF!</v>
      </c>
      <c r="J2028" s="574" t="s">
        <v>126</v>
      </c>
      <c r="K2028" s="587" t="e">
        <f>(F2028*I2028)</f>
        <v>#REF!</v>
      </c>
    </row>
    <row r="2029" spans="1:11" hidden="1">
      <c r="A2029" s="1132"/>
      <c r="F2029" s="800">
        <v>0.5</v>
      </c>
      <c r="G2029" s="798" t="s">
        <v>209</v>
      </c>
      <c r="H2029" s="793" t="s">
        <v>210</v>
      </c>
      <c r="I2029" s="587">
        <f>(C15)</f>
        <v>130</v>
      </c>
      <c r="J2029" s="574" t="s">
        <v>209</v>
      </c>
      <c r="K2029" s="587">
        <f>(F2029*I2029)</f>
        <v>65</v>
      </c>
    </row>
    <row r="2030" spans="1:11" hidden="1">
      <c r="A2030" s="1132"/>
      <c r="F2030" s="800">
        <v>1</v>
      </c>
      <c r="G2030" s="798" t="s">
        <v>209</v>
      </c>
      <c r="H2030" s="793" t="s">
        <v>146</v>
      </c>
      <c r="I2030" s="587">
        <f>(C12)</f>
        <v>95</v>
      </c>
      <c r="J2030" s="574" t="s">
        <v>209</v>
      </c>
      <c r="K2030" s="587">
        <f>(F2030*I2030)</f>
        <v>95</v>
      </c>
    </row>
    <row r="2031" spans="1:11" hidden="1">
      <c r="A2031" s="1132"/>
      <c r="F2031" s="800">
        <v>1</v>
      </c>
      <c r="G2031" s="798" t="s">
        <v>209</v>
      </c>
      <c r="H2031" s="793" t="s">
        <v>147</v>
      </c>
      <c r="I2031" s="587">
        <f>(C13)</f>
        <v>85</v>
      </c>
      <c r="J2031" s="574" t="s">
        <v>209</v>
      </c>
      <c r="K2031" s="587">
        <f>(F2031*I2031)</f>
        <v>85</v>
      </c>
    </row>
    <row r="2032" spans="1:11" hidden="1">
      <c r="A2032" s="1132"/>
      <c r="G2032" s="798" t="s">
        <v>129</v>
      </c>
      <c r="H2032" s="793" t="s">
        <v>130</v>
      </c>
      <c r="I2032" s="573" t="s">
        <v>115</v>
      </c>
      <c r="J2032" s="574" t="s">
        <v>129</v>
      </c>
      <c r="K2032" s="587">
        <v>0</v>
      </c>
    </row>
    <row r="2033" spans="1:11" hidden="1">
      <c r="A2033" s="1132"/>
      <c r="H2033" s="793" t="s">
        <v>115</v>
      </c>
      <c r="I2033" s="575"/>
      <c r="J2033" s="580"/>
      <c r="K2033" s="582" t="s">
        <v>117</v>
      </c>
    </row>
    <row r="2034" spans="1:11" hidden="1">
      <c r="A2034" s="1132"/>
      <c r="H2034" s="793" t="s">
        <v>991</v>
      </c>
      <c r="I2034" s="575"/>
      <c r="J2034" s="580"/>
      <c r="K2034" s="587" t="e">
        <f>SUM(K2027:K2032)</f>
        <v>#REF!</v>
      </c>
    </row>
    <row r="2035" spans="1:11" hidden="1">
      <c r="A2035" s="1132"/>
      <c r="I2035" s="575"/>
      <c r="J2035" s="580"/>
      <c r="K2035" s="582" t="s">
        <v>155</v>
      </c>
    </row>
    <row r="2036" spans="1:11" hidden="1">
      <c r="A2036" s="1132"/>
      <c r="F2036" s="1098" t="s">
        <v>2080</v>
      </c>
      <c r="G2036" s="798" t="s">
        <v>122</v>
      </c>
      <c r="H2036" s="793" t="s">
        <v>2081</v>
      </c>
      <c r="I2036" s="575"/>
      <c r="J2036" s="580"/>
      <c r="K2036" s="575"/>
    </row>
    <row r="2037" spans="1:11" hidden="1">
      <c r="A2037" s="1132"/>
      <c r="H2037" s="793" t="s">
        <v>3573</v>
      </c>
      <c r="I2037" s="575"/>
      <c r="J2037" s="580"/>
      <c r="K2037" s="575"/>
    </row>
    <row r="2038" spans="1:11" hidden="1">
      <c r="A2038" s="1132"/>
      <c r="H2038" s="796" t="s">
        <v>117</v>
      </c>
      <c r="I2038" s="575"/>
      <c r="J2038" s="580"/>
      <c r="K2038" s="575"/>
    </row>
    <row r="2039" spans="1:11" hidden="1">
      <c r="A2039" s="1132"/>
      <c r="F2039" s="800">
        <v>1</v>
      </c>
      <c r="G2039" s="798" t="s">
        <v>209</v>
      </c>
      <c r="H2039" s="793" t="s">
        <v>2083</v>
      </c>
      <c r="I2039" s="587">
        <f>(D266)</f>
        <v>90</v>
      </c>
      <c r="J2039" s="574" t="s">
        <v>209</v>
      </c>
      <c r="K2039" s="587">
        <f>(F2039*I2039)</f>
        <v>90</v>
      </c>
    </row>
    <row r="2040" spans="1:11" hidden="1">
      <c r="A2040" s="1132"/>
      <c r="G2040" s="798" t="s">
        <v>129</v>
      </c>
      <c r="H2040" s="793" t="s">
        <v>2084</v>
      </c>
      <c r="I2040" s="575"/>
      <c r="J2040" s="574" t="s">
        <v>129</v>
      </c>
      <c r="K2040" s="587">
        <v>4</v>
      </c>
    </row>
    <row r="2041" spans="1:11" hidden="1">
      <c r="A2041" s="1132"/>
      <c r="I2041" s="575"/>
      <c r="J2041" s="574" t="s">
        <v>115</v>
      </c>
      <c r="K2041" s="582" t="s">
        <v>117</v>
      </c>
    </row>
    <row r="2042" spans="1:11" hidden="1">
      <c r="A2042" s="1132"/>
      <c r="H2042" s="793" t="s">
        <v>991</v>
      </c>
      <c r="I2042" s="575"/>
      <c r="J2042" s="580"/>
      <c r="K2042" s="587">
        <f>SUM(K2039:K2041)</f>
        <v>94</v>
      </c>
    </row>
    <row r="2043" spans="1:11" hidden="1">
      <c r="A2043" s="1132"/>
      <c r="I2043" s="575"/>
      <c r="J2043" s="580"/>
      <c r="K2043" s="582" t="s">
        <v>117</v>
      </c>
    </row>
    <row r="2044" spans="1:11" hidden="1">
      <c r="A2044" s="1132"/>
      <c r="F2044" s="1098" t="s">
        <v>2085</v>
      </c>
      <c r="G2044" s="798" t="s">
        <v>122</v>
      </c>
      <c r="H2044" s="793" t="s">
        <v>2086</v>
      </c>
      <c r="I2044" s="575"/>
      <c r="J2044" s="580"/>
      <c r="K2044" s="575"/>
    </row>
    <row r="2045" spans="1:11" hidden="1">
      <c r="A2045" s="1132"/>
      <c r="H2045" s="793" t="s">
        <v>2087</v>
      </c>
      <c r="I2045" s="575"/>
      <c r="J2045" s="580"/>
      <c r="K2045" s="575"/>
    </row>
    <row r="2046" spans="1:11" hidden="1">
      <c r="A2046" s="1132"/>
      <c r="H2046" s="796" t="s">
        <v>117</v>
      </c>
      <c r="I2046" s="575"/>
      <c r="J2046" s="580"/>
      <c r="K2046" s="575"/>
    </row>
    <row r="2047" spans="1:11" hidden="1">
      <c r="A2047" s="1132"/>
      <c r="F2047" s="800">
        <v>50</v>
      </c>
      <c r="G2047" s="798" t="s">
        <v>209</v>
      </c>
      <c r="H2047" s="793" t="s">
        <v>2088</v>
      </c>
      <c r="I2047" s="587">
        <f>(C203)</f>
        <v>40</v>
      </c>
      <c r="J2047" s="574" t="s">
        <v>209</v>
      </c>
      <c r="K2047" s="587">
        <f t="shared" ref="K2047:K2056" si="66">(F2047*I2047)</f>
        <v>2000</v>
      </c>
    </row>
    <row r="2048" spans="1:11" hidden="1">
      <c r="A2048" s="1132"/>
      <c r="F2048" s="800">
        <v>21.6</v>
      </c>
      <c r="G2048" s="798" t="s">
        <v>126</v>
      </c>
      <c r="H2048" s="793" t="s">
        <v>2089</v>
      </c>
      <c r="I2048" s="587">
        <f>(C61*2)</f>
        <v>50</v>
      </c>
      <c r="J2048" s="574" t="s">
        <v>126</v>
      </c>
      <c r="K2048" s="587">
        <f t="shared" si="66"/>
        <v>1080</v>
      </c>
    </row>
    <row r="2049" spans="1:11" hidden="1">
      <c r="A2049" s="1132"/>
      <c r="F2049" s="800">
        <v>21.6</v>
      </c>
      <c r="G2049" s="798" t="s">
        <v>126</v>
      </c>
      <c r="H2049" s="793" t="s">
        <v>2045</v>
      </c>
      <c r="I2049" s="587">
        <f>(C26)</f>
        <v>8.8000000000000007</v>
      </c>
      <c r="J2049" s="574" t="s">
        <v>126</v>
      </c>
      <c r="K2049" s="587">
        <f t="shared" si="66"/>
        <v>190.08000000000004</v>
      </c>
    </row>
    <row r="2050" spans="1:11" hidden="1">
      <c r="A2050" s="1132"/>
      <c r="F2050" s="800">
        <v>45</v>
      </c>
      <c r="G2050" s="798" t="s">
        <v>148</v>
      </c>
      <c r="H2050" s="793" t="s">
        <v>125</v>
      </c>
      <c r="I2050" s="587">
        <f>(C67/1000)</f>
        <v>3.8</v>
      </c>
      <c r="J2050" s="574" t="s">
        <v>148</v>
      </c>
      <c r="K2050" s="587">
        <f t="shared" si="66"/>
        <v>171</v>
      </c>
    </row>
    <row r="2051" spans="1:11" hidden="1">
      <c r="A2051" s="1132"/>
      <c r="F2051" s="800">
        <v>0.04</v>
      </c>
      <c r="G2051" s="798" t="s">
        <v>126</v>
      </c>
      <c r="H2051" s="793" t="s">
        <v>127</v>
      </c>
      <c r="I2051" s="587" t="e">
        <f>(C78)</f>
        <v>#REF!</v>
      </c>
      <c r="J2051" s="574" t="s">
        <v>126</v>
      </c>
      <c r="K2051" s="587" t="e">
        <f t="shared" si="66"/>
        <v>#REF!</v>
      </c>
    </row>
    <row r="2052" spans="1:11" hidden="1">
      <c r="A2052" s="1132"/>
      <c r="F2052" s="800">
        <v>3.63</v>
      </c>
      <c r="G2052" s="798" t="s">
        <v>148</v>
      </c>
      <c r="H2052" s="793" t="s">
        <v>2090</v>
      </c>
      <c r="I2052" s="587">
        <f>(C585)</f>
        <v>7</v>
      </c>
      <c r="J2052" s="574" t="s">
        <v>148</v>
      </c>
      <c r="K2052" s="587">
        <f t="shared" si="66"/>
        <v>25.41</v>
      </c>
    </row>
    <row r="2053" spans="1:11" hidden="1">
      <c r="A2053" s="1132"/>
      <c r="F2053" s="800">
        <v>2</v>
      </c>
      <c r="G2053" s="798" t="s">
        <v>209</v>
      </c>
      <c r="H2053" s="793" t="s">
        <v>144</v>
      </c>
      <c r="I2053" s="587">
        <f>(C10)</f>
        <v>150</v>
      </c>
      <c r="J2053" s="574" t="s">
        <v>209</v>
      </c>
      <c r="K2053" s="587">
        <f t="shared" si="66"/>
        <v>300</v>
      </c>
    </row>
    <row r="2054" spans="1:11" hidden="1">
      <c r="A2054" s="1132"/>
      <c r="F2054" s="800">
        <v>1</v>
      </c>
      <c r="G2054" s="798" t="s">
        <v>209</v>
      </c>
      <c r="H2054" s="793" t="s">
        <v>2091</v>
      </c>
      <c r="I2054" s="587">
        <f>AE37</f>
        <v>120</v>
      </c>
      <c r="J2054" s="574" t="s">
        <v>209</v>
      </c>
      <c r="K2054" s="587">
        <f t="shared" si="66"/>
        <v>120</v>
      </c>
    </row>
    <row r="2055" spans="1:11" hidden="1">
      <c r="A2055" s="1132"/>
      <c r="F2055" s="800">
        <v>5</v>
      </c>
      <c r="G2055" s="798" t="s">
        <v>209</v>
      </c>
      <c r="H2055" s="793" t="s">
        <v>146</v>
      </c>
      <c r="I2055" s="587">
        <f>(C12)</f>
        <v>95</v>
      </c>
      <c r="J2055" s="574" t="s">
        <v>209</v>
      </c>
      <c r="K2055" s="587">
        <f t="shared" si="66"/>
        <v>475</v>
      </c>
    </row>
    <row r="2056" spans="1:11" hidden="1">
      <c r="A2056" s="1132"/>
      <c r="F2056" s="800">
        <v>2</v>
      </c>
      <c r="G2056" s="798" t="s">
        <v>209</v>
      </c>
      <c r="H2056" s="793" t="s">
        <v>147</v>
      </c>
      <c r="I2056" s="587">
        <f>(C13)</f>
        <v>85</v>
      </c>
      <c r="J2056" s="574" t="s">
        <v>209</v>
      </c>
      <c r="K2056" s="587">
        <f t="shared" si="66"/>
        <v>170</v>
      </c>
    </row>
    <row r="2057" spans="1:11" hidden="1">
      <c r="A2057" s="1132"/>
      <c r="G2057" s="798" t="s">
        <v>129</v>
      </c>
      <c r="H2057" s="793" t="s">
        <v>2092</v>
      </c>
      <c r="I2057" s="575"/>
      <c r="J2057" s="574" t="s">
        <v>129</v>
      </c>
      <c r="K2057" s="587">
        <f>SUM(K2053:K2056)/10</f>
        <v>106.5</v>
      </c>
    </row>
    <row r="2058" spans="1:11" hidden="1">
      <c r="A2058" s="1132"/>
      <c r="I2058" s="575"/>
      <c r="J2058" s="580"/>
      <c r="K2058" s="582" t="s">
        <v>117</v>
      </c>
    </row>
    <row r="2059" spans="1:11" hidden="1">
      <c r="A2059" s="1132"/>
      <c r="H2059" s="793" t="s">
        <v>2093</v>
      </c>
      <c r="I2059" s="575"/>
      <c r="J2059" s="580"/>
      <c r="K2059" s="587" t="e">
        <f>SUM(K2047:K2057)</f>
        <v>#REF!</v>
      </c>
    </row>
    <row r="2060" spans="1:11" hidden="1">
      <c r="A2060" s="1132"/>
      <c r="I2060" s="575"/>
      <c r="J2060" s="580"/>
      <c r="K2060" s="582" t="s">
        <v>117</v>
      </c>
    </row>
    <row r="2061" spans="1:11" hidden="1">
      <c r="A2061" s="1132"/>
      <c r="H2061" s="793" t="s">
        <v>2094</v>
      </c>
      <c r="I2061" s="575"/>
      <c r="J2061" s="580"/>
      <c r="K2061" s="587" t="e">
        <f>(K2059/30)</f>
        <v>#REF!</v>
      </c>
    </row>
    <row r="2062" spans="1:11" hidden="1">
      <c r="A2062" s="1132"/>
      <c r="I2062" s="575"/>
      <c r="J2062" s="580"/>
      <c r="K2062" s="582" t="s">
        <v>155</v>
      </c>
    </row>
    <row r="2063" spans="1:11" hidden="1">
      <c r="A2063" s="1132"/>
      <c r="I2063" s="575"/>
      <c r="J2063" s="580"/>
      <c r="K2063" s="575"/>
    </row>
    <row r="2064" spans="1:11" hidden="1">
      <c r="A2064" s="1132"/>
      <c r="F2064" s="1098" t="s">
        <v>2095</v>
      </c>
      <c r="G2064" s="798" t="s">
        <v>122</v>
      </c>
      <c r="H2064" s="793" t="s">
        <v>2096</v>
      </c>
      <c r="I2064" s="575"/>
      <c r="J2064" s="580"/>
      <c r="K2064" s="575"/>
    </row>
    <row r="2065" spans="1:11" hidden="1">
      <c r="A2065" s="1132"/>
      <c r="H2065" s="793" t="s">
        <v>2087</v>
      </c>
      <c r="I2065" s="575"/>
      <c r="J2065" s="580"/>
      <c r="K2065" s="575"/>
    </row>
    <row r="2066" spans="1:11" hidden="1">
      <c r="A2066" s="1132"/>
      <c r="H2066" s="796" t="s">
        <v>117</v>
      </c>
      <c r="I2066" s="575"/>
      <c r="J2066" s="580"/>
      <c r="K2066" s="575"/>
    </row>
    <row r="2067" spans="1:11" hidden="1">
      <c r="A2067" s="1132"/>
      <c r="F2067" s="800">
        <v>50</v>
      </c>
      <c r="G2067" s="798" t="s">
        <v>209</v>
      </c>
      <c r="H2067" s="793" t="s">
        <v>2097</v>
      </c>
      <c r="I2067" s="587">
        <f>C204</f>
        <v>65</v>
      </c>
      <c r="J2067" s="574" t="s">
        <v>209</v>
      </c>
      <c r="K2067" s="587">
        <f t="shared" ref="K2067:K2076" si="67">(F2067*I2067)</f>
        <v>3250</v>
      </c>
    </row>
    <row r="2068" spans="1:11" hidden="1">
      <c r="A2068" s="1132"/>
      <c r="F2068" s="800">
        <v>21.6</v>
      </c>
      <c r="G2068" s="798" t="s">
        <v>126</v>
      </c>
      <c r="H2068" s="793" t="s">
        <v>2089</v>
      </c>
      <c r="I2068" s="587">
        <f>(C61*2)</f>
        <v>50</v>
      </c>
      <c r="J2068" s="574" t="s">
        <v>126</v>
      </c>
      <c r="K2068" s="587">
        <f t="shared" si="67"/>
        <v>1080</v>
      </c>
    </row>
    <row r="2069" spans="1:11" hidden="1">
      <c r="A2069" s="1132"/>
      <c r="F2069" s="800">
        <v>21.6</v>
      </c>
      <c r="G2069" s="798" t="s">
        <v>126</v>
      </c>
      <c r="H2069" s="793" t="s">
        <v>2045</v>
      </c>
      <c r="I2069" s="587">
        <f>(C26)</f>
        <v>8.8000000000000007</v>
      </c>
      <c r="J2069" s="574" t="s">
        <v>126</v>
      </c>
      <c r="K2069" s="587">
        <f t="shared" si="67"/>
        <v>190.08000000000004</v>
      </c>
    </row>
    <row r="2070" spans="1:11" hidden="1">
      <c r="A2070" s="1132"/>
      <c r="F2070" s="800">
        <v>68</v>
      </c>
      <c r="G2070" s="798" t="s">
        <v>148</v>
      </c>
      <c r="H2070" s="793" t="s">
        <v>125</v>
      </c>
      <c r="I2070" s="587">
        <f>(C67/1000)</f>
        <v>3.8</v>
      </c>
      <c r="J2070" s="574" t="s">
        <v>148</v>
      </c>
      <c r="K2070" s="587">
        <f t="shared" si="67"/>
        <v>258.39999999999998</v>
      </c>
    </row>
    <row r="2071" spans="1:11" hidden="1">
      <c r="A2071" s="1132"/>
      <c r="F2071" s="800">
        <v>7.0000000000000007E-2</v>
      </c>
      <c r="G2071" s="798" t="s">
        <v>126</v>
      </c>
      <c r="H2071" s="793" t="s">
        <v>127</v>
      </c>
      <c r="I2071" s="587" t="e">
        <f>(C78)</f>
        <v>#REF!</v>
      </c>
      <c r="J2071" s="574" t="s">
        <v>126</v>
      </c>
      <c r="K2071" s="587" t="e">
        <f t="shared" si="67"/>
        <v>#REF!</v>
      </c>
    </row>
    <row r="2072" spans="1:11" hidden="1">
      <c r="A2072" s="1132"/>
      <c r="F2072" s="800">
        <v>5.45</v>
      </c>
      <c r="G2072" s="798" t="s">
        <v>148</v>
      </c>
      <c r="H2072" s="793" t="s">
        <v>2090</v>
      </c>
      <c r="I2072" s="587">
        <f>(C585)</f>
        <v>7</v>
      </c>
      <c r="J2072" s="574" t="s">
        <v>148</v>
      </c>
      <c r="K2072" s="587">
        <f t="shared" si="67"/>
        <v>38.15</v>
      </c>
    </row>
    <row r="2073" spans="1:11" hidden="1">
      <c r="A2073" s="1132"/>
      <c r="F2073" s="800">
        <v>3</v>
      </c>
      <c r="G2073" s="798" t="s">
        <v>209</v>
      </c>
      <c r="H2073" s="793" t="s">
        <v>144</v>
      </c>
      <c r="I2073" s="587">
        <f>(C10)</f>
        <v>150</v>
      </c>
      <c r="J2073" s="574" t="s">
        <v>209</v>
      </c>
      <c r="K2073" s="587">
        <f t="shared" si="67"/>
        <v>450</v>
      </c>
    </row>
    <row r="2074" spans="1:11" hidden="1">
      <c r="A2074" s="1132"/>
      <c r="F2074" s="800">
        <v>2</v>
      </c>
      <c r="G2074" s="798" t="s">
        <v>209</v>
      </c>
      <c r="H2074" s="793" t="s">
        <v>2091</v>
      </c>
      <c r="I2074" s="587">
        <f>AE37</f>
        <v>120</v>
      </c>
      <c r="J2074" s="574" t="s">
        <v>209</v>
      </c>
      <c r="K2074" s="587">
        <f t="shared" si="67"/>
        <v>240</v>
      </c>
    </row>
    <row r="2075" spans="1:11" hidden="1">
      <c r="A2075" s="1132"/>
      <c r="F2075" s="800">
        <v>6</v>
      </c>
      <c r="G2075" s="798" t="s">
        <v>209</v>
      </c>
      <c r="H2075" s="793" t="s">
        <v>146</v>
      </c>
      <c r="I2075" s="587">
        <f>(C12)</f>
        <v>95</v>
      </c>
      <c r="J2075" s="574" t="s">
        <v>209</v>
      </c>
      <c r="K2075" s="587">
        <f t="shared" si="67"/>
        <v>570</v>
      </c>
    </row>
    <row r="2076" spans="1:11" hidden="1">
      <c r="A2076" s="1132"/>
      <c r="F2076" s="800">
        <v>3</v>
      </c>
      <c r="G2076" s="798" t="s">
        <v>209</v>
      </c>
      <c r="H2076" s="793" t="s">
        <v>147</v>
      </c>
      <c r="I2076" s="587">
        <f>(C13)</f>
        <v>85</v>
      </c>
      <c r="J2076" s="574" t="s">
        <v>209</v>
      </c>
      <c r="K2076" s="587">
        <f t="shared" si="67"/>
        <v>255</v>
      </c>
    </row>
    <row r="2077" spans="1:11" hidden="1">
      <c r="A2077" s="1132"/>
      <c r="G2077" s="798" t="s">
        <v>129</v>
      </c>
      <c r="H2077" s="793" t="s">
        <v>2092</v>
      </c>
      <c r="I2077" s="575"/>
      <c r="J2077" s="574" t="s">
        <v>129</v>
      </c>
      <c r="K2077" s="587">
        <f>SUM(K2073:K2076)/10</f>
        <v>151.5</v>
      </c>
    </row>
    <row r="2078" spans="1:11" hidden="1">
      <c r="A2078" s="1132"/>
      <c r="I2078" s="575"/>
      <c r="J2078" s="580"/>
      <c r="K2078" s="582" t="s">
        <v>117</v>
      </c>
    </row>
    <row r="2079" spans="1:11" hidden="1">
      <c r="A2079" s="1132"/>
      <c r="H2079" s="793" t="s">
        <v>2093</v>
      </c>
      <c r="I2079" s="575"/>
      <c r="J2079" s="580"/>
      <c r="K2079" s="587" t="e">
        <f>SUM(K2067:K2077)</f>
        <v>#REF!</v>
      </c>
    </row>
    <row r="2080" spans="1:11" hidden="1">
      <c r="A2080" s="1132"/>
      <c r="I2080" s="575"/>
      <c r="J2080" s="580"/>
      <c r="K2080" s="582" t="s">
        <v>117</v>
      </c>
    </row>
    <row r="2081" spans="1:11" hidden="1">
      <c r="A2081" s="1132"/>
      <c r="H2081" s="793" t="s">
        <v>2094</v>
      </c>
      <c r="I2081" s="575"/>
      <c r="J2081" s="580"/>
      <c r="K2081" s="587" t="e">
        <f>(K2079/30)</f>
        <v>#REF!</v>
      </c>
    </row>
    <row r="2082" spans="1:11" hidden="1">
      <c r="A2082" s="1132"/>
      <c r="I2082" s="575"/>
      <c r="J2082" s="580"/>
      <c r="K2082" s="582" t="s">
        <v>155</v>
      </c>
    </row>
    <row r="2083" spans="1:11" hidden="1">
      <c r="A2083" s="1132"/>
      <c r="F2083" s="1098" t="s">
        <v>2100</v>
      </c>
      <c r="G2083" s="798" t="s">
        <v>122</v>
      </c>
      <c r="H2083" s="793" t="s">
        <v>2086</v>
      </c>
      <c r="I2083" s="575"/>
      <c r="J2083" s="580"/>
      <c r="K2083" s="575"/>
    </row>
    <row r="2084" spans="1:11" hidden="1">
      <c r="A2084" s="1132"/>
      <c r="H2084" s="793" t="s">
        <v>2101</v>
      </c>
      <c r="I2084" s="575"/>
      <c r="J2084" s="580"/>
      <c r="K2084" s="575"/>
    </row>
    <row r="2085" spans="1:11" hidden="1">
      <c r="A2085" s="1132"/>
      <c r="H2085" s="796" t="s">
        <v>117</v>
      </c>
      <c r="I2085" s="575"/>
      <c r="J2085" s="580"/>
      <c r="K2085" s="575"/>
    </row>
    <row r="2086" spans="1:11" hidden="1">
      <c r="A2086" s="1132"/>
      <c r="F2086" s="800">
        <v>50</v>
      </c>
      <c r="G2086" s="798" t="s">
        <v>209</v>
      </c>
      <c r="H2086" s="793" t="s">
        <v>2102</v>
      </c>
      <c r="I2086" s="587">
        <f>C203</f>
        <v>40</v>
      </c>
      <c r="J2086" s="574" t="s">
        <v>209</v>
      </c>
      <c r="K2086" s="587">
        <f>(F2086*I2086)</f>
        <v>2000</v>
      </c>
    </row>
    <row r="2087" spans="1:11" hidden="1">
      <c r="A2087" s="1132"/>
      <c r="F2087" s="800">
        <v>1</v>
      </c>
      <c r="G2087" s="798" t="s">
        <v>209</v>
      </c>
      <c r="H2087" s="793" t="s">
        <v>2091</v>
      </c>
      <c r="I2087" s="587">
        <f>AE37</f>
        <v>120</v>
      </c>
      <c r="J2087" s="574" t="s">
        <v>209</v>
      </c>
      <c r="K2087" s="587">
        <f>(F2087*I2087)</f>
        <v>120</v>
      </c>
    </row>
    <row r="2088" spans="1:11" hidden="1">
      <c r="A2088" s="1132"/>
      <c r="F2088" s="800">
        <v>5</v>
      </c>
      <c r="G2088" s="798" t="s">
        <v>209</v>
      </c>
      <c r="H2088" s="793" t="s">
        <v>146</v>
      </c>
      <c r="I2088" s="587">
        <f>C12</f>
        <v>95</v>
      </c>
      <c r="J2088" s="574" t="s">
        <v>209</v>
      </c>
      <c r="K2088" s="587">
        <f>(F2088*I2088)</f>
        <v>475</v>
      </c>
    </row>
    <row r="2089" spans="1:11" hidden="1">
      <c r="A2089" s="1132"/>
      <c r="I2089" s="575"/>
      <c r="J2089" s="580"/>
      <c r="K2089" s="582" t="s">
        <v>117</v>
      </c>
    </row>
    <row r="2090" spans="1:11" hidden="1">
      <c r="A2090" s="1132"/>
      <c r="H2090" s="793" t="s">
        <v>2093</v>
      </c>
      <c r="I2090" s="575"/>
      <c r="J2090" s="580"/>
      <c r="K2090" s="587">
        <f>SUM(K2086:K2088)</f>
        <v>2595</v>
      </c>
    </row>
    <row r="2091" spans="1:11" hidden="1">
      <c r="A2091" s="1132"/>
      <c r="F2091" s="793" t="s">
        <v>115</v>
      </c>
      <c r="I2091" s="575"/>
      <c r="J2091" s="580"/>
      <c r="K2091" s="582" t="s">
        <v>117</v>
      </c>
    </row>
    <row r="2092" spans="1:11" hidden="1">
      <c r="A2092" s="1132"/>
      <c r="H2092" s="793" t="s">
        <v>2094</v>
      </c>
      <c r="I2092" s="575"/>
      <c r="J2092" s="580"/>
      <c r="K2092" s="587">
        <f>(K2090/30)</f>
        <v>86.5</v>
      </c>
    </row>
    <row r="2093" spans="1:11" hidden="1">
      <c r="A2093" s="1132"/>
      <c r="F2093" s="793" t="s">
        <v>115</v>
      </c>
      <c r="I2093" s="575"/>
      <c r="J2093" s="580"/>
      <c r="K2093" s="575"/>
    </row>
    <row r="2094" spans="1:11" hidden="1">
      <c r="A2094" s="1132"/>
      <c r="F2094" s="793" t="s">
        <v>115</v>
      </c>
      <c r="I2094" s="575"/>
      <c r="J2094" s="580"/>
      <c r="K2094" s="575"/>
    </row>
    <row r="2095" spans="1:11" hidden="1">
      <c r="A2095" s="1132"/>
      <c r="I2095" s="575"/>
      <c r="J2095" s="580"/>
      <c r="K2095" s="582" t="s">
        <v>155</v>
      </c>
    </row>
    <row r="2096" spans="1:11" hidden="1">
      <c r="A2096" s="1132"/>
      <c r="F2096" s="1098" t="s">
        <v>2095</v>
      </c>
      <c r="G2096" s="798" t="s">
        <v>122</v>
      </c>
      <c r="H2096" s="793" t="s">
        <v>2096</v>
      </c>
      <c r="I2096" s="575"/>
      <c r="J2096" s="580"/>
      <c r="K2096" s="575"/>
    </row>
    <row r="2097" spans="1:11" hidden="1">
      <c r="A2097" s="1132"/>
      <c r="H2097" s="800" t="str">
        <f>H2084</f>
        <v>DIA S.W.PIPE(LOOSE JOINTING)</v>
      </c>
      <c r="I2097" s="575"/>
      <c r="J2097" s="580"/>
      <c r="K2097" s="575"/>
    </row>
    <row r="2098" spans="1:11" hidden="1">
      <c r="A2098" s="1132"/>
      <c r="H2098" s="796" t="s">
        <v>117</v>
      </c>
      <c r="I2098" s="575"/>
      <c r="J2098" s="580"/>
      <c r="K2098" s="575"/>
    </row>
    <row r="2099" spans="1:11" hidden="1">
      <c r="A2099" s="1132"/>
      <c r="F2099" s="800">
        <v>50</v>
      </c>
      <c r="G2099" s="798" t="s">
        <v>209</v>
      </c>
      <c r="H2099" s="793" t="s">
        <v>2103</v>
      </c>
      <c r="I2099" s="587">
        <f>C204</f>
        <v>65</v>
      </c>
      <c r="J2099" s="574" t="s">
        <v>209</v>
      </c>
      <c r="K2099" s="587">
        <f>(F2099*I2099)</f>
        <v>3250</v>
      </c>
    </row>
    <row r="2100" spans="1:11" hidden="1">
      <c r="A2100" s="1132"/>
      <c r="F2100" s="800">
        <v>2</v>
      </c>
      <c r="G2100" s="798" t="s">
        <v>209</v>
      </c>
      <c r="H2100" s="793" t="s">
        <v>2091</v>
      </c>
      <c r="I2100" s="587">
        <f>AE37</f>
        <v>120</v>
      </c>
      <c r="J2100" s="574" t="s">
        <v>209</v>
      </c>
      <c r="K2100" s="587">
        <f>(F2100*I2100)</f>
        <v>240</v>
      </c>
    </row>
    <row r="2101" spans="1:11" hidden="1">
      <c r="A2101" s="1132"/>
      <c r="F2101" s="800">
        <v>6</v>
      </c>
      <c r="G2101" s="798" t="s">
        <v>209</v>
      </c>
      <c r="H2101" s="793" t="s">
        <v>146</v>
      </c>
      <c r="I2101" s="587">
        <f>C12</f>
        <v>95</v>
      </c>
      <c r="J2101" s="574" t="s">
        <v>209</v>
      </c>
      <c r="K2101" s="587">
        <f>(F2101*I2101)</f>
        <v>570</v>
      </c>
    </row>
    <row r="2102" spans="1:11" hidden="1">
      <c r="A2102" s="1132"/>
      <c r="I2102" s="575"/>
      <c r="J2102" s="580"/>
      <c r="K2102" s="582" t="s">
        <v>117</v>
      </c>
    </row>
    <row r="2103" spans="1:11" hidden="1">
      <c r="A2103" s="1132"/>
      <c r="H2103" s="793" t="s">
        <v>2093</v>
      </c>
      <c r="I2103" s="575"/>
      <c r="J2103" s="580"/>
      <c r="K2103" s="587">
        <f>SUM(K2099:K2101)</f>
        <v>4060</v>
      </c>
    </row>
    <row r="2104" spans="1:11" hidden="1">
      <c r="A2104" s="1132"/>
      <c r="I2104" s="575"/>
      <c r="J2104" s="580"/>
      <c r="K2104" s="582" t="s">
        <v>117</v>
      </c>
    </row>
    <row r="2105" spans="1:11" hidden="1">
      <c r="A2105" s="1132"/>
      <c r="H2105" s="793" t="s">
        <v>2094</v>
      </c>
      <c r="I2105" s="575"/>
      <c r="J2105" s="580"/>
      <c r="K2105" s="587">
        <f>(K2103/30)</f>
        <v>135.33333333333334</v>
      </c>
    </row>
    <row r="2106" spans="1:11" hidden="1">
      <c r="A2106" s="1132"/>
      <c r="I2106" s="575"/>
      <c r="J2106" s="580"/>
      <c r="K2106" s="582" t="s">
        <v>155</v>
      </c>
    </row>
    <row r="2107" spans="1:11" hidden="1">
      <c r="A2107" s="1132"/>
      <c r="H2107" s="1098" t="s">
        <v>2104</v>
      </c>
      <c r="I2107" s="575"/>
      <c r="J2107" s="580"/>
      <c r="K2107" s="587">
        <f>SUM(K2104:K2105)</f>
        <v>135.33333333333334</v>
      </c>
    </row>
    <row r="2108" spans="1:11" hidden="1">
      <c r="A2108" s="1132"/>
      <c r="I2108" s="575"/>
      <c r="J2108" s="580"/>
      <c r="K2108" s="582" t="s">
        <v>155</v>
      </c>
    </row>
    <row r="2109" spans="1:11" hidden="1">
      <c r="A2109" s="1132"/>
      <c r="F2109" s="1098" t="s">
        <v>2105</v>
      </c>
      <c r="G2109" s="798" t="s">
        <v>122</v>
      </c>
      <c r="H2109" s="793" t="s">
        <v>2086</v>
      </c>
      <c r="I2109" s="575"/>
      <c r="J2109" s="580"/>
      <c r="K2109" s="575"/>
    </row>
    <row r="2110" spans="1:11" hidden="1">
      <c r="A2110" s="1132"/>
      <c r="H2110" s="793" t="s">
        <v>2106</v>
      </c>
      <c r="I2110" s="575"/>
      <c r="J2110" s="580"/>
      <c r="K2110" s="575"/>
    </row>
    <row r="2111" spans="1:11" hidden="1">
      <c r="A2111" s="1132"/>
      <c r="H2111" s="796" t="s">
        <v>117</v>
      </c>
      <c r="I2111" s="575"/>
      <c r="J2111" s="580"/>
      <c r="K2111" s="575"/>
    </row>
    <row r="2112" spans="1:11" hidden="1">
      <c r="A2112" s="1132"/>
      <c r="F2112" s="800">
        <v>1</v>
      </c>
      <c r="G2112" s="798" t="s">
        <v>209</v>
      </c>
      <c r="H2112" s="793" t="s">
        <v>2107</v>
      </c>
      <c r="I2112" s="587">
        <f>C205</f>
        <v>65</v>
      </c>
      <c r="J2112" s="574" t="s">
        <v>209</v>
      </c>
      <c r="K2112" s="587">
        <f>(F2112*I2112)</f>
        <v>65</v>
      </c>
    </row>
    <row r="2113" spans="1:11" hidden="1">
      <c r="A2113" s="1132"/>
      <c r="F2113" s="793" t="s">
        <v>115</v>
      </c>
      <c r="H2113" s="793" t="s">
        <v>2108</v>
      </c>
      <c r="I2113" s="575"/>
      <c r="J2113" s="580"/>
      <c r="K2113" s="575"/>
    </row>
    <row r="2114" spans="1:11" hidden="1">
      <c r="A2114" s="1132"/>
      <c r="F2114" s="793" t="s">
        <v>115</v>
      </c>
      <c r="H2114" s="793" t="s">
        <v>2109</v>
      </c>
      <c r="I2114" s="574" t="s">
        <v>129</v>
      </c>
      <c r="J2114" s="580"/>
      <c r="K2114" s="587">
        <v>2.5</v>
      </c>
    </row>
    <row r="2115" spans="1:11" hidden="1">
      <c r="A2115" s="1132"/>
      <c r="I2115" s="575"/>
      <c r="J2115" s="580"/>
      <c r="K2115" s="582" t="s">
        <v>117</v>
      </c>
    </row>
    <row r="2116" spans="1:11" hidden="1">
      <c r="A2116" s="1132"/>
      <c r="H2116" s="793" t="s">
        <v>2093</v>
      </c>
      <c r="I2116" s="575"/>
      <c r="J2116" s="580"/>
      <c r="K2116" s="587">
        <f>SUM(K2112:K2114)</f>
        <v>67.5</v>
      </c>
    </row>
    <row r="2117" spans="1:11" hidden="1">
      <c r="A2117" s="1132"/>
      <c r="F2117" s="1098" t="s">
        <v>2105</v>
      </c>
      <c r="G2117" s="798" t="s">
        <v>122</v>
      </c>
      <c r="H2117" s="793" t="s">
        <v>2096</v>
      </c>
      <c r="I2117" s="575"/>
      <c r="J2117" s="580"/>
      <c r="K2117" s="582" t="s">
        <v>117</v>
      </c>
    </row>
    <row r="2118" spans="1:11" hidden="1">
      <c r="A2118" s="1132"/>
      <c r="H2118" s="793" t="s">
        <v>2106</v>
      </c>
      <c r="I2118" s="575"/>
      <c r="J2118" s="580"/>
      <c r="K2118" s="587"/>
    </row>
    <row r="2119" spans="1:11" hidden="1">
      <c r="A2119" s="1132"/>
      <c r="H2119" s="796" t="s">
        <v>117</v>
      </c>
      <c r="I2119" s="575"/>
      <c r="J2119" s="580"/>
      <c r="K2119" s="582" t="s">
        <v>117</v>
      </c>
    </row>
    <row r="2120" spans="1:11" hidden="1">
      <c r="A2120" s="1132"/>
      <c r="F2120" s="794">
        <v>1</v>
      </c>
      <c r="G2120" s="792" t="s">
        <v>1</v>
      </c>
      <c r="H2120" s="793" t="s">
        <v>2110</v>
      </c>
      <c r="I2120" s="575"/>
      <c r="J2120" s="580" t="s">
        <v>164</v>
      </c>
      <c r="K2120" s="587">
        <v>92.5</v>
      </c>
    </row>
    <row r="2121" spans="1:11" hidden="1">
      <c r="A2121" s="1132"/>
      <c r="I2121" s="575"/>
      <c r="J2121" s="580"/>
      <c r="K2121" s="582" t="s">
        <v>117</v>
      </c>
    </row>
    <row r="2122" spans="1:11" hidden="1">
      <c r="A2122" s="1132"/>
      <c r="F2122" s="1098" t="s">
        <v>2111</v>
      </c>
      <c r="G2122" s="798" t="s">
        <v>122</v>
      </c>
      <c r="H2122" s="793" t="s">
        <v>2086</v>
      </c>
      <c r="I2122" s="575"/>
      <c r="J2122" s="580"/>
      <c r="K2122" s="575"/>
    </row>
    <row r="2123" spans="1:11" hidden="1">
      <c r="A2123" s="1132"/>
      <c r="H2123" s="793" t="s">
        <v>2112</v>
      </c>
      <c r="I2123" s="575"/>
      <c r="J2123" s="580"/>
      <c r="K2123" s="575"/>
    </row>
    <row r="2124" spans="1:11" hidden="1">
      <c r="A2124" s="1132"/>
      <c r="H2124" s="796" t="s">
        <v>117</v>
      </c>
      <c r="I2124" s="575"/>
      <c r="J2124" s="580"/>
      <c r="K2124" s="575"/>
    </row>
    <row r="2125" spans="1:11" hidden="1">
      <c r="A2125" s="1132"/>
      <c r="F2125" s="800">
        <v>1</v>
      </c>
      <c r="G2125" s="798" t="s">
        <v>209</v>
      </c>
      <c r="H2125" s="793" t="s">
        <v>2113</v>
      </c>
      <c r="I2125" s="587">
        <f>C202</f>
        <v>75</v>
      </c>
      <c r="J2125" s="574" t="s">
        <v>209</v>
      </c>
      <c r="K2125" s="587">
        <f>(F2125*I2125)</f>
        <v>75</v>
      </c>
    </row>
    <row r="2126" spans="1:11" hidden="1">
      <c r="A2126" s="1132"/>
      <c r="F2126" s="793" t="s">
        <v>115</v>
      </c>
      <c r="H2126" s="793" t="s">
        <v>2108</v>
      </c>
      <c r="I2126" s="575"/>
      <c r="J2126" s="580"/>
      <c r="K2126" s="575"/>
    </row>
    <row r="2127" spans="1:11" hidden="1">
      <c r="A2127" s="1132"/>
      <c r="F2127" s="793" t="s">
        <v>115</v>
      </c>
      <c r="H2127" s="793" t="s">
        <v>2109</v>
      </c>
      <c r="I2127" s="574" t="s">
        <v>129</v>
      </c>
      <c r="J2127" s="580"/>
      <c r="K2127" s="587">
        <v>3</v>
      </c>
    </row>
    <row r="2128" spans="1:11" hidden="1">
      <c r="A2128" s="1132"/>
      <c r="I2128" s="575"/>
      <c r="J2128" s="580"/>
      <c r="K2128" s="582" t="s">
        <v>117</v>
      </c>
    </row>
    <row r="2129" spans="1:11" hidden="1">
      <c r="A2129" s="1132"/>
      <c r="H2129" s="793" t="s">
        <v>2093</v>
      </c>
      <c r="I2129" s="575"/>
      <c r="J2129" s="580"/>
      <c r="K2129" s="587">
        <f>SUM(K2125:K2127)</f>
        <v>78</v>
      </c>
    </row>
    <row r="2130" spans="1:11" hidden="1">
      <c r="A2130" s="1132"/>
      <c r="I2130" s="575"/>
      <c r="J2130" s="580"/>
      <c r="K2130" s="582" t="s">
        <v>117</v>
      </c>
    </row>
    <row r="2131" spans="1:11" hidden="1">
      <c r="A2131" s="1132"/>
      <c r="I2131" s="575"/>
      <c r="J2131" s="580"/>
      <c r="K2131" s="575"/>
    </row>
    <row r="2132" spans="1:11" hidden="1">
      <c r="A2132" s="1132"/>
      <c r="F2132" s="1098" t="s">
        <v>2114</v>
      </c>
      <c r="G2132" s="798" t="s">
        <v>122</v>
      </c>
      <c r="H2132" s="793" t="s">
        <v>2096</v>
      </c>
      <c r="I2132" s="575"/>
      <c r="J2132" s="580"/>
      <c r="K2132" s="575"/>
    </row>
    <row r="2133" spans="1:11" hidden="1">
      <c r="A2133" s="1132"/>
      <c r="H2133" s="793" t="s">
        <v>2112</v>
      </c>
      <c r="I2133" s="575"/>
      <c r="J2133" s="580"/>
      <c r="K2133" s="575"/>
    </row>
    <row r="2134" spans="1:11" hidden="1">
      <c r="A2134" s="1132"/>
      <c r="H2134" s="796" t="s">
        <v>117</v>
      </c>
      <c r="I2134" s="575"/>
      <c r="J2134" s="580"/>
      <c r="K2134" s="575"/>
    </row>
    <row r="2135" spans="1:11" hidden="1">
      <c r="A2135" s="1132"/>
      <c r="F2135" s="800">
        <v>1</v>
      </c>
      <c r="G2135" s="798" t="s">
        <v>209</v>
      </c>
      <c r="H2135" s="793" t="s">
        <v>2115</v>
      </c>
      <c r="I2135" s="587">
        <f>C207</f>
        <v>100</v>
      </c>
      <c r="J2135" s="574" t="s">
        <v>209</v>
      </c>
      <c r="K2135" s="587">
        <f>(F2135*I2135)</f>
        <v>100</v>
      </c>
    </row>
    <row r="2136" spans="1:11" hidden="1">
      <c r="A2136" s="1132"/>
      <c r="F2136" s="793" t="s">
        <v>115</v>
      </c>
      <c r="H2136" s="793" t="s">
        <v>2108</v>
      </c>
      <c r="I2136" s="575"/>
      <c r="J2136" s="580"/>
      <c r="K2136" s="575"/>
    </row>
    <row r="2137" spans="1:11" hidden="1">
      <c r="A2137" s="1132"/>
      <c r="F2137" s="793" t="s">
        <v>115</v>
      </c>
      <c r="H2137" s="793" t="s">
        <v>2109</v>
      </c>
      <c r="I2137" s="574" t="s">
        <v>129</v>
      </c>
      <c r="J2137" s="580"/>
      <c r="K2137" s="587">
        <v>3</v>
      </c>
    </row>
    <row r="2138" spans="1:11" hidden="1">
      <c r="A2138" s="1132"/>
      <c r="I2138" s="575"/>
      <c r="J2138" s="580"/>
      <c r="K2138" s="582" t="s">
        <v>117</v>
      </c>
    </row>
    <row r="2139" spans="1:11" hidden="1">
      <c r="A2139" s="1132"/>
      <c r="H2139" s="793" t="s">
        <v>2093</v>
      </c>
      <c r="I2139" s="575"/>
      <c r="J2139" s="580"/>
      <c r="K2139" s="587">
        <f>SUM(K2135:K2137)</f>
        <v>103</v>
      </c>
    </row>
    <row r="2140" spans="1:11" hidden="1">
      <c r="A2140" s="1132"/>
      <c r="I2140" s="575"/>
      <c r="J2140" s="580"/>
      <c r="K2140" s="582" t="s">
        <v>117</v>
      </c>
    </row>
    <row r="2141" spans="1:11" hidden="1">
      <c r="A2141" s="1132"/>
      <c r="F2141" s="1098" t="s">
        <v>2116</v>
      </c>
      <c r="H2141" s="793" t="s">
        <v>2117</v>
      </c>
      <c r="I2141" s="575"/>
      <c r="J2141" s="580"/>
      <c r="K2141" s="575"/>
    </row>
    <row r="2142" spans="1:11" hidden="1">
      <c r="A2142" s="1132"/>
      <c r="H2142" s="793" t="s">
        <v>2118</v>
      </c>
      <c r="I2142" s="575"/>
      <c r="J2142" s="580"/>
      <c r="K2142" s="575"/>
    </row>
    <row r="2143" spans="1:11" hidden="1">
      <c r="A2143" s="1132"/>
      <c r="H2143" s="796" t="s">
        <v>117</v>
      </c>
      <c r="I2143" s="575"/>
      <c r="J2143" s="580"/>
      <c r="K2143" s="575"/>
    </row>
    <row r="2144" spans="1:11" hidden="1">
      <c r="A2144" s="1132"/>
      <c r="F2144" s="800">
        <v>2.5</v>
      </c>
      <c r="G2144" s="798" t="s">
        <v>2119</v>
      </c>
      <c r="H2144" s="793" t="s">
        <v>2117</v>
      </c>
      <c r="I2144" s="587">
        <f>C566</f>
        <v>28.5</v>
      </c>
      <c r="J2144" s="574">
        <v>2.5</v>
      </c>
      <c r="K2144" s="587">
        <f>(F2144*I2144)/F2144</f>
        <v>28.5</v>
      </c>
    </row>
    <row r="2145" spans="1:11" hidden="1">
      <c r="A2145" s="1132"/>
      <c r="H2145" s="793" t="s">
        <v>2120</v>
      </c>
      <c r="I2145" s="575"/>
      <c r="J2145" s="574" t="s">
        <v>2119</v>
      </c>
      <c r="K2145" s="575"/>
    </row>
    <row r="2146" spans="1:11" hidden="1">
      <c r="A2146" s="1132"/>
      <c r="G2146" s="798" t="s">
        <v>129</v>
      </c>
      <c r="H2146" s="793" t="s">
        <v>2121</v>
      </c>
      <c r="I2146" s="575"/>
      <c r="J2146" s="574" t="s">
        <v>129</v>
      </c>
      <c r="K2146" s="587">
        <v>1.5</v>
      </c>
    </row>
    <row r="2147" spans="1:11" hidden="1">
      <c r="A2147" s="1132"/>
      <c r="I2147" s="575"/>
      <c r="J2147" s="580"/>
      <c r="K2147" s="582" t="s">
        <v>117</v>
      </c>
    </row>
    <row r="2148" spans="1:11" hidden="1">
      <c r="A2148" s="1132"/>
      <c r="H2148" s="1098" t="s">
        <v>2104</v>
      </c>
      <c r="I2148" s="575"/>
      <c r="J2148" s="580"/>
      <c r="K2148" s="587">
        <f>SUM(K2144:K2146)</f>
        <v>30</v>
      </c>
    </row>
    <row r="2149" spans="1:11" hidden="1">
      <c r="A2149" s="1132"/>
      <c r="I2149" s="575"/>
      <c r="J2149" s="580"/>
      <c r="K2149" s="582" t="s">
        <v>155</v>
      </c>
    </row>
    <row r="2150" spans="1:11" hidden="1">
      <c r="A2150" s="1132"/>
      <c r="I2150" s="575"/>
      <c r="J2150" s="580"/>
      <c r="K2150" s="575"/>
    </row>
    <row r="2151" spans="1:11" hidden="1">
      <c r="A2151" s="1132"/>
      <c r="F2151" s="1098" t="s">
        <v>2122</v>
      </c>
      <c r="G2151" s="798" t="s">
        <v>122</v>
      </c>
      <c r="H2151" s="793" t="s">
        <v>2123</v>
      </c>
      <c r="I2151" s="575"/>
      <c r="J2151" s="580"/>
      <c r="K2151" s="575"/>
    </row>
    <row r="2152" spans="1:11" hidden="1">
      <c r="A2152" s="1132"/>
      <c r="H2152" s="793" t="s">
        <v>2124</v>
      </c>
      <c r="I2152" s="575"/>
      <c r="J2152" s="580"/>
      <c r="K2152" s="575"/>
    </row>
    <row r="2153" spans="1:11" hidden="1">
      <c r="A2153" s="1132"/>
      <c r="H2153" s="793" t="s">
        <v>2125</v>
      </c>
      <c r="I2153" s="575"/>
      <c r="J2153" s="580"/>
      <c r="K2153" s="575"/>
    </row>
    <row r="2154" spans="1:11" hidden="1">
      <c r="A2154" s="1132"/>
      <c r="H2154" s="793" t="s">
        <v>2126</v>
      </c>
      <c r="I2154" s="575"/>
      <c r="J2154" s="580"/>
      <c r="K2154" s="575"/>
    </row>
    <row r="2155" spans="1:11" hidden="1">
      <c r="A2155" s="1132"/>
      <c r="H2155" s="793" t="s">
        <v>2127</v>
      </c>
      <c r="I2155" s="575"/>
      <c r="J2155" s="580"/>
      <c r="K2155" s="575"/>
    </row>
    <row r="2156" spans="1:11" hidden="1">
      <c r="A2156" s="1132"/>
      <c r="H2156" s="793" t="s">
        <v>2128</v>
      </c>
      <c r="I2156" s="575"/>
      <c r="J2156" s="580"/>
      <c r="K2156" s="575"/>
    </row>
    <row r="2157" spans="1:11" hidden="1">
      <c r="A2157" s="1132"/>
      <c r="H2157" s="793" t="s">
        <v>2129</v>
      </c>
      <c r="I2157" s="575"/>
      <c r="J2157" s="580"/>
      <c r="K2157" s="575"/>
    </row>
    <row r="2158" spans="1:11" hidden="1">
      <c r="A2158" s="1132"/>
      <c r="H2158" s="793" t="s">
        <v>2130</v>
      </c>
      <c r="I2158" s="575"/>
      <c r="J2158" s="580"/>
      <c r="K2158" s="575"/>
    </row>
    <row r="2159" spans="1:11" hidden="1">
      <c r="A2159" s="1132"/>
      <c r="H2159" s="793" t="s">
        <v>2131</v>
      </c>
      <c r="I2159" s="575"/>
      <c r="J2159" s="580"/>
      <c r="K2159" s="575"/>
    </row>
    <row r="2160" spans="1:11" hidden="1">
      <c r="A2160" s="1132"/>
      <c r="H2160" s="793" t="s">
        <v>2132</v>
      </c>
      <c r="I2160" s="575"/>
      <c r="J2160" s="580"/>
      <c r="K2160" s="575"/>
    </row>
    <row r="2161" spans="1:11" hidden="1">
      <c r="A2161" s="1132"/>
      <c r="H2161" s="793" t="s">
        <v>2133</v>
      </c>
      <c r="I2161" s="575"/>
      <c r="J2161" s="580"/>
      <c r="K2161" s="575"/>
    </row>
    <row r="2162" spans="1:11" hidden="1">
      <c r="A2162" s="1132"/>
      <c r="H2162" s="793" t="s">
        <v>2134</v>
      </c>
      <c r="I2162" s="575"/>
      <c r="J2162" s="580"/>
      <c r="K2162" s="575"/>
    </row>
    <row r="2163" spans="1:11" hidden="1">
      <c r="A2163" s="1132"/>
      <c r="H2163" s="796" t="s">
        <v>117</v>
      </c>
      <c r="I2163" s="582" t="s">
        <v>117</v>
      </c>
      <c r="J2163" s="580"/>
      <c r="K2163" s="575"/>
    </row>
    <row r="2164" spans="1:11" hidden="1">
      <c r="A2164" s="1132"/>
      <c r="F2164" s="793" t="s">
        <v>115</v>
      </c>
      <c r="I2164" s="575"/>
      <c r="J2164" s="580"/>
      <c r="K2164" s="575"/>
    </row>
    <row r="2165" spans="1:11" hidden="1">
      <c r="A2165" s="1132"/>
      <c r="F2165" s="1119">
        <v>1.7399999999999999E-2</v>
      </c>
      <c r="G2165" s="798" t="s">
        <v>429</v>
      </c>
      <c r="H2165" s="793" t="s">
        <v>2135</v>
      </c>
      <c r="I2165" s="587">
        <f>C86</f>
        <v>20605</v>
      </c>
      <c r="J2165" s="574" t="s">
        <v>429</v>
      </c>
      <c r="K2165" s="587">
        <f t="shared" ref="K2165:K2172" si="68">F2165*I2165</f>
        <v>358.52699999999999</v>
      </c>
    </row>
    <row r="2166" spans="1:11" hidden="1">
      <c r="A2166" s="1132"/>
      <c r="F2166" s="1119">
        <v>2.93E-2</v>
      </c>
      <c r="G2166" s="798" t="s">
        <v>429</v>
      </c>
      <c r="H2166" s="793" t="s">
        <v>2136</v>
      </c>
      <c r="I2166" s="587">
        <f>C87</f>
        <v>23685</v>
      </c>
      <c r="J2166" s="574" t="s">
        <v>429</v>
      </c>
      <c r="K2166" s="587">
        <f t="shared" si="68"/>
        <v>693.97050000000002</v>
      </c>
    </row>
    <row r="2167" spans="1:11" hidden="1">
      <c r="A2167" s="1132"/>
      <c r="F2167" s="1119">
        <v>1.093</v>
      </c>
      <c r="G2167" s="798" t="s">
        <v>174</v>
      </c>
      <c r="H2167" s="793" t="s">
        <v>2137</v>
      </c>
      <c r="I2167" s="592">
        <f>C198</f>
        <v>212</v>
      </c>
      <c r="J2167" s="574" t="s">
        <v>174</v>
      </c>
      <c r="K2167" s="587">
        <f t="shared" si="68"/>
        <v>231.71600000000001</v>
      </c>
    </row>
    <row r="2168" spans="1:11" hidden="1">
      <c r="A2168" s="1132"/>
      <c r="F2168" s="800">
        <v>6</v>
      </c>
      <c r="G2168" s="798" t="s">
        <v>233</v>
      </c>
      <c r="H2168" s="793" t="s">
        <v>3574</v>
      </c>
      <c r="I2168" s="587">
        <f>C296</f>
        <v>3.25</v>
      </c>
      <c r="J2168" s="574" t="s">
        <v>227</v>
      </c>
      <c r="K2168" s="587">
        <f t="shared" si="68"/>
        <v>19.5</v>
      </c>
    </row>
    <row r="2169" spans="1:11" hidden="1">
      <c r="A2169" s="1132"/>
      <c r="F2169" s="800">
        <v>1</v>
      </c>
      <c r="G2169" s="798" t="s">
        <v>233</v>
      </c>
      <c r="H2169" s="793" t="s">
        <v>3575</v>
      </c>
      <c r="I2169" s="587">
        <f>C286</f>
        <v>80</v>
      </c>
      <c r="J2169" s="574" t="s">
        <v>227</v>
      </c>
      <c r="K2169" s="587">
        <f t="shared" si="68"/>
        <v>80</v>
      </c>
    </row>
    <row r="2170" spans="1:11" hidden="1">
      <c r="A2170" s="1132"/>
      <c r="F2170" s="800">
        <v>2</v>
      </c>
      <c r="G2170" s="798" t="s">
        <v>233</v>
      </c>
      <c r="H2170" s="793" t="s">
        <v>2140</v>
      </c>
      <c r="I2170" s="587">
        <f>C307</f>
        <v>0.9</v>
      </c>
      <c r="J2170" s="574" t="s">
        <v>227</v>
      </c>
      <c r="K2170" s="587">
        <f t="shared" si="68"/>
        <v>1.8</v>
      </c>
    </row>
    <row r="2171" spans="1:11" hidden="1">
      <c r="A2171" s="1132"/>
      <c r="F2171" s="800">
        <v>6</v>
      </c>
      <c r="G2171" s="798" t="s">
        <v>233</v>
      </c>
      <c r="H2171" s="793" t="s">
        <v>2141</v>
      </c>
      <c r="I2171" s="587">
        <v>8</v>
      </c>
      <c r="J2171" s="574" t="s">
        <v>227</v>
      </c>
      <c r="K2171" s="587">
        <f t="shared" si="68"/>
        <v>48</v>
      </c>
    </row>
    <row r="2172" spans="1:11" hidden="1">
      <c r="A2172" s="1132"/>
      <c r="F2172" s="1108">
        <v>1.62</v>
      </c>
      <c r="G2172" s="798" t="s">
        <v>174</v>
      </c>
      <c r="H2172" s="793" t="s">
        <v>2142</v>
      </c>
      <c r="I2172" s="587">
        <f>D33</f>
        <v>240</v>
      </c>
      <c r="J2172" s="574" t="s">
        <v>174</v>
      </c>
      <c r="K2172" s="587">
        <f t="shared" si="68"/>
        <v>388.8</v>
      </c>
    </row>
    <row r="2173" spans="1:11" hidden="1">
      <c r="A2173" s="1132"/>
      <c r="G2173" s="798" t="s">
        <v>129</v>
      </c>
      <c r="H2173" s="793" t="s">
        <v>2143</v>
      </c>
      <c r="I2173" s="575"/>
      <c r="J2173" s="574" t="s">
        <v>129</v>
      </c>
      <c r="K2173" s="587">
        <v>0.25</v>
      </c>
    </row>
    <row r="2174" spans="1:11" hidden="1">
      <c r="A2174" s="1132"/>
      <c r="I2174" s="575"/>
      <c r="J2174" s="580"/>
      <c r="K2174" s="582" t="s">
        <v>117</v>
      </c>
    </row>
    <row r="2175" spans="1:11" hidden="1">
      <c r="A2175" s="1132"/>
      <c r="H2175" s="1098" t="s">
        <v>2144</v>
      </c>
      <c r="I2175" s="575"/>
      <c r="J2175" s="580"/>
      <c r="K2175" s="587">
        <f>SUM(K2165:K2173)</f>
        <v>1822.5634999999997</v>
      </c>
    </row>
    <row r="2176" spans="1:11" hidden="1">
      <c r="A2176" s="1132"/>
      <c r="I2176" s="575"/>
      <c r="J2176" s="580"/>
      <c r="K2176" s="582" t="s">
        <v>117</v>
      </c>
    </row>
    <row r="2177" spans="1:11" hidden="1">
      <c r="A2177" s="1132"/>
      <c r="I2177" s="575"/>
      <c r="J2177" s="580"/>
      <c r="K2177" s="575"/>
    </row>
    <row r="2178" spans="1:11" hidden="1">
      <c r="A2178" s="1132"/>
      <c r="H2178" s="1098" t="s">
        <v>2145</v>
      </c>
      <c r="I2178" s="573" t="s">
        <v>115</v>
      </c>
      <c r="J2178" s="580"/>
      <c r="K2178" s="587">
        <f>K2175/1.62</f>
        <v>1125.0391975308639</v>
      </c>
    </row>
    <row r="2179" spans="1:11" hidden="1">
      <c r="A2179" s="1132"/>
      <c r="F2179" s="793" t="s">
        <v>115</v>
      </c>
      <c r="G2179" s="798" t="s">
        <v>115</v>
      </c>
      <c r="H2179" s="793" t="s">
        <v>115</v>
      </c>
      <c r="I2179" s="573" t="s">
        <v>115</v>
      </c>
      <c r="J2179" s="574" t="s">
        <v>115</v>
      </c>
      <c r="K2179" s="575"/>
    </row>
    <row r="2180" spans="1:11" hidden="1">
      <c r="A2180" s="1132"/>
      <c r="I2180" s="575"/>
      <c r="J2180" s="580"/>
      <c r="K2180" s="575"/>
    </row>
    <row r="2181" spans="1:11" hidden="1">
      <c r="A2181" s="1132"/>
      <c r="G2181" s="798" t="s">
        <v>589</v>
      </c>
      <c r="H2181" s="793" t="s">
        <v>1271</v>
      </c>
      <c r="I2181" s="575"/>
      <c r="J2181" s="580"/>
      <c r="K2181" s="575"/>
    </row>
    <row r="2182" spans="1:11" hidden="1">
      <c r="A2182" s="1132"/>
      <c r="H2182" s="793" t="s">
        <v>2146</v>
      </c>
      <c r="I2182" s="575"/>
      <c r="J2182" s="580"/>
      <c r="K2182" s="575"/>
    </row>
    <row r="2183" spans="1:11" hidden="1">
      <c r="A2183" s="1132"/>
      <c r="F2183" s="793" t="s">
        <v>115</v>
      </c>
      <c r="H2183" s="793" t="s">
        <v>2147</v>
      </c>
      <c r="I2183" s="575"/>
      <c r="J2183" s="580"/>
      <c r="K2183" s="575"/>
    </row>
    <row r="2184" spans="1:11" hidden="1">
      <c r="A2184" s="1132"/>
      <c r="F2184" s="1098" t="s">
        <v>2148</v>
      </c>
      <c r="H2184" s="793" t="s">
        <v>1275</v>
      </c>
      <c r="I2184" s="575"/>
      <c r="J2184" s="580"/>
      <c r="K2184" s="587">
        <f>K2860</f>
        <v>1339.9978333333333</v>
      </c>
    </row>
    <row r="2185" spans="1:11" hidden="1">
      <c r="A2185" s="1132"/>
      <c r="F2185" s="1098" t="s">
        <v>2149</v>
      </c>
      <c r="H2185" s="1098" t="s">
        <v>1279</v>
      </c>
      <c r="I2185" s="575"/>
      <c r="J2185" s="580"/>
      <c r="K2185" s="587">
        <f>K2884</f>
        <v>1343.9978333333333</v>
      </c>
    </row>
    <row r="2186" spans="1:11" hidden="1">
      <c r="A2186" s="1132"/>
      <c r="F2186" s="1098" t="s">
        <v>2150</v>
      </c>
      <c r="H2186" s="793" t="s">
        <v>1342</v>
      </c>
      <c r="I2186" s="575"/>
      <c r="J2186" s="580"/>
      <c r="K2186" s="587">
        <f>K2899</f>
        <v>1372.0011666666667</v>
      </c>
    </row>
    <row r="2187" spans="1:11" hidden="1">
      <c r="A2187" s="1132"/>
      <c r="F2187" s="1105">
        <v>65</v>
      </c>
      <c r="H2187" s="793" t="s">
        <v>1281</v>
      </c>
      <c r="I2187" s="575"/>
      <c r="J2187" s="580"/>
      <c r="K2187" s="587">
        <f>K2921</f>
        <v>1397.9978333333333</v>
      </c>
    </row>
    <row r="2188" spans="1:11" hidden="1">
      <c r="A2188" s="1132"/>
      <c r="F2188" s="1105">
        <v>66</v>
      </c>
      <c r="H2188" s="793" t="s">
        <v>1288</v>
      </c>
      <c r="I2188" s="575"/>
      <c r="J2188" s="580"/>
      <c r="K2188" s="587">
        <f>K2945</f>
        <v>2505.9983333333334</v>
      </c>
    </row>
    <row r="2189" spans="1:11" hidden="1">
      <c r="A2189" s="1132"/>
      <c r="F2189" s="1105">
        <v>67</v>
      </c>
      <c r="H2189" s="793" t="s">
        <v>1284</v>
      </c>
      <c r="I2189" s="575"/>
      <c r="J2189" s="580"/>
      <c r="K2189" s="587">
        <f>K2977</f>
        <v>688.00166666666667</v>
      </c>
    </row>
    <row r="2190" spans="1:11" hidden="1">
      <c r="A2190" s="1132"/>
      <c r="F2190" s="1105">
        <v>68</v>
      </c>
      <c r="H2190" s="793" t="s">
        <v>1286</v>
      </c>
      <c r="I2190" s="575"/>
      <c r="J2190" s="580"/>
      <c r="K2190" s="587">
        <f>K2965</f>
        <v>932.00211111111105</v>
      </c>
    </row>
    <row r="2191" spans="1:11" hidden="1">
      <c r="A2191" s="1132"/>
      <c r="F2191" s="1105">
        <v>69</v>
      </c>
      <c r="H2191" s="793" t="s">
        <v>2151</v>
      </c>
      <c r="I2191" s="575"/>
      <c r="J2191" s="580"/>
      <c r="K2191" s="587">
        <f>K2988</f>
        <v>128.995</v>
      </c>
    </row>
    <row r="2192" spans="1:11" hidden="1">
      <c r="A2192" s="1132"/>
      <c r="F2192" s="1105" t="s">
        <v>2152</v>
      </c>
      <c r="H2192" s="793" t="s">
        <v>1351</v>
      </c>
      <c r="I2192" s="575"/>
      <c r="J2192" s="580"/>
      <c r="K2192" s="587">
        <f>K3135</f>
        <v>462</v>
      </c>
    </row>
    <row r="2193" spans="1:11" hidden="1">
      <c r="A2193" s="1132"/>
      <c r="F2193" s="1105" t="s">
        <v>2153</v>
      </c>
      <c r="H2193" s="793" t="s">
        <v>3576</v>
      </c>
      <c r="I2193" s="575"/>
      <c r="J2193" s="580"/>
      <c r="K2193" s="587"/>
    </row>
    <row r="2194" spans="1:11" hidden="1">
      <c r="A2194" s="1132"/>
      <c r="F2194" s="1105" t="s">
        <v>2155</v>
      </c>
      <c r="H2194" s="793" t="s">
        <v>2156</v>
      </c>
      <c r="I2194" s="575"/>
      <c r="J2194" s="580"/>
      <c r="K2194" s="587">
        <v>10</v>
      </c>
    </row>
    <row r="2195" spans="1:11" hidden="1">
      <c r="A2195" s="1132"/>
      <c r="F2195" s="1105" t="s">
        <v>2157</v>
      </c>
      <c r="H2195" s="793" t="s">
        <v>2158</v>
      </c>
      <c r="I2195" s="575"/>
      <c r="J2195" s="580"/>
      <c r="K2195" s="587">
        <v>8</v>
      </c>
    </row>
    <row r="2196" spans="1:11" hidden="1">
      <c r="A2196" s="1132"/>
      <c r="F2196" s="1105">
        <v>71</v>
      </c>
      <c r="H2196" s="793" t="s">
        <v>1352</v>
      </c>
      <c r="I2196" s="575"/>
      <c r="J2196" s="580"/>
      <c r="K2196" s="587">
        <f>K3154</f>
        <v>815</v>
      </c>
    </row>
    <row r="2197" spans="1:11" hidden="1">
      <c r="A2197" s="1132"/>
      <c r="F2197" s="1105">
        <v>72</v>
      </c>
      <c r="H2197" s="793" t="s">
        <v>2159</v>
      </c>
      <c r="I2197" s="575"/>
      <c r="J2197" s="580"/>
      <c r="K2197" s="587">
        <v>31</v>
      </c>
    </row>
    <row r="2198" spans="1:11" hidden="1">
      <c r="A2198" s="1132"/>
      <c r="F2198" s="1105" t="s">
        <v>2160</v>
      </c>
      <c r="H2198" s="793" t="s">
        <v>1355</v>
      </c>
      <c r="I2198" s="575"/>
      <c r="J2198" s="580"/>
      <c r="K2198" s="587">
        <f>K3233</f>
        <v>4016.0020833333328</v>
      </c>
    </row>
    <row r="2199" spans="1:11" hidden="1">
      <c r="A2199" s="1132"/>
      <c r="F2199" s="1105" t="s">
        <v>2161</v>
      </c>
      <c r="H2199" s="793" t="s">
        <v>2162</v>
      </c>
      <c r="I2199" s="575"/>
      <c r="J2199" s="580"/>
      <c r="K2199" s="587">
        <f>K3221</f>
        <v>3250.0020833333333</v>
      </c>
    </row>
    <row r="2200" spans="1:11" hidden="1">
      <c r="A2200" s="1132"/>
      <c r="F2200" s="1105">
        <v>74</v>
      </c>
      <c r="H2200" s="793" t="s">
        <v>242</v>
      </c>
      <c r="I2200" s="575"/>
      <c r="J2200" s="580"/>
      <c r="K2200" s="587">
        <f>K3277</f>
        <v>467.00100000000003</v>
      </c>
    </row>
    <row r="2201" spans="1:11" hidden="1">
      <c r="A2201" s="1132"/>
      <c r="F2201" s="1105" t="s">
        <v>2163</v>
      </c>
      <c r="H2201" s="793" t="s">
        <v>1357</v>
      </c>
      <c r="I2201" s="575"/>
      <c r="J2201" s="580"/>
      <c r="K2201" s="587">
        <f>K3767</f>
        <v>1284</v>
      </c>
    </row>
    <row r="2202" spans="1:11" hidden="1">
      <c r="A2202" s="1132"/>
      <c r="F2202" s="1105" t="s">
        <v>2165</v>
      </c>
      <c r="H2202" s="793" t="s">
        <v>1358</v>
      </c>
      <c r="I2202" s="575"/>
      <c r="J2202" s="580"/>
      <c r="K2202" s="587">
        <v>0</v>
      </c>
    </row>
    <row r="2203" spans="1:11" hidden="1">
      <c r="A2203" s="1132"/>
      <c r="F2203" s="1105">
        <v>112</v>
      </c>
      <c r="H2203" s="793" t="s">
        <v>2166</v>
      </c>
      <c r="I2203" s="575"/>
      <c r="J2203" s="580"/>
      <c r="K2203" s="587">
        <f>K3744</f>
        <v>1918.998</v>
      </c>
    </row>
    <row r="2204" spans="1:11" hidden="1">
      <c r="A2204" s="1132"/>
      <c r="F2204" s="1105">
        <v>76</v>
      </c>
      <c r="H2204" s="793" t="s">
        <v>1360</v>
      </c>
      <c r="I2204" s="575"/>
      <c r="J2204" s="580"/>
      <c r="K2204" s="587">
        <f>K3294</f>
        <v>20.998888888888889</v>
      </c>
    </row>
    <row r="2205" spans="1:11" hidden="1">
      <c r="A2205" s="1132"/>
      <c r="F2205" s="1105">
        <v>77</v>
      </c>
      <c r="H2205" s="793" t="s">
        <v>2167</v>
      </c>
      <c r="I2205" s="575"/>
      <c r="J2205" s="580"/>
      <c r="K2205" s="587">
        <f>K3080</f>
        <v>172</v>
      </c>
    </row>
    <row r="2206" spans="1:11" ht="31.5" hidden="1">
      <c r="A2206" s="1132"/>
      <c r="F2206" s="1144">
        <v>77.099999999999994</v>
      </c>
      <c r="H2206" s="1113" t="s">
        <v>2168</v>
      </c>
      <c r="I2206" s="575"/>
      <c r="J2206" s="580"/>
      <c r="K2206" s="1145">
        <f>K3105</f>
        <v>219</v>
      </c>
    </row>
    <row r="2207" spans="1:11" hidden="1">
      <c r="A2207" s="1132"/>
      <c r="F2207" s="1109">
        <v>77.2</v>
      </c>
      <c r="H2207" s="793" t="s">
        <v>2169</v>
      </c>
      <c r="I2207" s="575"/>
      <c r="J2207" s="580"/>
      <c r="K2207" s="587">
        <v>500</v>
      </c>
    </row>
    <row r="2208" spans="1:11" hidden="1">
      <c r="A2208" s="1132"/>
      <c r="F2208" s="1109">
        <v>77.3</v>
      </c>
      <c r="H2208" s="793" t="s">
        <v>2170</v>
      </c>
      <c r="I2208" s="575"/>
      <c r="J2208" s="580"/>
      <c r="K2208" s="587">
        <f>K3712</f>
        <v>76</v>
      </c>
    </row>
    <row r="2209" spans="1:11" hidden="1">
      <c r="A2209" s="1132"/>
      <c r="F2209" s="1105">
        <v>78</v>
      </c>
      <c r="H2209" s="793" t="s">
        <v>1366</v>
      </c>
      <c r="I2209" s="575"/>
      <c r="J2209" s="580"/>
      <c r="K2209" s="587">
        <f>K3319</f>
        <v>2588</v>
      </c>
    </row>
    <row r="2210" spans="1:11" hidden="1">
      <c r="A2210" s="1132"/>
      <c r="F2210" s="1105">
        <v>80</v>
      </c>
      <c r="H2210" s="793" t="s">
        <v>1373</v>
      </c>
      <c r="I2210" s="575"/>
      <c r="J2210" s="580"/>
      <c r="K2210" s="587">
        <f>K3441</f>
        <v>718.00374999999997</v>
      </c>
    </row>
    <row r="2211" spans="1:11" hidden="1">
      <c r="A2211" s="1132"/>
      <c r="F2211" s="1105">
        <v>81</v>
      </c>
      <c r="H2211" s="793" t="s">
        <v>1376</v>
      </c>
      <c r="I2211" s="575"/>
      <c r="J2211" s="580"/>
      <c r="K2211" s="587">
        <f>K2178</f>
        <v>1125.0391975308639</v>
      </c>
    </row>
    <row r="2212" spans="1:11" hidden="1">
      <c r="A2212" s="1132"/>
      <c r="F2212" s="1105">
        <v>82</v>
      </c>
      <c r="H2212" s="793" t="s">
        <v>1378</v>
      </c>
      <c r="I2212" s="575"/>
      <c r="J2212" s="580"/>
      <c r="K2212" s="587">
        <f>K3638</f>
        <v>2579.0058333333332</v>
      </c>
    </row>
    <row r="2213" spans="1:11" hidden="1">
      <c r="A2213" s="1132"/>
      <c r="F2213" s="1105">
        <v>87</v>
      </c>
      <c r="H2213" s="793" t="s">
        <v>1381</v>
      </c>
      <c r="I2213" s="575"/>
      <c r="J2213" s="580"/>
      <c r="K2213" s="587">
        <f>K3458</f>
        <v>2505</v>
      </c>
    </row>
    <row r="2214" spans="1:11" hidden="1">
      <c r="A2214" s="1132"/>
      <c r="I2214" s="575"/>
      <c r="J2214" s="580"/>
      <c r="K2214" s="575"/>
    </row>
    <row r="2215" spans="1:11" hidden="1">
      <c r="A2215" s="1132"/>
      <c r="I2215" s="575"/>
      <c r="J2215" s="580"/>
      <c r="K2215" s="575"/>
    </row>
    <row r="2216" spans="1:11" ht="31.5" hidden="1">
      <c r="A2216" s="1132"/>
      <c r="F2216" s="1146">
        <v>77.400000000000006</v>
      </c>
      <c r="H2216" s="1116" t="s">
        <v>2173</v>
      </c>
      <c r="I2216" s="575"/>
      <c r="J2216" s="580"/>
      <c r="K2216" s="575"/>
    </row>
    <row r="2217" spans="1:11" hidden="1">
      <c r="A2217" s="1132"/>
      <c r="H2217" s="793" t="s">
        <v>2146</v>
      </c>
      <c r="I2217" s="575"/>
      <c r="J2217" s="580"/>
      <c r="K2217" s="575"/>
    </row>
    <row r="2218" spans="1:11" hidden="1">
      <c r="A2218" s="1132"/>
      <c r="F2218" s="794">
        <v>90</v>
      </c>
      <c r="G2218" s="792" t="s">
        <v>2174</v>
      </c>
      <c r="H2218" s="1140" t="s">
        <v>3577</v>
      </c>
      <c r="I2218" s="575">
        <v>16.95</v>
      </c>
      <c r="J2218" s="580" t="s">
        <v>2174</v>
      </c>
      <c r="K2218" s="575">
        <f>I2218*F2218</f>
        <v>1525.5</v>
      </c>
    </row>
    <row r="2219" spans="1:11" hidden="1">
      <c r="A2219" s="1132"/>
      <c r="F2219" s="794">
        <v>0.15</v>
      </c>
      <c r="G2219" s="792" t="s">
        <v>1123</v>
      </c>
      <c r="H2219" s="794" t="s">
        <v>125</v>
      </c>
      <c r="I2219" s="575">
        <f>AC31</f>
        <v>3800</v>
      </c>
      <c r="J2219" s="580" t="s">
        <v>1123</v>
      </c>
      <c r="K2219" s="575">
        <f>I2219*F2219</f>
        <v>570</v>
      </c>
    </row>
    <row r="2220" spans="1:11" hidden="1">
      <c r="A2220" s="1132"/>
      <c r="F2220" s="794">
        <v>1</v>
      </c>
      <c r="G2220" s="792" t="s">
        <v>1</v>
      </c>
      <c r="H2220" s="794" t="s">
        <v>2176</v>
      </c>
      <c r="I2220" s="575">
        <f>C780</f>
        <v>160</v>
      </c>
      <c r="J2220" s="580" t="s">
        <v>1</v>
      </c>
      <c r="K2220" s="575">
        <f>I2220*F2220</f>
        <v>160</v>
      </c>
    </row>
    <row r="2221" spans="1:11" hidden="1">
      <c r="A2221" s="1132"/>
      <c r="F2221" s="794">
        <v>2</v>
      </c>
      <c r="G2221" s="792" t="s">
        <v>1</v>
      </c>
      <c r="H2221" s="794" t="s">
        <v>145</v>
      </c>
      <c r="I2221" s="575">
        <f>AE10</f>
        <v>135</v>
      </c>
      <c r="J2221" s="580" t="s">
        <v>1</v>
      </c>
      <c r="K2221" s="575">
        <f>I2221*F2221</f>
        <v>270</v>
      </c>
    </row>
    <row r="2222" spans="1:11" hidden="1">
      <c r="A2222" s="1132"/>
      <c r="F2222" s="794">
        <v>4</v>
      </c>
      <c r="G2222" s="792" t="s">
        <v>1</v>
      </c>
      <c r="H2222" s="794" t="s">
        <v>2185</v>
      </c>
      <c r="I2222" s="575">
        <f>C781</f>
        <v>110</v>
      </c>
      <c r="J2222" s="580" t="s">
        <v>1</v>
      </c>
      <c r="K2222" s="575">
        <f>I2222*F2222</f>
        <v>440</v>
      </c>
    </row>
    <row r="2223" spans="1:11" hidden="1">
      <c r="A2223" s="1132"/>
      <c r="H2223" s="794" t="s">
        <v>2177</v>
      </c>
      <c r="I2223" s="575"/>
      <c r="J2223" s="580"/>
      <c r="K2223" s="575">
        <v>8.5</v>
      </c>
    </row>
    <row r="2224" spans="1:11" hidden="1">
      <c r="A2224" s="1132"/>
      <c r="I2224" s="575"/>
      <c r="J2224" s="580"/>
      <c r="K2224" s="582" t="s">
        <v>117</v>
      </c>
    </row>
    <row r="2225" spans="1:11" hidden="1">
      <c r="A2225" s="1132"/>
      <c r="H2225" s="793" t="s">
        <v>2178</v>
      </c>
      <c r="I2225" s="575"/>
      <c r="J2225" s="580"/>
      <c r="K2225" s="587">
        <f>SUM(K2218:K2223)</f>
        <v>2974</v>
      </c>
    </row>
    <row r="2226" spans="1:11" hidden="1">
      <c r="A2226" s="1132"/>
      <c r="I2226" s="575"/>
      <c r="J2226" s="580"/>
      <c r="K2226" s="582" t="s">
        <v>117</v>
      </c>
    </row>
    <row r="2227" spans="1:11" hidden="1">
      <c r="A2227" s="1132"/>
      <c r="H2227" s="793" t="s">
        <v>2094</v>
      </c>
      <c r="I2227" s="575"/>
      <c r="J2227" s="580"/>
      <c r="K2227" s="587">
        <f>(K2225/90)</f>
        <v>33.044444444444444</v>
      </c>
    </row>
    <row r="2228" spans="1:11" hidden="1">
      <c r="A2228" s="1132"/>
      <c r="I2228" s="575"/>
      <c r="J2228" s="580"/>
      <c r="K2228" s="582" t="s">
        <v>155</v>
      </c>
    </row>
    <row r="2229" spans="1:11" hidden="1">
      <c r="A2229" s="1132"/>
      <c r="I2229" s="575"/>
      <c r="J2229" s="580"/>
      <c r="K2229" s="575"/>
    </row>
    <row r="2230" spans="1:11" hidden="1">
      <c r="A2230" s="1132"/>
      <c r="F2230" s="1120">
        <v>78.099999999999994</v>
      </c>
      <c r="H2230" s="793" t="s">
        <v>2179</v>
      </c>
      <c r="I2230" s="575"/>
      <c r="J2230" s="580"/>
      <c r="K2230" s="575"/>
    </row>
    <row r="2231" spans="1:11" hidden="1">
      <c r="A2231" s="1132"/>
      <c r="H2231" s="793" t="s">
        <v>2146</v>
      </c>
      <c r="I2231" s="575"/>
      <c r="J2231" s="580"/>
      <c r="K2231" s="575"/>
    </row>
    <row r="2232" spans="1:11" hidden="1">
      <c r="A2232" s="1132"/>
      <c r="F2232" s="794">
        <v>2.5</v>
      </c>
      <c r="G2232" s="792" t="s">
        <v>1</v>
      </c>
      <c r="H2232" s="794" t="s">
        <v>2180</v>
      </c>
      <c r="I2232" s="575">
        <v>120</v>
      </c>
      <c r="J2232" s="580" t="s">
        <v>1</v>
      </c>
      <c r="K2232" s="575">
        <f t="shared" ref="K2232:K2237" si="69">I2232*F2232</f>
        <v>300</v>
      </c>
    </row>
    <row r="2233" spans="1:11" hidden="1">
      <c r="A2233" s="1132"/>
      <c r="F2233" s="794">
        <v>20</v>
      </c>
      <c r="G2233" s="792" t="s">
        <v>1962</v>
      </c>
      <c r="H2233" s="794" t="s">
        <v>3578</v>
      </c>
      <c r="I2233" s="575">
        <v>4</v>
      </c>
      <c r="J2233" s="580" t="s">
        <v>1962</v>
      </c>
      <c r="K2233" s="575">
        <f t="shared" si="69"/>
        <v>80</v>
      </c>
    </row>
    <row r="2234" spans="1:11" hidden="1">
      <c r="A2234" s="1132"/>
      <c r="F2234" s="794">
        <v>9</v>
      </c>
      <c r="G2234" s="792" t="s">
        <v>1962</v>
      </c>
      <c r="H2234" s="794" t="s">
        <v>3579</v>
      </c>
      <c r="I2234" s="575">
        <v>4</v>
      </c>
      <c r="J2234" s="580" t="s">
        <v>1962</v>
      </c>
      <c r="K2234" s="575">
        <f t="shared" si="69"/>
        <v>36</v>
      </c>
    </row>
    <row r="2235" spans="1:11" hidden="1">
      <c r="A2235" s="1132"/>
      <c r="F2235" s="794">
        <v>0.5</v>
      </c>
      <c r="G2235" s="792" t="s">
        <v>1962</v>
      </c>
      <c r="H2235" s="794" t="s">
        <v>3580</v>
      </c>
      <c r="I2235" s="575">
        <v>30</v>
      </c>
      <c r="J2235" s="580" t="s">
        <v>1962</v>
      </c>
      <c r="K2235" s="575">
        <f t="shared" si="69"/>
        <v>15</v>
      </c>
    </row>
    <row r="2236" spans="1:11" hidden="1">
      <c r="A2236" s="1132"/>
      <c r="F2236" s="794">
        <v>0.5</v>
      </c>
      <c r="G2236" s="792" t="s">
        <v>1</v>
      </c>
      <c r="H2236" s="794" t="s">
        <v>2184</v>
      </c>
      <c r="I2236" s="575">
        <f>C780</f>
        <v>160</v>
      </c>
      <c r="J2236" s="580" t="s">
        <v>1</v>
      </c>
      <c r="K2236" s="575">
        <f t="shared" si="69"/>
        <v>80</v>
      </c>
    </row>
    <row r="2237" spans="1:11" hidden="1">
      <c r="A2237" s="1132"/>
      <c r="F2237" s="794">
        <v>1</v>
      </c>
      <c r="G2237" s="792" t="s">
        <v>1</v>
      </c>
      <c r="H2237" s="794" t="s">
        <v>2185</v>
      </c>
      <c r="I2237" s="575">
        <f>C781</f>
        <v>110</v>
      </c>
      <c r="J2237" s="580" t="s">
        <v>1</v>
      </c>
      <c r="K2237" s="575">
        <f t="shared" si="69"/>
        <v>110</v>
      </c>
    </row>
    <row r="2238" spans="1:11" ht="31.5" hidden="1">
      <c r="A2238" s="1132"/>
      <c r="G2238" s="792" t="s">
        <v>166</v>
      </c>
      <c r="H2238" s="1140" t="s">
        <v>2186</v>
      </c>
      <c r="I2238" s="575"/>
      <c r="J2238" s="580" t="s">
        <v>166</v>
      </c>
      <c r="K2238" s="575">
        <v>165</v>
      </c>
    </row>
    <row r="2239" spans="1:11" hidden="1">
      <c r="A2239" s="1132"/>
      <c r="G2239" s="792" t="s">
        <v>166</v>
      </c>
      <c r="H2239" s="794" t="s">
        <v>2187</v>
      </c>
      <c r="I2239" s="575"/>
      <c r="J2239" s="580" t="s">
        <v>166</v>
      </c>
      <c r="K2239" s="575">
        <v>9.5</v>
      </c>
    </row>
    <row r="2240" spans="1:11" hidden="1">
      <c r="A2240" s="1132"/>
      <c r="I2240" s="575"/>
      <c r="J2240" s="580"/>
      <c r="K2240" s="582" t="s">
        <v>117</v>
      </c>
    </row>
    <row r="2241" spans="1:11" hidden="1">
      <c r="A2241" s="1132"/>
      <c r="H2241" s="794" t="s">
        <v>1440</v>
      </c>
      <c r="I2241" s="575"/>
      <c r="J2241" s="580"/>
      <c r="K2241" s="587">
        <f>SUM(K2232:K2239)</f>
        <v>795.5</v>
      </c>
    </row>
    <row r="2242" spans="1:11" hidden="1">
      <c r="A2242" s="1132"/>
      <c r="I2242" s="575"/>
      <c r="J2242" s="580"/>
      <c r="K2242" s="582" t="s">
        <v>117</v>
      </c>
    </row>
    <row r="2243" spans="1:11" hidden="1">
      <c r="A2243" s="1132"/>
    </row>
    <row r="2244" spans="1:11" ht="21.75" hidden="1">
      <c r="A2244" s="1132"/>
      <c r="E2244" s="1147"/>
      <c r="F2244" s="1147"/>
      <c r="G2244" s="1148"/>
      <c r="H2244" s="1149" t="s">
        <v>3581</v>
      </c>
      <c r="I2244" s="1147"/>
      <c r="J2244" s="1150"/>
      <c r="K2244" s="1151"/>
    </row>
    <row r="2245" spans="1:11" ht="17.25" hidden="1">
      <c r="A2245" s="1132"/>
      <c r="E2245" s="1147"/>
      <c r="F2245" s="1148"/>
      <c r="G2245" s="1147"/>
      <c r="H2245" s="1147"/>
      <c r="I2245" s="1150"/>
      <c r="J2245" s="1147"/>
      <c r="K2245" s="1147"/>
    </row>
    <row r="2246" spans="1:11" ht="17.25" hidden="1">
      <c r="A2246" s="1132"/>
      <c r="E2246" s="1147"/>
      <c r="F2246" s="1148">
        <v>53.3</v>
      </c>
      <c r="G2246" s="1147"/>
      <c r="H2246" s="1147" t="s">
        <v>3582</v>
      </c>
      <c r="I2246" s="1150"/>
      <c r="J2246" s="1147"/>
      <c r="K2246" s="1147">
        <v>957</v>
      </c>
    </row>
    <row r="2247" spans="1:11" ht="17.25" hidden="1">
      <c r="A2247" s="1132"/>
      <c r="E2247" s="1147"/>
      <c r="F2247" s="1148"/>
      <c r="G2247" s="1147"/>
      <c r="H2247" s="1147"/>
      <c r="I2247" s="1150"/>
      <c r="J2247" s="1147"/>
      <c r="K2247" s="1147"/>
    </row>
    <row r="2248" spans="1:11" ht="34.5" hidden="1">
      <c r="A2248" s="1132"/>
      <c r="E2248" s="1147"/>
      <c r="F2248" s="1152" t="s">
        <v>3583</v>
      </c>
      <c r="G2248" s="1147"/>
      <c r="H2248" s="1153" t="s">
        <v>1575</v>
      </c>
      <c r="I2248" s="1150"/>
      <c r="J2248" s="1147"/>
      <c r="K2248" s="1147"/>
    </row>
    <row r="2249" spans="1:11" ht="17.25" hidden="1">
      <c r="A2249" s="1132"/>
      <c r="E2249" s="1147"/>
      <c r="F2249" s="1148"/>
      <c r="G2249" s="1147"/>
      <c r="H2249" s="1154" t="s">
        <v>117</v>
      </c>
      <c r="I2249" s="1154" t="s">
        <v>117</v>
      </c>
      <c r="J2249" s="1154" t="s">
        <v>117</v>
      </c>
      <c r="K2249" s="1147"/>
    </row>
    <row r="2250" spans="1:11" ht="17.25" hidden="1">
      <c r="A2250" s="1132"/>
      <c r="E2250" s="1147"/>
      <c r="F2250" s="1148"/>
      <c r="G2250" s="1147"/>
      <c r="H2250" s="1147"/>
      <c r="I2250" s="1150"/>
      <c r="J2250" s="1147"/>
      <c r="K2250" s="1147"/>
    </row>
    <row r="2251" spans="1:11" ht="17.25" hidden="1">
      <c r="A2251" s="1132"/>
      <c r="E2251" s="1147"/>
      <c r="F2251" s="1148"/>
      <c r="G2251" s="1147"/>
      <c r="H2251" s="1147" t="s">
        <v>1580</v>
      </c>
      <c r="I2251" s="1150"/>
      <c r="J2251" s="1147"/>
      <c r="K2251" s="1147"/>
    </row>
    <row r="2252" spans="1:11" ht="17.25" hidden="1">
      <c r="A2252" s="1132"/>
      <c r="E2252" s="1147"/>
      <c r="F2252" s="1148"/>
      <c r="G2252" s="1147"/>
      <c r="H2252" s="1147" t="s">
        <v>1582</v>
      </c>
      <c r="I2252" s="1150"/>
      <c r="J2252" s="1147"/>
      <c r="K2252" s="1147"/>
    </row>
    <row r="2253" spans="1:11" ht="17.25" hidden="1">
      <c r="A2253" s="1132"/>
      <c r="E2253" s="1147"/>
      <c r="F2253" s="1148"/>
      <c r="G2253" s="1147"/>
      <c r="H2253" s="1147" t="s">
        <v>1583</v>
      </c>
      <c r="I2253" s="1150"/>
      <c r="J2253" s="1147"/>
      <c r="K2253" s="1147"/>
    </row>
    <row r="2254" spans="1:11" ht="17.25" hidden="1">
      <c r="A2254" s="1132"/>
      <c r="E2254" s="1147"/>
      <c r="F2254" s="1148"/>
      <c r="G2254" s="1147"/>
      <c r="H2254" s="1147" t="s">
        <v>1584</v>
      </c>
      <c r="I2254" s="1150"/>
      <c r="J2254" s="1147"/>
      <c r="K2254" s="1147"/>
    </row>
    <row r="2255" spans="1:11" ht="17.25" hidden="1">
      <c r="A2255" s="1132"/>
      <c r="E2255" s="1147"/>
      <c r="F2255" s="1148"/>
      <c r="G2255" s="1147"/>
      <c r="H2255" s="1147" t="s">
        <v>1585</v>
      </c>
      <c r="I2255" s="1150"/>
      <c r="J2255" s="1147"/>
      <c r="K2255" s="1147"/>
    </row>
    <row r="2256" spans="1:11" ht="17.25" hidden="1">
      <c r="A2256" s="1132"/>
      <c r="E2256" s="1147"/>
      <c r="F2256" s="1148"/>
      <c r="G2256" s="1147"/>
      <c r="H2256" s="1147" t="s">
        <v>3584</v>
      </c>
      <c r="I2256" s="1150"/>
      <c r="J2256" s="1147" t="s">
        <v>115</v>
      </c>
      <c r="K2256" s="1147">
        <v>3.32E-2</v>
      </c>
    </row>
    <row r="2257" spans="1:11" ht="17.25" hidden="1">
      <c r="A2257" s="1132"/>
      <c r="E2257" s="1147"/>
      <c r="F2257" s="1148"/>
      <c r="G2257" s="1147"/>
      <c r="H2257" s="1147" t="s">
        <v>3585</v>
      </c>
      <c r="I2257" s="1150"/>
      <c r="J2257" s="1147" t="s">
        <v>115</v>
      </c>
      <c r="K2257" s="1147" t="s">
        <v>115</v>
      </c>
    </row>
    <row r="2258" spans="1:11" ht="17.25" hidden="1">
      <c r="A2258" s="1132"/>
      <c r="E2258" s="1147"/>
      <c r="F2258" s="1148"/>
      <c r="G2258" s="1147"/>
      <c r="H2258" s="1147" t="s">
        <v>1590</v>
      </c>
      <c r="I2258" s="1150"/>
      <c r="J2258" s="1147"/>
      <c r="K2258" s="1147" t="s">
        <v>115</v>
      </c>
    </row>
    <row r="2259" spans="1:11" ht="17.25" hidden="1">
      <c r="A2259" s="1132"/>
      <c r="E2259" s="1147"/>
      <c r="F2259" s="1148"/>
      <c r="G2259" s="1147"/>
      <c r="H2259" s="1147"/>
      <c r="I2259" s="1150"/>
      <c r="J2259" s="1147"/>
      <c r="K2259" s="1147"/>
    </row>
    <row r="2260" spans="1:11" ht="17.25" hidden="1">
      <c r="A2260" s="1132"/>
      <c r="E2260" s="1147"/>
      <c r="F2260" s="1155">
        <v>1.18E-2</v>
      </c>
      <c r="G2260" s="1147" t="s">
        <v>126</v>
      </c>
      <c r="H2260" s="1147" t="s">
        <v>621</v>
      </c>
      <c r="I2260" s="1150">
        <f>I1083</f>
        <v>65420</v>
      </c>
      <c r="J2260" s="1147" t="s">
        <v>126</v>
      </c>
      <c r="K2260" s="1147">
        <f>I2260*F2260</f>
        <v>771.95600000000002</v>
      </c>
    </row>
    <row r="2261" spans="1:11" ht="17.25" hidden="1">
      <c r="A2261" s="1132"/>
      <c r="E2261" s="1147"/>
      <c r="F2261" s="1155">
        <v>3.7699999999999997E-2</v>
      </c>
      <c r="G2261" s="1147" t="s">
        <v>126</v>
      </c>
      <c r="H2261" s="1147" t="s">
        <v>622</v>
      </c>
      <c r="I2261" s="1150">
        <f>I1084</f>
        <v>57165</v>
      </c>
      <c r="J2261" s="1147" t="s">
        <v>126</v>
      </c>
      <c r="K2261" s="1147">
        <f t="shared" ref="K2261:K2269" si="70">I2261*F2261</f>
        <v>2155.1205</v>
      </c>
    </row>
    <row r="2262" spans="1:11" ht="17.25" hidden="1">
      <c r="A2262" s="1132"/>
      <c r="E2262" s="1147"/>
      <c r="F2262" s="1155">
        <v>1.8550000000000001E-2</v>
      </c>
      <c r="G2262" s="1147" t="s">
        <v>126</v>
      </c>
      <c r="H2262" s="1147" t="s">
        <v>1591</v>
      </c>
      <c r="I2262" s="1150">
        <f>I1085</f>
        <v>3035</v>
      </c>
      <c r="J2262" s="1147" t="s">
        <v>126</v>
      </c>
      <c r="K2262" s="1147">
        <f t="shared" si="70"/>
        <v>56.299250000000001</v>
      </c>
    </row>
    <row r="2263" spans="1:11" ht="17.25" hidden="1">
      <c r="A2263" s="1132"/>
      <c r="E2263" s="1147"/>
      <c r="F2263" s="1155">
        <v>1.36</v>
      </c>
      <c r="G2263" s="1147" t="s">
        <v>140</v>
      </c>
      <c r="H2263" s="1147" t="s">
        <v>1592</v>
      </c>
      <c r="I2263" s="1150">
        <v>385.89</v>
      </c>
      <c r="J2263" s="1147" t="s">
        <v>140</v>
      </c>
      <c r="K2263" s="1147">
        <f t="shared" si="70"/>
        <v>524.81040000000007</v>
      </c>
    </row>
    <row r="2264" spans="1:11" ht="17.25" hidden="1">
      <c r="A2264" s="1132"/>
      <c r="E2264" s="1147"/>
      <c r="F2264" s="1155">
        <v>2.0499999999999998</v>
      </c>
      <c r="G2264" s="1147" t="s">
        <v>140</v>
      </c>
      <c r="H2264" s="1147" t="s">
        <v>1593</v>
      </c>
      <c r="I2264" s="1150">
        <f>I1087</f>
        <v>287</v>
      </c>
      <c r="J2264" s="1147" t="s">
        <v>140</v>
      </c>
      <c r="K2264" s="1147">
        <f t="shared" si="70"/>
        <v>588.34999999999991</v>
      </c>
    </row>
    <row r="2265" spans="1:11" ht="17.25" hidden="1">
      <c r="A2265" s="1132"/>
      <c r="E2265" s="1147"/>
      <c r="F2265" s="1156">
        <v>2</v>
      </c>
      <c r="G2265" s="1147" t="s">
        <v>209</v>
      </c>
      <c r="H2265" s="1147" t="s">
        <v>2411</v>
      </c>
      <c r="I2265" s="1150">
        <v>25</v>
      </c>
      <c r="J2265" s="1147" t="s">
        <v>209</v>
      </c>
      <c r="K2265" s="1147">
        <f t="shared" si="70"/>
        <v>50</v>
      </c>
    </row>
    <row r="2266" spans="1:11" ht="17.25" hidden="1">
      <c r="A2266" s="1132"/>
      <c r="E2266" s="1147"/>
      <c r="F2266" s="1156">
        <v>6</v>
      </c>
      <c r="G2266" s="1147" t="s">
        <v>209</v>
      </c>
      <c r="H2266" s="1147" t="s">
        <v>1551</v>
      </c>
      <c r="I2266" s="1150">
        <v>25</v>
      </c>
      <c r="J2266" s="1147" t="s">
        <v>209</v>
      </c>
      <c r="K2266" s="1147">
        <f t="shared" si="70"/>
        <v>150</v>
      </c>
    </row>
    <row r="2267" spans="1:11" ht="17.25" hidden="1">
      <c r="A2267" s="1132"/>
      <c r="E2267" s="1147"/>
      <c r="F2267" s="1156">
        <v>2</v>
      </c>
      <c r="G2267" s="1147" t="s">
        <v>209</v>
      </c>
      <c r="H2267" s="1147" t="s">
        <v>3543</v>
      </c>
      <c r="I2267" s="1150">
        <v>35</v>
      </c>
      <c r="J2267" s="1147" t="s">
        <v>209</v>
      </c>
      <c r="K2267" s="1147">
        <f t="shared" si="70"/>
        <v>70</v>
      </c>
    </row>
    <row r="2268" spans="1:11" ht="17.25" hidden="1">
      <c r="A2268" s="1132"/>
      <c r="E2268" s="1147"/>
      <c r="F2268" s="1156">
        <v>1</v>
      </c>
      <c r="G2268" s="1147" t="s">
        <v>209</v>
      </c>
      <c r="H2268" s="1147" t="s">
        <v>2413</v>
      </c>
      <c r="I2268" s="1150">
        <v>60</v>
      </c>
      <c r="J2268" s="1147" t="s">
        <v>209</v>
      </c>
      <c r="K2268" s="1147">
        <f t="shared" si="70"/>
        <v>60</v>
      </c>
    </row>
    <row r="2269" spans="1:11" ht="17.25" hidden="1">
      <c r="A2269" s="1132"/>
      <c r="E2269" s="1147"/>
      <c r="F2269" s="1155">
        <v>2.52</v>
      </c>
      <c r="G2269" s="1147" t="s">
        <v>140</v>
      </c>
      <c r="H2269" s="1147" t="s">
        <v>1597</v>
      </c>
      <c r="I2269" s="1150">
        <f>K1122</f>
        <v>51.25</v>
      </c>
      <c r="J2269" s="1147" t="s">
        <v>140</v>
      </c>
      <c r="K2269" s="1147">
        <f t="shared" si="70"/>
        <v>129.15</v>
      </c>
    </row>
    <row r="2270" spans="1:11" ht="17.25" hidden="1">
      <c r="A2270" s="1132"/>
      <c r="E2270" s="1147"/>
      <c r="F2270" s="1148"/>
      <c r="G2270" s="1147"/>
      <c r="H2270" s="1147" t="s">
        <v>1598</v>
      </c>
      <c r="I2270" s="1150" t="s">
        <v>129</v>
      </c>
      <c r="J2270" s="1147"/>
      <c r="K2270" s="1147">
        <v>0.28000000000000003</v>
      </c>
    </row>
    <row r="2271" spans="1:11" ht="17.25" hidden="1">
      <c r="A2271" s="1132"/>
      <c r="E2271" s="1147"/>
      <c r="F2271" s="1148"/>
      <c r="G2271" s="1147"/>
      <c r="H2271" s="1147"/>
      <c r="I2271" s="1150"/>
      <c r="J2271" s="1147"/>
      <c r="K2271" s="1157" t="s">
        <v>117</v>
      </c>
    </row>
    <row r="2272" spans="1:11" ht="17.25" hidden="1">
      <c r="A2272" s="1132"/>
      <c r="E2272" s="1147"/>
      <c r="F2272" s="1148"/>
      <c r="G2272" s="1147"/>
      <c r="H2272" s="1147" t="s">
        <v>1599</v>
      </c>
      <c r="I2272" s="1150"/>
      <c r="J2272" s="1147"/>
      <c r="K2272" s="1147">
        <f>SUM(K2260:K2271)</f>
        <v>4555.9661499999993</v>
      </c>
    </row>
    <row r="2273" spans="1:11" ht="17.25" hidden="1">
      <c r="A2273" s="1132"/>
      <c r="E2273" s="1147"/>
      <c r="F2273" s="1148"/>
      <c r="G2273" s="1147" t="s">
        <v>115</v>
      </c>
      <c r="H2273" s="1147"/>
      <c r="I2273" s="1150"/>
      <c r="J2273" s="1147"/>
      <c r="K2273" s="1157" t="s">
        <v>117</v>
      </c>
    </row>
    <row r="2274" spans="1:11" ht="17.25" hidden="1">
      <c r="A2274" s="1132"/>
      <c r="E2274" s="1147"/>
      <c r="F2274" s="1148"/>
      <c r="G2274" s="1147"/>
      <c r="H2274" s="1147" t="s">
        <v>154</v>
      </c>
      <c r="I2274" s="1150"/>
      <c r="J2274" s="1147"/>
      <c r="K2274" s="1147">
        <f>K2272/F2269</f>
        <v>1807.9230753968252</v>
      </c>
    </row>
    <row r="2275" spans="1:11" ht="17.25" hidden="1">
      <c r="A2275" s="1132"/>
      <c r="E2275" s="1147"/>
      <c r="F2275" s="1148"/>
      <c r="G2275" s="1147"/>
      <c r="H2275" s="1147"/>
      <c r="I2275" s="1150"/>
      <c r="J2275" s="1147"/>
      <c r="K2275" s="1147"/>
    </row>
    <row r="2276" spans="1:11" ht="17.25" hidden="1">
      <c r="A2276" s="1132"/>
      <c r="E2276" s="1147"/>
      <c r="F2276" s="1147"/>
      <c r="G2276" s="1148"/>
      <c r="H2276" s="1147"/>
      <c r="I2276" s="1147"/>
      <c r="J2276" s="1150"/>
      <c r="K2276" s="1147"/>
    </row>
    <row r="2277" spans="1:11" ht="17.25" hidden="1">
      <c r="A2277" s="1132"/>
      <c r="E2277" s="1147"/>
      <c r="F2277" s="1147"/>
      <c r="G2277" s="1148"/>
      <c r="H2277" s="1147"/>
      <c r="I2277" s="1147"/>
      <c r="J2277" s="1150"/>
      <c r="K2277" s="1147"/>
    </row>
    <row r="2278" spans="1:11" ht="34.5" hidden="1">
      <c r="A2278" s="1132"/>
      <c r="E2278" s="1147"/>
      <c r="F2278" s="1147"/>
      <c r="G2278" s="1148"/>
      <c r="H2278" s="1154" t="s">
        <v>3586</v>
      </c>
      <c r="I2278" s="1147"/>
      <c r="J2278" s="1150" t="s">
        <v>227</v>
      </c>
      <c r="K2278" s="1147">
        <v>600</v>
      </c>
    </row>
    <row r="2279" spans="1:11" ht="17.25" hidden="1">
      <c r="A2279" s="1132"/>
      <c r="E2279" s="1147"/>
      <c r="F2279" s="1147"/>
      <c r="G2279" s="1148"/>
      <c r="H2279" s="1147"/>
      <c r="I2279" s="1147"/>
      <c r="J2279" s="1150"/>
      <c r="K2279" s="1147"/>
    </row>
    <row r="2280" spans="1:11" ht="17.25" hidden="1">
      <c r="A2280" s="1132"/>
      <c r="E2280" s="1147"/>
      <c r="F2280" s="1147"/>
      <c r="G2280" s="1148"/>
      <c r="H2280" s="1147"/>
      <c r="I2280" s="1147"/>
      <c r="J2280" s="1150"/>
      <c r="K2280" s="1147"/>
    </row>
    <row r="2281" spans="1:11" ht="17.25" hidden="1">
      <c r="A2281" s="1132"/>
      <c r="E2281" s="1147"/>
      <c r="F2281" s="1147"/>
      <c r="G2281" s="1148"/>
      <c r="H2281" s="1154" t="s">
        <v>3587</v>
      </c>
      <c r="I2281" s="1147"/>
      <c r="J2281" s="1150" t="s">
        <v>227</v>
      </c>
      <c r="K2281" s="1147">
        <v>300</v>
      </c>
    </row>
    <row r="2282" spans="1:11" ht="17.25" hidden="1">
      <c r="A2282" s="1132"/>
      <c r="E2282" s="1147"/>
      <c r="F2282" s="1147"/>
      <c r="G2282" s="1148"/>
      <c r="H2282" s="1147"/>
      <c r="I2282" s="1147"/>
      <c r="J2282" s="1150"/>
      <c r="K2282" s="1147"/>
    </row>
    <row r="2283" spans="1:11" ht="17.25" hidden="1">
      <c r="A2283" s="1132"/>
      <c r="E2283" s="1147"/>
      <c r="F2283" s="1147"/>
      <c r="G2283" s="1148"/>
      <c r="H2283" s="1147"/>
      <c r="I2283" s="1147"/>
      <c r="J2283" s="1150"/>
      <c r="K2283" s="1147"/>
    </row>
    <row r="2284" spans="1:11" ht="17.25" hidden="1">
      <c r="A2284" s="1132"/>
      <c r="E2284" s="1147"/>
      <c r="F2284" s="1147"/>
      <c r="G2284" s="1148"/>
      <c r="H2284" s="1147"/>
      <c r="I2284" s="1147"/>
      <c r="J2284" s="1150"/>
      <c r="K2284" s="1147"/>
    </row>
    <row r="2285" spans="1:11" ht="17.25" hidden="1">
      <c r="A2285" s="1132"/>
      <c r="E2285" s="1147"/>
      <c r="F2285" s="1147"/>
      <c r="G2285" s="1148"/>
      <c r="H2285" s="1154" t="s">
        <v>3588</v>
      </c>
      <c r="I2285" s="1147"/>
      <c r="J2285" s="1150" t="s">
        <v>227</v>
      </c>
      <c r="K2285" s="1147">
        <v>260</v>
      </c>
    </row>
    <row r="2286" spans="1:11" ht="17.25" hidden="1">
      <c r="A2286" s="1132"/>
      <c r="E2286" s="1147"/>
      <c r="F2286" s="1147"/>
      <c r="G2286" s="1148"/>
      <c r="H2286" s="1147"/>
      <c r="I2286" s="1147"/>
      <c r="J2286" s="1150"/>
      <c r="K2286" s="1147"/>
    </row>
    <row r="2287" spans="1:11" ht="17.25" hidden="1">
      <c r="A2287" s="1132"/>
      <c r="E2287" s="1147"/>
      <c r="F2287" s="1147"/>
      <c r="G2287" s="1148"/>
      <c r="H2287" s="1147"/>
      <c r="I2287" s="1147"/>
      <c r="J2287" s="1150"/>
      <c r="K2287" s="1147"/>
    </row>
    <row r="2288" spans="1:11" ht="17.25" hidden="1">
      <c r="A2288" s="1132"/>
      <c r="E2288" s="1147"/>
      <c r="F2288" s="1147"/>
      <c r="G2288" s="1148"/>
      <c r="H2288" s="1147"/>
      <c r="I2288" s="1147"/>
      <c r="J2288" s="1150"/>
      <c r="K2288" s="1147"/>
    </row>
    <row r="2289" spans="1:11" ht="34.5" hidden="1">
      <c r="A2289" s="1132"/>
      <c r="E2289" s="1147"/>
      <c r="F2289" s="1147"/>
      <c r="G2289" s="1148"/>
      <c r="H2289" s="1154" t="s">
        <v>3589</v>
      </c>
      <c r="I2289" s="1147"/>
      <c r="J2289" s="1150" t="s">
        <v>227</v>
      </c>
      <c r="K2289" s="1147">
        <v>650</v>
      </c>
    </row>
    <row r="2290" spans="1:11" ht="17.25" hidden="1">
      <c r="A2290" s="1132"/>
      <c r="E2290" s="1147"/>
      <c r="F2290" s="1147"/>
      <c r="G2290" s="1148"/>
      <c r="H2290" s="1147"/>
      <c r="I2290" s="1147"/>
      <c r="J2290" s="1150"/>
      <c r="K2290" s="1147"/>
    </row>
    <row r="2291" spans="1:11" ht="17.25" hidden="1">
      <c r="A2291" s="1132"/>
      <c r="E2291" s="1147"/>
      <c r="F2291" s="1147"/>
      <c r="G2291" s="1148"/>
      <c r="H2291" s="1147"/>
      <c r="I2291" s="1147"/>
      <c r="J2291" s="1150"/>
      <c r="K2291" s="1147"/>
    </row>
    <row r="2292" spans="1:11" ht="17.25" hidden="1">
      <c r="A2292" s="1132"/>
      <c r="E2292" s="1147"/>
      <c r="F2292" s="1147"/>
      <c r="G2292" s="1148"/>
      <c r="H2292" s="1147" t="s">
        <v>3590</v>
      </c>
      <c r="I2292" s="1147"/>
      <c r="J2292" s="1150" t="s">
        <v>227</v>
      </c>
      <c r="K2292" s="1147">
        <v>436</v>
      </c>
    </row>
    <row r="2293" spans="1:11" ht="17.25" hidden="1">
      <c r="A2293" s="1132"/>
      <c r="E2293" s="1147"/>
      <c r="F2293" s="1147"/>
      <c r="G2293" s="1148"/>
      <c r="H2293" s="1147"/>
      <c r="I2293" s="1147"/>
      <c r="J2293" s="1150"/>
      <c r="K2293" s="1147"/>
    </row>
    <row r="2294" spans="1:11" ht="17.25" hidden="1">
      <c r="A2294" s="1132"/>
      <c r="E2294" s="1147"/>
      <c r="F2294" s="1147"/>
      <c r="G2294" s="1148"/>
      <c r="H2294" s="1147"/>
      <c r="I2294" s="1147"/>
      <c r="J2294" s="1150"/>
      <c r="K2294" s="1147"/>
    </row>
    <row r="2295" spans="1:11" ht="17.25" hidden="1">
      <c r="A2295" s="1132"/>
      <c r="E2295" s="1147"/>
      <c r="F2295" s="1147"/>
      <c r="G2295" s="1148"/>
      <c r="H2295" s="1147" t="s">
        <v>3591</v>
      </c>
      <c r="I2295" s="1147"/>
      <c r="J2295" s="1150" t="s">
        <v>227</v>
      </c>
      <c r="K2295" s="1147">
        <v>518</v>
      </c>
    </row>
    <row r="2296" spans="1:11" ht="17.25" hidden="1">
      <c r="A2296" s="1132"/>
      <c r="E2296" s="1147"/>
      <c r="F2296" s="1147"/>
      <c r="G2296" s="1148"/>
      <c r="H2296" s="1147"/>
      <c r="I2296" s="1147"/>
      <c r="J2296" s="1150"/>
      <c r="K2296" s="1147"/>
    </row>
    <row r="2297" spans="1:11" ht="17.25" hidden="1">
      <c r="A2297" s="1132"/>
      <c r="E2297" s="1147"/>
      <c r="F2297" s="1147"/>
      <c r="G2297" s="1148"/>
      <c r="H2297" s="1147"/>
      <c r="I2297" s="1147"/>
      <c r="J2297" s="1150"/>
      <c r="K2297" s="1147"/>
    </row>
    <row r="2298" spans="1:11" ht="17.25" hidden="1">
      <c r="A2298" s="1132"/>
      <c r="E2298" s="1147"/>
      <c r="F2298" s="1147"/>
      <c r="G2298" s="1148"/>
      <c r="H2298" s="1147"/>
      <c r="I2298" s="1147"/>
      <c r="J2298" s="1150"/>
      <c r="K2298" s="1147"/>
    </row>
    <row r="2299" spans="1:11" ht="34.5" hidden="1">
      <c r="A2299" s="1132"/>
      <c r="E2299" s="1147"/>
      <c r="F2299" s="1147"/>
      <c r="G2299" s="1148"/>
      <c r="H2299" s="1154" t="s">
        <v>3592</v>
      </c>
      <c r="I2299" s="1147"/>
      <c r="J2299" s="1150"/>
      <c r="K2299" s="1147"/>
    </row>
    <row r="2300" spans="1:11" ht="17.25" hidden="1">
      <c r="A2300" s="1132"/>
      <c r="E2300" s="1147"/>
      <c r="F2300" s="1147"/>
      <c r="G2300" s="1148"/>
      <c r="H2300" s="1147"/>
      <c r="I2300" s="1147"/>
      <c r="J2300" s="1150"/>
      <c r="K2300" s="1147"/>
    </row>
    <row r="2301" spans="1:11" ht="17.25" hidden="1">
      <c r="A2301" s="1132"/>
      <c r="E2301" s="1147"/>
      <c r="F2301" s="1147"/>
      <c r="G2301" s="1148"/>
      <c r="H2301" s="1147" t="s">
        <v>3593</v>
      </c>
      <c r="I2301" s="1147"/>
      <c r="J2301" s="1150"/>
      <c r="K2301" s="1147"/>
    </row>
    <row r="2302" spans="1:11" ht="17.25" hidden="1">
      <c r="A2302" s="1132"/>
      <c r="E2302" s="1147"/>
      <c r="F2302" s="1147"/>
      <c r="G2302" s="1148"/>
      <c r="H2302" s="1147" t="s">
        <v>3594</v>
      </c>
      <c r="I2302" s="1147"/>
      <c r="J2302" s="1150"/>
      <c r="K2302" s="1147"/>
    </row>
    <row r="2303" spans="1:11" ht="17.25" hidden="1">
      <c r="A2303" s="1132"/>
      <c r="E2303" s="1147"/>
      <c r="F2303" s="1147"/>
      <c r="G2303" s="1148"/>
      <c r="H2303" s="1147"/>
      <c r="I2303" s="1147"/>
      <c r="J2303" s="1150"/>
      <c r="K2303" s="1147"/>
    </row>
    <row r="2304" spans="1:11" ht="17.25" hidden="1">
      <c r="A2304" s="1132"/>
      <c r="E2304" s="1147"/>
      <c r="F2304" s="1147"/>
      <c r="G2304" s="1148"/>
      <c r="H2304" s="1147"/>
      <c r="I2304" s="1147"/>
      <c r="J2304" s="1150"/>
      <c r="K2304" s="1147"/>
    </row>
    <row r="2305" spans="1:11" ht="17.25" hidden="1">
      <c r="A2305" s="1132"/>
      <c r="E2305" s="1147"/>
      <c r="F2305" s="1147"/>
      <c r="G2305" s="1148"/>
      <c r="H2305" s="1147"/>
      <c r="I2305" s="1147"/>
      <c r="J2305" s="1150"/>
      <c r="K2305" s="1147"/>
    </row>
    <row r="2306" spans="1:11" ht="17.25" hidden="1">
      <c r="A2306" s="1132"/>
      <c r="E2306" s="1147"/>
      <c r="F2306" s="1147">
        <v>1.96</v>
      </c>
      <c r="G2306" s="1148" t="s">
        <v>429</v>
      </c>
      <c r="H2306" s="1147" t="s">
        <v>3595</v>
      </c>
      <c r="I2306" s="1147" t="e">
        <f>K1644</f>
        <v>#REF!</v>
      </c>
      <c r="J2306" s="1150" t="s">
        <v>429</v>
      </c>
      <c r="K2306" s="1147" t="e">
        <f t="shared" ref="K2306:K2311" si="71">I2306*F2306</f>
        <v>#REF!</v>
      </c>
    </row>
    <row r="2307" spans="1:11" ht="17.25" hidden="1">
      <c r="A2307" s="1132"/>
      <c r="E2307" s="1147"/>
      <c r="F2307" s="1147">
        <v>2</v>
      </c>
      <c r="G2307" s="1148" t="s">
        <v>164</v>
      </c>
      <c r="H2307" s="1147" t="s">
        <v>3596</v>
      </c>
      <c r="I2307" s="1147">
        <f>C10</f>
        <v>150</v>
      </c>
      <c r="J2307" s="1150" t="s">
        <v>164</v>
      </c>
      <c r="K2307" s="1147">
        <f t="shared" si="71"/>
        <v>300</v>
      </c>
    </row>
    <row r="2308" spans="1:11" ht="17.25" hidden="1">
      <c r="A2308" s="1132"/>
      <c r="E2308" s="1147"/>
      <c r="F2308" s="1147">
        <v>2</v>
      </c>
      <c r="G2308" s="1148" t="s">
        <v>164</v>
      </c>
      <c r="H2308" s="1147" t="s">
        <v>3597</v>
      </c>
      <c r="I2308" s="1147">
        <f>C13</f>
        <v>85</v>
      </c>
      <c r="J2308" s="1150" t="s">
        <v>164</v>
      </c>
      <c r="K2308" s="1147">
        <f t="shared" si="71"/>
        <v>170</v>
      </c>
    </row>
    <row r="2309" spans="1:11" ht="17.25" hidden="1">
      <c r="A2309" s="1132"/>
      <c r="E2309" s="1147"/>
      <c r="F2309" s="1147">
        <v>500</v>
      </c>
      <c r="G2309" s="1148" t="s">
        <v>164</v>
      </c>
      <c r="H2309" s="1147" t="s">
        <v>3598</v>
      </c>
      <c r="I2309" s="1147">
        <v>2</v>
      </c>
      <c r="J2309" s="1150" t="s">
        <v>164</v>
      </c>
      <c r="K2309" s="1147">
        <f t="shared" si="71"/>
        <v>1000</v>
      </c>
    </row>
    <row r="2310" spans="1:11" ht="17.25" hidden="1">
      <c r="A2310" s="1132"/>
      <c r="E2310" s="1147"/>
      <c r="F2310" s="1147">
        <v>8.5</v>
      </c>
      <c r="G2310" s="1148" t="s">
        <v>2259</v>
      </c>
      <c r="H2310" s="1147" t="s">
        <v>3599</v>
      </c>
      <c r="I2310" s="1147">
        <v>25</v>
      </c>
      <c r="J2310" s="1150" t="s">
        <v>2259</v>
      </c>
      <c r="K2310" s="1147">
        <f t="shared" si="71"/>
        <v>212.5</v>
      </c>
    </row>
    <row r="2311" spans="1:11" ht="17.25" hidden="1">
      <c r="A2311" s="1132"/>
      <c r="E2311" s="1147"/>
      <c r="F2311" s="1147">
        <v>0.28000000000000003</v>
      </c>
      <c r="G2311" s="1148" t="s">
        <v>174</v>
      </c>
      <c r="H2311" s="1147" t="s">
        <v>3600</v>
      </c>
      <c r="I2311" s="1147">
        <f>K2448</f>
        <v>168.11849999999998</v>
      </c>
      <c r="J2311" s="1150" t="s">
        <v>174</v>
      </c>
      <c r="K2311" s="1147">
        <f t="shared" si="71"/>
        <v>47.073180000000001</v>
      </c>
    </row>
    <row r="2312" spans="1:11" ht="17.25" hidden="1">
      <c r="A2312" s="1132"/>
      <c r="E2312" s="1147"/>
      <c r="F2312" s="1147"/>
      <c r="G2312" s="1148"/>
      <c r="H2312" s="1147"/>
      <c r="I2312" s="1147"/>
      <c r="J2312" s="1150"/>
      <c r="K2312" s="1147" t="s">
        <v>3601</v>
      </c>
    </row>
    <row r="2313" spans="1:11" ht="17.25" hidden="1">
      <c r="A2313" s="1132"/>
      <c r="E2313" s="1147"/>
      <c r="F2313" s="1147"/>
      <c r="G2313" s="1148"/>
      <c r="H2313" s="1147"/>
      <c r="I2313" s="1147" t="s">
        <v>3602</v>
      </c>
      <c r="J2313" s="1150">
        <v>39.200000000000003</v>
      </c>
      <c r="K2313" s="1147" t="e">
        <f>SUM(K2306:K2312)</f>
        <v>#REF!</v>
      </c>
    </row>
    <row r="2314" spans="1:11" ht="17.25" hidden="1">
      <c r="A2314" s="1132"/>
      <c r="E2314" s="1147"/>
      <c r="F2314" s="1147"/>
      <c r="G2314" s="1148"/>
      <c r="H2314" s="1147"/>
      <c r="I2314" s="1147"/>
      <c r="J2314" s="1150"/>
      <c r="K2314" s="1147" t="s">
        <v>3603</v>
      </c>
    </row>
    <row r="2315" spans="1:11" ht="17.25" hidden="1">
      <c r="A2315" s="1132"/>
      <c r="E2315" s="1147"/>
      <c r="F2315" s="1147"/>
      <c r="G2315" s="1148"/>
      <c r="H2315" s="1147"/>
      <c r="I2315" s="1147"/>
      <c r="J2315" s="1150"/>
      <c r="K2315" s="1147"/>
    </row>
    <row r="2316" spans="1:11" ht="17.25" hidden="1">
      <c r="A2316" s="1132"/>
      <c r="E2316" s="1147"/>
      <c r="F2316" s="1147"/>
      <c r="G2316" s="1148"/>
      <c r="H2316" s="1147"/>
      <c r="I2316" s="1147" t="s">
        <v>3604</v>
      </c>
      <c r="J2316" s="1150"/>
      <c r="K2316" s="1158" t="e">
        <f>K2313/J2313</f>
        <v>#REF!</v>
      </c>
    </row>
    <row r="2317" spans="1:11" ht="17.25" hidden="1">
      <c r="A2317" s="1132"/>
      <c r="E2317" s="1147"/>
      <c r="F2317" s="1147"/>
      <c r="G2317" s="1148"/>
      <c r="H2317" s="1147"/>
      <c r="I2317" s="1147"/>
      <c r="J2317" s="1150"/>
      <c r="K2317" s="1157" t="s">
        <v>155</v>
      </c>
    </row>
    <row r="2318" spans="1:11" ht="17.25" hidden="1">
      <c r="A2318" s="1132"/>
      <c r="E2318" s="1147"/>
      <c r="F2318" s="1147"/>
      <c r="G2318" s="1148"/>
      <c r="H2318" s="1147"/>
      <c r="I2318" s="1147"/>
      <c r="J2318" s="1150"/>
      <c r="K2318" s="1147"/>
    </row>
    <row r="2319" spans="1:11" ht="34.5" hidden="1">
      <c r="A2319" s="1132"/>
      <c r="E2319" s="1147"/>
      <c r="F2319" s="1147"/>
      <c r="G2319" s="1148"/>
      <c r="H2319" s="1154" t="s">
        <v>3605</v>
      </c>
      <c r="I2319" s="1147"/>
      <c r="J2319" s="1150"/>
      <c r="K2319" s="1147"/>
    </row>
    <row r="2320" spans="1:11" ht="17.25" hidden="1">
      <c r="A2320" s="1132"/>
      <c r="E2320" s="1147"/>
      <c r="F2320" s="1147"/>
      <c r="G2320" s="1148"/>
      <c r="H2320" s="1147"/>
      <c r="I2320" s="1147"/>
      <c r="J2320" s="1150"/>
      <c r="K2320" s="1147"/>
    </row>
    <row r="2321" spans="1:11" ht="17.25" hidden="1">
      <c r="A2321" s="1132"/>
      <c r="E2321" s="1147"/>
      <c r="F2321" s="1147">
        <v>4</v>
      </c>
      <c r="G2321" s="1148" t="s">
        <v>231</v>
      </c>
      <c r="H2321" s="1147" t="s">
        <v>3606</v>
      </c>
      <c r="I2321" s="1147">
        <v>110</v>
      </c>
      <c r="J2321" s="1150" t="s">
        <v>231</v>
      </c>
      <c r="K2321" s="1147">
        <f>I2321*F2321</f>
        <v>440</v>
      </c>
    </row>
    <row r="2322" spans="1:11" ht="17.25" hidden="1">
      <c r="A2322" s="1132"/>
      <c r="E2322" s="1147"/>
      <c r="F2322" s="1147">
        <v>2.52</v>
      </c>
      <c r="G2322" s="1148" t="s">
        <v>148</v>
      </c>
      <c r="H2322" s="1147" t="s">
        <v>3607</v>
      </c>
      <c r="I2322" s="1147">
        <v>30</v>
      </c>
      <c r="J2322" s="1150" t="s">
        <v>148</v>
      </c>
      <c r="K2322" s="1147">
        <f t="shared" ref="K2322:K2328" si="72">I2322*F2322</f>
        <v>75.599999999999994</v>
      </c>
    </row>
    <row r="2323" spans="1:11" ht="17.25" hidden="1">
      <c r="A2323" s="1132"/>
      <c r="E2323" s="1147"/>
      <c r="F2323" s="1147">
        <v>1.1299999999999999</v>
      </c>
      <c r="G2323" s="1148" t="s">
        <v>148</v>
      </c>
      <c r="H2323" s="1147" t="s">
        <v>3608</v>
      </c>
      <c r="I2323" s="1147">
        <v>30</v>
      </c>
      <c r="J2323" s="1150" t="s">
        <v>148</v>
      </c>
      <c r="K2323" s="1147">
        <f t="shared" si="72"/>
        <v>33.9</v>
      </c>
    </row>
    <row r="2324" spans="1:11" ht="17.25" hidden="1">
      <c r="A2324" s="1132"/>
      <c r="E2324" s="1147"/>
      <c r="F2324" s="1147">
        <v>0.35</v>
      </c>
      <c r="G2324" s="1148" t="s">
        <v>148</v>
      </c>
      <c r="H2324" s="1147" t="s">
        <v>3609</v>
      </c>
      <c r="I2324" s="1147">
        <v>30</v>
      </c>
      <c r="J2324" s="1150" t="s">
        <v>148</v>
      </c>
      <c r="K2324" s="1147">
        <f t="shared" si="72"/>
        <v>10.5</v>
      </c>
    </row>
    <row r="2325" spans="1:11" ht="17.25" hidden="1">
      <c r="A2325" s="1132"/>
      <c r="E2325" s="1147"/>
      <c r="F2325" s="1147">
        <v>4</v>
      </c>
      <c r="G2325" s="1148" t="s">
        <v>148</v>
      </c>
      <c r="H2325" s="1147" t="s">
        <v>2421</v>
      </c>
      <c r="I2325" s="1147">
        <v>12.25</v>
      </c>
      <c r="J2325" s="1150" t="s">
        <v>148</v>
      </c>
      <c r="K2325" s="1147">
        <f t="shared" si="72"/>
        <v>49</v>
      </c>
    </row>
    <row r="2326" spans="1:11" ht="17.25" hidden="1">
      <c r="A2326" s="1132"/>
      <c r="E2326" s="1147"/>
      <c r="F2326" s="1147">
        <v>6</v>
      </c>
      <c r="G2326" s="1148" t="s">
        <v>240</v>
      </c>
      <c r="H2326" s="1147" t="s">
        <v>3610</v>
      </c>
      <c r="I2326" s="1147">
        <v>1</v>
      </c>
      <c r="J2326" s="1150" t="s">
        <v>227</v>
      </c>
      <c r="K2326" s="1147">
        <f t="shared" si="72"/>
        <v>6</v>
      </c>
    </row>
    <row r="2327" spans="1:11" ht="17.25" hidden="1">
      <c r="A2327" s="1132"/>
      <c r="E2327" s="1147"/>
      <c r="F2327" s="1147">
        <v>0.5</v>
      </c>
      <c r="G2327" s="1148" t="s">
        <v>240</v>
      </c>
      <c r="H2327" s="1147" t="s">
        <v>2766</v>
      </c>
      <c r="I2327" s="1147">
        <f>C12</f>
        <v>95</v>
      </c>
      <c r="J2327" s="1150" t="s">
        <v>227</v>
      </c>
      <c r="K2327" s="1147">
        <f t="shared" si="72"/>
        <v>47.5</v>
      </c>
    </row>
    <row r="2328" spans="1:11" ht="17.25" hidden="1">
      <c r="A2328" s="1132"/>
      <c r="E2328" s="1147"/>
      <c r="F2328" s="1147">
        <v>0.5</v>
      </c>
      <c r="G2328" s="1148" t="s">
        <v>240</v>
      </c>
      <c r="H2328" s="1147" t="s">
        <v>2767</v>
      </c>
      <c r="I2328" s="1147">
        <f>C13</f>
        <v>85</v>
      </c>
      <c r="J2328" s="1150" t="s">
        <v>227</v>
      </c>
      <c r="K2328" s="1147">
        <f t="shared" si="72"/>
        <v>42.5</v>
      </c>
    </row>
    <row r="2329" spans="1:11" ht="17.25" hidden="1">
      <c r="A2329" s="1132"/>
      <c r="E2329" s="1147"/>
      <c r="F2329" s="1152" t="s">
        <v>129</v>
      </c>
      <c r="G2329" s="1148"/>
      <c r="H2329" s="1147" t="s">
        <v>3611</v>
      </c>
      <c r="I2329" s="1147"/>
      <c r="J2329" s="1150" t="s">
        <v>129</v>
      </c>
      <c r="K2329" s="1147">
        <v>19.22</v>
      </c>
    </row>
    <row r="2330" spans="1:11" ht="17.25" hidden="1">
      <c r="A2330" s="1132"/>
      <c r="E2330" s="1147"/>
      <c r="F2330" s="1147"/>
      <c r="G2330" s="1148"/>
      <c r="H2330" s="1147"/>
      <c r="I2330" s="1147"/>
      <c r="J2330" s="1150"/>
      <c r="K2330" s="1147"/>
    </row>
    <row r="2331" spans="1:11" ht="17.25" hidden="1">
      <c r="A2331" s="1132"/>
      <c r="E2331" s="1147"/>
      <c r="F2331" s="1147"/>
      <c r="G2331" s="1148"/>
      <c r="H2331" s="1147"/>
      <c r="I2331" s="1147"/>
      <c r="J2331" s="1150"/>
      <c r="K2331" s="1147" t="s">
        <v>3612</v>
      </c>
    </row>
    <row r="2332" spans="1:11" ht="17.25" hidden="1">
      <c r="A2332" s="1132"/>
      <c r="E2332" s="1147"/>
      <c r="F2332" s="1147"/>
      <c r="G2332" s="1148"/>
      <c r="H2332" s="1147"/>
      <c r="I2332" s="1147" t="s">
        <v>3613</v>
      </c>
      <c r="J2332" s="1150" t="s">
        <v>3614</v>
      </c>
      <c r="K2332" s="1147">
        <f>SUM(K2321:K2331)</f>
        <v>724.22</v>
      </c>
    </row>
    <row r="2333" spans="1:11" ht="17.25" hidden="1">
      <c r="A2333" s="1132"/>
      <c r="E2333" s="1147"/>
      <c r="F2333" s="1147"/>
      <c r="G2333" s="1148"/>
      <c r="H2333" s="1147"/>
      <c r="I2333" s="1147">
        <v>2</v>
      </c>
      <c r="J2333" s="1159" t="s">
        <v>240</v>
      </c>
      <c r="K2333" s="1147" t="s">
        <v>3603</v>
      </c>
    </row>
    <row r="2334" spans="1:11" ht="17.25" hidden="1">
      <c r="A2334" s="1132"/>
      <c r="E2334" s="1147"/>
      <c r="F2334" s="1147"/>
      <c r="G2334" s="1148"/>
      <c r="H2334" s="1147"/>
      <c r="I2334" s="1154"/>
      <c r="J2334" s="1150"/>
      <c r="K2334" s="1147"/>
    </row>
    <row r="2335" spans="1:11" ht="17.25" hidden="1">
      <c r="A2335" s="1132"/>
      <c r="E2335" s="1147"/>
      <c r="F2335" s="1147"/>
      <c r="G2335" s="1148"/>
      <c r="H2335" s="1147"/>
      <c r="I2335" s="1147"/>
      <c r="J2335" s="1150"/>
      <c r="K2335" s="1147"/>
    </row>
    <row r="2336" spans="1:11" ht="17.25" hidden="1">
      <c r="A2336" s="1132"/>
      <c r="E2336" s="1147"/>
      <c r="F2336" s="1147"/>
      <c r="G2336" s="1148"/>
      <c r="H2336" s="1147"/>
      <c r="I2336" s="1147" t="s">
        <v>3615</v>
      </c>
      <c r="J2336" s="1150"/>
      <c r="K2336" s="1158">
        <f>K2332/I2333</f>
        <v>362.11</v>
      </c>
    </row>
    <row r="2337" spans="1:12" ht="17.25" hidden="1">
      <c r="A2337" s="1132"/>
      <c r="E2337" s="1147"/>
      <c r="F2337" s="1147"/>
      <c r="G2337" s="1148"/>
      <c r="H2337" s="1147"/>
      <c r="I2337" s="1147"/>
      <c r="J2337" s="1150"/>
      <c r="K2337" s="1157" t="s">
        <v>155</v>
      </c>
    </row>
    <row r="2338" spans="1:12" ht="17.25" hidden="1">
      <c r="A2338" s="1132"/>
      <c r="E2338" s="1147"/>
      <c r="F2338" s="1147"/>
      <c r="G2338" s="1148"/>
      <c r="H2338" s="1147"/>
      <c r="I2338" s="1147"/>
      <c r="J2338" s="1150"/>
      <c r="K2338" s="1147"/>
    </row>
    <row r="2339" spans="1:12" ht="19.5" hidden="1">
      <c r="A2339" s="1132"/>
      <c r="E2339" s="1147"/>
      <c r="F2339" s="1160"/>
      <c r="G2339" s="1160"/>
      <c r="H2339" s="1160"/>
      <c r="I2339" s="1160"/>
      <c r="J2339" s="1160"/>
      <c r="K2339" s="1160"/>
      <c r="L2339" s="1161"/>
    </row>
    <row r="2340" spans="1:12" ht="17.25" hidden="1">
      <c r="A2340" s="1132"/>
      <c r="E2340" s="1147"/>
      <c r="F2340" s="1147"/>
      <c r="G2340" s="1147"/>
      <c r="H2340" s="1147"/>
      <c r="I2340" s="1147"/>
      <c r="J2340" s="1147"/>
      <c r="K2340" s="1147"/>
    </row>
    <row r="2341" spans="1:12" ht="18" hidden="1">
      <c r="A2341" s="1132"/>
      <c r="E2341" s="1479" t="s">
        <v>3616</v>
      </c>
      <c r="F2341" s="1479"/>
      <c r="G2341" s="1479"/>
      <c r="H2341" s="1479"/>
      <c r="I2341" s="1479"/>
      <c r="J2341" s="1479"/>
      <c r="K2341" s="1479"/>
      <c r="L2341" s="1162"/>
    </row>
    <row r="2342" spans="1:12" ht="18" hidden="1">
      <c r="A2342" s="1132"/>
      <c r="E2342" s="932"/>
      <c r="F2342" s="932"/>
      <c r="G2342" s="932"/>
      <c r="H2342" s="932"/>
      <c r="I2342" s="932"/>
      <c r="J2342" s="932"/>
      <c r="K2342" s="932"/>
      <c r="L2342" s="1163"/>
    </row>
    <row r="2343" spans="1:12" ht="18" hidden="1">
      <c r="A2343" s="1132"/>
      <c r="E2343" s="1164"/>
      <c r="F2343" s="1162" t="s">
        <v>3</v>
      </c>
      <c r="G2343" s="1161"/>
      <c r="H2343" s="1165" t="s">
        <v>3617</v>
      </c>
      <c r="I2343" s="1162" t="s">
        <v>10</v>
      </c>
      <c r="J2343" s="1165" t="s">
        <v>3618</v>
      </c>
      <c r="K2343" s="1162" t="s">
        <v>6</v>
      </c>
      <c r="L2343" s="1166"/>
    </row>
    <row r="2344" spans="1:12" ht="18" hidden="1">
      <c r="A2344" s="1132"/>
      <c r="E2344" s="1167">
        <v>18.100000000000001</v>
      </c>
      <c r="F2344" s="1168" t="s">
        <v>3619</v>
      </c>
      <c r="G2344" s="932"/>
      <c r="H2344" s="1169" t="s">
        <v>3620</v>
      </c>
      <c r="I2344" s="1163"/>
      <c r="J2344" s="1163"/>
      <c r="K2344" s="1163"/>
      <c r="L2344" s="1166"/>
    </row>
    <row r="2345" spans="1:12" ht="18" hidden="1">
      <c r="A2345" s="1132"/>
      <c r="E2345" s="1164"/>
      <c r="F2345" s="1166"/>
      <c r="G2345" s="1164"/>
      <c r="H2345" s="1170" t="s">
        <v>3621</v>
      </c>
      <c r="I2345" s="1166"/>
      <c r="J2345" s="1164"/>
      <c r="K2345" s="1166"/>
      <c r="L2345" s="1166"/>
    </row>
    <row r="2346" spans="1:12" ht="21" hidden="1">
      <c r="A2346" s="1132"/>
      <c r="E2346" s="1164"/>
      <c r="F2346" s="1166"/>
      <c r="G2346" s="1164"/>
      <c r="H2346" s="1170" t="s">
        <v>3622</v>
      </c>
      <c r="I2346" s="1166"/>
      <c r="J2346" s="1164"/>
      <c r="K2346" s="1166"/>
      <c r="L2346" s="1166"/>
    </row>
    <row r="2347" spans="1:12" ht="21" hidden="1">
      <c r="A2347" s="1132"/>
      <c r="E2347" s="1164"/>
      <c r="F2347" s="1166"/>
      <c r="G2347" s="1164"/>
      <c r="H2347" s="1170" t="s">
        <v>3623</v>
      </c>
      <c r="I2347" s="1166"/>
      <c r="J2347" s="1164"/>
      <c r="K2347" s="1166"/>
      <c r="L2347" s="1166"/>
    </row>
    <row r="2348" spans="1:12" ht="18" hidden="1">
      <c r="A2348" s="1132"/>
      <c r="E2348" s="1164"/>
      <c r="F2348" s="1166"/>
      <c r="G2348" s="1164"/>
      <c r="H2348" s="1170" t="s">
        <v>3624</v>
      </c>
      <c r="I2348" s="1166"/>
      <c r="J2348" s="1164"/>
      <c r="K2348" s="1166"/>
      <c r="L2348" s="1166"/>
    </row>
    <row r="2349" spans="1:12" ht="39" hidden="1">
      <c r="A2349" s="1132"/>
      <c r="E2349" s="1164"/>
      <c r="F2349" s="1166"/>
      <c r="G2349" s="1164"/>
      <c r="H2349" s="1170" t="s">
        <v>3625</v>
      </c>
      <c r="I2349" s="1166"/>
      <c r="J2349" s="1164"/>
      <c r="K2349" s="1166"/>
      <c r="L2349" s="1166"/>
    </row>
    <row r="2350" spans="1:12" ht="72" hidden="1">
      <c r="A2350" s="1132"/>
      <c r="E2350" s="1164"/>
      <c r="F2350" s="1166"/>
      <c r="G2350" s="1164"/>
      <c r="H2350" s="1170" t="s">
        <v>3626</v>
      </c>
      <c r="I2350" s="1166"/>
      <c r="J2350" s="1164"/>
      <c r="K2350" s="1166"/>
      <c r="L2350" s="1166"/>
    </row>
    <row r="2351" spans="1:12" ht="36" hidden="1">
      <c r="A2351" s="1132"/>
      <c r="E2351" s="1164"/>
      <c r="F2351" s="1166"/>
      <c r="G2351" s="1164"/>
      <c r="H2351" s="1170" t="s">
        <v>3627</v>
      </c>
      <c r="I2351" s="1166"/>
      <c r="J2351" s="1164"/>
      <c r="K2351" s="1166"/>
      <c r="L2351" s="1166"/>
    </row>
    <row r="2352" spans="1:12" ht="39" hidden="1">
      <c r="A2352" s="1132"/>
      <c r="E2352" s="1164"/>
      <c r="F2352" s="1166"/>
      <c r="G2352" s="1164"/>
      <c r="H2352" s="1170" t="s">
        <v>3628</v>
      </c>
      <c r="I2352" s="1166"/>
      <c r="J2352" s="1164"/>
      <c r="K2352" s="1166"/>
      <c r="L2352" s="1166"/>
    </row>
    <row r="2353" spans="1:12" ht="18" hidden="1">
      <c r="A2353" s="1132"/>
      <c r="E2353" s="1164"/>
      <c r="F2353" s="1166"/>
      <c r="G2353" s="1164"/>
      <c r="H2353" s="1164"/>
      <c r="I2353" s="1166"/>
      <c r="J2353" s="1164"/>
      <c r="K2353" s="1166"/>
      <c r="L2353" s="1166"/>
    </row>
    <row r="2354" spans="1:12" ht="21" hidden="1">
      <c r="A2354" s="1132"/>
      <c r="E2354" s="1164"/>
      <c r="F2354" s="1171">
        <v>62</v>
      </c>
      <c r="G2354" s="1172" t="s">
        <v>3629</v>
      </c>
      <c r="H2354" s="1173" t="s">
        <v>3630</v>
      </c>
      <c r="I2354" s="1171">
        <f>K2378</f>
        <v>217.39849999999998</v>
      </c>
      <c r="J2354" s="1172" t="s">
        <v>3629</v>
      </c>
      <c r="K2354" s="1166">
        <f>I2354*F2354</f>
        <v>13478.706999999999</v>
      </c>
      <c r="L2354" s="1166"/>
    </row>
    <row r="2355" spans="1:12" ht="21" hidden="1">
      <c r="A2355" s="1132"/>
      <c r="E2355" s="1164"/>
      <c r="F2355" s="1171">
        <v>121.64</v>
      </c>
      <c r="G2355" s="1172" t="s">
        <v>3629</v>
      </c>
      <c r="H2355" s="1173" t="s">
        <v>3631</v>
      </c>
      <c r="I2355" s="1171">
        <f>I2383</f>
        <v>168.11849999999998</v>
      </c>
      <c r="J2355" s="1172" t="s">
        <v>3632</v>
      </c>
      <c r="K2355" s="1166">
        <f>I2355*F2355</f>
        <v>20449.93434</v>
      </c>
      <c r="L2355" s="1174"/>
    </row>
    <row r="2356" spans="1:12" ht="21" hidden="1">
      <c r="A2356" s="1132"/>
      <c r="E2356" s="1164"/>
      <c r="F2356" s="1166"/>
      <c r="G2356" s="1164"/>
      <c r="H2356" s="1173" t="s">
        <v>3633</v>
      </c>
      <c r="I2356" s="1166"/>
      <c r="J2356" s="1164"/>
      <c r="K2356" s="1166">
        <f>SUM(K2354:K2355)</f>
        <v>33928.641340000002</v>
      </c>
      <c r="L2356" s="1175"/>
    </row>
    <row r="2357" spans="1:12" ht="21" hidden="1">
      <c r="A2357" s="1132"/>
      <c r="E2357" s="1164"/>
      <c r="F2357" s="1166"/>
      <c r="G2357" s="1164"/>
      <c r="H2357" s="1173" t="s">
        <v>3634</v>
      </c>
      <c r="I2357" s="1166"/>
      <c r="J2357" s="1164"/>
      <c r="K2357" s="1174">
        <f>K2356/F2354</f>
        <v>547.23615064516127</v>
      </c>
      <c r="L2357" s="1166"/>
    </row>
    <row r="2358" spans="1:12" ht="18" hidden="1">
      <c r="A2358" s="1132"/>
      <c r="E2358" s="1164"/>
      <c r="F2358" s="1166"/>
      <c r="G2358" s="1164"/>
      <c r="H2358" s="1172"/>
      <c r="I2358" s="1166"/>
      <c r="J2358" s="1164"/>
      <c r="K2358" s="1175"/>
      <c r="L2358" s="1166"/>
    </row>
    <row r="2359" spans="1:12" ht="18" hidden="1">
      <c r="A2359" s="1132"/>
      <c r="E2359" s="1176">
        <v>18.100000000000001</v>
      </c>
      <c r="F2359" s="1168" t="s">
        <v>3635</v>
      </c>
      <c r="G2359" s="1164"/>
      <c r="H2359" s="1177" t="s">
        <v>3636</v>
      </c>
      <c r="I2359" s="1166"/>
      <c r="J2359" s="1164"/>
      <c r="K2359" s="1166"/>
      <c r="L2359" s="1166"/>
    </row>
    <row r="2360" spans="1:12" ht="18" hidden="1">
      <c r="A2360" s="1132"/>
      <c r="E2360" s="1164"/>
      <c r="F2360" s="1166"/>
      <c r="G2360" s="1164"/>
      <c r="H2360" s="1164"/>
      <c r="I2360" s="1166"/>
      <c r="J2360" s="1164"/>
      <c r="K2360" s="1166"/>
      <c r="L2360" s="1166"/>
    </row>
    <row r="2361" spans="1:12" ht="18" hidden="1">
      <c r="A2361" s="1132"/>
      <c r="E2361" s="1164"/>
      <c r="F2361" s="1171">
        <v>13.46</v>
      </c>
      <c r="G2361" s="1172" t="s">
        <v>148</v>
      </c>
      <c r="H2361" s="1170" t="s">
        <v>3637</v>
      </c>
      <c r="I2361" s="1171">
        <f>I706</f>
        <v>30</v>
      </c>
      <c r="J2361" s="1172" t="s">
        <v>148</v>
      </c>
      <c r="K2361" s="1166">
        <f>I2361*F2361</f>
        <v>403.8</v>
      </c>
      <c r="L2361" s="1166"/>
    </row>
    <row r="2362" spans="1:12" ht="18" hidden="1">
      <c r="A2362" s="1132"/>
      <c r="E2362" s="1164"/>
      <c r="F2362" s="1171">
        <v>4</v>
      </c>
      <c r="G2362" s="1172" t="s">
        <v>148</v>
      </c>
      <c r="H2362" s="1170" t="s">
        <v>3638</v>
      </c>
      <c r="I2362" s="1171">
        <f>I708</f>
        <v>30</v>
      </c>
      <c r="J2362" s="1172" t="s">
        <v>148</v>
      </c>
      <c r="K2362" s="1166">
        <f>I2362*F2362</f>
        <v>120</v>
      </c>
      <c r="L2362" s="1178"/>
    </row>
    <row r="2363" spans="1:12" ht="18" hidden="1">
      <c r="A2363" s="1132"/>
      <c r="E2363" s="1164"/>
      <c r="F2363" s="1171">
        <v>1</v>
      </c>
      <c r="G2363" s="1172" t="s">
        <v>3639</v>
      </c>
      <c r="H2363" s="1170" t="s">
        <v>3640</v>
      </c>
      <c r="I2363" s="1171">
        <v>40</v>
      </c>
      <c r="J2363" s="1172" t="s">
        <v>129</v>
      </c>
      <c r="K2363" s="1166">
        <f>I2363*F2363</f>
        <v>40</v>
      </c>
      <c r="L2363" s="1166"/>
    </row>
    <row r="2364" spans="1:12" ht="18" hidden="1">
      <c r="A2364" s="1132"/>
      <c r="E2364" s="1164"/>
      <c r="F2364" s="1166"/>
      <c r="G2364" s="1164"/>
      <c r="H2364" s="1179" t="s">
        <v>3641</v>
      </c>
      <c r="I2364" s="1166"/>
      <c r="J2364" s="1164"/>
      <c r="K2364" s="1178">
        <f>SUM(K2361:K2363)</f>
        <v>563.79999999999995</v>
      </c>
      <c r="L2364" s="1166"/>
    </row>
    <row r="2365" spans="1:12" ht="18" hidden="1">
      <c r="A2365" s="1132"/>
      <c r="E2365" s="1164"/>
      <c r="F2365" s="1166"/>
      <c r="G2365" s="1164"/>
      <c r="H2365" s="1179" t="s">
        <v>3642</v>
      </c>
      <c r="I2365" s="1175">
        <f>K2364/40</f>
        <v>14.094999999999999</v>
      </c>
      <c r="J2365" s="1164"/>
      <c r="K2365" s="1166"/>
      <c r="L2365" s="1166"/>
    </row>
    <row r="2366" spans="1:12" ht="18" hidden="1">
      <c r="A2366" s="1132"/>
      <c r="E2366" s="1164"/>
      <c r="F2366" s="1166"/>
      <c r="G2366" s="1164"/>
      <c r="H2366" s="1164"/>
      <c r="I2366" s="1166"/>
      <c r="J2366" s="1164"/>
      <c r="K2366" s="1166"/>
      <c r="L2366" s="1166"/>
    </row>
    <row r="2367" spans="1:12" ht="18" hidden="1">
      <c r="A2367" s="1132"/>
      <c r="E2367" s="1164"/>
      <c r="F2367" s="1171">
        <v>19</v>
      </c>
      <c r="G2367" s="1172" t="s">
        <v>164</v>
      </c>
      <c r="H2367" s="1164" t="s">
        <v>3643</v>
      </c>
      <c r="I2367" s="1171">
        <f>I2365</f>
        <v>14.094999999999999</v>
      </c>
      <c r="J2367" s="1172" t="s">
        <v>1895</v>
      </c>
      <c r="K2367" s="1166">
        <f>I2367*F2367</f>
        <v>267.80499999999995</v>
      </c>
      <c r="L2367" s="1166"/>
    </row>
    <row r="2368" spans="1:12" ht="18" hidden="1">
      <c r="A2368" s="1132"/>
      <c r="E2368" s="1164"/>
      <c r="F2368" s="1171">
        <v>0.12</v>
      </c>
      <c r="G2368" s="1172" t="s">
        <v>2209</v>
      </c>
      <c r="H2368" s="1164" t="s">
        <v>3644</v>
      </c>
      <c r="I2368" s="1171">
        <f>C268/5</f>
        <v>1879</v>
      </c>
      <c r="J2368" s="1172" t="s">
        <v>2209</v>
      </c>
      <c r="K2368" s="1166">
        <f>I2368*F2368</f>
        <v>225.48</v>
      </c>
      <c r="L2368" s="1166"/>
    </row>
    <row r="2369" spans="1:12" ht="18" hidden="1">
      <c r="A2369" s="1132"/>
      <c r="E2369" s="1164"/>
      <c r="F2369" s="1171">
        <v>98.5</v>
      </c>
      <c r="G2369" s="1172" t="s">
        <v>2831</v>
      </c>
      <c r="H2369" s="1164" t="s">
        <v>3645</v>
      </c>
      <c r="I2369" s="1171">
        <f>C269/5</f>
        <v>3</v>
      </c>
      <c r="J2369" s="1172" t="s">
        <v>2831</v>
      </c>
      <c r="K2369" s="1166">
        <f>I2369*F2369</f>
        <v>295.5</v>
      </c>
      <c r="L2369" s="1180"/>
    </row>
    <row r="2370" spans="1:12" ht="18" hidden="1">
      <c r="A2370" s="1132"/>
      <c r="E2370" s="1164"/>
      <c r="F2370" s="1480" t="s">
        <v>129</v>
      </c>
      <c r="G2370" s="1480"/>
      <c r="H2370" s="1164" t="s">
        <v>3646</v>
      </c>
      <c r="I2370" s="1171">
        <v>11</v>
      </c>
      <c r="J2370" s="1172" t="s">
        <v>129</v>
      </c>
      <c r="K2370" s="1166">
        <f>I2370</f>
        <v>11</v>
      </c>
      <c r="L2370" s="1180"/>
    </row>
    <row r="2371" spans="1:12" ht="21" hidden="1">
      <c r="A2371" s="1132"/>
      <c r="E2371" s="1164"/>
      <c r="F2371" s="1171">
        <v>3.8</v>
      </c>
      <c r="G2371" s="1172" t="s">
        <v>164</v>
      </c>
      <c r="H2371" s="1164" t="s">
        <v>3647</v>
      </c>
      <c r="I2371" s="1171">
        <f>C16</f>
        <v>150</v>
      </c>
      <c r="J2371" s="1172" t="s">
        <v>164</v>
      </c>
      <c r="K2371" s="1180">
        <f>I2371*F2371</f>
        <v>570</v>
      </c>
      <c r="L2371" s="1180"/>
    </row>
    <row r="2372" spans="1:12" ht="21" hidden="1">
      <c r="A2372" s="1132"/>
      <c r="E2372" s="1164"/>
      <c r="F2372" s="1171">
        <v>5.4</v>
      </c>
      <c r="G2372" s="1172" t="s">
        <v>164</v>
      </c>
      <c r="H2372" s="1164" t="s">
        <v>3648</v>
      </c>
      <c r="I2372" s="1171">
        <f>C12</f>
        <v>95</v>
      </c>
      <c r="J2372" s="1172" t="s">
        <v>164</v>
      </c>
      <c r="K2372" s="1180">
        <f>I2372*F2372</f>
        <v>513</v>
      </c>
      <c r="L2372" s="1166"/>
    </row>
    <row r="2373" spans="1:12" ht="21" hidden="1">
      <c r="A2373" s="1132"/>
      <c r="E2373" s="1164"/>
      <c r="F2373" s="1171">
        <v>1</v>
      </c>
      <c r="G2373" s="1172" t="s">
        <v>164</v>
      </c>
      <c r="H2373" s="1164" t="s">
        <v>3649</v>
      </c>
      <c r="I2373" s="1171">
        <f>D17</f>
        <v>120</v>
      </c>
      <c r="J2373" s="1172" t="s">
        <v>164</v>
      </c>
      <c r="K2373" s="1180">
        <f>I2373*F2373</f>
        <v>120</v>
      </c>
      <c r="L2373" s="1181"/>
    </row>
    <row r="2374" spans="1:12" ht="18" hidden="1">
      <c r="A2374" s="1132"/>
      <c r="E2374" s="1164"/>
      <c r="F2374" s="1480" t="s">
        <v>129</v>
      </c>
      <c r="G2374" s="1480"/>
      <c r="H2374" s="1164" t="s">
        <v>3650</v>
      </c>
      <c r="I2374" s="1480" t="s">
        <v>129</v>
      </c>
      <c r="J2374" s="1480"/>
      <c r="K2374" s="1166">
        <v>10</v>
      </c>
      <c r="L2374" s="1175"/>
    </row>
    <row r="2375" spans="1:12" ht="18" hidden="1">
      <c r="A2375" s="1132"/>
      <c r="E2375" s="1164"/>
      <c r="F2375" s="1171">
        <v>19</v>
      </c>
      <c r="G2375" s="1172" t="s">
        <v>1895</v>
      </c>
      <c r="H2375" s="1164" t="s">
        <v>3651</v>
      </c>
      <c r="I2375" s="1171">
        <v>2</v>
      </c>
      <c r="J2375" s="1172" t="s">
        <v>129</v>
      </c>
      <c r="K2375" s="1181">
        <f>I2375*F2375</f>
        <v>38</v>
      </c>
      <c r="L2375" s="1166"/>
    </row>
    <row r="2376" spans="1:12" ht="18" hidden="1">
      <c r="A2376" s="1132"/>
      <c r="E2376" s="1164"/>
      <c r="F2376" s="1166"/>
      <c r="G2376" s="1164"/>
      <c r="H2376" s="1164"/>
      <c r="I2376" s="1166"/>
      <c r="J2376" s="1164"/>
      <c r="K2376" s="1175">
        <f>SUM(K2367:K2375)</f>
        <v>2050.7849999999999</v>
      </c>
      <c r="L2376" s="1175"/>
    </row>
    <row r="2377" spans="1:12" ht="21" hidden="1">
      <c r="A2377" s="1132"/>
      <c r="E2377" s="1164"/>
      <c r="F2377" s="1166"/>
      <c r="G2377" s="1164"/>
      <c r="H2377" s="1179" t="s">
        <v>3652</v>
      </c>
      <c r="I2377" s="1175">
        <f>K2376/10</f>
        <v>205.07849999999999</v>
      </c>
      <c r="J2377" s="1164"/>
      <c r="K2377" s="1166"/>
      <c r="L2377" s="1166"/>
    </row>
    <row r="2378" spans="1:12" ht="18" hidden="1">
      <c r="A2378" s="1132"/>
      <c r="E2378" s="1164"/>
      <c r="F2378" s="1166"/>
      <c r="G2378" s="1164"/>
      <c r="H2378" s="1165" t="s">
        <v>3653</v>
      </c>
      <c r="I2378" s="1175">
        <f>I2377</f>
        <v>205.07849999999999</v>
      </c>
      <c r="J2378" s="1182">
        <f>I2393</f>
        <v>12.32</v>
      </c>
      <c r="K2378" s="1175">
        <f>I2378+J2378</f>
        <v>217.39849999999998</v>
      </c>
      <c r="L2378" s="1166"/>
    </row>
    <row r="2379" spans="1:12" ht="36" hidden="1">
      <c r="A2379" s="1132"/>
      <c r="E2379" s="1176">
        <v>18.100000000000001</v>
      </c>
      <c r="F2379" s="1168" t="s">
        <v>3654</v>
      </c>
      <c r="G2379" s="1164"/>
      <c r="H2379" s="1183" t="s">
        <v>3655</v>
      </c>
      <c r="I2379" s="1166"/>
      <c r="J2379" s="1164"/>
      <c r="K2379" s="1166"/>
      <c r="L2379" s="1166"/>
    </row>
    <row r="2380" spans="1:12" ht="18" hidden="1">
      <c r="A2380" s="1132"/>
      <c r="E2380" s="1164"/>
      <c r="F2380" s="1166"/>
      <c r="G2380" s="1164"/>
      <c r="H2380" s="1164" t="s">
        <v>3656</v>
      </c>
      <c r="I2380" s="1171">
        <f>K2376</f>
        <v>2050.7849999999999</v>
      </c>
      <c r="J2380" s="1164"/>
      <c r="K2380" s="1166"/>
      <c r="L2380" s="1166"/>
    </row>
    <row r="2381" spans="1:12" ht="18" hidden="1">
      <c r="A2381" s="1132"/>
      <c r="E2381" s="1164"/>
      <c r="F2381" s="1166"/>
      <c r="G2381" s="1164"/>
      <c r="H2381" s="1164" t="s">
        <v>3645</v>
      </c>
      <c r="I2381" s="1171">
        <f>K2391</f>
        <v>369.6</v>
      </c>
      <c r="J2381" s="1176" t="s">
        <v>3657</v>
      </c>
      <c r="K2381" s="1166"/>
      <c r="L2381" s="1166"/>
    </row>
    <row r="2382" spans="1:12" ht="18" hidden="1">
      <c r="A2382" s="1132"/>
      <c r="E2382" s="1164"/>
      <c r="F2382" s="1166"/>
      <c r="G2382" s="1164"/>
      <c r="H2382" s="1164"/>
      <c r="I2382" s="1168">
        <f>I2380-I2381</f>
        <v>1681.1849999999999</v>
      </c>
      <c r="J2382" s="1164"/>
      <c r="K2382" s="1166"/>
      <c r="L2382" s="1166"/>
    </row>
    <row r="2383" spans="1:12" ht="21" hidden="1">
      <c r="A2383" s="1132"/>
      <c r="E2383" s="1164"/>
      <c r="F2383" s="1166"/>
      <c r="G2383" s="1164"/>
      <c r="H2383" s="1179" t="s">
        <v>3652</v>
      </c>
      <c r="I2383" s="1168">
        <f>I2382/10</f>
        <v>168.11849999999998</v>
      </c>
      <c r="J2383" s="1164"/>
      <c r="K2383" s="1166"/>
      <c r="L2383" s="1166"/>
    </row>
    <row r="2384" spans="1:12" ht="18" hidden="1">
      <c r="A2384" s="1132"/>
      <c r="E2384" s="1164"/>
      <c r="F2384" s="1166"/>
      <c r="G2384" s="1164"/>
      <c r="H2384" s="1164"/>
      <c r="I2384" s="1166"/>
      <c r="J2384" s="1164"/>
      <c r="K2384" s="1166"/>
      <c r="L2384" s="1166"/>
    </row>
    <row r="2385" spans="1:12" ht="18" hidden="1">
      <c r="A2385" s="1132"/>
      <c r="E2385" s="1164"/>
      <c r="F2385" s="1166"/>
      <c r="G2385" s="1164"/>
      <c r="H2385" s="1176" t="s">
        <v>3658</v>
      </c>
      <c r="I2385" s="1166"/>
      <c r="J2385" s="1164"/>
      <c r="K2385" s="1166"/>
      <c r="L2385" s="1171"/>
    </row>
    <row r="2386" spans="1:12" ht="36" hidden="1">
      <c r="A2386" s="1132"/>
      <c r="E2386" s="1164"/>
      <c r="F2386" s="1166"/>
      <c r="G2386" s="1164"/>
      <c r="H2386" s="1183" t="s">
        <v>3659</v>
      </c>
      <c r="I2386" s="1166"/>
      <c r="J2386" s="1164"/>
      <c r="K2386" s="1166"/>
      <c r="L2386" s="1171"/>
    </row>
    <row r="2387" spans="1:12" ht="36" hidden="1">
      <c r="A2387" s="1132"/>
      <c r="E2387" s="1164"/>
      <c r="F2387" s="1171">
        <v>98.5</v>
      </c>
      <c r="G2387" s="1172" t="s">
        <v>2831</v>
      </c>
      <c r="H2387" s="1184" t="s">
        <v>3660</v>
      </c>
      <c r="I2387" s="1171">
        <f>I2369</f>
        <v>3</v>
      </c>
      <c r="J2387" s="1172" t="s">
        <v>2831</v>
      </c>
      <c r="K2387" s="1171">
        <f>I2387*F2387</f>
        <v>295.5</v>
      </c>
      <c r="L2387" s="1171"/>
    </row>
    <row r="2388" spans="1:12" ht="21" hidden="1">
      <c r="A2388" s="1132"/>
      <c r="E2388" s="1164"/>
      <c r="F2388" s="1171">
        <v>0.3</v>
      </c>
      <c r="G2388" s="1172" t="s">
        <v>1895</v>
      </c>
      <c r="H2388" s="1184" t="s">
        <v>3661</v>
      </c>
      <c r="I2388" s="1171">
        <f>I2371</f>
        <v>150</v>
      </c>
      <c r="J2388" s="1172" t="s">
        <v>1895</v>
      </c>
      <c r="K2388" s="1171">
        <f>I2388*F2388</f>
        <v>45</v>
      </c>
      <c r="L2388" s="1171"/>
    </row>
    <row r="2389" spans="1:12" ht="21" hidden="1">
      <c r="A2389" s="1132"/>
      <c r="E2389" s="1164"/>
      <c r="F2389" s="1171">
        <v>0.3</v>
      </c>
      <c r="G2389" s="1172" t="s">
        <v>1895</v>
      </c>
      <c r="H2389" s="1184" t="s">
        <v>3662</v>
      </c>
      <c r="I2389" s="1171">
        <f>I2372</f>
        <v>95</v>
      </c>
      <c r="J2389" s="1172" t="s">
        <v>1895</v>
      </c>
      <c r="K2389" s="1171">
        <f>I2389*F2389</f>
        <v>28.5</v>
      </c>
      <c r="L2389" s="1168"/>
    </row>
    <row r="2390" spans="1:12" ht="18" hidden="1">
      <c r="A2390" s="1132"/>
      <c r="E2390" s="1164"/>
      <c r="F2390" s="1166"/>
      <c r="G2390" s="1164"/>
      <c r="H2390" s="1185" t="s">
        <v>3663</v>
      </c>
      <c r="I2390" s="1481" t="s">
        <v>129</v>
      </c>
      <c r="J2390" s="1481"/>
      <c r="K2390" s="1171">
        <v>0.6</v>
      </c>
      <c r="L2390" s="1166"/>
    </row>
    <row r="2391" spans="1:12" ht="21" hidden="1">
      <c r="A2391" s="1132"/>
      <c r="E2391" s="1164"/>
      <c r="F2391" s="1166"/>
      <c r="G2391" s="1164"/>
      <c r="H2391" s="1185" t="s">
        <v>3664</v>
      </c>
      <c r="I2391" s="1166"/>
      <c r="J2391" s="1164"/>
      <c r="K2391" s="1168">
        <f>SUM(K2387:K2390)</f>
        <v>369.6</v>
      </c>
      <c r="L2391" s="1166"/>
    </row>
    <row r="2392" spans="1:12" ht="21" hidden="1">
      <c r="A2392" s="1132"/>
      <c r="E2392" s="1164"/>
      <c r="F2392" s="1166"/>
      <c r="G2392" s="1164"/>
      <c r="H2392" s="1185" t="s">
        <v>3665</v>
      </c>
      <c r="I2392" s="1175">
        <f>K2391/10</f>
        <v>36.96</v>
      </c>
      <c r="J2392" s="1164"/>
      <c r="K2392" s="1166"/>
      <c r="L2392" s="1166"/>
    </row>
    <row r="2393" spans="1:12" ht="18" hidden="1">
      <c r="A2393" s="1132"/>
      <c r="E2393" s="1164"/>
      <c r="F2393" s="1166"/>
      <c r="G2393" s="1164"/>
      <c r="H2393" s="1185" t="s">
        <v>3666</v>
      </c>
      <c r="I2393" s="1175">
        <f>I2392/3</f>
        <v>12.32</v>
      </c>
      <c r="J2393" s="1164"/>
      <c r="K2393" s="1166"/>
      <c r="L2393" s="1166"/>
    </row>
    <row r="2394" spans="1:12" ht="18" hidden="1">
      <c r="A2394" s="1132"/>
      <c r="E2394" s="1164"/>
      <c r="F2394" s="1166"/>
      <c r="G2394" s="1164"/>
      <c r="H2394" s="1184"/>
      <c r="I2394" s="1166"/>
      <c r="J2394" s="1164"/>
      <c r="K2394" s="1166"/>
      <c r="L2394" s="1166"/>
    </row>
    <row r="2395" spans="1:12" ht="36" hidden="1">
      <c r="A2395" s="1132"/>
      <c r="E2395" s="1176">
        <v>18.100000000000001</v>
      </c>
      <c r="F2395" s="1168" t="s">
        <v>1976</v>
      </c>
      <c r="G2395" s="1164"/>
      <c r="H2395" s="1186" t="s">
        <v>3667</v>
      </c>
      <c r="I2395" s="1168">
        <f>I2377*1.2</f>
        <v>246.09419999999997</v>
      </c>
      <c r="J2395" s="1164"/>
      <c r="K2395" s="1166"/>
    </row>
    <row r="2396" spans="1:12" ht="36" hidden="1">
      <c r="A2396" s="1132"/>
      <c r="E2396" s="1167">
        <v>18.100000000000001</v>
      </c>
      <c r="F2396" s="1168" t="s">
        <v>3668</v>
      </c>
      <c r="G2396" s="1164"/>
      <c r="H2396" s="1187" t="s">
        <v>3669</v>
      </c>
      <c r="I2396" s="1168">
        <f>I2377*1.1</f>
        <v>225.58635000000001</v>
      </c>
      <c r="J2396" s="1164"/>
      <c r="K2396" s="1166"/>
    </row>
    <row r="2397" spans="1:12" hidden="1">
      <c r="A2397" s="1132"/>
      <c r="E2397" s="932"/>
      <c r="F2397" s="932"/>
      <c r="G2397" s="935"/>
      <c r="H2397" s="932"/>
      <c r="I2397" s="932"/>
      <c r="J2397" s="933"/>
      <c r="K2397" s="932"/>
    </row>
    <row r="2398" spans="1:12" hidden="1">
      <c r="A2398" s="1132"/>
      <c r="E2398" s="932"/>
      <c r="F2398" s="932"/>
      <c r="G2398" s="935"/>
      <c r="H2398" s="932"/>
      <c r="I2398" s="932"/>
      <c r="J2398" s="933"/>
      <c r="K2398" s="932"/>
    </row>
    <row r="2399" spans="1:12" ht="23.25" hidden="1">
      <c r="A2399" s="1132"/>
      <c r="E2399" s="932"/>
      <c r="F2399" s="575"/>
      <c r="G2399" s="576"/>
      <c r="H2399" s="1188" t="s">
        <v>3670</v>
      </c>
      <c r="I2399" s="575"/>
      <c r="J2399" s="580"/>
      <c r="K2399" s="587"/>
    </row>
    <row r="2400" spans="1:12" hidden="1">
      <c r="A2400" s="1132"/>
      <c r="E2400" s="932"/>
      <c r="F2400" s="1189">
        <v>18.100000000000001</v>
      </c>
      <c r="G2400" s="585" t="s">
        <v>122</v>
      </c>
      <c r="H2400" s="573" t="s">
        <v>1231</v>
      </c>
      <c r="I2400" s="575"/>
      <c r="J2400" s="580"/>
      <c r="K2400" s="575"/>
    </row>
    <row r="2401" spans="1:11" hidden="1">
      <c r="A2401" s="1132"/>
      <c r="E2401" s="932"/>
      <c r="F2401" s="575"/>
      <c r="G2401" s="576"/>
      <c r="H2401" s="573" t="s">
        <v>1233</v>
      </c>
      <c r="I2401" s="575"/>
      <c r="J2401" s="580"/>
      <c r="K2401" s="575"/>
    </row>
    <row r="2402" spans="1:11" hidden="1">
      <c r="A2402" s="1132"/>
      <c r="E2402" s="932"/>
      <c r="F2402" s="575"/>
      <c r="G2402" s="576"/>
      <c r="H2402" s="573" t="s">
        <v>1235</v>
      </c>
      <c r="I2402" s="575"/>
      <c r="J2402" s="580"/>
      <c r="K2402" s="575"/>
    </row>
    <row r="2403" spans="1:11" hidden="1">
      <c r="A2403" s="1132"/>
      <c r="E2403" s="932"/>
      <c r="F2403" s="575"/>
      <c r="G2403" s="576"/>
      <c r="H2403" s="573" t="s">
        <v>1237</v>
      </c>
      <c r="I2403" s="575"/>
      <c r="J2403" s="580"/>
      <c r="K2403" s="575"/>
    </row>
    <row r="2404" spans="1:11" hidden="1">
      <c r="A2404" s="1132"/>
      <c r="E2404" s="932"/>
      <c r="F2404" s="575"/>
      <c r="G2404" s="576"/>
      <c r="H2404" s="573" t="s">
        <v>1239</v>
      </c>
      <c r="I2404" s="575"/>
      <c r="J2404" s="580"/>
      <c r="K2404" s="575"/>
    </row>
    <row r="2405" spans="1:11" hidden="1">
      <c r="A2405" s="1132"/>
      <c r="E2405" s="932"/>
      <c r="F2405" s="575"/>
      <c r="G2405" s="576"/>
      <c r="H2405" s="573" t="s">
        <v>1240</v>
      </c>
      <c r="I2405" s="575"/>
      <c r="J2405" s="580"/>
      <c r="K2405" s="575"/>
    </row>
    <row r="2406" spans="1:11" hidden="1">
      <c r="A2406" s="1132"/>
      <c r="E2406" s="932"/>
      <c r="F2406" s="575"/>
      <c r="G2406" s="576"/>
      <c r="H2406" s="573" t="s">
        <v>1242</v>
      </c>
      <c r="I2406" s="575"/>
      <c r="J2406" s="580"/>
      <c r="K2406" s="575"/>
    </row>
    <row r="2407" spans="1:11" hidden="1">
      <c r="A2407" s="1132"/>
      <c r="E2407" s="932"/>
      <c r="F2407" s="575"/>
      <c r="G2407" s="576"/>
      <c r="H2407" s="582" t="s">
        <v>117</v>
      </c>
      <c r="I2407" s="582" t="s">
        <v>117</v>
      </c>
      <c r="J2407" s="574" t="s">
        <v>117</v>
      </c>
      <c r="K2407" s="575"/>
    </row>
    <row r="2408" spans="1:11" hidden="1">
      <c r="A2408" s="1132"/>
      <c r="E2408" s="932"/>
      <c r="F2408" s="587">
        <v>13.46</v>
      </c>
      <c r="G2408" s="585" t="s">
        <v>1245</v>
      </c>
      <c r="H2408" s="573" t="s">
        <v>1246</v>
      </c>
      <c r="I2408" s="587">
        <f>I2361</f>
        <v>30</v>
      </c>
      <c r="J2408" s="574" t="s">
        <v>1245</v>
      </c>
      <c r="K2408" s="587">
        <f>(F2408*I2408)</f>
        <v>403.8</v>
      </c>
    </row>
    <row r="2409" spans="1:11" hidden="1">
      <c r="A2409" s="1132"/>
      <c r="E2409" s="932"/>
      <c r="F2409" s="575"/>
      <c r="G2409" s="576"/>
      <c r="H2409" s="573" t="s">
        <v>1249</v>
      </c>
      <c r="I2409" s="575"/>
      <c r="J2409" s="580"/>
      <c r="K2409" s="575"/>
    </row>
    <row r="2410" spans="1:11" hidden="1">
      <c r="A2410" s="1132"/>
      <c r="E2410" s="932"/>
      <c r="F2410" s="587">
        <v>4</v>
      </c>
      <c r="G2410" s="585" t="s">
        <v>1245</v>
      </c>
      <c r="H2410" s="573" t="s">
        <v>1251</v>
      </c>
      <c r="I2410" s="587">
        <f>I2362</f>
        <v>30</v>
      </c>
      <c r="J2410" s="574" t="s">
        <v>1245</v>
      </c>
      <c r="K2410" s="587">
        <f>(F2410*I2410)</f>
        <v>120</v>
      </c>
    </row>
    <row r="2411" spans="1:11" hidden="1">
      <c r="A2411" s="1132"/>
      <c r="E2411" s="932"/>
      <c r="F2411" s="575"/>
      <c r="G2411" s="576"/>
      <c r="H2411" s="573" t="s">
        <v>1253</v>
      </c>
      <c r="I2411" s="575"/>
      <c r="J2411" s="580"/>
      <c r="K2411" s="575"/>
    </row>
    <row r="2412" spans="1:11" hidden="1">
      <c r="A2412" s="1132"/>
      <c r="E2412" s="932"/>
      <c r="F2412" s="587"/>
      <c r="G2412" s="585" t="s">
        <v>129</v>
      </c>
      <c r="H2412" s="573" t="s">
        <v>1255</v>
      </c>
      <c r="I2412" s="575"/>
      <c r="J2412" s="574" t="s">
        <v>129</v>
      </c>
      <c r="K2412" s="587">
        <v>40</v>
      </c>
    </row>
    <row r="2413" spans="1:11" hidden="1">
      <c r="A2413" s="1132"/>
      <c r="E2413" s="932"/>
      <c r="F2413" s="575"/>
      <c r="G2413" s="576"/>
      <c r="H2413" s="573" t="s">
        <v>1257</v>
      </c>
      <c r="I2413" s="575"/>
      <c r="J2413" s="580"/>
      <c r="K2413" s="582" t="s">
        <v>117</v>
      </c>
    </row>
    <row r="2414" spans="1:11" hidden="1">
      <c r="A2414" s="1132"/>
      <c r="E2414" s="932"/>
      <c r="F2414" s="575"/>
      <c r="G2414" s="576"/>
      <c r="H2414" s="574" t="s">
        <v>3282</v>
      </c>
      <c r="I2414" s="575"/>
      <c r="J2414" s="580"/>
      <c r="K2414" s="587">
        <f>SUM(K2408:K2412)</f>
        <v>563.79999999999995</v>
      </c>
    </row>
    <row r="2415" spans="1:11" ht="17.25" hidden="1">
      <c r="A2415" s="1132"/>
      <c r="E2415" s="1147"/>
      <c r="F2415" s="575"/>
      <c r="G2415" s="576"/>
      <c r="H2415" s="575"/>
      <c r="I2415" s="575"/>
      <c r="J2415" s="580"/>
      <c r="K2415" s="582" t="s">
        <v>117</v>
      </c>
    </row>
    <row r="2416" spans="1:11" ht="17.25" hidden="1">
      <c r="A2416" s="1132"/>
      <c r="E2416" s="1147"/>
      <c r="F2416" s="575"/>
      <c r="G2416" s="576"/>
      <c r="H2416" s="574" t="s">
        <v>1264</v>
      </c>
      <c r="I2416" s="575"/>
      <c r="J2416" s="580"/>
      <c r="K2416" s="587">
        <f>K2414/40</f>
        <v>14.094999999999999</v>
      </c>
    </row>
    <row r="2417" spans="1:11" ht="17.25" hidden="1">
      <c r="A2417" s="1132"/>
      <c r="E2417" s="1147"/>
      <c r="F2417" s="575"/>
      <c r="G2417" s="576"/>
      <c r="H2417" s="575"/>
      <c r="I2417" s="575"/>
      <c r="J2417" s="580"/>
      <c r="K2417" s="582" t="s">
        <v>117</v>
      </c>
    </row>
    <row r="2418" spans="1:11" ht="17.25" hidden="1">
      <c r="A2418" s="1132"/>
      <c r="E2418" s="1147"/>
      <c r="F2418" s="575"/>
      <c r="G2418" s="576"/>
      <c r="H2418" s="573" t="s">
        <v>1267</v>
      </c>
      <c r="I2418" s="575"/>
      <c r="J2418" s="580"/>
      <c r="K2418" s="575"/>
    </row>
    <row r="2419" spans="1:11" ht="17.25" hidden="1">
      <c r="A2419" s="1132"/>
      <c r="E2419" s="1147"/>
      <c r="F2419" s="575"/>
      <c r="G2419" s="576"/>
      <c r="H2419" s="573" t="s">
        <v>1269</v>
      </c>
      <c r="I2419" s="575"/>
      <c r="J2419" s="580"/>
      <c r="K2419" s="575"/>
    </row>
    <row r="2420" spans="1:11" ht="17.25" hidden="1">
      <c r="A2420" s="1132"/>
      <c r="E2420" s="1147"/>
      <c r="F2420" s="575"/>
      <c r="G2420" s="576"/>
      <c r="H2420" s="573" t="s">
        <v>1272</v>
      </c>
      <c r="I2420" s="575"/>
      <c r="J2420" s="580"/>
      <c r="K2420" s="575"/>
    </row>
    <row r="2421" spans="1:11" ht="17.25" hidden="1">
      <c r="A2421" s="1132"/>
      <c r="E2421" s="1147"/>
      <c r="F2421" s="575"/>
      <c r="G2421" s="576"/>
      <c r="H2421" s="575"/>
      <c r="I2421" s="575"/>
      <c r="J2421" s="580"/>
      <c r="K2421" s="575"/>
    </row>
    <row r="2422" spans="1:11" ht="17.25" hidden="1">
      <c r="A2422" s="1132"/>
      <c r="E2422" s="1147"/>
      <c r="F2422" s="587">
        <v>19</v>
      </c>
      <c r="G2422" s="585" t="s">
        <v>240</v>
      </c>
      <c r="H2422" s="573" t="s">
        <v>1277</v>
      </c>
      <c r="I2422" s="587">
        <f>K2416</f>
        <v>14.094999999999999</v>
      </c>
      <c r="J2422" s="574" t="s">
        <v>1278</v>
      </c>
      <c r="K2422" s="587">
        <f>(F2422*I2422)</f>
        <v>267.80499999999995</v>
      </c>
    </row>
    <row r="2423" spans="1:11" ht="17.25" hidden="1">
      <c r="A2423" s="1132"/>
      <c r="E2423" s="1147"/>
      <c r="F2423" s="575"/>
      <c r="G2423" s="576"/>
      <c r="H2423" s="573" t="s">
        <v>1280</v>
      </c>
      <c r="I2423" s="575"/>
      <c r="J2423" s="580"/>
      <c r="K2423" s="587"/>
    </row>
    <row r="2424" spans="1:11" ht="17.25" hidden="1">
      <c r="A2424" s="1132"/>
      <c r="E2424" s="1147"/>
      <c r="F2424" s="587">
        <v>0.12</v>
      </c>
      <c r="G2424" s="585" t="s">
        <v>429</v>
      </c>
      <c r="H2424" s="573" t="s">
        <v>3285</v>
      </c>
      <c r="I2424" s="587">
        <f>9395/5</f>
        <v>1879</v>
      </c>
      <c r="J2424" s="574" t="s">
        <v>1278</v>
      </c>
      <c r="K2424" s="587">
        <f t="shared" ref="K2424:K2431" si="73">(F2424*I2424)</f>
        <v>225.48</v>
      </c>
    </row>
    <row r="2425" spans="1:11" ht="17.25" hidden="1">
      <c r="A2425" s="1132"/>
      <c r="E2425" s="1147"/>
      <c r="F2425" s="587">
        <v>98.5</v>
      </c>
      <c r="G2425" s="585" t="s">
        <v>231</v>
      </c>
      <c r="H2425" s="573" t="s">
        <v>1285</v>
      </c>
      <c r="I2425" s="587">
        <f>I2369</f>
        <v>3</v>
      </c>
      <c r="J2425" s="574" t="s">
        <v>1278</v>
      </c>
      <c r="K2425" s="587">
        <f t="shared" si="73"/>
        <v>295.5</v>
      </c>
    </row>
    <row r="2426" spans="1:11" ht="17.25" hidden="1">
      <c r="A2426" s="1132"/>
      <c r="E2426" s="1147"/>
      <c r="F2426" s="587">
        <v>1</v>
      </c>
      <c r="G2426" s="585" t="s">
        <v>129</v>
      </c>
      <c r="H2426" s="573" t="s">
        <v>1287</v>
      </c>
      <c r="I2426" s="587">
        <v>11</v>
      </c>
      <c r="J2426" s="574" t="s">
        <v>129</v>
      </c>
      <c r="K2426" s="587">
        <f t="shared" si="73"/>
        <v>11</v>
      </c>
    </row>
    <row r="2427" spans="1:11" ht="17.25" hidden="1">
      <c r="A2427" s="1132"/>
      <c r="E2427" s="1147"/>
      <c r="F2427" s="587">
        <v>3.8</v>
      </c>
      <c r="G2427" s="585" t="s">
        <v>164</v>
      </c>
      <c r="H2427" s="573" t="s">
        <v>1289</v>
      </c>
      <c r="I2427" s="587">
        <f>C16</f>
        <v>150</v>
      </c>
      <c r="J2427" s="574" t="s">
        <v>227</v>
      </c>
      <c r="K2427" s="587">
        <f t="shared" si="73"/>
        <v>570</v>
      </c>
    </row>
    <row r="2428" spans="1:11" ht="17.25" hidden="1">
      <c r="A2428" s="1132"/>
      <c r="E2428" s="1147"/>
      <c r="F2428" s="587">
        <v>5.4</v>
      </c>
      <c r="G2428" s="585" t="s">
        <v>164</v>
      </c>
      <c r="H2428" s="573" t="s">
        <v>956</v>
      </c>
      <c r="I2428" s="587">
        <f>C12</f>
        <v>95</v>
      </c>
      <c r="J2428" s="574" t="s">
        <v>227</v>
      </c>
      <c r="K2428" s="587">
        <f t="shared" si="73"/>
        <v>513</v>
      </c>
    </row>
    <row r="2429" spans="1:11" ht="17.25" hidden="1">
      <c r="A2429" s="1132"/>
      <c r="E2429" s="1147"/>
      <c r="F2429" s="587">
        <v>1</v>
      </c>
      <c r="G2429" s="585" t="s">
        <v>164</v>
      </c>
      <c r="H2429" s="573" t="s">
        <v>1293</v>
      </c>
      <c r="I2429" s="587">
        <f>D17</f>
        <v>120</v>
      </c>
      <c r="J2429" s="574" t="s">
        <v>227</v>
      </c>
      <c r="K2429" s="587">
        <f t="shared" si="73"/>
        <v>120</v>
      </c>
    </row>
    <row r="2430" spans="1:11" ht="17.25" hidden="1">
      <c r="A2430" s="1132"/>
      <c r="E2430" s="1147"/>
      <c r="F2430" s="587">
        <v>1</v>
      </c>
      <c r="G2430" s="585" t="s">
        <v>129</v>
      </c>
      <c r="H2430" s="573" t="s">
        <v>1296</v>
      </c>
      <c r="I2430" s="587">
        <v>10</v>
      </c>
      <c r="J2430" s="574" t="s">
        <v>129</v>
      </c>
      <c r="K2430" s="587">
        <f t="shared" si="73"/>
        <v>10</v>
      </c>
    </row>
    <row r="2431" spans="1:11" ht="17.25" hidden="1">
      <c r="A2431" s="1132"/>
      <c r="E2431" s="1147"/>
      <c r="F2431" s="587">
        <v>19</v>
      </c>
      <c r="G2431" s="585" t="s">
        <v>240</v>
      </c>
      <c r="H2431" s="573" t="s">
        <v>1299</v>
      </c>
      <c r="I2431" s="587">
        <v>2</v>
      </c>
      <c r="J2431" s="574" t="s">
        <v>240</v>
      </c>
      <c r="K2431" s="587">
        <f t="shared" si="73"/>
        <v>38</v>
      </c>
    </row>
    <row r="2432" spans="1:11" ht="17.25" hidden="1">
      <c r="A2432" s="1132"/>
      <c r="E2432" s="1147"/>
      <c r="F2432" s="575"/>
      <c r="G2432" s="576"/>
      <c r="H2432" s="573" t="s">
        <v>1302</v>
      </c>
      <c r="I2432" s="575"/>
      <c r="J2432" s="580"/>
      <c r="K2432" s="582" t="s">
        <v>117</v>
      </c>
    </row>
    <row r="2433" spans="1:11" ht="17.25" hidden="1">
      <c r="A2433" s="1132"/>
      <c r="E2433" s="1147"/>
      <c r="F2433" s="575"/>
      <c r="G2433" s="576"/>
      <c r="H2433" s="574" t="s">
        <v>153</v>
      </c>
      <c r="I2433" s="575"/>
      <c r="J2433" s="580"/>
      <c r="K2433" s="587">
        <f>SUM(K2422:K2431)</f>
        <v>2050.7849999999999</v>
      </c>
    </row>
    <row r="2434" spans="1:11" ht="17.25" hidden="1">
      <c r="A2434" s="1132"/>
      <c r="E2434" s="1147"/>
      <c r="F2434" s="575"/>
      <c r="G2434" s="576"/>
      <c r="H2434" s="575"/>
      <c r="I2434" s="575"/>
      <c r="J2434" s="580"/>
      <c r="K2434" s="582" t="s">
        <v>117</v>
      </c>
    </row>
    <row r="2435" spans="1:11" ht="17.25" hidden="1">
      <c r="A2435" s="1132"/>
      <c r="E2435" s="1147"/>
      <c r="F2435" s="575"/>
      <c r="G2435" s="576"/>
      <c r="H2435" s="574" t="s">
        <v>154</v>
      </c>
      <c r="I2435" s="575"/>
      <c r="J2435" s="580"/>
      <c r="K2435" s="587">
        <f>(K2433/10)</f>
        <v>205.07849999999999</v>
      </c>
    </row>
    <row r="2436" spans="1:11" ht="17.25" hidden="1">
      <c r="A2436" s="1132"/>
      <c r="E2436" s="1147"/>
      <c r="F2436" s="573" t="s">
        <v>115</v>
      </c>
      <c r="G2436" s="576"/>
      <c r="H2436" s="575"/>
      <c r="I2436" s="575"/>
      <c r="J2436" s="580"/>
      <c r="K2436" s="575"/>
    </row>
    <row r="2437" spans="1:11" ht="17.25" hidden="1">
      <c r="A2437" s="1132"/>
      <c r="E2437" s="1147"/>
      <c r="F2437" s="575"/>
      <c r="G2437" s="576"/>
      <c r="H2437" s="575"/>
      <c r="I2437" s="575"/>
      <c r="J2437" s="580"/>
      <c r="K2437" s="582" t="s">
        <v>155</v>
      </c>
    </row>
    <row r="2438" spans="1:11" ht="30" hidden="1">
      <c r="A2438" s="1132"/>
      <c r="E2438" s="1147"/>
      <c r="F2438" s="1190" t="s">
        <v>3654</v>
      </c>
      <c r="G2438" s="661"/>
      <c r="H2438" s="1191" t="s">
        <v>3671</v>
      </c>
      <c r="I2438" s="575"/>
      <c r="J2438" s="580"/>
      <c r="K2438" s="575"/>
    </row>
    <row r="2439" spans="1:11" ht="17.25" hidden="1">
      <c r="A2439" s="1132"/>
      <c r="E2439" s="1147"/>
      <c r="F2439" s="661"/>
      <c r="G2439" s="576"/>
      <c r="H2439" s="575"/>
      <c r="I2439" s="575"/>
      <c r="J2439" s="580"/>
      <c r="K2439" s="622"/>
    </row>
    <row r="2440" spans="1:11" ht="17.25" hidden="1">
      <c r="A2440" s="1132"/>
      <c r="E2440" s="1147"/>
      <c r="F2440" s="575">
        <v>98.5</v>
      </c>
      <c r="G2440" s="576" t="s">
        <v>231</v>
      </c>
      <c r="H2440" s="573" t="s">
        <v>1285</v>
      </c>
      <c r="I2440" s="587">
        <f>I2425</f>
        <v>3</v>
      </c>
      <c r="J2440" s="574" t="s">
        <v>1278</v>
      </c>
      <c r="K2440" s="575">
        <f>(F2440*I2440)</f>
        <v>295.5</v>
      </c>
    </row>
    <row r="2441" spans="1:11" ht="17.25" hidden="1">
      <c r="A2441" s="1132"/>
      <c r="E2441" s="1147"/>
      <c r="F2441" s="575">
        <v>0.3</v>
      </c>
      <c r="G2441" s="576" t="s">
        <v>164</v>
      </c>
      <c r="H2441" s="573" t="s">
        <v>1289</v>
      </c>
      <c r="I2441" s="587">
        <f>I2427</f>
        <v>150</v>
      </c>
      <c r="J2441" s="574" t="s">
        <v>227</v>
      </c>
      <c r="K2441" s="575">
        <f>(F2441*I2441)</f>
        <v>45</v>
      </c>
    </row>
    <row r="2442" spans="1:11" ht="17.25" hidden="1">
      <c r="A2442" s="1132"/>
      <c r="E2442" s="1147"/>
      <c r="F2442" s="575">
        <v>0.3</v>
      </c>
      <c r="G2442" s="576" t="s">
        <v>164</v>
      </c>
      <c r="H2442" s="573" t="s">
        <v>956</v>
      </c>
      <c r="I2442" s="587">
        <f>I2428</f>
        <v>95</v>
      </c>
      <c r="J2442" s="574" t="s">
        <v>227</v>
      </c>
      <c r="K2442" s="575">
        <f>(F2442*I2442)</f>
        <v>28.5</v>
      </c>
    </row>
    <row r="2443" spans="1:11" ht="17.25" hidden="1">
      <c r="A2443" s="1132"/>
      <c r="E2443" s="1147"/>
      <c r="F2443" s="575"/>
      <c r="G2443" s="576"/>
      <c r="H2443" s="573" t="s">
        <v>236</v>
      </c>
      <c r="I2443" s="575"/>
      <c r="J2443" s="580" t="s">
        <v>2295</v>
      </c>
      <c r="K2443" s="622">
        <v>0.6</v>
      </c>
    </row>
    <row r="2444" spans="1:11" ht="17.25" hidden="1">
      <c r="A2444" s="1132"/>
      <c r="E2444" s="1147"/>
      <c r="F2444" s="575"/>
      <c r="G2444" s="576"/>
      <c r="H2444" s="574" t="s">
        <v>153</v>
      </c>
      <c r="I2444" s="575"/>
      <c r="J2444" s="580"/>
      <c r="K2444" s="575">
        <f>SUM(K2440:K2443)</f>
        <v>369.6</v>
      </c>
    </row>
    <row r="2445" spans="1:11" ht="17.25" hidden="1">
      <c r="A2445" s="1132"/>
      <c r="E2445" s="1147"/>
      <c r="F2445" s="575"/>
      <c r="G2445" s="576"/>
      <c r="H2445" s="573"/>
      <c r="I2445" s="575"/>
      <c r="J2445" s="580"/>
      <c r="K2445" s="622" t="s">
        <v>774</v>
      </c>
    </row>
    <row r="2446" spans="1:11" ht="17.25" hidden="1">
      <c r="A2446" s="1132"/>
      <c r="E2446" s="1147"/>
      <c r="F2446" s="575"/>
      <c r="G2446" s="576"/>
      <c r="H2446" s="574" t="s">
        <v>154</v>
      </c>
      <c r="I2446" s="575"/>
      <c r="J2446" s="580"/>
      <c r="K2446" s="575">
        <f>K2444/10</f>
        <v>36.96</v>
      </c>
    </row>
    <row r="2447" spans="1:11" ht="17.25" hidden="1">
      <c r="A2447" s="1132"/>
      <c r="E2447" s="1147"/>
      <c r="F2447" s="575"/>
      <c r="G2447" s="576"/>
      <c r="H2447" s="574"/>
      <c r="I2447" s="575"/>
      <c r="J2447" s="580"/>
      <c r="K2447" s="575"/>
    </row>
    <row r="2448" spans="1:11" ht="32.25" hidden="1">
      <c r="A2448" s="1132"/>
      <c r="E2448" s="1147"/>
      <c r="F2448" s="575"/>
      <c r="G2448" s="576"/>
      <c r="H2448" s="633" t="s">
        <v>3672</v>
      </c>
      <c r="I2448" s="575"/>
      <c r="J2448" s="580" t="s">
        <v>3673</v>
      </c>
      <c r="K2448" s="575">
        <f>K2435-K2446</f>
        <v>168.11849999999998</v>
      </c>
    </row>
    <row r="2449" spans="1:11" ht="17.25" hidden="1">
      <c r="A2449" s="1132"/>
      <c r="E2449" s="1147"/>
      <c r="F2449" s="575"/>
      <c r="G2449" s="576"/>
      <c r="H2449" s="573"/>
      <c r="I2449" s="575"/>
      <c r="J2449" s="580"/>
      <c r="K2449" s="622" t="s">
        <v>777</v>
      </c>
    </row>
    <row r="2450" spans="1:11" ht="17.25" hidden="1">
      <c r="A2450" s="1132"/>
      <c r="E2450" s="1147"/>
      <c r="F2450" s="575"/>
      <c r="G2450" s="576"/>
      <c r="H2450" s="575"/>
      <c r="I2450" s="575"/>
      <c r="J2450" s="580"/>
      <c r="K2450" s="575"/>
    </row>
    <row r="2451" spans="1:11" ht="45" hidden="1">
      <c r="A2451" s="1132"/>
      <c r="E2451" s="1147"/>
      <c r="F2451" s="1190" t="s">
        <v>3635</v>
      </c>
      <c r="G2451" s="576"/>
      <c r="H2451" s="1191" t="s">
        <v>3674</v>
      </c>
      <c r="I2451" s="575"/>
      <c r="J2451" s="580" t="s">
        <v>3673</v>
      </c>
      <c r="K2451" s="575">
        <f>K2435</f>
        <v>205.07849999999999</v>
      </c>
    </row>
    <row r="2452" spans="1:11" ht="17.25" hidden="1">
      <c r="A2452" s="1132"/>
      <c r="E2452" s="1147"/>
      <c r="F2452" s="575"/>
      <c r="H2452" s="793"/>
      <c r="I2452" s="575"/>
      <c r="J2452" s="580"/>
      <c r="K2452" s="622" t="s">
        <v>777</v>
      </c>
    </row>
    <row r="2453" spans="1:11" ht="30" hidden="1">
      <c r="A2453" s="1132"/>
      <c r="E2453" s="1147"/>
      <c r="F2453" s="1190" t="s">
        <v>1976</v>
      </c>
      <c r="H2453" s="1191" t="s">
        <v>3667</v>
      </c>
      <c r="I2453" s="575"/>
      <c r="J2453" s="580" t="s">
        <v>3673</v>
      </c>
      <c r="K2453" s="622">
        <f>K2451*1.2</f>
        <v>246.09419999999997</v>
      </c>
    </row>
    <row r="2454" spans="1:11" ht="17.25" hidden="1">
      <c r="A2454" s="1132"/>
      <c r="E2454" s="1147"/>
      <c r="F2454" s="575"/>
      <c r="I2454" s="575"/>
      <c r="J2454" s="580"/>
      <c r="K2454" s="622" t="s">
        <v>748</v>
      </c>
    </row>
    <row r="2455" spans="1:11" ht="19.5" hidden="1">
      <c r="A2455" s="1132"/>
      <c r="E2455" s="1147"/>
      <c r="F2455" s="1190" t="s">
        <v>3668</v>
      </c>
      <c r="H2455" s="1191" t="s">
        <v>3669</v>
      </c>
      <c r="I2455" s="575"/>
      <c r="J2455" s="580" t="s">
        <v>3673</v>
      </c>
      <c r="K2455" s="575">
        <f>K2451*1.1</f>
        <v>225.58635000000001</v>
      </c>
    </row>
    <row r="2456" spans="1:11" ht="17.25" hidden="1">
      <c r="A2456" s="1132"/>
      <c r="E2456" s="1147"/>
      <c r="F2456" s="575"/>
      <c r="G2456" s="576"/>
      <c r="H2456" s="575"/>
      <c r="I2456" s="575"/>
      <c r="J2456" s="580"/>
      <c r="K2456" s="622" t="s">
        <v>748</v>
      </c>
    </row>
    <row r="2457" spans="1:11" ht="17.25" hidden="1">
      <c r="A2457" s="1132"/>
      <c r="E2457" s="1147"/>
      <c r="F2457" s="575"/>
      <c r="G2457" s="576"/>
      <c r="H2457" s="575"/>
      <c r="I2457" s="575"/>
      <c r="J2457" s="580"/>
      <c r="K2457" s="575"/>
    </row>
    <row r="2458" spans="1:11" ht="17.25" hidden="1">
      <c r="A2458" s="1132"/>
      <c r="E2458" s="1147"/>
      <c r="F2458" s="575">
        <v>50.6</v>
      </c>
      <c r="G2458" s="585" t="s">
        <v>558</v>
      </c>
      <c r="H2458" s="573" t="s">
        <v>1919</v>
      </c>
      <c r="I2458" s="575"/>
      <c r="J2458" s="580"/>
      <c r="K2458" s="575"/>
    </row>
    <row r="2459" spans="1:11" ht="32.25" hidden="1">
      <c r="A2459" s="1132"/>
      <c r="E2459" s="1147"/>
      <c r="F2459" s="575"/>
      <c r="G2459" s="576"/>
      <c r="H2459" s="633" t="s">
        <v>3675</v>
      </c>
      <c r="I2459" s="575"/>
      <c r="J2459" s="580"/>
      <c r="K2459" s="575"/>
    </row>
    <row r="2460" spans="1:11" ht="17.25" hidden="1">
      <c r="A2460" s="1132"/>
      <c r="E2460" s="1147"/>
      <c r="F2460" s="575"/>
      <c r="G2460" s="576"/>
      <c r="H2460" s="582" t="s">
        <v>117</v>
      </c>
      <c r="I2460" s="582" t="s">
        <v>117</v>
      </c>
      <c r="J2460" s="580"/>
      <c r="K2460" s="575"/>
    </row>
    <row r="2461" spans="1:11" ht="18.75" hidden="1">
      <c r="A2461" s="1132"/>
      <c r="E2461" s="1147"/>
      <c r="F2461" s="575"/>
      <c r="G2461" s="576"/>
      <c r="H2461" s="582" t="s">
        <v>3676</v>
      </c>
      <c r="I2461" s="582"/>
      <c r="J2461" s="580"/>
      <c r="K2461" s="575"/>
    </row>
    <row r="2462" spans="1:11" ht="18.75" hidden="1">
      <c r="A2462" s="1132"/>
      <c r="E2462" s="1147"/>
      <c r="F2462" s="575"/>
      <c r="G2462" s="576"/>
      <c r="H2462" s="582" t="s">
        <v>3677</v>
      </c>
      <c r="I2462" s="582"/>
      <c r="J2462" s="580"/>
      <c r="K2462" s="575"/>
    </row>
    <row r="2463" spans="1:11" ht="17.25" hidden="1">
      <c r="A2463" s="1132"/>
      <c r="E2463" s="1147"/>
      <c r="F2463" s="575"/>
      <c r="G2463" s="576"/>
      <c r="H2463" s="582"/>
      <c r="I2463" s="582"/>
      <c r="J2463" s="580"/>
      <c r="K2463" s="575"/>
    </row>
    <row r="2464" spans="1:11" ht="17.25" hidden="1">
      <c r="A2464" s="1132"/>
      <c r="E2464" s="1147"/>
      <c r="F2464" s="575"/>
      <c r="G2464" s="576"/>
      <c r="H2464" s="575"/>
      <c r="I2464" s="575"/>
      <c r="J2464" s="580"/>
      <c r="K2464" s="575"/>
    </row>
    <row r="2465" spans="1:11" ht="17.25" hidden="1">
      <c r="A2465" s="1132"/>
      <c r="E2465" s="1147"/>
      <c r="F2465" s="617">
        <v>1.96</v>
      </c>
      <c r="G2465" s="585" t="s">
        <v>429</v>
      </c>
      <c r="H2465" s="573" t="s">
        <v>1921</v>
      </c>
      <c r="I2465" s="587" t="e">
        <f>K1644</f>
        <v>#REF!</v>
      </c>
      <c r="J2465" s="574" t="s">
        <v>429</v>
      </c>
      <c r="K2465" s="587" t="e">
        <f t="shared" ref="K2465:K2470" si="74">(F2465*I2465)</f>
        <v>#REF!</v>
      </c>
    </row>
    <row r="2466" spans="1:11" ht="17.25" hidden="1">
      <c r="A2466" s="1132"/>
      <c r="E2466" s="1147"/>
      <c r="F2466" s="587">
        <v>2</v>
      </c>
      <c r="G2466" s="585" t="s">
        <v>233</v>
      </c>
      <c r="H2466" s="573" t="s">
        <v>2253</v>
      </c>
      <c r="I2466" s="587">
        <f>C10</f>
        <v>150</v>
      </c>
      <c r="J2466" s="574" t="s">
        <v>227</v>
      </c>
      <c r="K2466" s="587">
        <f t="shared" si="74"/>
        <v>300</v>
      </c>
    </row>
    <row r="2467" spans="1:11" ht="17.25" hidden="1">
      <c r="A2467" s="1132"/>
      <c r="E2467" s="1147"/>
      <c r="F2467" s="587">
        <v>2</v>
      </c>
      <c r="G2467" s="585" t="s">
        <v>233</v>
      </c>
      <c r="H2467" s="573" t="s">
        <v>2254</v>
      </c>
      <c r="I2467" s="587">
        <f>C13</f>
        <v>85</v>
      </c>
      <c r="J2467" s="574" t="s">
        <v>227</v>
      </c>
      <c r="K2467" s="587">
        <f t="shared" si="74"/>
        <v>170</v>
      </c>
    </row>
    <row r="2468" spans="1:11" ht="17.25" hidden="1">
      <c r="A2468" s="1132"/>
      <c r="E2468" s="1147"/>
      <c r="F2468" s="587">
        <v>0.28000000000000003</v>
      </c>
      <c r="G2468" s="585" t="s">
        <v>174</v>
      </c>
      <c r="H2468" s="573" t="s">
        <v>3678</v>
      </c>
      <c r="I2468" s="587">
        <f>K2448</f>
        <v>168.11849999999998</v>
      </c>
      <c r="J2468" s="574" t="s">
        <v>174</v>
      </c>
      <c r="K2468" s="587">
        <f t="shared" si="74"/>
        <v>47.073180000000001</v>
      </c>
    </row>
    <row r="2469" spans="1:11" ht="17.25" hidden="1">
      <c r="A2469" s="1132"/>
      <c r="E2469" s="1147"/>
      <c r="F2469" s="587">
        <v>500</v>
      </c>
      <c r="G2469" s="585" t="s">
        <v>240</v>
      </c>
      <c r="H2469" s="573" t="s">
        <v>3679</v>
      </c>
      <c r="I2469" s="575">
        <v>2</v>
      </c>
      <c r="J2469" s="580" t="s">
        <v>227</v>
      </c>
      <c r="K2469" s="587">
        <f t="shared" si="74"/>
        <v>1000</v>
      </c>
    </row>
    <row r="2470" spans="1:11" ht="17.25" hidden="1">
      <c r="A2470" s="1132"/>
      <c r="E2470" s="1147"/>
      <c r="F2470" s="587">
        <v>8.5</v>
      </c>
      <c r="G2470" s="585" t="s">
        <v>3680</v>
      </c>
      <c r="H2470" s="573" t="s">
        <v>3681</v>
      </c>
      <c r="I2470" s="575">
        <v>25</v>
      </c>
      <c r="J2470" s="580" t="s">
        <v>2259</v>
      </c>
      <c r="K2470" s="587">
        <f t="shared" si="74"/>
        <v>212.5</v>
      </c>
    </row>
    <row r="2471" spans="1:11" ht="17.25" hidden="1">
      <c r="A2471" s="1132"/>
      <c r="E2471" s="1147"/>
      <c r="F2471" s="575"/>
      <c r="G2471" s="576"/>
      <c r="H2471" s="575"/>
      <c r="I2471" s="575"/>
      <c r="J2471" s="580"/>
      <c r="K2471" s="582" t="s">
        <v>117</v>
      </c>
    </row>
    <row r="2472" spans="1:11" ht="17.25" hidden="1">
      <c r="A2472" s="1132"/>
      <c r="E2472" s="1147"/>
      <c r="F2472" s="575"/>
      <c r="G2472" s="576"/>
      <c r="H2472" s="574" t="s">
        <v>3682</v>
      </c>
      <c r="I2472" s="575"/>
      <c r="J2472" s="580"/>
      <c r="K2472" s="587" t="e">
        <f>SUM(K2465:K2471)</f>
        <v>#REF!</v>
      </c>
    </row>
    <row r="2473" spans="1:11" ht="17.25" hidden="1">
      <c r="A2473" s="1132"/>
      <c r="E2473" s="1147"/>
      <c r="F2473" s="575"/>
      <c r="G2473" s="576"/>
      <c r="H2473" s="575"/>
      <c r="I2473" s="575"/>
      <c r="J2473" s="580"/>
      <c r="K2473" s="868" t="s">
        <v>3683</v>
      </c>
    </row>
    <row r="2474" spans="1:11" ht="17.25" hidden="1">
      <c r="A2474" s="1132"/>
      <c r="E2474" s="1147"/>
      <c r="F2474" s="575"/>
      <c r="G2474" s="576"/>
      <c r="H2474" s="574" t="s">
        <v>169</v>
      </c>
      <c r="I2474" s="575"/>
      <c r="J2474" s="580"/>
      <c r="K2474" s="575" t="e">
        <f>K2472/39.2</f>
        <v>#REF!</v>
      </c>
    </row>
    <row r="2475" spans="1:11" ht="17.25" hidden="1">
      <c r="A2475" s="1132"/>
      <c r="E2475" s="1147"/>
      <c r="F2475" s="575"/>
      <c r="G2475" s="576"/>
      <c r="H2475" s="575"/>
      <c r="I2475" s="575"/>
      <c r="J2475" s="580"/>
      <c r="K2475" s="622" t="s">
        <v>748</v>
      </c>
    </row>
    <row r="2476" spans="1:11" ht="17.25" hidden="1">
      <c r="A2476" s="1132"/>
      <c r="E2476" s="1147"/>
      <c r="F2476" s="575"/>
      <c r="G2476" s="576"/>
      <c r="H2476" s="1033" t="s">
        <v>2571</v>
      </c>
      <c r="I2476" s="575"/>
      <c r="J2476" s="580"/>
      <c r="K2476" s="575"/>
    </row>
    <row r="2477" spans="1:11" ht="17.25" hidden="1">
      <c r="A2477" s="1132"/>
      <c r="E2477" s="1147"/>
      <c r="F2477" s="575"/>
      <c r="G2477" s="576"/>
      <c r="H2477" s="575" t="s">
        <v>3684</v>
      </c>
      <c r="I2477" s="575" t="s">
        <v>3685</v>
      </c>
      <c r="J2477" s="580"/>
      <c r="K2477" s="575"/>
    </row>
    <row r="2478" spans="1:11" ht="17.25" hidden="1">
      <c r="A2478" s="1132"/>
      <c r="E2478" s="1147"/>
      <c r="F2478" s="575"/>
      <c r="G2478" s="576"/>
      <c r="H2478" s="575"/>
      <c r="I2478" s="622" t="s">
        <v>3686</v>
      </c>
      <c r="J2478" s="580" t="s">
        <v>3687</v>
      </c>
      <c r="K2478" s="575"/>
    </row>
    <row r="2479" spans="1:11" ht="17.25" hidden="1">
      <c r="A2479" s="1132"/>
      <c r="E2479" s="1147"/>
      <c r="F2479" s="575"/>
      <c r="G2479" s="576"/>
      <c r="H2479" s="575" t="s">
        <v>3688</v>
      </c>
      <c r="I2479" s="575" t="s">
        <v>3689</v>
      </c>
      <c r="J2479" s="580"/>
      <c r="K2479" s="575"/>
    </row>
    <row r="2480" spans="1:11" ht="17.25" hidden="1">
      <c r="A2480" s="1132"/>
      <c r="E2480" s="1147"/>
      <c r="F2480" s="575"/>
      <c r="G2480" s="576"/>
      <c r="H2480" s="575"/>
      <c r="I2480" s="575"/>
      <c r="J2480" s="580"/>
      <c r="K2480" s="575"/>
    </row>
    <row r="2481" spans="1:11" ht="17.25" hidden="1">
      <c r="A2481" s="1132"/>
      <c r="E2481" s="1147"/>
      <c r="F2481" s="575"/>
      <c r="G2481" s="576"/>
      <c r="H2481" s="575" t="s">
        <v>3690</v>
      </c>
      <c r="I2481" s="575"/>
      <c r="J2481" s="580"/>
      <c r="K2481" s="575"/>
    </row>
    <row r="2482" spans="1:11" ht="17.25" hidden="1">
      <c r="A2482" s="1132"/>
      <c r="E2482" s="1147"/>
      <c r="F2482" s="575"/>
      <c r="G2482" s="576"/>
      <c r="H2482" s="575" t="s">
        <v>3691</v>
      </c>
      <c r="I2482" s="575" t="s">
        <v>3692</v>
      </c>
      <c r="J2482" s="580"/>
      <c r="K2482" s="575"/>
    </row>
    <row r="2483" spans="1:11" ht="17.25" hidden="1">
      <c r="A2483" s="1132"/>
      <c r="E2483" s="1147"/>
      <c r="F2483" s="575"/>
      <c r="G2483" s="576"/>
      <c r="H2483" s="575" t="s">
        <v>3693</v>
      </c>
      <c r="I2483" s="575" t="s">
        <v>3694</v>
      </c>
      <c r="J2483" s="580"/>
      <c r="K2483" s="575"/>
    </row>
    <row r="2484" spans="1:11" ht="17.25" hidden="1">
      <c r="A2484" s="1132"/>
      <c r="E2484" s="1147"/>
      <c r="F2484" s="575"/>
      <c r="G2484" s="576"/>
      <c r="H2484" s="575" t="s">
        <v>3695</v>
      </c>
      <c r="I2484" s="575"/>
      <c r="J2484" s="580"/>
      <c r="K2484" s="575"/>
    </row>
    <row r="2485" spans="1:11" ht="17.25" hidden="1">
      <c r="A2485" s="1132"/>
      <c r="E2485" s="1147"/>
      <c r="F2485" s="575"/>
      <c r="G2485" s="576"/>
      <c r="H2485" s="575"/>
      <c r="I2485" s="575"/>
      <c r="J2485" s="580"/>
      <c r="K2485" s="575"/>
    </row>
    <row r="2486" spans="1:11" ht="17.25" hidden="1">
      <c r="A2486" s="1132"/>
      <c r="E2486" s="1147"/>
      <c r="F2486" s="575"/>
      <c r="G2486" s="576"/>
      <c r="H2486" s="575"/>
      <c r="I2486" s="575"/>
      <c r="J2486" s="580"/>
      <c r="K2486" s="575"/>
    </row>
    <row r="2487" spans="1:11" ht="17.25" hidden="1">
      <c r="A2487" s="1132"/>
      <c r="E2487" s="1147"/>
      <c r="F2487" s="575"/>
      <c r="G2487" s="576"/>
      <c r="H2487" s="575"/>
      <c r="I2487" s="575"/>
      <c r="J2487" s="580"/>
      <c r="K2487" s="575"/>
    </row>
    <row r="2488" spans="1:11" ht="32.25" hidden="1">
      <c r="A2488" s="1132"/>
      <c r="E2488" s="1147"/>
      <c r="F2488" s="1192">
        <v>83</v>
      </c>
      <c r="G2488" s="576"/>
      <c r="H2488" s="731" t="s">
        <v>3696</v>
      </c>
      <c r="I2488" s="575"/>
      <c r="J2488" s="580"/>
      <c r="K2488" s="575"/>
    </row>
    <row r="2489" spans="1:11" ht="17.25" hidden="1">
      <c r="A2489" s="1132"/>
      <c r="E2489" s="1147"/>
      <c r="F2489" s="575"/>
      <c r="G2489" s="576"/>
      <c r="H2489" s="622" t="s">
        <v>3697</v>
      </c>
      <c r="I2489" s="575"/>
      <c r="J2489" s="580"/>
      <c r="K2489" s="575"/>
    </row>
    <row r="2490" spans="1:11" ht="63" hidden="1">
      <c r="A2490" s="1132"/>
      <c r="E2490" s="1147"/>
      <c r="F2490" s="1193">
        <v>3.25</v>
      </c>
      <c r="G2490" s="693" t="s">
        <v>3698</v>
      </c>
      <c r="H2490" s="693" t="s">
        <v>3699</v>
      </c>
      <c r="I2490" s="693">
        <v>27</v>
      </c>
      <c r="J2490" s="693" t="s">
        <v>148</v>
      </c>
      <c r="K2490" s="693">
        <f>I2490*F2490</f>
        <v>87.75</v>
      </c>
    </row>
    <row r="2491" spans="1:11" ht="17.25" hidden="1">
      <c r="A2491" s="1132"/>
      <c r="E2491" s="1147"/>
      <c r="F2491" s="575"/>
      <c r="G2491" s="576"/>
      <c r="H2491" s="575" t="s">
        <v>3700</v>
      </c>
      <c r="I2491" s="575"/>
      <c r="J2491" s="580"/>
      <c r="K2491" s="575">
        <v>0.25</v>
      </c>
    </row>
    <row r="2492" spans="1:11" ht="17.25" hidden="1">
      <c r="A2492" s="1132"/>
      <c r="E2492" s="1147"/>
      <c r="F2492" s="575"/>
      <c r="G2492" s="576"/>
      <c r="H2492" s="575"/>
      <c r="I2492" s="575"/>
      <c r="J2492" s="580"/>
      <c r="K2492" s="1019" t="s">
        <v>117</v>
      </c>
    </row>
    <row r="2493" spans="1:11" ht="17.25" hidden="1">
      <c r="A2493" s="1132"/>
      <c r="E2493" s="1147"/>
      <c r="F2493" s="575"/>
      <c r="G2493" s="576"/>
      <c r="H2493" s="575" t="s">
        <v>3701</v>
      </c>
      <c r="I2493" s="575"/>
      <c r="J2493" s="580"/>
      <c r="K2493" s="575">
        <f>SUM(K2490:K2492)</f>
        <v>88</v>
      </c>
    </row>
    <row r="2494" spans="1:11" ht="17.25" hidden="1">
      <c r="A2494" s="1132"/>
      <c r="E2494" s="1147"/>
      <c r="F2494" s="575"/>
      <c r="G2494" s="576"/>
      <c r="H2494" s="575"/>
      <c r="I2494" s="575"/>
      <c r="J2494" s="580"/>
      <c r="K2494" s="1019" t="s">
        <v>155</v>
      </c>
    </row>
    <row r="2495" spans="1:11" ht="19.5" hidden="1">
      <c r="A2495" s="1132"/>
      <c r="E2495" s="1147"/>
      <c r="F2495" s="1194">
        <v>79.099999999999994</v>
      </c>
      <c r="G2495" s="576"/>
      <c r="H2495" s="575" t="s">
        <v>3702</v>
      </c>
      <c r="I2495" s="575"/>
      <c r="J2495" s="580"/>
      <c r="K2495" s="575"/>
    </row>
    <row r="2496" spans="1:11" ht="17.25" hidden="1">
      <c r="A2496" s="1132"/>
      <c r="E2496" s="1147"/>
      <c r="F2496" s="575"/>
      <c r="G2496" s="576"/>
      <c r="H2496" s="622" t="s">
        <v>3703</v>
      </c>
      <c r="I2496" s="575"/>
      <c r="J2496" s="580"/>
      <c r="K2496" s="575"/>
    </row>
    <row r="2497" spans="1:11" ht="17.25" hidden="1">
      <c r="A2497" s="1132"/>
      <c r="E2497" s="1147"/>
      <c r="F2497" s="575">
        <v>1</v>
      </c>
      <c r="G2497" s="576" t="s">
        <v>164</v>
      </c>
      <c r="H2497" s="575" t="s">
        <v>3704</v>
      </c>
      <c r="I2497" s="575">
        <v>75</v>
      </c>
      <c r="J2497" s="580" t="s">
        <v>227</v>
      </c>
      <c r="K2497" s="575">
        <f>I2497*F2497</f>
        <v>75</v>
      </c>
    </row>
    <row r="2498" spans="1:11" ht="17.25" hidden="1">
      <c r="A2498" s="1132"/>
      <c r="E2498" s="1147"/>
      <c r="F2498" s="575">
        <v>1</v>
      </c>
      <c r="G2498" s="576" t="s">
        <v>164</v>
      </c>
      <c r="H2498" s="575" t="s">
        <v>3705</v>
      </c>
      <c r="I2498" s="575">
        <v>17.75</v>
      </c>
      <c r="J2498" s="580" t="s">
        <v>227</v>
      </c>
      <c r="K2498" s="575">
        <f>I2498*F2498</f>
        <v>17.75</v>
      </c>
    </row>
    <row r="2499" spans="1:11" ht="17.25" hidden="1">
      <c r="A2499" s="1132"/>
      <c r="E2499" s="1147"/>
      <c r="F2499" s="575">
        <v>1</v>
      </c>
      <c r="G2499" s="576" t="s">
        <v>164</v>
      </c>
      <c r="H2499" s="575" t="s">
        <v>2142</v>
      </c>
      <c r="I2499" s="575">
        <f>K2510</f>
        <v>65.125</v>
      </c>
      <c r="J2499" s="580" t="s">
        <v>227</v>
      </c>
      <c r="K2499" s="575">
        <f>I2499*F2499</f>
        <v>65.125</v>
      </c>
    </row>
    <row r="2500" spans="1:11" ht="17.25" hidden="1">
      <c r="A2500" s="1132"/>
      <c r="E2500" s="1147"/>
      <c r="F2500" s="575"/>
      <c r="G2500" s="576"/>
      <c r="H2500" s="575" t="s">
        <v>3706</v>
      </c>
      <c r="I2500" s="575"/>
      <c r="J2500" s="580" t="s">
        <v>129</v>
      </c>
      <c r="K2500" s="575">
        <v>3.12</v>
      </c>
    </row>
    <row r="2501" spans="1:11" ht="17.25" hidden="1">
      <c r="A2501" s="1132"/>
      <c r="E2501" s="1147"/>
      <c r="F2501" s="575"/>
      <c r="G2501" s="576"/>
      <c r="H2501" s="575"/>
      <c r="I2501" s="575"/>
      <c r="J2501" s="580"/>
      <c r="K2501" s="622" t="s">
        <v>3707</v>
      </c>
    </row>
    <row r="2502" spans="1:11" ht="17.25" hidden="1">
      <c r="A2502" s="1132"/>
      <c r="E2502" s="1147"/>
      <c r="F2502" s="575"/>
      <c r="G2502" s="576"/>
      <c r="H2502" s="575"/>
      <c r="I2502" s="575"/>
      <c r="J2502" s="580"/>
      <c r="K2502" s="575">
        <f>SUM(K2497:K2501)</f>
        <v>160.995</v>
      </c>
    </row>
    <row r="2503" spans="1:11" ht="17.25" hidden="1">
      <c r="A2503" s="1132"/>
      <c r="E2503" s="1147"/>
      <c r="F2503" s="575"/>
      <c r="G2503" s="576"/>
      <c r="H2503" s="575"/>
      <c r="I2503" s="575"/>
      <c r="J2503" s="580"/>
      <c r="K2503" s="622" t="s">
        <v>1586</v>
      </c>
    </row>
    <row r="2504" spans="1:11" ht="17.25" hidden="1">
      <c r="A2504" s="1132"/>
      <c r="E2504" s="1147"/>
      <c r="F2504" s="575" t="s">
        <v>2142</v>
      </c>
      <c r="G2504" s="576"/>
      <c r="H2504" s="575"/>
      <c r="I2504" s="575"/>
      <c r="J2504" s="580"/>
      <c r="K2504" s="575"/>
    </row>
    <row r="2505" spans="1:11" ht="17.25" hidden="1">
      <c r="A2505" s="1132"/>
      <c r="E2505" s="1147"/>
      <c r="F2505" s="575">
        <v>1</v>
      </c>
      <c r="G2505" s="576" t="s">
        <v>164</v>
      </c>
      <c r="H2505" s="575" t="s">
        <v>3708</v>
      </c>
      <c r="I2505" s="575">
        <v>131</v>
      </c>
      <c r="J2505" s="580" t="s">
        <v>227</v>
      </c>
      <c r="K2505" s="575">
        <f>I2505*F2505</f>
        <v>131</v>
      </c>
    </row>
    <row r="2506" spans="1:11" ht="17.25" hidden="1">
      <c r="A2506" s="1132"/>
      <c r="E2506" s="1147"/>
      <c r="F2506" s="575">
        <v>1</v>
      </c>
      <c r="G2506" s="576" t="s">
        <v>164</v>
      </c>
      <c r="H2506" s="575" t="s">
        <v>3709</v>
      </c>
      <c r="I2506" s="575">
        <v>117</v>
      </c>
      <c r="J2506" s="580" t="s">
        <v>227</v>
      </c>
      <c r="K2506" s="575">
        <f>I2506*F2506</f>
        <v>117</v>
      </c>
    </row>
    <row r="2507" spans="1:11" ht="17.25" hidden="1">
      <c r="A2507" s="1132"/>
      <c r="E2507" s="1147"/>
      <c r="F2507" s="575">
        <v>3</v>
      </c>
      <c r="G2507" s="576" t="s">
        <v>240</v>
      </c>
      <c r="H2507" s="575" t="s">
        <v>3710</v>
      </c>
      <c r="I2507" s="575">
        <v>91</v>
      </c>
      <c r="J2507" s="580" t="s">
        <v>227</v>
      </c>
      <c r="K2507" s="575">
        <f>I2507*F2507</f>
        <v>273</v>
      </c>
    </row>
    <row r="2508" spans="1:11" ht="17.25" hidden="1">
      <c r="A2508" s="1132"/>
      <c r="E2508" s="1147"/>
      <c r="F2508" s="575"/>
      <c r="G2508" s="576"/>
      <c r="H2508" s="575"/>
      <c r="I2508" s="575"/>
      <c r="J2508" s="580"/>
      <c r="K2508" s="622" t="s">
        <v>774</v>
      </c>
    </row>
    <row r="2509" spans="1:11" ht="17.25" hidden="1">
      <c r="A2509" s="1132"/>
      <c r="E2509" s="1147"/>
      <c r="F2509" s="575"/>
      <c r="G2509" s="576"/>
      <c r="H2509" s="575" t="s">
        <v>3711</v>
      </c>
      <c r="I2509" s="575"/>
      <c r="J2509" s="580"/>
      <c r="K2509" s="575">
        <f>SUM(K2505:K2508)</f>
        <v>521</v>
      </c>
    </row>
    <row r="2510" spans="1:11" ht="17.25" hidden="1">
      <c r="A2510" s="1132"/>
      <c r="E2510" s="1147"/>
      <c r="F2510" s="575"/>
      <c r="G2510" s="576"/>
      <c r="H2510" s="575" t="s">
        <v>3712</v>
      </c>
      <c r="I2510" s="575"/>
      <c r="J2510" s="580"/>
      <c r="K2510" s="575">
        <f>K2509/8</f>
        <v>65.125</v>
      </c>
    </row>
    <row r="2511" spans="1:11" ht="17.25" hidden="1">
      <c r="A2511" s="1132"/>
      <c r="E2511" s="1147"/>
      <c r="F2511" s="575"/>
      <c r="G2511" s="576"/>
      <c r="H2511" s="575"/>
      <c r="I2511" s="575"/>
      <c r="J2511" s="580"/>
      <c r="K2511" s="575"/>
    </row>
    <row r="2512" spans="1:11" ht="17.25" hidden="1">
      <c r="A2512" s="1132"/>
      <c r="E2512" s="1147"/>
      <c r="F2512" s="575"/>
      <c r="G2512" s="576"/>
      <c r="H2512" s="575"/>
      <c r="I2512" s="575"/>
      <c r="J2512" s="580"/>
      <c r="K2512" s="622"/>
    </row>
    <row r="2513" spans="1:11" ht="17.25" hidden="1">
      <c r="A2513" s="1132"/>
      <c r="E2513" s="1147"/>
      <c r="F2513" s="574" t="s">
        <v>3713</v>
      </c>
      <c r="G2513" s="585" t="s">
        <v>122</v>
      </c>
      <c r="H2513" s="573" t="s">
        <v>1518</v>
      </c>
      <c r="I2513" s="575"/>
      <c r="J2513" s="580"/>
      <c r="K2513" s="575"/>
    </row>
    <row r="2514" spans="1:11" ht="17.25" hidden="1">
      <c r="A2514" s="1132"/>
      <c r="E2514" s="1147"/>
      <c r="F2514" s="575"/>
      <c r="G2514" s="576"/>
      <c r="H2514" s="573" t="s">
        <v>1519</v>
      </c>
      <c r="I2514" s="575"/>
      <c r="J2514" s="580"/>
      <c r="K2514" s="575"/>
    </row>
    <row r="2515" spans="1:11" ht="17.25" hidden="1">
      <c r="A2515" s="1132"/>
      <c r="E2515" s="1147"/>
      <c r="F2515" s="575"/>
      <c r="G2515" s="576"/>
      <c r="H2515" s="573" t="s">
        <v>1521</v>
      </c>
      <c r="I2515" s="575"/>
      <c r="J2515" s="580"/>
      <c r="K2515" s="575"/>
    </row>
    <row r="2516" spans="1:11" ht="17.25" hidden="1">
      <c r="A2516" s="1132"/>
      <c r="E2516" s="1147"/>
      <c r="F2516" s="575"/>
      <c r="G2516" s="576"/>
      <c r="H2516" s="573" t="s">
        <v>1522</v>
      </c>
      <c r="I2516" s="575"/>
      <c r="J2516" s="580"/>
      <c r="K2516" s="575"/>
    </row>
    <row r="2517" spans="1:11" ht="17.25" hidden="1">
      <c r="A2517" s="1132"/>
      <c r="E2517" s="1147"/>
      <c r="F2517" s="575"/>
      <c r="G2517" s="576"/>
      <c r="H2517" s="573" t="s">
        <v>1523</v>
      </c>
      <c r="I2517" s="575"/>
      <c r="J2517" s="580"/>
      <c r="K2517" s="575"/>
    </row>
    <row r="2518" spans="1:11" ht="17.25" hidden="1">
      <c r="A2518" s="1132"/>
      <c r="E2518" s="1147"/>
      <c r="F2518" s="575"/>
      <c r="G2518" s="576"/>
      <c r="H2518" s="573" t="s">
        <v>1524</v>
      </c>
      <c r="I2518" s="575"/>
      <c r="J2518" s="580"/>
      <c r="K2518" s="575"/>
    </row>
    <row r="2519" spans="1:11" ht="17.25" hidden="1">
      <c r="A2519" s="1132"/>
      <c r="E2519" s="1147"/>
      <c r="F2519" s="575"/>
      <c r="G2519" s="576"/>
      <c r="H2519" s="582" t="s">
        <v>117</v>
      </c>
      <c r="I2519" s="575"/>
      <c r="J2519" s="580"/>
      <c r="K2519" s="575"/>
    </row>
    <row r="2520" spans="1:11" ht="17.25" hidden="1">
      <c r="A2520" s="1132"/>
      <c r="E2520" s="1147"/>
      <c r="F2520" s="574"/>
      <c r="G2520" s="585"/>
      <c r="H2520" s="573" t="s">
        <v>1544</v>
      </c>
      <c r="I2520" s="575"/>
      <c r="J2520" s="580"/>
      <c r="K2520" s="573" t="s">
        <v>115</v>
      </c>
    </row>
    <row r="2521" spans="1:11" ht="17.25" hidden="1">
      <c r="A2521" s="1132"/>
      <c r="E2521" s="1147"/>
      <c r="F2521" s="575"/>
      <c r="G2521" s="576"/>
      <c r="H2521" s="582" t="s">
        <v>117</v>
      </c>
      <c r="I2521" s="575"/>
      <c r="J2521" s="580"/>
      <c r="K2521" s="575"/>
    </row>
    <row r="2522" spans="1:11" ht="17.25" hidden="1">
      <c r="A2522" s="1132"/>
      <c r="E2522" s="1147"/>
      <c r="F2522" s="708">
        <v>1.153E-2</v>
      </c>
      <c r="G2522" s="585" t="s">
        <v>126</v>
      </c>
      <c r="H2522" s="573" t="s">
        <v>621</v>
      </c>
      <c r="I2522" s="587">
        <f t="shared" ref="I2522:I2531" si="75">I1011</f>
        <v>65420</v>
      </c>
      <c r="J2522" s="574" t="s">
        <v>126</v>
      </c>
      <c r="K2522" s="587">
        <f t="shared" ref="K2522:K2531" si="76">(F2522*I2522)</f>
        <v>754.29259999999999</v>
      </c>
    </row>
    <row r="2523" spans="1:11" ht="17.25" hidden="1">
      <c r="A2523" s="1132"/>
      <c r="E2523" s="1147"/>
      <c r="F2523" s="708">
        <v>1.52E-2</v>
      </c>
      <c r="G2523" s="585" t="s">
        <v>126</v>
      </c>
      <c r="H2523" s="573" t="s">
        <v>622</v>
      </c>
      <c r="I2523" s="587">
        <f t="shared" si="75"/>
        <v>57165</v>
      </c>
      <c r="J2523" s="574" t="s">
        <v>126</v>
      </c>
      <c r="K2523" s="587">
        <f t="shared" si="76"/>
        <v>868.90800000000002</v>
      </c>
    </row>
    <row r="2524" spans="1:11" hidden="1">
      <c r="A2524" s="1132"/>
      <c r="F2524" s="708">
        <v>1.2787999999999999</v>
      </c>
      <c r="G2524" s="585" t="s">
        <v>140</v>
      </c>
      <c r="H2524" s="573" t="s">
        <v>623</v>
      </c>
      <c r="I2524" s="587">
        <f t="shared" si="75"/>
        <v>381.37</v>
      </c>
      <c r="J2524" s="574" t="s">
        <v>140</v>
      </c>
      <c r="K2524" s="587">
        <f t="shared" si="76"/>
        <v>487.69595599999997</v>
      </c>
    </row>
    <row r="2525" spans="1:11" hidden="1">
      <c r="A2525" s="1132"/>
      <c r="F2525" s="708">
        <v>1.845</v>
      </c>
      <c r="G2525" s="585" t="s">
        <v>140</v>
      </c>
      <c r="H2525" s="573" t="s">
        <v>624</v>
      </c>
      <c r="I2525" s="587">
        <f t="shared" si="75"/>
        <v>287</v>
      </c>
      <c r="J2525" s="574" t="s">
        <v>140</v>
      </c>
      <c r="K2525" s="587">
        <f t="shared" si="76"/>
        <v>529.51499999999999</v>
      </c>
    </row>
    <row r="2526" spans="1:11" hidden="1">
      <c r="A2526" s="1132"/>
      <c r="F2526" s="587">
        <v>2</v>
      </c>
      <c r="G2526" s="585" t="s">
        <v>209</v>
      </c>
      <c r="H2526" s="573" t="s">
        <v>625</v>
      </c>
      <c r="I2526" s="587">
        <f t="shared" si="75"/>
        <v>30</v>
      </c>
      <c r="J2526" s="574" t="s">
        <v>209</v>
      </c>
      <c r="K2526" s="587">
        <f t="shared" si="76"/>
        <v>60</v>
      </c>
    </row>
    <row r="2527" spans="1:11" hidden="1">
      <c r="A2527" s="1132"/>
      <c r="F2527" s="587">
        <v>3</v>
      </c>
      <c r="G2527" s="585" t="s">
        <v>209</v>
      </c>
      <c r="H2527" s="573" t="s">
        <v>1506</v>
      </c>
      <c r="I2527" s="587">
        <f t="shared" si="75"/>
        <v>45</v>
      </c>
      <c r="J2527" s="574" t="s">
        <v>209</v>
      </c>
      <c r="K2527" s="587">
        <f t="shared" si="76"/>
        <v>135</v>
      </c>
    </row>
    <row r="2528" spans="1:11" hidden="1">
      <c r="A2528" s="1132"/>
      <c r="F2528" s="587">
        <v>1</v>
      </c>
      <c r="G2528" s="585" t="s">
        <v>209</v>
      </c>
      <c r="H2528" s="573" t="s">
        <v>627</v>
      </c>
      <c r="I2528" s="587">
        <f t="shared" si="75"/>
        <v>95</v>
      </c>
      <c r="J2528" s="574" t="s">
        <v>209</v>
      </c>
      <c r="K2528" s="587">
        <f t="shared" si="76"/>
        <v>95</v>
      </c>
    </row>
    <row r="2529" spans="1:11" hidden="1">
      <c r="A2529" s="1132"/>
      <c r="F2529" s="587">
        <v>1</v>
      </c>
      <c r="G2529" s="585" t="s">
        <v>209</v>
      </c>
      <c r="H2529" s="573" t="s">
        <v>628</v>
      </c>
      <c r="I2529" s="587">
        <f t="shared" si="75"/>
        <v>8</v>
      </c>
      <c r="J2529" s="574" t="s">
        <v>209</v>
      </c>
      <c r="K2529" s="587">
        <f t="shared" si="76"/>
        <v>8</v>
      </c>
    </row>
    <row r="2530" spans="1:11" hidden="1">
      <c r="A2530" s="1132"/>
      <c r="F2530" s="587">
        <v>1</v>
      </c>
      <c r="G2530" s="585" t="s">
        <v>209</v>
      </c>
      <c r="H2530" s="573" t="s">
        <v>1538</v>
      </c>
      <c r="I2530" s="587">
        <f t="shared" si="75"/>
        <v>30</v>
      </c>
      <c r="J2530" s="574" t="s">
        <v>209</v>
      </c>
      <c r="K2530" s="587">
        <f t="shared" si="76"/>
        <v>30</v>
      </c>
    </row>
    <row r="2531" spans="1:11" hidden="1">
      <c r="A2531" s="1132"/>
      <c r="F2531" s="587">
        <v>1</v>
      </c>
      <c r="G2531" s="585" t="s">
        <v>209</v>
      </c>
      <c r="H2531" s="573" t="s">
        <v>630</v>
      </c>
      <c r="I2531" s="587">
        <f t="shared" si="75"/>
        <v>25</v>
      </c>
      <c r="J2531" s="574" t="s">
        <v>209</v>
      </c>
      <c r="K2531" s="587">
        <f t="shared" si="76"/>
        <v>25</v>
      </c>
    </row>
    <row r="2532" spans="1:11" hidden="1">
      <c r="A2532" s="1132"/>
      <c r="F2532" s="575"/>
      <c r="G2532" s="576"/>
      <c r="H2532" s="575"/>
      <c r="I2532" s="575"/>
      <c r="J2532" s="580"/>
      <c r="K2532" s="582" t="s">
        <v>117</v>
      </c>
    </row>
    <row r="2533" spans="1:11" hidden="1">
      <c r="A2533" s="1132"/>
      <c r="F2533" s="575"/>
      <c r="G2533" s="576"/>
      <c r="H2533" s="574" t="s">
        <v>2627</v>
      </c>
      <c r="I2533" s="575"/>
      <c r="J2533" s="580"/>
      <c r="K2533" s="587">
        <f>SUM(K2522:K2532)</f>
        <v>2993.411556</v>
      </c>
    </row>
    <row r="2534" spans="1:11" hidden="1">
      <c r="A2534" s="1132"/>
      <c r="F2534" s="575"/>
      <c r="G2534" s="585" t="s">
        <v>115</v>
      </c>
      <c r="H2534" s="575"/>
      <c r="I2534" s="575"/>
      <c r="J2534" s="580"/>
      <c r="K2534" s="582" t="s">
        <v>117</v>
      </c>
    </row>
    <row r="2535" spans="1:11" hidden="1">
      <c r="A2535" s="1132"/>
      <c r="F2535" s="575"/>
      <c r="G2535" s="576"/>
      <c r="H2535" s="574" t="s">
        <v>154</v>
      </c>
      <c r="I2535" s="575"/>
      <c r="J2535" s="580"/>
      <c r="K2535" s="587">
        <f>K2533/F2525</f>
        <v>1622.445287804878</v>
      </c>
    </row>
    <row r="2536" spans="1:11" hidden="1">
      <c r="A2536" s="1132"/>
      <c r="F2536" s="575"/>
      <c r="G2536" s="576"/>
      <c r="H2536" s="575"/>
      <c r="I2536" s="575"/>
      <c r="J2536" s="580"/>
      <c r="K2536" s="582" t="s">
        <v>155</v>
      </c>
    </row>
    <row r="2537" spans="1:11" hidden="1">
      <c r="A2537" s="1132"/>
      <c r="F2537" s="620">
        <v>98.1</v>
      </c>
      <c r="G2537" s="585" t="s">
        <v>122</v>
      </c>
      <c r="H2537" s="573" t="s">
        <v>3714</v>
      </c>
      <c r="I2537" s="575"/>
      <c r="J2537" s="580"/>
      <c r="K2537" s="575"/>
    </row>
    <row r="2538" spans="1:11" hidden="1">
      <c r="A2538" s="1132"/>
      <c r="F2538" s="575"/>
      <c r="G2538" s="576"/>
      <c r="H2538" s="573" t="s">
        <v>1467</v>
      </c>
      <c r="I2538" s="575"/>
      <c r="J2538" s="580"/>
      <c r="K2538" s="575"/>
    </row>
    <row r="2539" spans="1:11" hidden="1">
      <c r="A2539" s="1132"/>
      <c r="F2539" s="575"/>
      <c r="G2539" s="576"/>
      <c r="H2539" s="577" t="s">
        <v>3715</v>
      </c>
      <c r="I2539" s="575"/>
      <c r="J2539" s="580"/>
      <c r="K2539" s="575"/>
    </row>
    <row r="2540" spans="1:11" hidden="1">
      <c r="A2540" s="1132"/>
      <c r="F2540" s="575"/>
      <c r="G2540" s="576"/>
      <c r="H2540" s="582" t="s">
        <v>117</v>
      </c>
      <c r="I2540" s="575"/>
      <c r="J2540" s="580"/>
      <c r="K2540" s="575"/>
    </row>
    <row r="2541" spans="1:11" hidden="1">
      <c r="A2541" s="1132"/>
      <c r="F2541" s="575"/>
      <c r="G2541" s="576"/>
      <c r="H2541" s="573" t="s">
        <v>3716</v>
      </c>
      <c r="I2541" s="575"/>
      <c r="J2541" s="1195"/>
      <c r="K2541" s="575"/>
    </row>
    <row r="2542" spans="1:11" hidden="1">
      <c r="A2542" s="1132"/>
      <c r="F2542" s="575"/>
      <c r="G2542" s="576"/>
      <c r="H2542" s="573" t="s">
        <v>3717</v>
      </c>
      <c r="I2542" s="575"/>
      <c r="J2542" s="580"/>
      <c r="K2542" s="575"/>
    </row>
    <row r="2543" spans="1:11" hidden="1">
      <c r="A2543" s="1132"/>
      <c r="F2543" s="575"/>
      <c r="G2543" s="576"/>
      <c r="H2543" s="575"/>
      <c r="I2543" s="575"/>
      <c r="J2543" s="574" t="s">
        <v>117</v>
      </c>
      <c r="K2543" s="575"/>
    </row>
    <row r="2544" spans="1:11" hidden="1">
      <c r="A2544" s="1132"/>
      <c r="F2544" s="575"/>
      <c r="G2544" s="576"/>
      <c r="H2544" s="573" t="s">
        <v>3718</v>
      </c>
      <c r="I2544" s="575"/>
      <c r="J2544" s="580"/>
      <c r="K2544" s="575"/>
    </row>
    <row r="2545" spans="1:11" hidden="1">
      <c r="A2545" s="1132"/>
      <c r="F2545" s="575"/>
      <c r="G2545" s="576"/>
      <c r="H2545" s="573" t="s">
        <v>3719</v>
      </c>
      <c r="I2545" s="575"/>
      <c r="J2545" s="580"/>
      <c r="K2545" s="651">
        <v>3.5400000000000001E-2</v>
      </c>
    </row>
    <row r="2546" spans="1:11" hidden="1">
      <c r="A2546" s="1132"/>
      <c r="F2546" s="575"/>
      <c r="G2546" s="576"/>
      <c r="H2546" s="575"/>
      <c r="I2546" s="575"/>
      <c r="J2546" s="574" t="s">
        <v>115</v>
      </c>
      <c r="K2546" s="582" t="s">
        <v>117</v>
      </c>
    </row>
    <row r="2547" spans="1:11" hidden="1">
      <c r="A2547" s="1132"/>
      <c r="F2547" s="575"/>
      <c r="G2547" s="576"/>
      <c r="H2547" s="573" t="s">
        <v>3720</v>
      </c>
      <c r="I2547" s="575"/>
      <c r="J2547" s="1135" t="s">
        <v>115</v>
      </c>
      <c r="K2547" s="651">
        <v>2.5899999999999999E-2</v>
      </c>
    </row>
    <row r="2548" spans="1:11" hidden="1">
      <c r="A2548" s="1132"/>
      <c r="F2548" s="575"/>
      <c r="G2548" s="576"/>
      <c r="H2548" s="573" t="s">
        <v>3721</v>
      </c>
      <c r="I2548" s="575"/>
      <c r="J2548" s="574" t="s">
        <v>115</v>
      </c>
      <c r="K2548" s="651">
        <v>6.4999999999999997E-3</v>
      </c>
    </row>
    <row r="2549" spans="1:11" hidden="1">
      <c r="A2549" s="1132"/>
      <c r="F2549" s="575"/>
      <c r="G2549" s="576"/>
      <c r="H2549" s="575"/>
      <c r="I2549" s="575"/>
      <c r="J2549" s="580"/>
      <c r="K2549" s="582" t="s">
        <v>117</v>
      </c>
    </row>
    <row r="2550" spans="1:11" hidden="1">
      <c r="A2550" s="1132"/>
      <c r="F2550" s="575"/>
      <c r="G2550" s="576"/>
      <c r="H2550" s="575"/>
      <c r="I2550" s="575"/>
      <c r="J2550" s="580"/>
      <c r="K2550" s="651">
        <v>3.2300000000000002E-2</v>
      </c>
    </row>
    <row r="2551" spans="1:11" hidden="1">
      <c r="A2551" s="1132"/>
      <c r="F2551" s="575"/>
      <c r="G2551" s="576"/>
      <c r="H2551" s="575"/>
      <c r="I2551" s="575"/>
      <c r="J2551" s="580"/>
      <c r="K2551" s="582" t="s">
        <v>117</v>
      </c>
    </row>
    <row r="2552" spans="1:11" hidden="1">
      <c r="A2552" s="1132"/>
      <c r="F2552" s="575"/>
      <c r="G2552" s="576"/>
      <c r="H2552" s="575"/>
      <c r="I2552" s="575"/>
      <c r="J2552" s="580"/>
      <c r="K2552" s="575"/>
    </row>
    <row r="2553" spans="1:11" hidden="1">
      <c r="A2553" s="1132"/>
      <c r="F2553" s="575"/>
      <c r="G2553" s="576"/>
      <c r="H2553" s="575"/>
      <c r="I2553" s="575"/>
      <c r="J2553" s="580"/>
      <c r="K2553" s="575"/>
    </row>
    <row r="2554" spans="1:11" hidden="1">
      <c r="A2554" s="1132"/>
      <c r="F2554" s="651">
        <v>2.2800000000000001E-2</v>
      </c>
      <c r="G2554" s="585" t="s">
        <v>126</v>
      </c>
      <c r="H2554" s="573" t="s">
        <v>1483</v>
      </c>
      <c r="I2554" s="587">
        <f>I910</f>
        <v>65420</v>
      </c>
      <c r="J2554" s="574" t="s">
        <v>126</v>
      </c>
      <c r="K2554" s="587">
        <f>(F2554*I2554)</f>
        <v>1491.576</v>
      </c>
    </row>
    <row r="2555" spans="1:11" hidden="1">
      <c r="A2555" s="1132"/>
      <c r="F2555" s="651">
        <v>3.5400000000000001E-2</v>
      </c>
      <c r="G2555" s="585" t="s">
        <v>126</v>
      </c>
      <c r="H2555" s="573" t="s">
        <v>1485</v>
      </c>
      <c r="I2555" s="587">
        <f>I911</f>
        <v>57165</v>
      </c>
      <c r="J2555" s="574" t="s">
        <v>126</v>
      </c>
      <c r="K2555" s="587">
        <f t="shared" ref="K2555:K2564" si="77">(F2555*I2555)</f>
        <v>2023.6410000000001</v>
      </c>
    </row>
    <row r="2556" spans="1:11" hidden="1">
      <c r="A2556" s="1132"/>
      <c r="F2556" s="651">
        <v>3.2300000000000002E-2</v>
      </c>
      <c r="G2556" s="585" t="s">
        <v>126</v>
      </c>
      <c r="H2556" s="573" t="s">
        <v>1487</v>
      </c>
      <c r="I2556" s="587">
        <f>I912</f>
        <v>63870</v>
      </c>
      <c r="J2556" s="574" t="s">
        <v>126</v>
      </c>
      <c r="K2556" s="587">
        <f t="shared" si="77"/>
        <v>2063.0010000000002</v>
      </c>
    </row>
    <row r="2557" spans="1:11" hidden="1">
      <c r="A2557" s="1132"/>
      <c r="F2557" s="652"/>
      <c r="G2557" s="576"/>
      <c r="H2557" s="573" t="s">
        <v>1560</v>
      </c>
      <c r="I2557" s="587"/>
      <c r="J2557" s="580"/>
      <c r="K2557" s="587">
        <f t="shared" si="77"/>
        <v>0</v>
      </c>
    </row>
    <row r="2558" spans="1:11" hidden="1">
      <c r="A2558" s="1132"/>
      <c r="F2558" s="652">
        <v>2.835</v>
      </c>
      <c r="G2558" s="585" t="s">
        <v>140</v>
      </c>
      <c r="H2558" s="573" t="s">
        <v>1480</v>
      </c>
      <c r="I2558" s="587">
        <f t="shared" ref="I2558:I2564" si="78">I914</f>
        <v>342</v>
      </c>
      <c r="J2558" s="574" t="s">
        <v>140</v>
      </c>
      <c r="K2558" s="587">
        <f t="shared" si="77"/>
        <v>969.56999999999994</v>
      </c>
    </row>
    <row r="2559" spans="1:11" hidden="1">
      <c r="A2559" s="1132"/>
      <c r="F2559" s="587">
        <v>2</v>
      </c>
      <c r="G2559" s="585" t="s">
        <v>1</v>
      </c>
      <c r="H2559" s="573" t="s">
        <v>1481</v>
      </c>
      <c r="I2559" s="587">
        <f t="shared" si="78"/>
        <v>30</v>
      </c>
      <c r="J2559" s="574" t="s">
        <v>209</v>
      </c>
      <c r="K2559" s="587">
        <f t="shared" si="77"/>
        <v>60</v>
      </c>
    </row>
    <row r="2560" spans="1:11" hidden="1">
      <c r="A2560" s="1132"/>
      <c r="F2560" s="587">
        <v>6</v>
      </c>
      <c r="G2560" s="585" t="s">
        <v>209</v>
      </c>
      <c r="H2560" s="573" t="s">
        <v>1482</v>
      </c>
      <c r="I2560" s="587">
        <f t="shared" si="78"/>
        <v>45</v>
      </c>
      <c r="J2560" s="574" t="s">
        <v>209</v>
      </c>
      <c r="K2560" s="587">
        <f t="shared" si="77"/>
        <v>270</v>
      </c>
    </row>
    <row r="2561" spans="1:11" hidden="1">
      <c r="A2561" s="1132"/>
      <c r="F2561" s="587">
        <v>4</v>
      </c>
      <c r="G2561" s="585" t="s">
        <v>209</v>
      </c>
      <c r="H2561" s="573" t="s">
        <v>1484</v>
      </c>
      <c r="I2561" s="587">
        <f t="shared" si="78"/>
        <v>30</v>
      </c>
      <c r="J2561" s="574" t="s">
        <v>209</v>
      </c>
      <c r="K2561" s="587">
        <f t="shared" si="77"/>
        <v>120</v>
      </c>
    </row>
    <row r="2562" spans="1:11" hidden="1">
      <c r="A2562" s="1132"/>
      <c r="F2562" s="587">
        <v>1</v>
      </c>
      <c r="G2562" s="585" t="s">
        <v>209</v>
      </c>
      <c r="H2562" s="573" t="s">
        <v>1486</v>
      </c>
      <c r="I2562" s="587">
        <f t="shared" si="78"/>
        <v>95</v>
      </c>
      <c r="J2562" s="574" t="s">
        <v>209</v>
      </c>
      <c r="K2562" s="587">
        <f t="shared" si="77"/>
        <v>95</v>
      </c>
    </row>
    <row r="2563" spans="1:11" hidden="1">
      <c r="A2563" s="1132"/>
      <c r="F2563" s="587">
        <v>2</v>
      </c>
      <c r="G2563" s="585" t="s">
        <v>209</v>
      </c>
      <c r="H2563" s="573" t="s">
        <v>1488</v>
      </c>
      <c r="I2563" s="587">
        <f t="shared" si="78"/>
        <v>8</v>
      </c>
      <c r="J2563" s="574" t="s">
        <v>209</v>
      </c>
      <c r="K2563" s="587">
        <f t="shared" si="77"/>
        <v>16</v>
      </c>
    </row>
    <row r="2564" spans="1:11" hidden="1">
      <c r="A2564" s="1132"/>
      <c r="F2564" s="587">
        <v>2</v>
      </c>
      <c r="G2564" s="585" t="s">
        <v>209</v>
      </c>
      <c r="H2564" s="573" t="s">
        <v>630</v>
      </c>
      <c r="I2564" s="587">
        <f t="shared" si="78"/>
        <v>25</v>
      </c>
      <c r="J2564" s="574" t="s">
        <v>209</v>
      </c>
      <c r="K2564" s="587">
        <f t="shared" si="77"/>
        <v>50</v>
      </c>
    </row>
    <row r="2565" spans="1:11" hidden="1">
      <c r="A2565" s="1132"/>
      <c r="F2565" s="575"/>
      <c r="G2565" s="576"/>
      <c r="H2565" s="575"/>
      <c r="I2565" s="575"/>
      <c r="J2565" s="580"/>
      <c r="K2565" s="582" t="s">
        <v>117</v>
      </c>
    </row>
    <row r="2566" spans="1:11" hidden="1">
      <c r="A2566" s="1132"/>
      <c r="F2566" s="575"/>
      <c r="G2566" s="576"/>
      <c r="H2566" s="573" t="s">
        <v>3722</v>
      </c>
      <c r="I2566" s="575"/>
      <c r="J2566" s="580"/>
      <c r="K2566" s="587">
        <f>SUM(K2554:K2564)</f>
        <v>7158.7880000000005</v>
      </c>
    </row>
    <row r="2567" spans="1:11" hidden="1">
      <c r="A2567" s="1132"/>
      <c r="F2567" s="575"/>
      <c r="G2567" s="576"/>
      <c r="H2567" s="575"/>
      <c r="I2567" s="575"/>
      <c r="J2567" s="580"/>
      <c r="K2567" s="582" t="s">
        <v>117</v>
      </c>
    </row>
    <row r="2568" spans="1:11" hidden="1">
      <c r="A2568" s="1132"/>
      <c r="F2568" s="575"/>
      <c r="G2568" s="576"/>
      <c r="H2568" s="573" t="s">
        <v>154</v>
      </c>
      <c r="I2568" s="575"/>
      <c r="J2568" s="580"/>
      <c r="K2568" s="587">
        <f>K2566/F2558</f>
        <v>2525.1456790123457</v>
      </c>
    </row>
    <row r="2569" spans="1:11" hidden="1">
      <c r="A2569" s="1132"/>
      <c r="F2569" s="575"/>
      <c r="G2569" s="576"/>
      <c r="H2569" s="573"/>
      <c r="I2569" s="575"/>
      <c r="J2569" s="580"/>
      <c r="K2569" s="582" t="s">
        <v>155</v>
      </c>
    </row>
    <row r="2570" spans="1:11" hidden="1">
      <c r="A2570" s="1132"/>
      <c r="F2570" s="575"/>
      <c r="G2570" s="576"/>
      <c r="H2570" s="577" t="s">
        <v>2472</v>
      </c>
      <c r="I2570" s="575"/>
      <c r="J2570" s="580"/>
      <c r="K2570" s="575"/>
    </row>
    <row r="2571" spans="1:11" hidden="1">
      <c r="A2571" s="1132"/>
      <c r="F2571" s="575"/>
      <c r="G2571" s="576"/>
      <c r="H2571" s="582" t="s">
        <v>117</v>
      </c>
      <c r="I2571" s="575"/>
      <c r="J2571" s="580"/>
      <c r="K2571" s="575"/>
    </row>
    <row r="2572" spans="1:11" hidden="1">
      <c r="A2572" s="1132"/>
      <c r="F2572" s="575"/>
      <c r="G2572" s="576"/>
      <c r="H2572" s="573" t="s">
        <v>2475</v>
      </c>
      <c r="I2572" s="575"/>
      <c r="J2572" s="1195"/>
      <c r="K2572" s="575"/>
    </row>
    <row r="2573" spans="1:11" hidden="1">
      <c r="A2573" s="1132"/>
      <c r="F2573" s="575"/>
      <c r="G2573" s="576"/>
      <c r="H2573" s="573" t="s">
        <v>3717</v>
      </c>
      <c r="I2573" s="575"/>
      <c r="J2573" s="580"/>
      <c r="K2573" s="575"/>
    </row>
    <row r="2574" spans="1:11" hidden="1">
      <c r="A2574" s="1132"/>
      <c r="F2574" s="575"/>
      <c r="G2574" s="576"/>
      <c r="H2574" s="575"/>
      <c r="I2574" s="575"/>
      <c r="J2574" s="574" t="s">
        <v>117</v>
      </c>
      <c r="K2574" s="575"/>
    </row>
    <row r="2575" spans="1:11" hidden="1">
      <c r="A2575" s="1132"/>
      <c r="F2575" s="575"/>
      <c r="G2575" s="576"/>
      <c r="H2575" s="573" t="s">
        <v>3723</v>
      </c>
      <c r="I2575" s="575"/>
      <c r="J2575" s="580"/>
      <c r="K2575" s="575"/>
    </row>
    <row r="2576" spans="1:11" hidden="1">
      <c r="A2576" s="1132"/>
      <c r="F2576" s="575"/>
      <c r="G2576" s="576"/>
      <c r="H2576" s="573" t="s">
        <v>3724</v>
      </c>
      <c r="I2576" s="575"/>
      <c r="J2576" s="580"/>
      <c r="K2576" s="651">
        <v>2.5000000000000001E-2</v>
      </c>
    </row>
    <row r="2577" spans="1:11" hidden="1">
      <c r="A2577" s="1132"/>
      <c r="F2577" s="575"/>
      <c r="G2577" s="576"/>
      <c r="H2577" s="575"/>
      <c r="I2577" s="575"/>
      <c r="J2577" s="574" t="s">
        <v>115</v>
      </c>
      <c r="K2577" s="582" t="s">
        <v>117</v>
      </c>
    </row>
    <row r="2578" spans="1:11" hidden="1">
      <c r="A2578" s="1132"/>
      <c r="F2578" s="575"/>
      <c r="G2578" s="576"/>
      <c r="H2578" s="573" t="s">
        <v>3725</v>
      </c>
      <c r="I2578" s="575"/>
      <c r="J2578" s="1135" t="s">
        <v>115</v>
      </c>
      <c r="K2578" s="651">
        <v>1.7850000000000001E-2</v>
      </c>
    </row>
    <row r="2579" spans="1:11" hidden="1">
      <c r="A2579" s="1132"/>
      <c r="F2579" s="575"/>
      <c r="G2579" s="576"/>
      <c r="H2579" s="573" t="s">
        <v>3726</v>
      </c>
      <c r="I2579" s="575"/>
      <c r="J2579" s="574" t="s">
        <v>115</v>
      </c>
      <c r="K2579" s="651">
        <v>1.4500000000000001E-2</v>
      </c>
    </row>
    <row r="2580" spans="1:11" hidden="1">
      <c r="A2580" s="1132"/>
      <c r="F2580" s="575"/>
      <c r="G2580" s="576"/>
      <c r="H2580" s="575"/>
      <c r="I2580" s="575"/>
      <c r="J2580" s="580"/>
      <c r="K2580" s="582" t="s">
        <v>117</v>
      </c>
    </row>
    <row r="2581" spans="1:11" hidden="1">
      <c r="A2581" s="1132"/>
      <c r="F2581" s="575"/>
      <c r="G2581" s="576"/>
      <c r="H2581" s="575"/>
      <c r="I2581" s="575"/>
      <c r="J2581" s="580"/>
      <c r="K2581" s="651">
        <v>2.23E-2</v>
      </c>
    </row>
    <row r="2582" spans="1:11" hidden="1">
      <c r="A2582" s="1132"/>
      <c r="F2582" s="575"/>
      <c r="G2582" s="576"/>
      <c r="H2582" s="575"/>
      <c r="I2582" s="575"/>
      <c r="J2582" s="580"/>
      <c r="K2582" s="582" t="s">
        <v>117</v>
      </c>
    </row>
    <row r="2583" spans="1:11" hidden="1">
      <c r="A2583" s="1132"/>
      <c r="F2583" s="575"/>
      <c r="G2583" s="576"/>
      <c r="H2583" s="575"/>
      <c r="I2583" s="575"/>
      <c r="J2583" s="580"/>
      <c r="K2583" s="575"/>
    </row>
    <row r="2584" spans="1:11" hidden="1">
      <c r="A2584" s="1132"/>
      <c r="F2584" s="575"/>
      <c r="G2584" s="576"/>
      <c r="H2584" s="575"/>
      <c r="I2584" s="575"/>
      <c r="J2584" s="580"/>
      <c r="K2584" s="575"/>
    </row>
    <row r="2585" spans="1:11" hidden="1">
      <c r="A2585" s="1132"/>
      <c r="F2585" s="651">
        <v>2.2800000000000001E-2</v>
      </c>
      <c r="G2585" s="585" t="s">
        <v>126</v>
      </c>
      <c r="H2585" s="573" t="s">
        <v>1483</v>
      </c>
      <c r="I2585" s="587">
        <f>I2554</f>
        <v>65420</v>
      </c>
      <c r="J2585" s="574" t="s">
        <v>126</v>
      </c>
      <c r="K2585" s="587">
        <f>(F2585*I2585)</f>
        <v>1491.576</v>
      </c>
    </row>
    <row r="2586" spans="1:11" hidden="1">
      <c r="A2586" s="1132"/>
      <c r="F2586" s="651">
        <v>2.5000000000000001E-2</v>
      </c>
      <c r="G2586" s="585" t="s">
        <v>126</v>
      </c>
      <c r="H2586" s="573" t="s">
        <v>1485</v>
      </c>
      <c r="I2586" s="587">
        <f t="shared" ref="I2586:I2595" si="79">I2555</f>
        <v>57165</v>
      </c>
      <c r="J2586" s="574" t="s">
        <v>126</v>
      </c>
      <c r="K2586" s="587">
        <f>(F2586*I2586)</f>
        <v>1429.125</v>
      </c>
    </row>
    <row r="2587" spans="1:11" hidden="1">
      <c r="A2587" s="1132"/>
      <c r="F2587" s="651">
        <v>2.23E-2</v>
      </c>
      <c r="G2587" s="585" t="s">
        <v>126</v>
      </c>
      <c r="H2587" s="573" t="s">
        <v>1487</v>
      </c>
      <c r="I2587" s="587">
        <f t="shared" si="79"/>
        <v>63870</v>
      </c>
      <c r="J2587" s="574" t="s">
        <v>126</v>
      </c>
      <c r="K2587" s="587">
        <f>(F2587*I2587)</f>
        <v>1424.3009999999999</v>
      </c>
    </row>
    <row r="2588" spans="1:11" hidden="1">
      <c r="A2588" s="1132"/>
      <c r="F2588" s="652"/>
      <c r="G2588" s="576"/>
      <c r="H2588" s="573" t="s">
        <v>1560</v>
      </c>
      <c r="I2588" s="587"/>
      <c r="J2588" s="580"/>
      <c r="K2588" s="573" t="s">
        <v>115</v>
      </c>
    </row>
    <row r="2589" spans="1:11" hidden="1">
      <c r="A2589" s="1132"/>
      <c r="F2589" s="652">
        <v>2.2275</v>
      </c>
      <c r="G2589" s="585" t="s">
        <v>140</v>
      </c>
      <c r="H2589" s="573" t="s">
        <v>1480</v>
      </c>
      <c r="I2589" s="587">
        <f t="shared" si="79"/>
        <v>342</v>
      </c>
      <c r="J2589" s="574" t="s">
        <v>140</v>
      </c>
      <c r="K2589" s="587">
        <f t="shared" ref="K2589:K2595" si="80">(F2589*I2589)</f>
        <v>761.80500000000006</v>
      </c>
    </row>
    <row r="2590" spans="1:11" hidden="1">
      <c r="A2590" s="1132"/>
      <c r="F2590" s="587">
        <v>2</v>
      </c>
      <c r="G2590" s="585" t="s">
        <v>1</v>
      </c>
      <c r="H2590" s="573" t="s">
        <v>1481</v>
      </c>
      <c r="I2590" s="587">
        <f t="shared" si="79"/>
        <v>30</v>
      </c>
      <c r="J2590" s="574" t="s">
        <v>209</v>
      </c>
      <c r="K2590" s="587">
        <f t="shared" si="80"/>
        <v>60</v>
      </c>
    </row>
    <row r="2591" spans="1:11" hidden="1">
      <c r="A2591" s="1132"/>
      <c r="F2591" s="587">
        <v>6</v>
      </c>
      <c r="G2591" s="585" t="s">
        <v>209</v>
      </c>
      <c r="H2591" s="573" t="s">
        <v>1482</v>
      </c>
      <c r="I2591" s="587">
        <f t="shared" si="79"/>
        <v>45</v>
      </c>
      <c r="J2591" s="574" t="s">
        <v>209</v>
      </c>
      <c r="K2591" s="587">
        <f t="shared" si="80"/>
        <v>270</v>
      </c>
    </row>
    <row r="2592" spans="1:11" hidden="1">
      <c r="A2592" s="1132"/>
      <c r="F2592" s="587">
        <v>4</v>
      </c>
      <c r="G2592" s="585" t="s">
        <v>209</v>
      </c>
      <c r="H2592" s="573" t="s">
        <v>1484</v>
      </c>
      <c r="I2592" s="587">
        <f t="shared" si="79"/>
        <v>30</v>
      </c>
      <c r="J2592" s="574" t="s">
        <v>209</v>
      </c>
      <c r="K2592" s="587">
        <f t="shared" si="80"/>
        <v>120</v>
      </c>
    </row>
    <row r="2593" spans="1:11" hidden="1">
      <c r="A2593" s="1132"/>
      <c r="F2593" s="587">
        <v>1</v>
      </c>
      <c r="G2593" s="585" t="s">
        <v>209</v>
      </c>
      <c r="H2593" s="573" t="s">
        <v>1486</v>
      </c>
      <c r="I2593" s="587">
        <f t="shared" si="79"/>
        <v>95</v>
      </c>
      <c r="J2593" s="574" t="s">
        <v>209</v>
      </c>
      <c r="K2593" s="587">
        <f t="shared" si="80"/>
        <v>95</v>
      </c>
    </row>
    <row r="2594" spans="1:11" hidden="1">
      <c r="A2594" s="1132"/>
      <c r="F2594" s="587">
        <v>2</v>
      </c>
      <c r="G2594" s="585" t="s">
        <v>209</v>
      </c>
      <c r="H2594" s="573" t="s">
        <v>1488</v>
      </c>
      <c r="I2594" s="587">
        <f t="shared" si="79"/>
        <v>8</v>
      </c>
      <c r="J2594" s="574" t="s">
        <v>209</v>
      </c>
      <c r="K2594" s="587">
        <f t="shared" si="80"/>
        <v>16</v>
      </c>
    </row>
    <row r="2595" spans="1:11" hidden="1">
      <c r="A2595" s="1132"/>
      <c r="F2595" s="587">
        <v>2</v>
      </c>
      <c r="G2595" s="585" t="s">
        <v>209</v>
      </c>
      <c r="H2595" s="573" t="s">
        <v>630</v>
      </c>
      <c r="I2595" s="587">
        <f t="shared" si="79"/>
        <v>25</v>
      </c>
      <c r="J2595" s="574" t="s">
        <v>209</v>
      </c>
      <c r="K2595" s="587">
        <f t="shared" si="80"/>
        <v>50</v>
      </c>
    </row>
    <row r="2596" spans="1:11" hidden="1">
      <c r="A2596" s="1132"/>
      <c r="F2596" s="575"/>
      <c r="G2596" s="576"/>
      <c r="H2596" s="575"/>
      <c r="I2596" s="575"/>
      <c r="J2596" s="580"/>
      <c r="K2596" s="582" t="s">
        <v>117</v>
      </c>
    </row>
    <row r="2597" spans="1:11" hidden="1">
      <c r="A2597" s="1132"/>
      <c r="F2597" s="575"/>
      <c r="G2597" s="576"/>
      <c r="H2597" s="573" t="s">
        <v>2558</v>
      </c>
      <c r="I2597" s="575"/>
      <c r="J2597" s="580"/>
      <c r="K2597" s="587">
        <f>SUM(K2585:K2595)</f>
        <v>5717.8070000000007</v>
      </c>
    </row>
    <row r="2598" spans="1:11" hidden="1">
      <c r="A2598" s="1132"/>
      <c r="F2598" s="575"/>
      <c r="G2598" s="576"/>
      <c r="H2598" s="575"/>
      <c r="I2598" s="575"/>
      <c r="J2598" s="580"/>
      <c r="K2598" s="582" t="s">
        <v>117</v>
      </c>
    </row>
    <row r="2599" spans="1:11" hidden="1">
      <c r="A2599" s="1132"/>
      <c r="F2599" s="575"/>
      <c r="G2599" s="576"/>
      <c r="H2599" s="573" t="s">
        <v>154</v>
      </c>
      <c r="I2599" s="575"/>
      <c r="J2599" s="580"/>
      <c r="K2599" s="587">
        <f>K2597/F2589</f>
        <v>2566.9167227833896</v>
      </c>
    </row>
    <row r="2600" spans="1:11" hidden="1">
      <c r="A2600" s="1132"/>
      <c r="F2600" s="575"/>
      <c r="G2600" s="576"/>
      <c r="H2600" s="573"/>
      <c r="I2600" s="575"/>
      <c r="J2600" s="580"/>
      <c r="K2600" s="582" t="s">
        <v>155</v>
      </c>
    </row>
    <row r="2601" spans="1:11" hidden="1">
      <c r="A2601" s="1132"/>
      <c r="F2601" s="575"/>
      <c r="G2601" s="576"/>
      <c r="H2601" s="575"/>
      <c r="I2601" s="575"/>
      <c r="J2601" s="580"/>
      <c r="K2601" s="575"/>
    </row>
    <row r="2602" spans="1:11" hidden="1">
      <c r="A2602" s="1132"/>
      <c r="F2602" s="575">
        <v>55.2</v>
      </c>
      <c r="G2602" s="576"/>
      <c r="H2602" s="580" t="s">
        <v>3727</v>
      </c>
      <c r="I2602" s="575"/>
      <c r="J2602" s="580"/>
      <c r="K2602" s="575"/>
    </row>
    <row r="2603" spans="1:11" hidden="1">
      <c r="A2603" s="1132"/>
      <c r="F2603" s="575"/>
      <c r="G2603" s="576"/>
      <c r="H2603" s="1196" t="s">
        <v>117</v>
      </c>
      <c r="I2603" s="575"/>
      <c r="J2603" s="580"/>
      <c r="K2603" s="575"/>
    </row>
    <row r="2604" spans="1:11" hidden="1">
      <c r="A2604" s="1132"/>
      <c r="F2604" s="575">
        <v>1</v>
      </c>
      <c r="G2604" s="576" t="s">
        <v>164</v>
      </c>
      <c r="H2604" s="575" t="s">
        <v>3728</v>
      </c>
      <c r="I2604" s="575">
        <v>650</v>
      </c>
      <c r="J2604" s="580" t="s">
        <v>164</v>
      </c>
      <c r="K2604" s="575">
        <f>F2604*I2604</f>
        <v>650</v>
      </c>
    </row>
    <row r="2605" spans="1:11" hidden="1">
      <c r="A2605" s="1132"/>
      <c r="F2605" s="575">
        <v>0.5</v>
      </c>
      <c r="G2605" s="576" t="s">
        <v>164</v>
      </c>
      <c r="H2605" s="575" t="s">
        <v>2290</v>
      </c>
      <c r="I2605" s="575">
        <f>C15</f>
        <v>130</v>
      </c>
      <c r="J2605" s="580" t="s">
        <v>164</v>
      </c>
      <c r="K2605" s="575">
        <f>F2605*I2605</f>
        <v>65</v>
      </c>
    </row>
    <row r="2606" spans="1:11" hidden="1">
      <c r="A2606" s="1132"/>
      <c r="F2606" s="575">
        <v>0.5</v>
      </c>
      <c r="G2606" s="576" t="s">
        <v>164</v>
      </c>
      <c r="H2606" s="575" t="s">
        <v>3729</v>
      </c>
      <c r="I2606" s="575">
        <f>C10</f>
        <v>150</v>
      </c>
      <c r="J2606" s="580" t="s">
        <v>164</v>
      </c>
      <c r="K2606" s="575">
        <f>F2606*I2606</f>
        <v>75</v>
      </c>
    </row>
    <row r="2607" spans="1:11" hidden="1">
      <c r="A2607" s="1132"/>
      <c r="F2607" s="575">
        <v>0.5</v>
      </c>
      <c r="G2607" s="576" t="s">
        <v>164</v>
      </c>
      <c r="H2607" s="575" t="s">
        <v>2766</v>
      </c>
      <c r="I2607" s="575">
        <f>C12</f>
        <v>95</v>
      </c>
      <c r="J2607" s="580" t="s">
        <v>164</v>
      </c>
      <c r="K2607" s="575">
        <f>F2607*I2607</f>
        <v>47.5</v>
      </c>
    </row>
    <row r="2608" spans="1:11" hidden="1">
      <c r="A2608" s="1132"/>
      <c r="F2608" s="575"/>
      <c r="G2608" s="576"/>
      <c r="H2608" s="575"/>
      <c r="I2608" s="575"/>
      <c r="J2608" s="580"/>
      <c r="K2608" s="1019" t="s">
        <v>117</v>
      </c>
    </row>
    <row r="2609" spans="1:11" hidden="1">
      <c r="A2609" s="1132"/>
      <c r="F2609" s="575"/>
      <c r="G2609" s="576"/>
      <c r="H2609" s="575"/>
      <c r="I2609" s="575"/>
      <c r="J2609" s="580"/>
      <c r="K2609" s="575">
        <f>SUM(K2604:K2608)</f>
        <v>837.5</v>
      </c>
    </row>
    <row r="2610" spans="1:11" hidden="1">
      <c r="A2610" s="1132"/>
      <c r="F2610" s="575"/>
      <c r="G2610" s="576"/>
      <c r="H2610" s="575"/>
      <c r="I2610" s="575"/>
      <c r="J2610" s="580"/>
      <c r="K2610" s="1019" t="s">
        <v>155</v>
      </c>
    </row>
    <row r="2611" spans="1:11" hidden="1">
      <c r="A2611" s="1132"/>
      <c r="F2611" s="575">
        <v>44.2</v>
      </c>
      <c r="G2611" s="576" t="s">
        <v>122</v>
      </c>
      <c r="H2611" s="575" t="s">
        <v>3730</v>
      </c>
      <c r="I2611" s="575"/>
      <c r="J2611" s="580"/>
      <c r="K2611" s="575"/>
    </row>
    <row r="2612" spans="1:11" hidden="1">
      <c r="A2612" s="1132"/>
      <c r="F2612" s="575"/>
      <c r="G2612" s="576"/>
      <c r="H2612" s="622" t="s">
        <v>3703</v>
      </c>
      <c r="I2612" s="575"/>
      <c r="J2612" s="580"/>
      <c r="K2612" s="575"/>
    </row>
    <row r="2613" spans="1:11" hidden="1">
      <c r="A2613" s="1132"/>
      <c r="F2613" s="575">
        <v>0.47</v>
      </c>
      <c r="G2613" s="576" t="s">
        <v>642</v>
      </c>
      <c r="H2613" s="575" t="s">
        <v>1938</v>
      </c>
      <c r="I2613" s="575">
        <f>K88</f>
        <v>52.933333333333337</v>
      </c>
      <c r="J2613" s="580" t="s">
        <v>429</v>
      </c>
      <c r="K2613" s="575">
        <f>I2613*F2613</f>
        <v>24.878666666666668</v>
      </c>
    </row>
    <row r="2614" spans="1:11" hidden="1">
      <c r="A2614" s="1132"/>
      <c r="F2614" s="575">
        <v>4.9000000000000004</v>
      </c>
      <c r="G2614" s="576" t="s">
        <v>231</v>
      </c>
      <c r="H2614" s="575" t="s">
        <v>3731</v>
      </c>
      <c r="I2614" s="575">
        <f>K2629</f>
        <v>50.583333333333336</v>
      </c>
      <c r="J2614" s="580" t="s">
        <v>231</v>
      </c>
      <c r="K2614" s="575">
        <f>I2614*F2614</f>
        <v>247.85833333333338</v>
      </c>
    </row>
    <row r="2615" spans="1:11" hidden="1">
      <c r="A2615" s="1132"/>
      <c r="F2615" s="575">
        <v>0.59</v>
      </c>
      <c r="G2615" s="576" t="s">
        <v>642</v>
      </c>
      <c r="H2615" s="575" t="s">
        <v>2215</v>
      </c>
      <c r="I2615" s="575" t="e">
        <f>AC15</f>
        <v>#REF!</v>
      </c>
      <c r="J2615" s="580" t="s">
        <v>429</v>
      </c>
      <c r="K2615" s="575" t="e">
        <f>I2615*F2615</f>
        <v>#REF!</v>
      </c>
    </row>
    <row r="2616" spans="1:11" hidden="1">
      <c r="A2616" s="1132"/>
      <c r="F2616" s="575">
        <v>0.79</v>
      </c>
      <c r="G2616" s="576" t="s">
        <v>174</v>
      </c>
      <c r="H2616" s="575" t="s">
        <v>3732</v>
      </c>
      <c r="I2616" s="575" t="e">
        <f>K630</f>
        <v>#REF!</v>
      </c>
      <c r="J2616" s="580" t="s">
        <v>174</v>
      </c>
      <c r="K2616" s="575" t="e">
        <f>I2616*F2616</f>
        <v>#REF!</v>
      </c>
    </row>
    <row r="2617" spans="1:11" hidden="1">
      <c r="A2617" s="1132"/>
      <c r="F2617" s="575">
        <v>0.24</v>
      </c>
      <c r="G2617" s="576" t="s">
        <v>642</v>
      </c>
      <c r="H2617" s="575" t="s">
        <v>653</v>
      </c>
      <c r="I2617" s="575" t="e">
        <f>AC17</f>
        <v>#REF!</v>
      </c>
      <c r="J2617" s="580" t="s">
        <v>429</v>
      </c>
      <c r="K2617" s="575" t="e">
        <f>I2617*F2617</f>
        <v>#REF!</v>
      </c>
    </row>
    <row r="2618" spans="1:11" hidden="1">
      <c r="A2618" s="1132"/>
      <c r="F2618" s="575"/>
      <c r="G2618" s="576"/>
      <c r="H2618" s="575" t="s">
        <v>236</v>
      </c>
      <c r="I2618" s="575"/>
      <c r="J2618" s="580"/>
      <c r="K2618" s="575"/>
    </row>
    <row r="2619" spans="1:11" hidden="1">
      <c r="A2619" s="1132"/>
      <c r="F2619" s="575"/>
      <c r="G2619" s="576"/>
      <c r="H2619" s="575"/>
      <c r="I2619" s="575"/>
      <c r="J2619" s="580"/>
      <c r="K2619" s="622" t="s">
        <v>2653</v>
      </c>
    </row>
    <row r="2620" spans="1:11" hidden="1">
      <c r="A2620" s="1132"/>
      <c r="F2620" s="575"/>
      <c r="G2620" s="576"/>
      <c r="H2620" s="575"/>
      <c r="I2620" s="575"/>
      <c r="J2620" s="580"/>
      <c r="K2620" s="575" t="e">
        <f>SUM(K2613:K2619)</f>
        <v>#REF!</v>
      </c>
    </row>
    <row r="2621" spans="1:11" hidden="1">
      <c r="A2621" s="1132"/>
      <c r="F2621" s="575"/>
      <c r="G2621" s="576"/>
      <c r="H2621" s="575"/>
      <c r="I2621" s="575"/>
      <c r="J2621" s="580"/>
      <c r="K2621" s="622" t="s">
        <v>777</v>
      </c>
    </row>
    <row r="2622" spans="1:11" hidden="1">
      <c r="A2622" s="1132"/>
      <c r="F2622" s="575"/>
      <c r="G2622" s="576"/>
      <c r="H2622" s="809" t="s">
        <v>3733</v>
      </c>
      <c r="I2622" s="575"/>
      <c r="J2622" s="580"/>
      <c r="K2622" s="575"/>
    </row>
    <row r="2623" spans="1:11" hidden="1">
      <c r="A2623" s="1132"/>
      <c r="F2623" s="575"/>
      <c r="G2623" s="576"/>
      <c r="H2623" s="575"/>
      <c r="I2623" s="575"/>
      <c r="J2623" s="580"/>
      <c r="K2623" s="575"/>
    </row>
    <row r="2624" spans="1:11" hidden="1">
      <c r="A2624" s="1132"/>
      <c r="F2624" s="575">
        <v>0.25</v>
      </c>
      <c r="G2624" s="576" t="s">
        <v>164</v>
      </c>
      <c r="H2624" s="575" t="s">
        <v>1131</v>
      </c>
      <c r="I2624" s="575">
        <f>C11</f>
        <v>135</v>
      </c>
      <c r="J2624" s="580" t="s">
        <v>227</v>
      </c>
      <c r="K2624" s="575">
        <f>I2624*F2624</f>
        <v>33.75</v>
      </c>
    </row>
    <row r="2625" spans="1:11" hidden="1">
      <c r="A2625" s="1132"/>
      <c r="F2625" s="575">
        <v>1</v>
      </c>
      <c r="G2625" s="576" t="s">
        <v>164</v>
      </c>
      <c r="H2625" s="575" t="s">
        <v>1606</v>
      </c>
      <c r="I2625" s="575">
        <f>C12</f>
        <v>95</v>
      </c>
      <c r="J2625" s="580" t="s">
        <v>227</v>
      </c>
      <c r="K2625" s="575">
        <f>I2625*F2625</f>
        <v>95</v>
      </c>
    </row>
    <row r="2626" spans="1:11" hidden="1">
      <c r="A2626" s="1132"/>
      <c r="F2626" s="575">
        <v>1</v>
      </c>
      <c r="G2626" s="576"/>
      <c r="H2626" s="575" t="s">
        <v>3734</v>
      </c>
      <c r="I2626" s="575">
        <v>23</v>
      </c>
      <c r="J2626" s="580" t="s">
        <v>129</v>
      </c>
      <c r="K2626" s="575">
        <f>I2626*F2626</f>
        <v>23</v>
      </c>
    </row>
    <row r="2627" spans="1:11" hidden="1">
      <c r="A2627" s="1132"/>
      <c r="F2627" s="575"/>
      <c r="G2627" s="576"/>
      <c r="H2627" s="575"/>
      <c r="I2627" s="575"/>
      <c r="J2627" s="580"/>
      <c r="K2627" s="622" t="s">
        <v>2653</v>
      </c>
    </row>
    <row r="2628" spans="1:11" hidden="1">
      <c r="A2628" s="1132"/>
      <c r="F2628" s="575"/>
      <c r="G2628" s="576"/>
      <c r="H2628" s="575" t="s">
        <v>3735</v>
      </c>
      <c r="I2628" s="575"/>
      <c r="J2628" s="580"/>
      <c r="K2628" s="575">
        <f>SUM(K2624:K2627)</f>
        <v>151.75</v>
      </c>
    </row>
    <row r="2629" spans="1:11" hidden="1">
      <c r="A2629" s="1132"/>
      <c r="F2629" s="575"/>
      <c r="G2629" s="576"/>
      <c r="H2629" s="575" t="s">
        <v>3736</v>
      </c>
      <c r="I2629" s="575"/>
      <c r="J2629" s="580"/>
      <c r="K2629" s="575">
        <f>K2628/3</f>
        <v>50.583333333333336</v>
      </c>
    </row>
    <row r="2630" spans="1:11" hidden="1">
      <c r="A2630" s="1132"/>
      <c r="F2630" s="575"/>
      <c r="G2630" s="576"/>
      <c r="H2630" s="575"/>
      <c r="I2630" s="575"/>
      <c r="J2630" s="580"/>
      <c r="K2630" s="1019" t="s">
        <v>117</v>
      </c>
    </row>
    <row r="2631" spans="1:11" ht="40.5" hidden="1" customHeight="1">
      <c r="A2631" s="1132"/>
      <c r="F2631" s="575">
        <v>84</v>
      </c>
      <c r="G2631" s="576"/>
      <c r="H2631" s="693" t="s">
        <v>3737</v>
      </c>
      <c r="I2631" s="575"/>
      <c r="J2631" s="580"/>
      <c r="K2631" s="575"/>
    </row>
    <row r="2632" spans="1:11" hidden="1">
      <c r="A2632" s="1132"/>
      <c r="F2632" s="575"/>
      <c r="G2632" s="576"/>
      <c r="H2632" s="1019" t="s">
        <v>117</v>
      </c>
      <c r="I2632" s="575"/>
      <c r="J2632" s="580"/>
      <c r="K2632" s="575"/>
    </row>
    <row r="2633" spans="1:11" hidden="1">
      <c r="A2633" s="1132"/>
      <c r="F2633" s="693">
        <v>180</v>
      </c>
      <c r="G2633" s="693" t="s">
        <v>231</v>
      </c>
      <c r="H2633" s="693" t="s">
        <v>3738</v>
      </c>
      <c r="I2633" s="693">
        <v>15.6</v>
      </c>
      <c r="J2633" s="693" t="s">
        <v>231</v>
      </c>
      <c r="K2633" s="693">
        <f>I2633*F2633</f>
        <v>2808</v>
      </c>
    </row>
    <row r="2634" spans="1:11" hidden="1">
      <c r="A2634" s="1132"/>
      <c r="F2634" s="693">
        <v>4</v>
      </c>
      <c r="G2634" s="693" t="s">
        <v>148</v>
      </c>
      <c r="H2634" s="693" t="s">
        <v>3739</v>
      </c>
      <c r="I2634" s="693">
        <v>37</v>
      </c>
      <c r="J2634" s="693" t="s">
        <v>148</v>
      </c>
      <c r="K2634" s="693">
        <f t="shared" ref="K2634:K2640" si="81">I2634*F2634</f>
        <v>148</v>
      </c>
    </row>
    <row r="2635" spans="1:11" hidden="1">
      <c r="A2635" s="1132"/>
      <c r="F2635" s="693">
        <v>180</v>
      </c>
      <c r="G2635" s="693" t="s">
        <v>240</v>
      </c>
      <c r="H2635" s="693" t="s">
        <v>3740</v>
      </c>
      <c r="I2635" s="693">
        <v>0.25</v>
      </c>
      <c r="J2635" s="693" t="s">
        <v>227</v>
      </c>
      <c r="K2635" s="693">
        <f t="shared" si="81"/>
        <v>45</v>
      </c>
    </row>
    <row r="2636" spans="1:11" hidden="1">
      <c r="A2636" s="1132"/>
      <c r="F2636" s="693">
        <v>1</v>
      </c>
      <c r="G2636" s="693" t="s">
        <v>148</v>
      </c>
      <c r="H2636" s="693" t="s">
        <v>3741</v>
      </c>
      <c r="I2636" s="693">
        <v>37</v>
      </c>
      <c r="J2636" s="693" t="s">
        <v>148</v>
      </c>
      <c r="K2636" s="693">
        <f t="shared" si="81"/>
        <v>37</v>
      </c>
    </row>
    <row r="2637" spans="1:11" hidden="1">
      <c r="A2637" s="1132"/>
      <c r="F2637" s="693">
        <v>1</v>
      </c>
      <c r="G2637" s="693" t="s">
        <v>240</v>
      </c>
      <c r="H2637" s="693" t="s">
        <v>3742</v>
      </c>
      <c r="I2637" s="693">
        <v>148</v>
      </c>
      <c r="J2637" s="693" t="s">
        <v>227</v>
      </c>
      <c r="K2637" s="693">
        <f t="shared" si="81"/>
        <v>148</v>
      </c>
    </row>
    <row r="2638" spans="1:11" hidden="1">
      <c r="A2638" s="1132"/>
      <c r="F2638" s="693">
        <v>2</v>
      </c>
      <c r="G2638" s="693" t="s">
        <v>240</v>
      </c>
      <c r="H2638" s="693" t="s">
        <v>3743</v>
      </c>
      <c r="I2638" s="693">
        <v>131</v>
      </c>
      <c r="J2638" s="693" t="s">
        <v>227</v>
      </c>
      <c r="K2638" s="693">
        <f t="shared" si="81"/>
        <v>262</v>
      </c>
    </row>
    <row r="2639" spans="1:11" hidden="1">
      <c r="A2639" s="1132"/>
      <c r="F2639" s="693">
        <v>2</v>
      </c>
      <c r="G2639" s="693" t="s">
        <v>240</v>
      </c>
      <c r="H2639" s="693" t="s">
        <v>3744</v>
      </c>
      <c r="I2639" s="693">
        <v>117</v>
      </c>
      <c r="J2639" s="693" t="s">
        <v>227</v>
      </c>
      <c r="K2639" s="693">
        <f t="shared" si="81"/>
        <v>234</v>
      </c>
    </row>
    <row r="2640" spans="1:11" hidden="1">
      <c r="A2640" s="1132"/>
      <c r="F2640" s="693">
        <v>3</v>
      </c>
      <c r="G2640" s="693" t="s">
        <v>240</v>
      </c>
      <c r="H2640" s="693" t="s">
        <v>3710</v>
      </c>
      <c r="I2640" s="693">
        <v>91</v>
      </c>
      <c r="J2640" s="693" t="s">
        <v>227</v>
      </c>
      <c r="K2640" s="693">
        <f t="shared" si="81"/>
        <v>273</v>
      </c>
    </row>
    <row r="2641" spans="1:11" hidden="1">
      <c r="A2641" s="1132"/>
      <c r="F2641" s="693"/>
      <c r="G2641" s="693"/>
      <c r="H2641" s="693" t="s">
        <v>3745</v>
      </c>
      <c r="I2641" s="693"/>
      <c r="J2641" s="693"/>
      <c r="K2641" s="693">
        <v>5</v>
      </c>
    </row>
    <row r="2642" spans="1:11" hidden="1">
      <c r="A2642" s="1132"/>
      <c r="F2642" s="693"/>
      <c r="G2642" s="693"/>
      <c r="H2642" s="693"/>
      <c r="I2642" s="693"/>
      <c r="J2642" s="693"/>
      <c r="K2642" s="1197" t="s">
        <v>117</v>
      </c>
    </row>
    <row r="2643" spans="1:11" hidden="1">
      <c r="A2643" s="1132"/>
      <c r="F2643" s="693"/>
      <c r="G2643" s="693"/>
      <c r="H2643" s="693" t="s">
        <v>3746</v>
      </c>
      <c r="I2643" s="693"/>
      <c r="J2643" s="693"/>
      <c r="K2643" s="693">
        <f>SUM(K2633:K2642)</f>
        <v>3960</v>
      </c>
    </row>
    <row r="2644" spans="1:11" hidden="1">
      <c r="A2644" s="1132"/>
      <c r="F2644" s="693"/>
      <c r="G2644" s="693"/>
      <c r="H2644" s="693"/>
      <c r="I2644" s="693"/>
      <c r="J2644" s="693"/>
      <c r="K2644" s="1197" t="s">
        <v>117</v>
      </c>
    </row>
    <row r="2645" spans="1:11" hidden="1">
      <c r="A2645" s="1132"/>
      <c r="F2645" s="693"/>
      <c r="G2645" s="693"/>
      <c r="H2645" s="693" t="s">
        <v>3747</v>
      </c>
      <c r="I2645" s="693"/>
      <c r="J2645" s="693"/>
      <c r="K2645" s="693">
        <f>K2643/90</f>
        <v>44</v>
      </c>
    </row>
    <row r="2646" spans="1:11" hidden="1">
      <c r="A2646" s="1132"/>
      <c r="F2646" s="693"/>
      <c r="G2646" s="693"/>
      <c r="H2646" s="693"/>
      <c r="I2646" s="693"/>
      <c r="J2646" s="693"/>
      <c r="K2646" s="1197" t="s">
        <v>155</v>
      </c>
    </row>
    <row r="2647" spans="1:11" hidden="1">
      <c r="A2647" s="1132"/>
      <c r="F2647" s="620"/>
      <c r="G2647" s="576"/>
      <c r="H2647" s="573" t="s">
        <v>1575</v>
      </c>
      <c r="I2647" s="575"/>
      <c r="J2647" s="580"/>
      <c r="K2647" s="575"/>
    </row>
    <row r="2648" spans="1:11" hidden="1">
      <c r="A2648" s="1132"/>
      <c r="F2648" s="575"/>
      <c r="G2648" s="576"/>
      <c r="H2648" s="582" t="s">
        <v>117</v>
      </c>
      <c r="I2648" s="582" t="s">
        <v>117</v>
      </c>
      <c r="J2648" s="574" t="s">
        <v>117</v>
      </c>
      <c r="K2648" s="575"/>
    </row>
    <row r="2649" spans="1:11" hidden="1">
      <c r="A2649" s="1132"/>
      <c r="F2649" s="575"/>
      <c r="G2649" s="576"/>
      <c r="H2649" s="575"/>
      <c r="I2649" s="575"/>
      <c r="J2649" s="580"/>
      <c r="K2649" s="575"/>
    </row>
    <row r="2650" spans="1:11" hidden="1">
      <c r="A2650" s="1132"/>
      <c r="F2650" s="823">
        <v>22.5</v>
      </c>
      <c r="G2650" s="576"/>
      <c r="H2650" s="573" t="s">
        <v>1580</v>
      </c>
      <c r="I2650" s="575"/>
      <c r="J2650" s="580"/>
      <c r="K2650" s="575"/>
    </row>
    <row r="2651" spans="1:11" hidden="1">
      <c r="A2651" s="1132"/>
      <c r="F2651" s="575"/>
      <c r="G2651" s="576"/>
      <c r="H2651" s="573"/>
      <c r="I2651" s="575"/>
      <c r="J2651" s="580"/>
      <c r="K2651" s="575"/>
    </row>
    <row r="2652" spans="1:11" hidden="1">
      <c r="A2652" s="1132"/>
      <c r="F2652" s="575"/>
      <c r="G2652" s="576"/>
      <c r="H2652" s="573" t="s">
        <v>1582</v>
      </c>
      <c r="I2652" s="575"/>
      <c r="J2652" s="580"/>
      <c r="K2652" s="575"/>
    </row>
    <row r="2653" spans="1:11" hidden="1">
      <c r="A2653" s="1132"/>
      <c r="F2653" s="575"/>
      <c r="G2653" s="576"/>
      <c r="H2653" s="573" t="s">
        <v>1583</v>
      </c>
      <c r="I2653" s="575"/>
      <c r="J2653" s="580"/>
      <c r="K2653" s="575"/>
    </row>
    <row r="2654" spans="1:11" hidden="1">
      <c r="A2654" s="1132"/>
      <c r="F2654" s="575"/>
      <c r="G2654" s="576"/>
      <c r="H2654" s="573" t="s">
        <v>1584</v>
      </c>
      <c r="I2654" s="575"/>
      <c r="J2654" s="580"/>
      <c r="K2654" s="575"/>
    </row>
    <row r="2655" spans="1:11" hidden="1">
      <c r="A2655" s="1132"/>
      <c r="F2655" s="575"/>
      <c r="G2655" s="576"/>
      <c r="H2655" s="573" t="s">
        <v>1585</v>
      </c>
      <c r="I2655" s="575"/>
      <c r="J2655" s="580"/>
      <c r="K2655" s="575"/>
    </row>
    <row r="2656" spans="1:11" hidden="1">
      <c r="A2656" s="1132"/>
      <c r="F2656" s="575"/>
      <c r="G2656" s="576"/>
      <c r="H2656" s="573" t="s">
        <v>2409</v>
      </c>
      <c r="I2656" s="575"/>
      <c r="J2656" s="574" t="s">
        <v>115</v>
      </c>
      <c r="K2656" s="651">
        <v>3.7699999999999997E-2</v>
      </c>
    </row>
    <row r="2657" spans="1:11" hidden="1">
      <c r="A2657" s="1132"/>
      <c r="F2657" s="575"/>
      <c r="G2657" s="576"/>
      <c r="H2657" s="573" t="s">
        <v>2410</v>
      </c>
      <c r="I2657" s="575"/>
      <c r="J2657" s="1135" t="s">
        <v>115</v>
      </c>
      <c r="K2657" s="703" t="s">
        <v>115</v>
      </c>
    </row>
    <row r="2658" spans="1:11" hidden="1">
      <c r="A2658" s="1132"/>
      <c r="F2658" s="575"/>
      <c r="G2658" s="576"/>
      <c r="H2658" s="573" t="s">
        <v>1590</v>
      </c>
      <c r="I2658" s="575"/>
      <c r="J2658" s="580"/>
      <c r="K2658" s="703" t="s">
        <v>115</v>
      </c>
    </row>
    <row r="2659" spans="1:11" hidden="1">
      <c r="A2659" s="1132"/>
      <c r="F2659" s="575"/>
      <c r="G2659" s="576"/>
      <c r="H2659" s="573"/>
      <c r="I2659" s="575"/>
      <c r="J2659" s="580"/>
      <c r="K2659" s="703"/>
    </row>
    <row r="2660" spans="1:11" hidden="1">
      <c r="A2660" s="1132"/>
      <c r="F2660" s="575"/>
      <c r="G2660" s="576"/>
      <c r="H2660" s="573"/>
      <c r="I2660" s="575"/>
      <c r="J2660" s="580"/>
      <c r="K2660" s="703"/>
    </row>
    <row r="2661" spans="1:11" hidden="1">
      <c r="A2661" s="1132"/>
      <c r="F2661" s="575"/>
      <c r="G2661" s="576"/>
      <c r="H2661" s="575"/>
      <c r="I2661" s="575"/>
      <c r="J2661" s="580"/>
      <c r="K2661" s="575"/>
    </row>
    <row r="2662" spans="1:11" hidden="1">
      <c r="A2662" s="1132"/>
      <c r="F2662" s="708">
        <v>1.18E-2</v>
      </c>
      <c r="G2662" s="585" t="s">
        <v>126</v>
      </c>
      <c r="H2662" s="573" t="s">
        <v>621</v>
      </c>
      <c r="I2662" s="587">
        <f t="shared" ref="I2662:I2671" si="82">I2260</f>
        <v>65420</v>
      </c>
      <c r="J2662" s="574" t="s">
        <v>126</v>
      </c>
      <c r="K2662" s="587">
        <f t="shared" ref="K2662:K2671" si="83">(F2662*I2662)</f>
        <v>771.95600000000002</v>
      </c>
    </row>
    <row r="2663" spans="1:11" hidden="1">
      <c r="A2663" s="1132"/>
      <c r="F2663" s="708">
        <v>3.7699999999999997E-2</v>
      </c>
      <c r="G2663" s="585" t="s">
        <v>126</v>
      </c>
      <c r="H2663" s="573" t="s">
        <v>622</v>
      </c>
      <c r="I2663" s="587">
        <f t="shared" si="82"/>
        <v>57165</v>
      </c>
      <c r="J2663" s="574" t="s">
        <v>126</v>
      </c>
      <c r="K2663" s="587">
        <f t="shared" si="83"/>
        <v>2155.1205</v>
      </c>
    </row>
    <row r="2664" spans="1:11" hidden="1">
      <c r="A2664" s="1132"/>
      <c r="F2664" s="708">
        <v>1.8550000000000001E-2</v>
      </c>
      <c r="G2664" s="585" t="s">
        <v>126</v>
      </c>
      <c r="H2664" s="573" t="s">
        <v>1591</v>
      </c>
      <c r="I2664" s="587">
        <f t="shared" si="82"/>
        <v>3035</v>
      </c>
      <c r="J2664" s="574" t="s">
        <v>126</v>
      </c>
      <c r="K2664" s="587">
        <f t="shared" si="83"/>
        <v>56.299250000000001</v>
      </c>
    </row>
    <row r="2665" spans="1:11" hidden="1">
      <c r="A2665" s="1132"/>
      <c r="F2665" s="708">
        <v>1.36</v>
      </c>
      <c r="G2665" s="585" t="s">
        <v>140</v>
      </c>
      <c r="H2665" s="573" t="s">
        <v>1592</v>
      </c>
      <c r="I2665" s="587">
        <f t="shared" si="82"/>
        <v>385.89</v>
      </c>
      <c r="J2665" s="574" t="s">
        <v>140</v>
      </c>
      <c r="K2665" s="587">
        <f t="shared" si="83"/>
        <v>524.81040000000007</v>
      </c>
    </row>
    <row r="2666" spans="1:11" hidden="1">
      <c r="A2666" s="1132"/>
      <c r="F2666" s="708">
        <v>2.0499999999999998</v>
      </c>
      <c r="G2666" s="585" t="s">
        <v>140</v>
      </c>
      <c r="H2666" s="573" t="s">
        <v>1593</v>
      </c>
      <c r="I2666" s="587">
        <f t="shared" si="82"/>
        <v>287</v>
      </c>
      <c r="J2666" s="574" t="s">
        <v>140</v>
      </c>
      <c r="K2666" s="587">
        <f t="shared" si="83"/>
        <v>588.34999999999991</v>
      </c>
    </row>
    <row r="2667" spans="1:11" hidden="1">
      <c r="A2667" s="1132"/>
      <c r="F2667" s="587">
        <v>2</v>
      </c>
      <c r="G2667" s="585" t="s">
        <v>209</v>
      </c>
      <c r="H2667" s="573" t="s">
        <v>2411</v>
      </c>
      <c r="I2667" s="587">
        <f t="shared" si="82"/>
        <v>25</v>
      </c>
      <c r="J2667" s="574" t="s">
        <v>209</v>
      </c>
      <c r="K2667" s="587">
        <f t="shared" si="83"/>
        <v>50</v>
      </c>
    </row>
    <row r="2668" spans="1:11" hidden="1">
      <c r="A2668" s="1132"/>
      <c r="F2668" s="587">
        <v>6</v>
      </c>
      <c r="G2668" s="585" t="s">
        <v>209</v>
      </c>
      <c r="H2668" s="573" t="s">
        <v>1551</v>
      </c>
      <c r="I2668" s="587">
        <f t="shared" si="82"/>
        <v>25</v>
      </c>
      <c r="J2668" s="574" t="s">
        <v>209</v>
      </c>
      <c r="K2668" s="587">
        <f t="shared" si="83"/>
        <v>150</v>
      </c>
    </row>
    <row r="2669" spans="1:11" hidden="1">
      <c r="A2669" s="1132"/>
      <c r="F2669" s="587">
        <v>2</v>
      </c>
      <c r="G2669" s="585" t="s">
        <v>209</v>
      </c>
      <c r="H2669" s="573" t="s">
        <v>2414</v>
      </c>
      <c r="I2669" s="587">
        <f t="shared" si="82"/>
        <v>35</v>
      </c>
      <c r="J2669" s="574" t="s">
        <v>209</v>
      </c>
      <c r="K2669" s="587">
        <f t="shared" si="83"/>
        <v>70</v>
      </c>
    </row>
    <row r="2670" spans="1:11" hidden="1">
      <c r="A2670" s="1132"/>
      <c r="F2670" s="587">
        <v>1</v>
      </c>
      <c r="G2670" s="585" t="s">
        <v>209</v>
      </c>
      <c r="H2670" s="573" t="s">
        <v>2413</v>
      </c>
      <c r="I2670" s="587">
        <f t="shared" si="82"/>
        <v>60</v>
      </c>
      <c r="J2670" s="574" t="s">
        <v>209</v>
      </c>
      <c r="K2670" s="587">
        <f t="shared" si="83"/>
        <v>60</v>
      </c>
    </row>
    <row r="2671" spans="1:11" hidden="1">
      <c r="A2671" s="1132"/>
      <c r="F2671" s="587">
        <v>2.52</v>
      </c>
      <c r="G2671" s="585" t="s">
        <v>140</v>
      </c>
      <c r="H2671" s="573" t="s">
        <v>1597</v>
      </c>
      <c r="I2671" s="587">
        <f t="shared" si="82"/>
        <v>51.25</v>
      </c>
      <c r="J2671" s="574" t="s">
        <v>140</v>
      </c>
      <c r="K2671" s="587">
        <f t="shared" si="83"/>
        <v>129.15</v>
      </c>
    </row>
    <row r="2672" spans="1:11" hidden="1">
      <c r="A2672" s="1132"/>
      <c r="F2672" s="575"/>
      <c r="G2672" s="576"/>
      <c r="H2672" s="573" t="s">
        <v>1598</v>
      </c>
      <c r="I2672" s="574" t="s">
        <v>129</v>
      </c>
      <c r="J2672" s="580"/>
      <c r="K2672" s="587">
        <v>0.28000000000000003</v>
      </c>
    </row>
    <row r="2673" spans="1:11" hidden="1">
      <c r="A2673" s="1132"/>
      <c r="F2673" s="575"/>
      <c r="G2673" s="576"/>
      <c r="H2673" s="575"/>
      <c r="I2673" s="575"/>
      <c r="J2673" s="580"/>
      <c r="K2673" s="582" t="s">
        <v>117</v>
      </c>
    </row>
    <row r="2674" spans="1:11" hidden="1">
      <c r="A2674" s="1132"/>
      <c r="F2674" s="575"/>
      <c r="G2674" s="576"/>
      <c r="H2674" s="574" t="s">
        <v>1599</v>
      </c>
      <c r="I2674" s="575"/>
      <c r="J2674" s="580"/>
      <c r="K2674" s="587">
        <f>SUM(K2662:K2672)</f>
        <v>4555.9661499999993</v>
      </c>
    </row>
    <row r="2675" spans="1:11" hidden="1">
      <c r="A2675" s="1132"/>
      <c r="F2675" s="575"/>
      <c r="G2675" s="585" t="s">
        <v>115</v>
      </c>
      <c r="H2675" s="575"/>
      <c r="I2675" s="575"/>
      <c r="J2675" s="580"/>
      <c r="K2675" s="582" t="s">
        <v>117</v>
      </c>
    </row>
    <row r="2676" spans="1:11" hidden="1">
      <c r="A2676" s="1132"/>
      <c r="F2676" s="575"/>
      <c r="G2676" s="576"/>
      <c r="H2676" s="574" t="s">
        <v>154</v>
      </c>
      <c r="I2676" s="575"/>
      <c r="J2676" s="580"/>
      <c r="K2676" s="587">
        <f>K2674/F2671</f>
        <v>1807.9230753968252</v>
      </c>
    </row>
    <row r="2677" spans="1:11" hidden="1">
      <c r="A2677" s="1132"/>
      <c r="F2677" s="575"/>
      <c r="G2677" s="576"/>
      <c r="H2677" s="575"/>
      <c r="I2677" s="575"/>
      <c r="J2677" s="580"/>
      <c r="K2677" s="582" t="s">
        <v>155</v>
      </c>
    </row>
    <row r="2678" spans="1:11" hidden="1">
      <c r="A2678" s="1132"/>
      <c r="F2678" s="693">
        <v>44.4</v>
      </c>
      <c r="G2678" s="693"/>
      <c r="H2678" s="693" t="s">
        <v>3748</v>
      </c>
      <c r="I2678" s="693"/>
      <c r="J2678" s="693"/>
      <c r="K2678" s="693"/>
    </row>
    <row r="2679" spans="1:11" hidden="1">
      <c r="A2679" s="1132"/>
      <c r="F2679" s="693"/>
      <c r="G2679" s="693"/>
      <c r="H2679" s="1019" t="s">
        <v>117</v>
      </c>
      <c r="I2679" s="693"/>
      <c r="J2679" s="693"/>
      <c r="K2679" s="693"/>
    </row>
    <row r="2680" spans="1:11" hidden="1">
      <c r="A2680" s="1132"/>
      <c r="F2680" s="693">
        <v>4.9000000000000004</v>
      </c>
      <c r="G2680" s="693" t="s">
        <v>231</v>
      </c>
      <c r="H2680" s="693" t="s">
        <v>3749</v>
      </c>
      <c r="I2680" s="693">
        <v>49.01</v>
      </c>
      <c r="J2680" s="693" t="s">
        <v>231</v>
      </c>
      <c r="K2680" s="693">
        <f>F2680*I2680</f>
        <v>240.149</v>
      </c>
    </row>
    <row r="2681" spans="1:11" hidden="1">
      <c r="A2681" s="1132"/>
      <c r="F2681" s="693">
        <v>0.12</v>
      </c>
      <c r="G2681" s="693" t="s">
        <v>126</v>
      </c>
      <c r="H2681" s="693" t="s">
        <v>3750</v>
      </c>
      <c r="I2681" s="693" t="e">
        <f>AC15</f>
        <v>#REF!</v>
      </c>
      <c r="J2681" s="693" t="s">
        <v>126</v>
      </c>
      <c r="K2681" s="693" t="e">
        <f>F2681*I2681</f>
        <v>#REF!</v>
      </c>
    </row>
    <row r="2682" spans="1:11" hidden="1">
      <c r="A2682" s="1132"/>
      <c r="F2682" s="1198">
        <v>0.18</v>
      </c>
      <c r="G2682" s="693" t="s">
        <v>126</v>
      </c>
      <c r="H2682" s="693" t="s">
        <v>3751</v>
      </c>
      <c r="I2682" s="693" t="e">
        <f>AC14</f>
        <v>#REF!</v>
      </c>
      <c r="J2682" s="693" t="s">
        <v>126</v>
      </c>
      <c r="K2682" s="693" t="e">
        <f>F2682*I2682</f>
        <v>#REF!</v>
      </c>
    </row>
    <row r="2683" spans="1:11" hidden="1">
      <c r="A2683" s="1132"/>
      <c r="F2683" s="693">
        <v>0.05</v>
      </c>
      <c r="G2683" s="693" t="s">
        <v>126</v>
      </c>
      <c r="H2683" s="693" t="s">
        <v>3752</v>
      </c>
      <c r="I2683" s="693" t="e">
        <f>AC16</f>
        <v>#REF!</v>
      </c>
      <c r="J2683" s="693" t="s">
        <v>126</v>
      </c>
      <c r="K2683" s="693" t="e">
        <f>F2683*I2683</f>
        <v>#REF!</v>
      </c>
    </row>
    <row r="2684" spans="1:11" hidden="1">
      <c r="A2684" s="1132"/>
      <c r="F2684" s="693"/>
      <c r="G2684" s="693"/>
      <c r="H2684" s="693"/>
      <c r="I2684" s="693"/>
      <c r="J2684" s="693"/>
      <c r="K2684" s="1197" t="s">
        <v>117</v>
      </c>
    </row>
    <row r="2685" spans="1:11" hidden="1">
      <c r="A2685" s="1132"/>
      <c r="F2685" s="693"/>
      <c r="G2685" s="693"/>
      <c r="H2685" s="693" t="s">
        <v>3753</v>
      </c>
      <c r="I2685" s="693"/>
      <c r="J2685" s="693"/>
      <c r="K2685" s="693" t="e">
        <f>SUM(K2680:K2684)</f>
        <v>#REF!</v>
      </c>
    </row>
    <row r="2686" spans="1:11" hidden="1">
      <c r="A2686" s="1132"/>
      <c r="F2686" s="693"/>
      <c r="G2686" s="693"/>
      <c r="H2686" s="693"/>
      <c r="I2686" s="693"/>
      <c r="J2686" s="693"/>
      <c r="K2686" s="1197" t="s">
        <v>117</v>
      </c>
    </row>
    <row r="2687" spans="1:11" hidden="1">
      <c r="A2687" s="1132"/>
      <c r="F2687" s="693"/>
      <c r="G2687" s="693"/>
      <c r="H2687" s="693" t="s">
        <v>3754</v>
      </c>
      <c r="I2687" s="693"/>
      <c r="J2687" s="693"/>
      <c r="K2687" s="693" t="e">
        <f>K2685/F2680</f>
        <v>#REF!</v>
      </c>
    </row>
    <row r="2688" spans="1:11" hidden="1">
      <c r="A2688" s="1132"/>
      <c r="F2688" s="693"/>
      <c r="G2688" s="693"/>
      <c r="H2688" s="693"/>
      <c r="I2688" s="693"/>
      <c r="J2688" s="693"/>
      <c r="K2688" s="1197" t="s">
        <v>155</v>
      </c>
    </row>
    <row r="2689" spans="1:11" ht="63" hidden="1">
      <c r="A2689" s="1132"/>
      <c r="F2689" s="693">
        <v>44.5</v>
      </c>
      <c r="G2689" s="693"/>
      <c r="H2689" s="693" t="s">
        <v>3755</v>
      </c>
      <c r="I2689" s="693"/>
      <c r="J2689" s="693"/>
      <c r="K2689" s="693"/>
    </row>
    <row r="2690" spans="1:11" hidden="1">
      <c r="A2690" s="1132"/>
      <c r="F2690" s="693"/>
      <c r="G2690" s="693"/>
      <c r="H2690" s="1019" t="s">
        <v>117</v>
      </c>
      <c r="I2690" s="693"/>
      <c r="J2690" s="693"/>
      <c r="K2690" s="693"/>
    </row>
    <row r="2691" spans="1:11" hidden="1">
      <c r="A2691" s="1132"/>
      <c r="F2691" s="693">
        <v>0.38</v>
      </c>
      <c r="G2691" s="693" t="s">
        <v>429</v>
      </c>
      <c r="H2691" s="693" t="s">
        <v>1938</v>
      </c>
      <c r="I2691" s="693">
        <f>I2613</f>
        <v>52.933333333333337</v>
      </c>
      <c r="J2691" s="693" t="s">
        <v>126</v>
      </c>
      <c r="K2691" s="693">
        <f>I2691*F2691</f>
        <v>20.114666666666668</v>
      </c>
    </row>
    <row r="2692" spans="1:11" hidden="1">
      <c r="A2692" s="1132"/>
      <c r="F2692" s="693">
        <v>0.38</v>
      </c>
      <c r="G2692" s="693" t="s">
        <v>429</v>
      </c>
      <c r="H2692" s="693" t="s">
        <v>3756</v>
      </c>
      <c r="I2692" s="693" t="e">
        <f>AC15</f>
        <v>#REF!</v>
      </c>
      <c r="J2692" s="693" t="s">
        <v>126</v>
      </c>
      <c r="K2692" s="693" t="e">
        <f>I2692*F2692</f>
        <v>#REF!</v>
      </c>
    </row>
    <row r="2693" spans="1:11" hidden="1">
      <c r="A2693" s="1132"/>
      <c r="F2693" s="693">
        <v>0.12</v>
      </c>
      <c r="G2693" s="576" t="s">
        <v>429</v>
      </c>
      <c r="H2693" s="693" t="s">
        <v>3757</v>
      </c>
      <c r="I2693" s="575" t="e">
        <f>K614</f>
        <v>#REF!</v>
      </c>
      <c r="J2693" s="693" t="s">
        <v>126</v>
      </c>
      <c r="K2693" s="693" t="e">
        <f>I2693*F2693</f>
        <v>#REF!</v>
      </c>
    </row>
    <row r="2694" spans="1:11" hidden="1">
      <c r="A2694" s="1132"/>
      <c r="F2694" s="693">
        <v>9.6</v>
      </c>
      <c r="G2694" s="693" t="s">
        <v>148</v>
      </c>
      <c r="H2694" s="693" t="s">
        <v>3758</v>
      </c>
      <c r="I2694" s="575">
        <f>AC32</f>
        <v>28000</v>
      </c>
      <c r="J2694" s="693" t="s">
        <v>1123</v>
      </c>
      <c r="K2694" s="693">
        <f>I2694*F2694/1000</f>
        <v>268.8</v>
      </c>
    </row>
    <row r="2695" spans="1:11" hidden="1">
      <c r="A2695" s="1132"/>
      <c r="F2695" s="575"/>
      <c r="G2695" s="576"/>
      <c r="H2695" s="575"/>
      <c r="I2695" s="575"/>
      <c r="J2695" s="580"/>
      <c r="K2695" s="1019" t="s">
        <v>117</v>
      </c>
    </row>
    <row r="2696" spans="1:11" hidden="1">
      <c r="A2696" s="1132"/>
      <c r="F2696" s="575"/>
      <c r="G2696" s="576"/>
      <c r="H2696" s="693" t="s">
        <v>3759</v>
      </c>
      <c r="I2696" s="575"/>
      <c r="J2696" s="580"/>
      <c r="K2696" s="575" t="e">
        <f>SUM(K2691:K2695)</f>
        <v>#REF!</v>
      </c>
    </row>
    <row r="2697" spans="1:11" hidden="1">
      <c r="A2697" s="1132"/>
      <c r="F2697" s="575"/>
      <c r="G2697" s="576"/>
      <c r="H2697" s="575"/>
      <c r="I2697" s="575"/>
      <c r="J2697" s="580"/>
      <c r="K2697" s="1019" t="s">
        <v>155</v>
      </c>
    </row>
    <row r="2698" spans="1:11" ht="63" hidden="1">
      <c r="A2698" s="1132"/>
      <c r="F2698" s="1199">
        <v>71.3</v>
      </c>
      <c r="G2698" s="1200"/>
      <c r="H2698" s="1201" t="s">
        <v>3760</v>
      </c>
      <c r="I2698" s="608"/>
      <c r="J2698" s="1202"/>
      <c r="K2698" s="608"/>
    </row>
    <row r="2699" spans="1:11" hidden="1">
      <c r="A2699" s="1132"/>
      <c r="F2699" s="608"/>
      <c r="G2699" s="1200"/>
      <c r="H2699" s="1203" t="s">
        <v>3761</v>
      </c>
      <c r="I2699" s="608"/>
      <c r="J2699" s="1202"/>
      <c r="K2699" s="608"/>
    </row>
    <row r="2700" spans="1:11" hidden="1">
      <c r="A2700" s="1132"/>
      <c r="F2700" s="608">
        <v>1</v>
      </c>
      <c r="G2700" s="1200" t="s">
        <v>164</v>
      </c>
      <c r="H2700" s="608" t="s">
        <v>3762</v>
      </c>
      <c r="I2700" s="608"/>
      <c r="J2700" s="1202">
        <v>1880</v>
      </c>
      <c r="K2700" s="608">
        <f>J2700*F2700</f>
        <v>1880</v>
      </c>
    </row>
    <row r="2701" spans="1:11" hidden="1">
      <c r="A2701" s="1132"/>
      <c r="F2701" s="608">
        <v>1</v>
      </c>
      <c r="G2701" s="1200" t="s">
        <v>164</v>
      </c>
      <c r="H2701" s="608" t="s">
        <v>3763</v>
      </c>
      <c r="I2701" s="608"/>
      <c r="J2701" s="1202">
        <v>480</v>
      </c>
      <c r="K2701" s="608">
        <f>J2701*F2701</f>
        <v>480</v>
      </c>
    </row>
    <row r="2702" spans="1:11" hidden="1">
      <c r="A2702" s="1132"/>
      <c r="F2702" s="608"/>
      <c r="G2702" s="1200"/>
      <c r="H2702" s="608" t="s">
        <v>3764</v>
      </c>
      <c r="I2702" s="608"/>
      <c r="J2702" s="1202"/>
      <c r="K2702" s="608">
        <v>35.67</v>
      </c>
    </row>
    <row r="2703" spans="1:11" hidden="1">
      <c r="A2703" s="1132"/>
      <c r="F2703" s="608"/>
      <c r="G2703" s="1200"/>
      <c r="H2703" s="608" t="s">
        <v>2196</v>
      </c>
      <c r="I2703" s="608"/>
      <c r="J2703" s="1202"/>
      <c r="K2703" s="608">
        <f>K2711</f>
        <v>104.33333333333333</v>
      </c>
    </row>
    <row r="2704" spans="1:11" hidden="1">
      <c r="A2704" s="1132"/>
      <c r="F2704" s="608"/>
      <c r="G2704" s="1200"/>
      <c r="H2704" s="608"/>
      <c r="I2704" s="608"/>
      <c r="J2704" s="1202"/>
      <c r="K2704" s="1204" t="s">
        <v>2653</v>
      </c>
    </row>
    <row r="2705" spans="1:11" hidden="1">
      <c r="A2705" s="1132"/>
      <c r="F2705" s="608"/>
      <c r="G2705" s="1200"/>
      <c r="H2705" s="608"/>
      <c r="I2705" s="608"/>
      <c r="J2705" s="1202"/>
      <c r="K2705" s="608">
        <f>SUM(K2700:K2704)</f>
        <v>2500.0033333333336</v>
      </c>
    </row>
    <row r="2706" spans="1:11" hidden="1">
      <c r="A2706" s="1132"/>
      <c r="F2706" s="608"/>
      <c r="G2706" s="1200"/>
      <c r="H2706" s="608" t="s">
        <v>656</v>
      </c>
      <c r="I2706" s="608"/>
      <c r="J2706" s="1202"/>
      <c r="K2706" s="1204" t="s">
        <v>777</v>
      </c>
    </row>
    <row r="2707" spans="1:11" hidden="1">
      <c r="A2707" s="1132"/>
      <c r="F2707" s="608">
        <v>1</v>
      </c>
      <c r="G2707" s="1200" t="s">
        <v>164</v>
      </c>
      <c r="H2707" s="608" t="s">
        <v>3765</v>
      </c>
      <c r="I2707" s="608">
        <v>131</v>
      </c>
      <c r="J2707" s="1202" t="s">
        <v>227</v>
      </c>
      <c r="K2707" s="608">
        <f>I2707*F2707</f>
        <v>131</v>
      </c>
    </row>
    <row r="2708" spans="1:11" hidden="1">
      <c r="A2708" s="1132"/>
      <c r="F2708" s="608">
        <v>2</v>
      </c>
      <c r="G2708" s="1200" t="s">
        <v>240</v>
      </c>
      <c r="H2708" s="608" t="s">
        <v>3766</v>
      </c>
      <c r="I2708" s="608">
        <v>91</v>
      </c>
      <c r="J2708" s="1202" t="s">
        <v>227</v>
      </c>
      <c r="K2708" s="608">
        <f>I2708*F2708</f>
        <v>182</v>
      </c>
    </row>
    <row r="2709" spans="1:11" hidden="1">
      <c r="A2709" s="1132"/>
      <c r="F2709" s="608"/>
      <c r="G2709" s="1200"/>
      <c r="H2709" s="608"/>
      <c r="I2709" s="608"/>
      <c r="J2709" s="1202"/>
      <c r="K2709" s="1204" t="s">
        <v>3767</v>
      </c>
    </row>
    <row r="2710" spans="1:11" hidden="1">
      <c r="A2710" s="1132"/>
      <c r="F2710" s="608"/>
      <c r="G2710" s="1200"/>
      <c r="H2710" s="1200" t="s">
        <v>3768</v>
      </c>
      <c r="I2710" s="608"/>
      <c r="J2710" s="1202"/>
      <c r="K2710" s="608">
        <f>SUM(K2707:K2709)</f>
        <v>313</v>
      </c>
    </row>
    <row r="2711" spans="1:11" hidden="1">
      <c r="A2711" s="1132"/>
      <c r="F2711" s="608"/>
      <c r="G2711" s="1200"/>
      <c r="H2711" s="1200" t="s">
        <v>3769</v>
      </c>
      <c r="I2711" s="608"/>
      <c r="J2711" s="1202"/>
      <c r="K2711" s="608">
        <f>K2710/3</f>
        <v>104.33333333333333</v>
      </c>
    </row>
    <row r="2712" spans="1:11" hidden="1">
      <c r="A2712" s="1132"/>
      <c r="F2712" s="575"/>
      <c r="G2712" s="576"/>
      <c r="H2712" s="575"/>
      <c r="I2712" s="575"/>
      <c r="J2712" s="580"/>
      <c r="K2712" s="575"/>
    </row>
    <row r="2713" spans="1:11" ht="15.75" hidden="1" customHeight="1">
      <c r="A2713" s="1132"/>
      <c r="F2713" s="1205">
        <v>79.400000000000006</v>
      </c>
      <c r="G2713" s="717"/>
      <c r="H2713" s="1478" t="s">
        <v>3770</v>
      </c>
      <c r="I2713" s="1478"/>
      <c r="J2713" s="1206"/>
      <c r="K2713" s="686"/>
    </row>
    <row r="2714" spans="1:11" hidden="1">
      <c r="A2714" s="1132"/>
      <c r="F2714" s="1207"/>
      <c r="G2714" s="717"/>
      <c r="H2714" s="1208"/>
      <c r="I2714" s="1208"/>
      <c r="J2714" s="1206"/>
      <c r="K2714" s="686"/>
    </row>
    <row r="2715" spans="1:11" hidden="1">
      <c r="A2715" s="1132"/>
      <c r="F2715" s="686">
        <v>3</v>
      </c>
      <c r="G2715" s="717" t="s">
        <v>240</v>
      </c>
      <c r="H2715" s="686" t="s">
        <v>3771</v>
      </c>
      <c r="I2715" s="612">
        <v>190</v>
      </c>
      <c r="J2715" s="1206" t="s">
        <v>227</v>
      </c>
      <c r="K2715" s="686">
        <f>I2715*F2715</f>
        <v>570</v>
      </c>
    </row>
    <row r="2716" spans="1:11" hidden="1">
      <c r="A2716" s="1132"/>
      <c r="F2716" s="686">
        <v>1</v>
      </c>
      <c r="G2716" s="717" t="s">
        <v>164</v>
      </c>
      <c r="H2716" s="686" t="s">
        <v>3772</v>
      </c>
      <c r="I2716" s="686">
        <v>223.63</v>
      </c>
      <c r="J2716" s="1206" t="s">
        <v>227</v>
      </c>
      <c r="K2716" s="686">
        <f>I2716*F2716</f>
        <v>223.63</v>
      </c>
    </row>
    <row r="2717" spans="1:11" hidden="1">
      <c r="A2717" s="1132"/>
      <c r="F2717" s="686"/>
      <c r="G2717" s="717"/>
      <c r="H2717" s="686" t="s">
        <v>656</v>
      </c>
      <c r="I2717" s="686"/>
      <c r="J2717" s="1206"/>
      <c r="K2717" s="686">
        <f>K2728</f>
        <v>76.5</v>
      </c>
    </row>
    <row r="2718" spans="1:11" hidden="1">
      <c r="A2718" s="1132"/>
      <c r="F2718" s="686"/>
      <c r="G2718" s="717"/>
      <c r="H2718" s="686" t="s">
        <v>3773</v>
      </c>
      <c r="I2718" s="686"/>
      <c r="J2718" s="1206"/>
      <c r="K2718" s="686">
        <v>4.87</v>
      </c>
    </row>
    <row r="2719" spans="1:11" hidden="1">
      <c r="A2719" s="1132"/>
      <c r="F2719" s="686"/>
      <c r="G2719" s="717"/>
      <c r="H2719" s="686"/>
      <c r="I2719" s="686"/>
      <c r="J2719" s="1206"/>
      <c r="K2719" s="721" t="s">
        <v>774</v>
      </c>
    </row>
    <row r="2720" spans="1:11" hidden="1">
      <c r="A2720" s="1132"/>
      <c r="F2720" s="686"/>
      <c r="G2720" s="717"/>
      <c r="H2720" s="686"/>
      <c r="I2720" s="686"/>
      <c r="J2720" s="1206"/>
      <c r="K2720" s="686">
        <f>SUM(K2715:K2719)</f>
        <v>875</v>
      </c>
    </row>
    <row r="2721" spans="1:11" hidden="1">
      <c r="A2721" s="1132"/>
      <c r="F2721" s="686"/>
      <c r="G2721" s="717"/>
      <c r="H2721" s="686"/>
      <c r="I2721" s="686"/>
      <c r="J2721" s="1206"/>
      <c r="K2721" s="721" t="s">
        <v>1586</v>
      </c>
    </row>
    <row r="2722" spans="1:11" hidden="1">
      <c r="A2722" s="1132"/>
      <c r="F2722" s="686"/>
      <c r="G2722" s="717"/>
      <c r="H2722" s="686" t="s">
        <v>656</v>
      </c>
      <c r="I2722" s="686"/>
      <c r="J2722" s="1206"/>
      <c r="K2722" s="686"/>
    </row>
    <row r="2723" spans="1:11" hidden="1">
      <c r="A2723" s="1132"/>
      <c r="F2723" s="686">
        <v>1</v>
      </c>
      <c r="G2723" s="717" t="s">
        <v>164</v>
      </c>
      <c r="H2723" s="686" t="s">
        <v>3774</v>
      </c>
      <c r="I2723" s="686">
        <v>131</v>
      </c>
      <c r="J2723" s="1206" t="s">
        <v>227</v>
      </c>
      <c r="K2723" s="686">
        <f>I2723*F2723</f>
        <v>131</v>
      </c>
    </row>
    <row r="2724" spans="1:11" hidden="1">
      <c r="A2724" s="1132"/>
      <c r="F2724" s="686">
        <v>1</v>
      </c>
      <c r="G2724" s="717" t="s">
        <v>164</v>
      </c>
      <c r="H2724" s="686" t="s">
        <v>3775</v>
      </c>
      <c r="I2724" s="686">
        <v>117</v>
      </c>
      <c r="J2724" s="1206" t="s">
        <v>227</v>
      </c>
      <c r="K2724" s="686">
        <f>I2724*F2724</f>
        <v>117</v>
      </c>
    </row>
    <row r="2725" spans="1:11" hidden="1">
      <c r="A2725" s="1132"/>
      <c r="F2725" s="686">
        <v>4</v>
      </c>
      <c r="G2725" s="717" t="s">
        <v>240</v>
      </c>
      <c r="H2725" s="686" t="s">
        <v>3766</v>
      </c>
      <c r="I2725" s="686">
        <v>91</v>
      </c>
      <c r="J2725" s="1206" t="s">
        <v>227</v>
      </c>
      <c r="K2725" s="686">
        <f>I2725*F2725</f>
        <v>364</v>
      </c>
    </row>
    <row r="2726" spans="1:11" hidden="1">
      <c r="A2726" s="1132"/>
      <c r="F2726" s="686"/>
      <c r="G2726" s="717"/>
      <c r="H2726" s="686"/>
      <c r="I2726" s="686"/>
      <c r="J2726" s="1206"/>
      <c r="K2726" s="721" t="s">
        <v>3776</v>
      </c>
    </row>
    <row r="2727" spans="1:11" hidden="1">
      <c r="A2727" s="1132"/>
      <c r="F2727" s="686"/>
      <c r="G2727" s="717"/>
      <c r="H2727" s="686" t="s">
        <v>3777</v>
      </c>
      <c r="I2727" s="686"/>
      <c r="J2727" s="1206"/>
      <c r="K2727" s="686">
        <f>SUM(K2723:K2726)</f>
        <v>612</v>
      </c>
    </row>
    <row r="2728" spans="1:11" hidden="1">
      <c r="A2728" s="1132"/>
      <c r="F2728" s="686"/>
      <c r="G2728" s="717"/>
      <c r="H2728" s="686" t="s">
        <v>3778</v>
      </c>
      <c r="I2728" s="686"/>
      <c r="J2728" s="1206"/>
      <c r="K2728" s="686">
        <f>K2727/8</f>
        <v>76.5</v>
      </c>
    </row>
    <row r="2729" spans="1:11" hidden="1">
      <c r="A2729" s="1132"/>
      <c r="F2729" s="575"/>
      <c r="G2729" s="576"/>
      <c r="H2729" s="575"/>
      <c r="I2729" s="575"/>
      <c r="J2729" s="580"/>
      <c r="K2729" s="575"/>
    </row>
    <row r="2730" spans="1:11" ht="31.5" hidden="1">
      <c r="A2730" s="1132"/>
      <c r="F2730" s="1209">
        <v>170</v>
      </c>
      <c r="G2730" s="576"/>
      <c r="H2730" s="731" t="s">
        <v>3779</v>
      </c>
      <c r="I2730" s="575"/>
      <c r="J2730" s="580"/>
      <c r="K2730" s="575"/>
    </row>
    <row r="2731" spans="1:11" hidden="1">
      <c r="A2731" s="1132"/>
      <c r="F2731" s="575"/>
      <c r="G2731" s="576"/>
      <c r="H2731" s="1019" t="s">
        <v>117</v>
      </c>
      <c r="I2731" s="575"/>
      <c r="J2731" s="580"/>
      <c r="K2731" s="575"/>
    </row>
    <row r="2732" spans="1:11" hidden="1">
      <c r="A2732" s="1132"/>
      <c r="F2732" s="575">
        <v>1</v>
      </c>
      <c r="G2732" s="576" t="s">
        <v>164</v>
      </c>
      <c r="H2732" s="575" t="s">
        <v>3780</v>
      </c>
      <c r="I2732" s="575">
        <v>2400</v>
      </c>
      <c r="J2732" s="580" t="s">
        <v>227</v>
      </c>
      <c r="K2732" s="575">
        <f>I2732*F2732</f>
        <v>2400</v>
      </c>
    </row>
    <row r="2733" spans="1:11" hidden="1">
      <c r="A2733" s="1132"/>
      <c r="F2733" s="575">
        <v>1</v>
      </c>
      <c r="G2733" s="576" t="s">
        <v>164</v>
      </c>
      <c r="H2733" s="575" t="s">
        <v>3781</v>
      </c>
      <c r="I2733" s="575">
        <v>485</v>
      </c>
      <c r="J2733" s="580" t="s">
        <v>227</v>
      </c>
      <c r="K2733" s="575">
        <f>I2733*F2733</f>
        <v>485</v>
      </c>
    </row>
    <row r="2734" spans="1:11" hidden="1">
      <c r="A2734" s="1132"/>
      <c r="F2734" s="575">
        <v>4</v>
      </c>
      <c r="G2734" s="576" t="s">
        <v>240</v>
      </c>
      <c r="H2734" s="575" t="s">
        <v>3782</v>
      </c>
      <c r="I2734" s="575">
        <v>525</v>
      </c>
      <c r="J2734" s="580" t="s">
        <v>227</v>
      </c>
      <c r="K2734" s="575">
        <f>I2734*F2734</f>
        <v>2100</v>
      </c>
    </row>
    <row r="2735" spans="1:11" hidden="1">
      <c r="A2735" s="1132"/>
      <c r="F2735" s="575">
        <v>4.5</v>
      </c>
      <c r="G2735" s="576" t="s">
        <v>148</v>
      </c>
      <c r="H2735" s="575" t="s">
        <v>3783</v>
      </c>
      <c r="I2735" s="575">
        <v>27</v>
      </c>
      <c r="J2735" s="580" t="s">
        <v>148</v>
      </c>
      <c r="K2735" s="575">
        <f>I2735*F2735</f>
        <v>121.5</v>
      </c>
    </row>
    <row r="2736" spans="1:11" hidden="1">
      <c r="A2736" s="1132"/>
      <c r="F2736" s="575"/>
      <c r="G2736" s="576"/>
      <c r="H2736" s="575" t="s">
        <v>3784</v>
      </c>
      <c r="I2736" s="575"/>
      <c r="J2736" s="580"/>
      <c r="K2736" s="575">
        <f>SUM(K2732:K2735)*1%-0.57</f>
        <v>50.494999999999997</v>
      </c>
    </row>
    <row r="2737" spans="1:11" hidden="1">
      <c r="A2737" s="1132"/>
      <c r="F2737" s="575"/>
      <c r="G2737" s="576"/>
      <c r="H2737" s="575" t="s">
        <v>2142</v>
      </c>
      <c r="I2737" s="575"/>
      <c r="J2737" s="580"/>
      <c r="K2737" s="575">
        <v>298</v>
      </c>
    </row>
    <row r="2738" spans="1:11" hidden="1">
      <c r="A2738" s="1132"/>
      <c r="F2738" s="575"/>
      <c r="G2738" s="576"/>
      <c r="H2738" s="575"/>
      <c r="I2738" s="575"/>
      <c r="J2738" s="580"/>
      <c r="K2738" s="1019" t="s">
        <v>117</v>
      </c>
    </row>
    <row r="2739" spans="1:11" hidden="1">
      <c r="A2739" s="1132"/>
      <c r="F2739" s="575"/>
      <c r="G2739" s="576"/>
      <c r="H2739" s="575"/>
      <c r="I2739" s="575"/>
      <c r="J2739" s="580"/>
      <c r="K2739" s="575">
        <f>SUM(K2732:K2738)</f>
        <v>5454.9949999999999</v>
      </c>
    </row>
    <row r="2740" spans="1:11" hidden="1">
      <c r="A2740" s="1132"/>
      <c r="F2740" s="575"/>
      <c r="G2740" s="576"/>
      <c r="H2740" s="575"/>
      <c r="I2740" s="575"/>
      <c r="J2740" s="580"/>
      <c r="K2740" s="1019" t="s">
        <v>155</v>
      </c>
    </row>
    <row r="2741" spans="1:11" hidden="1">
      <c r="A2741" s="1132"/>
      <c r="F2741" s="1209">
        <v>180</v>
      </c>
      <c r="G2741" s="576"/>
      <c r="H2741" s="575" t="s">
        <v>3785</v>
      </c>
      <c r="I2741" s="575"/>
      <c r="J2741" s="580"/>
      <c r="K2741" s="575"/>
    </row>
    <row r="2742" spans="1:11" hidden="1">
      <c r="A2742" s="1132"/>
      <c r="F2742" s="575"/>
      <c r="G2742" s="576"/>
      <c r="H2742" s="1019" t="s">
        <v>117</v>
      </c>
      <c r="I2742" s="575"/>
      <c r="J2742" s="580"/>
      <c r="K2742" s="575"/>
    </row>
    <row r="2743" spans="1:11" hidden="1">
      <c r="A2743" s="1132"/>
      <c r="F2743" s="575">
        <v>0.8</v>
      </c>
      <c r="G2743" s="576" t="s">
        <v>148</v>
      </c>
      <c r="H2743" s="575" t="s">
        <v>3786</v>
      </c>
      <c r="I2743" s="575">
        <v>230</v>
      </c>
      <c r="J2743" s="580" t="s">
        <v>148</v>
      </c>
      <c r="K2743" s="575">
        <f>I2743*F2743</f>
        <v>184</v>
      </c>
    </row>
    <row r="2744" spans="1:11" hidden="1">
      <c r="A2744" s="1132"/>
      <c r="F2744" s="575">
        <v>3</v>
      </c>
      <c r="G2744" s="576" t="s">
        <v>240</v>
      </c>
      <c r="H2744" s="575" t="s">
        <v>3787</v>
      </c>
      <c r="I2744" s="575">
        <v>20</v>
      </c>
      <c r="J2744" s="580" t="s">
        <v>227</v>
      </c>
      <c r="K2744" s="575">
        <f>I2744*F2744</f>
        <v>60</v>
      </c>
    </row>
    <row r="2745" spans="1:11" hidden="1">
      <c r="A2745" s="1132"/>
      <c r="F2745" s="575"/>
      <c r="G2745" s="576"/>
      <c r="H2745" s="575" t="s">
        <v>3784</v>
      </c>
      <c r="I2745" s="575"/>
      <c r="J2745" s="580"/>
      <c r="K2745" s="575">
        <f>SUM(K2743:K2744)*1%+1.16</f>
        <v>3.5999999999999996</v>
      </c>
    </row>
    <row r="2746" spans="1:11" hidden="1">
      <c r="A2746" s="1132"/>
      <c r="F2746" s="575"/>
      <c r="G2746" s="576"/>
      <c r="H2746" s="575" t="s">
        <v>2142</v>
      </c>
      <c r="I2746" s="575"/>
      <c r="J2746" s="580"/>
      <c r="K2746" s="575">
        <v>32.4</v>
      </c>
    </row>
    <row r="2747" spans="1:11" hidden="1">
      <c r="A2747" s="1132"/>
      <c r="F2747" s="575"/>
      <c r="G2747" s="576"/>
      <c r="H2747" s="575"/>
      <c r="I2747" s="575"/>
      <c r="J2747" s="580"/>
      <c r="K2747" s="1019" t="s">
        <v>117</v>
      </c>
    </row>
    <row r="2748" spans="1:11" hidden="1">
      <c r="A2748" s="1132"/>
      <c r="F2748" s="575"/>
      <c r="G2748" s="576"/>
      <c r="H2748" s="575"/>
      <c r="I2748" s="575"/>
      <c r="J2748" s="580"/>
      <c r="K2748" s="575">
        <f>SUM(K2743:K2747)</f>
        <v>280</v>
      </c>
    </row>
    <row r="2749" spans="1:11" hidden="1">
      <c r="A2749" s="1132"/>
      <c r="F2749" s="575"/>
      <c r="G2749" s="576"/>
      <c r="H2749" s="575"/>
      <c r="I2749" s="575"/>
      <c r="J2749" s="580"/>
      <c r="K2749" s="1019" t="s">
        <v>155</v>
      </c>
    </row>
    <row r="2750" spans="1:11" hidden="1">
      <c r="A2750" s="1132"/>
      <c r="F2750" s="1209">
        <v>184</v>
      </c>
      <c r="G2750" s="576"/>
      <c r="H2750" s="731" t="s">
        <v>3788</v>
      </c>
      <c r="I2750" s="575"/>
      <c r="J2750" s="580"/>
      <c r="K2750" s="575"/>
    </row>
    <row r="2751" spans="1:11" hidden="1">
      <c r="A2751" s="1132"/>
      <c r="F2751" s="575"/>
      <c r="G2751" s="576"/>
      <c r="H2751" s="1019" t="s">
        <v>117</v>
      </c>
      <c r="I2751" s="575"/>
      <c r="J2751" s="580"/>
      <c r="K2751" s="575"/>
    </row>
    <row r="2752" spans="1:11" hidden="1">
      <c r="A2752" s="1132"/>
      <c r="F2752" s="575">
        <v>1</v>
      </c>
      <c r="G2752" s="576" t="s">
        <v>164</v>
      </c>
      <c r="H2752" s="575" t="s">
        <v>3789</v>
      </c>
      <c r="I2752" s="575">
        <v>1860</v>
      </c>
      <c r="J2752" s="580" t="s">
        <v>227</v>
      </c>
      <c r="K2752" s="575">
        <f>I2752*F2752</f>
        <v>1860</v>
      </c>
    </row>
    <row r="2753" spans="1:11" hidden="1">
      <c r="A2753" s="1132"/>
      <c r="F2753" s="575">
        <v>2</v>
      </c>
      <c r="G2753" s="576" t="s">
        <v>164</v>
      </c>
      <c r="H2753" s="575" t="s">
        <v>3790</v>
      </c>
      <c r="I2753" s="575">
        <v>46</v>
      </c>
      <c r="J2753" s="580" t="s">
        <v>227</v>
      </c>
      <c r="K2753" s="575">
        <f t="shared" ref="K2753:K2760" si="84">I2753*F2753</f>
        <v>92</v>
      </c>
    </row>
    <row r="2754" spans="1:11" hidden="1">
      <c r="A2754" s="1132"/>
      <c r="F2754" s="575">
        <v>1.5</v>
      </c>
      <c r="G2754" s="576" t="s">
        <v>231</v>
      </c>
      <c r="H2754" s="575" t="s">
        <v>3791</v>
      </c>
      <c r="I2754" s="575">
        <v>31</v>
      </c>
      <c r="J2754" s="580" t="s">
        <v>231</v>
      </c>
      <c r="K2754" s="575">
        <f t="shared" si="84"/>
        <v>46.5</v>
      </c>
    </row>
    <row r="2755" spans="1:11" hidden="1">
      <c r="A2755" s="1132"/>
      <c r="F2755" s="575">
        <v>2</v>
      </c>
      <c r="G2755" s="576" t="s">
        <v>164</v>
      </c>
      <c r="H2755" s="575" t="s">
        <v>3792</v>
      </c>
      <c r="I2755" s="575">
        <v>6</v>
      </c>
      <c r="J2755" s="580" t="s">
        <v>227</v>
      </c>
      <c r="K2755" s="575">
        <f t="shared" si="84"/>
        <v>12</v>
      </c>
    </row>
    <row r="2756" spans="1:11" hidden="1">
      <c r="A2756" s="1132"/>
      <c r="F2756" s="575">
        <v>2</v>
      </c>
      <c r="G2756" s="576" t="s">
        <v>164</v>
      </c>
      <c r="H2756" s="575" t="s">
        <v>3793</v>
      </c>
      <c r="I2756" s="575">
        <v>12</v>
      </c>
      <c r="J2756" s="580" t="s">
        <v>227</v>
      </c>
      <c r="K2756" s="575">
        <f t="shared" si="84"/>
        <v>24</v>
      </c>
    </row>
    <row r="2757" spans="1:11" hidden="1">
      <c r="A2757" s="1132"/>
      <c r="F2757" s="575">
        <v>2</v>
      </c>
      <c r="G2757" s="576" t="s">
        <v>231</v>
      </c>
      <c r="H2757" s="575" t="s">
        <v>3794</v>
      </c>
      <c r="I2757" s="575">
        <v>7.8</v>
      </c>
      <c r="J2757" s="580" t="s">
        <v>231</v>
      </c>
      <c r="K2757" s="575">
        <f t="shared" si="84"/>
        <v>15.6</v>
      </c>
    </row>
    <row r="2758" spans="1:11" hidden="1">
      <c r="A2758" s="1132"/>
      <c r="F2758" s="575">
        <v>0.1</v>
      </c>
      <c r="G2758" s="576" t="s">
        <v>164</v>
      </c>
      <c r="H2758" s="575" t="s">
        <v>3774</v>
      </c>
      <c r="I2758" s="575">
        <f>I2867</f>
        <v>636</v>
      </c>
      <c r="J2758" s="580" t="s">
        <v>227</v>
      </c>
      <c r="K2758" s="575">
        <f t="shared" si="84"/>
        <v>63.6</v>
      </c>
    </row>
    <row r="2759" spans="1:11" hidden="1">
      <c r="A2759" s="1132"/>
      <c r="F2759" s="575">
        <v>0.2</v>
      </c>
      <c r="G2759" s="576" t="s">
        <v>164</v>
      </c>
      <c r="H2759" s="575" t="s">
        <v>3775</v>
      </c>
      <c r="I2759" s="575">
        <f>I2868</f>
        <v>633</v>
      </c>
      <c r="J2759" s="580" t="s">
        <v>227</v>
      </c>
      <c r="K2759" s="575">
        <f t="shared" si="84"/>
        <v>126.60000000000001</v>
      </c>
    </row>
    <row r="2760" spans="1:11" hidden="1">
      <c r="A2760" s="1132"/>
      <c r="F2760" s="575">
        <v>0.3</v>
      </c>
      <c r="G2760" s="576" t="s">
        <v>164</v>
      </c>
      <c r="H2760" s="575" t="s">
        <v>3710</v>
      </c>
      <c r="I2760" s="575">
        <f>I2869</f>
        <v>497</v>
      </c>
      <c r="J2760" s="580" t="s">
        <v>227</v>
      </c>
      <c r="K2760" s="575">
        <f t="shared" si="84"/>
        <v>149.1</v>
      </c>
    </row>
    <row r="2761" spans="1:11" hidden="1">
      <c r="A2761" s="1132"/>
      <c r="F2761" s="575"/>
      <c r="G2761" s="576"/>
      <c r="H2761" s="575" t="s">
        <v>3784</v>
      </c>
      <c r="I2761" s="575"/>
      <c r="J2761" s="580"/>
      <c r="K2761" s="575">
        <f>SUM(K2752:K2760)*1%-0.63</f>
        <v>23.263999999999999</v>
      </c>
    </row>
    <row r="2762" spans="1:11" hidden="1">
      <c r="A2762" s="1132"/>
      <c r="F2762" s="575"/>
      <c r="G2762" s="576"/>
      <c r="H2762" s="575"/>
      <c r="I2762" s="575"/>
      <c r="J2762" s="580"/>
      <c r="K2762" s="575"/>
    </row>
    <row r="2763" spans="1:11" hidden="1">
      <c r="A2763" s="1132"/>
      <c r="F2763" s="575"/>
      <c r="G2763" s="576"/>
      <c r="H2763" s="575"/>
      <c r="I2763" s="575"/>
      <c r="J2763" s="580"/>
      <c r="K2763" s="1019" t="s">
        <v>117</v>
      </c>
    </row>
    <row r="2764" spans="1:11" hidden="1">
      <c r="A2764" s="1132"/>
      <c r="F2764" s="575"/>
      <c r="G2764" s="576"/>
      <c r="H2764" s="575"/>
      <c r="I2764" s="575"/>
      <c r="J2764" s="580"/>
      <c r="K2764" s="575">
        <f>SUM(K2752:K2763)</f>
        <v>2412.6639999999998</v>
      </c>
    </row>
    <row r="2765" spans="1:11" hidden="1">
      <c r="A2765" s="1132"/>
      <c r="F2765" s="575"/>
      <c r="G2765" s="576"/>
      <c r="H2765" s="575"/>
      <c r="I2765" s="575"/>
      <c r="J2765" s="580"/>
      <c r="K2765" s="1019" t="s">
        <v>155</v>
      </c>
    </row>
    <row r="2766" spans="1:11" hidden="1">
      <c r="A2766" s="1132"/>
      <c r="F2766" s="823">
        <v>53.4</v>
      </c>
      <c r="G2766" s="576"/>
      <c r="H2766" s="573" t="s">
        <v>3582</v>
      </c>
      <c r="I2766" s="575"/>
      <c r="J2766" s="580" t="s">
        <v>227</v>
      </c>
      <c r="K2766" s="575">
        <v>957</v>
      </c>
    </row>
    <row r="2767" spans="1:11" hidden="1">
      <c r="A2767" s="1132"/>
      <c r="F2767" s="575"/>
      <c r="G2767" s="576"/>
      <c r="H2767" s="575"/>
      <c r="I2767" s="575"/>
      <c r="J2767" s="580"/>
      <c r="K2767" s="575"/>
    </row>
    <row r="2768" spans="1:11" ht="31.5" hidden="1">
      <c r="A2768" s="1132"/>
      <c r="F2768" s="1210">
        <v>383</v>
      </c>
      <c r="G2768" s="576"/>
      <c r="H2768" s="731" t="s">
        <v>3586</v>
      </c>
      <c r="I2768" s="575"/>
      <c r="J2768" s="580" t="s">
        <v>227</v>
      </c>
      <c r="K2768" s="575">
        <v>600</v>
      </c>
    </row>
    <row r="2769" spans="1:11" hidden="1">
      <c r="A2769" s="1132"/>
      <c r="F2769" s="575"/>
      <c r="G2769" s="576"/>
      <c r="H2769" s="575"/>
      <c r="I2769" s="575"/>
      <c r="J2769" s="580"/>
      <c r="K2769" s="575"/>
    </row>
    <row r="2770" spans="1:11" hidden="1">
      <c r="A2770" s="1132"/>
      <c r="F2770" s="575"/>
      <c r="G2770" s="576"/>
      <c r="H2770" s="575"/>
      <c r="I2770" s="575"/>
      <c r="J2770" s="580"/>
      <c r="K2770" s="575"/>
    </row>
    <row r="2771" spans="1:11" hidden="1">
      <c r="A2771" s="1132"/>
      <c r="F2771" s="1211">
        <v>344.2</v>
      </c>
      <c r="G2771" s="576"/>
      <c r="H2771" s="731" t="s">
        <v>3587</v>
      </c>
      <c r="I2771" s="575"/>
      <c r="J2771" s="580" t="s">
        <v>227</v>
      </c>
      <c r="K2771" s="575">
        <v>300</v>
      </c>
    </row>
    <row r="2772" spans="1:11" hidden="1">
      <c r="A2772" s="1132"/>
      <c r="F2772" s="1210"/>
      <c r="G2772" s="576"/>
      <c r="H2772" s="575"/>
      <c r="I2772" s="575"/>
      <c r="J2772" s="580"/>
      <c r="K2772" s="575"/>
    </row>
    <row r="2773" spans="1:11" hidden="1">
      <c r="A2773" s="1132"/>
      <c r="F2773" s="1210"/>
      <c r="G2773" s="576"/>
      <c r="H2773" s="575"/>
      <c r="I2773" s="575"/>
      <c r="J2773" s="580"/>
      <c r="K2773" s="575"/>
    </row>
    <row r="2774" spans="1:11" hidden="1">
      <c r="A2774" s="1132"/>
      <c r="F2774" s="1210"/>
      <c r="G2774" s="576"/>
      <c r="H2774" s="575"/>
      <c r="I2774" s="575"/>
      <c r="J2774" s="580"/>
      <c r="K2774" s="575"/>
    </row>
    <row r="2775" spans="1:11" hidden="1">
      <c r="A2775" s="1132"/>
      <c r="F2775" s="1211">
        <v>344.1</v>
      </c>
      <c r="G2775" s="576"/>
      <c r="H2775" s="731" t="s">
        <v>3588</v>
      </c>
      <c r="I2775" s="575"/>
      <c r="J2775" s="580" t="s">
        <v>227</v>
      </c>
      <c r="K2775" s="575">
        <v>260</v>
      </c>
    </row>
    <row r="2776" spans="1:11" hidden="1">
      <c r="A2776" s="1132"/>
      <c r="F2776" s="1193"/>
      <c r="G2776" s="576"/>
      <c r="H2776" s="575"/>
      <c r="I2776" s="575"/>
      <c r="J2776" s="580"/>
      <c r="K2776" s="575"/>
    </row>
    <row r="2777" spans="1:11" hidden="1">
      <c r="A2777" s="1132"/>
      <c r="F2777" s="1193"/>
      <c r="G2777" s="576"/>
      <c r="H2777" s="575"/>
      <c r="I2777" s="575"/>
      <c r="J2777" s="580"/>
      <c r="K2777" s="575"/>
    </row>
    <row r="2778" spans="1:11" hidden="1">
      <c r="A2778" s="1132"/>
      <c r="F2778" s="575">
        <v>384</v>
      </c>
      <c r="G2778" s="576"/>
      <c r="H2778" s="575"/>
      <c r="I2778" s="575"/>
      <c r="J2778" s="580"/>
      <c r="K2778" s="575"/>
    </row>
    <row r="2779" spans="1:11" hidden="1">
      <c r="A2779" s="1132"/>
      <c r="F2779" s="575"/>
      <c r="G2779" s="576"/>
      <c r="H2779" s="731" t="s">
        <v>3589</v>
      </c>
      <c r="I2779" s="575"/>
      <c r="J2779" s="580" t="s">
        <v>227</v>
      </c>
      <c r="K2779" s="575">
        <v>650</v>
      </c>
    </row>
    <row r="2780" spans="1:11" hidden="1">
      <c r="A2780" s="1132"/>
      <c r="F2780" s="575"/>
      <c r="G2780" s="576"/>
      <c r="H2780" s="575"/>
      <c r="I2780" s="575"/>
      <c r="J2780" s="580"/>
      <c r="K2780" s="575"/>
    </row>
    <row r="2781" spans="1:11" ht="19.5" hidden="1">
      <c r="A2781" s="1132"/>
      <c r="F2781" s="1212">
        <v>385</v>
      </c>
      <c r="G2781" s="576"/>
      <c r="H2781" s="575" t="s">
        <v>3795</v>
      </c>
      <c r="I2781" s="575"/>
      <c r="J2781" s="580"/>
      <c r="K2781" s="575"/>
    </row>
    <row r="2782" spans="1:11" hidden="1">
      <c r="A2782" s="1132"/>
      <c r="F2782" s="575"/>
      <c r="G2782" s="576"/>
      <c r="H2782" s="622" t="s">
        <v>3796</v>
      </c>
      <c r="I2782" s="575"/>
      <c r="J2782" s="580"/>
      <c r="K2782" s="575"/>
    </row>
    <row r="2783" spans="1:11" hidden="1">
      <c r="A2783" s="1132"/>
      <c r="F2783" s="575">
        <v>4</v>
      </c>
      <c r="G2783" s="576" t="s">
        <v>231</v>
      </c>
      <c r="H2783" s="575" t="s">
        <v>3797</v>
      </c>
      <c r="I2783" s="575">
        <v>110</v>
      </c>
      <c r="J2783" s="576" t="s">
        <v>231</v>
      </c>
      <c r="K2783" s="575">
        <f>I2783*F2783</f>
        <v>440</v>
      </c>
    </row>
    <row r="2784" spans="1:11" hidden="1">
      <c r="A2784" s="1132"/>
      <c r="F2784" s="575">
        <v>2.52</v>
      </c>
      <c r="G2784" s="576" t="s">
        <v>148</v>
      </c>
      <c r="H2784" s="575" t="s">
        <v>3798</v>
      </c>
      <c r="I2784" s="575">
        <v>30</v>
      </c>
      <c r="J2784" s="576" t="s">
        <v>148</v>
      </c>
      <c r="K2784" s="575">
        <f t="shared" ref="K2784:K2790" si="85">I2784*F2784</f>
        <v>75.599999999999994</v>
      </c>
    </row>
    <row r="2785" spans="1:11" hidden="1">
      <c r="A2785" s="1132"/>
      <c r="F2785" s="575">
        <v>1.1299999999999999</v>
      </c>
      <c r="G2785" s="576" t="s">
        <v>148</v>
      </c>
      <c r="H2785" s="575" t="s">
        <v>3799</v>
      </c>
      <c r="I2785" s="575">
        <v>30</v>
      </c>
      <c r="J2785" s="576" t="s">
        <v>148</v>
      </c>
      <c r="K2785" s="575">
        <f t="shared" si="85"/>
        <v>33.9</v>
      </c>
    </row>
    <row r="2786" spans="1:11" hidden="1">
      <c r="A2786" s="1132"/>
      <c r="F2786" s="575">
        <v>0.35</v>
      </c>
      <c r="G2786" s="576" t="s">
        <v>148</v>
      </c>
      <c r="H2786" s="575" t="s">
        <v>3800</v>
      </c>
      <c r="I2786" s="575">
        <v>30</v>
      </c>
      <c r="J2786" s="576" t="s">
        <v>148</v>
      </c>
      <c r="K2786" s="575">
        <f t="shared" si="85"/>
        <v>10.5</v>
      </c>
    </row>
    <row r="2787" spans="1:11" hidden="1">
      <c r="A2787" s="1132"/>
      <c r="F2787" s="575">
        <v>4</v>
      </c>
      <c r="G2787" s="576" t="s">
        <v>148</v>
      </c>
      <c r="H2787" s="575" t="s">
        <v>3801</v>
      </c>
      <c r="I2787" s="575">
        <v>12.25</v>
      </c>
      <c r="J2787" s="576" t="s">
        <v>148</v>
      </c>
      <c r="K2787" s="575">
        <f t="shared" si="85"/>
        <v>49</v>
      </c>
    </row>
    <row r="2788" spans="1:11" hidden="1">
      <c r="A2788" s="1132"/>
      <c r="F2788" s="575">
        <v>6</v>
      </c>
      <c r="G2788" s="576" t="s">
        <v>240</v>
      </c>
      <c r="H2788" s="575" t="s">
        <v>3802</v>
      </c>
      <c r="I2788" s="575">
        <v>1</v>
      </c>
      <c r="J2788" s="576" t="s">
        <v>240</v>
      </c>
      <c r="K2788" s="575">
        <f t="shared" si="85"/>
        <v>6</v>
      </c>
    </row>
    <row r="2789" spans="1:11" hidden="1">
      <c r="A2789" s="1132"/>
      <c r="F2789" s="575">
        <v>0.5</v>
      </c>
      <c r="G2789" s="576" t="s">
        <v>240</v>
      </c>
      <c r="H2789" s="575" t="s">
        <v>1606</v>
      </c>
      <c r="I2789" s="575">
        <f>C12</f>
        <v>95</v>
      </c>
      <c r="J2789" s="576" t="s">
        <v>227</v>
      </c>
      <c r="K2789" s="575">
        <f t="shared" si="85"/>
        <v>47.5</v>
      </c>
    </row>
    <row r="2790" spans="1:11" hidden="1">
      <c r="A2790" s="1132"/>
      <c r="F2790" s="575">
        <v>0.5</v>
      </c>
      <c r="G2790" s="576" t="s">
        <v>240</v>
      </c>
      <c r="H2790" s="575" t="s">
        <v>1607</v>
      </c>
      <c r="I2790" s="575">
        <f>C13</f>
        <v>85</v>
      </c>
      <c r="J2790" s="576" t="s">
        <v>227</v>
      </c>
      <c r="K2790" s="575">
        <f t="shared" si="85"/>
        <v>42.5</v>
      </c>
    </row>
    <row r="2791" spans="1:11" hidden="1">
      <c r="A2791" s="1132"/>
      <c r="F2791" s="575"/>
      <c r="G2791" s="576"/>
      <c r="H2791" s="575"/>
      <c r="I2791" s="575"/>
      <c r="J2791" s="576"/>
      <c r="K2791" s="622" t="s">
        <v>3776</v>
      </c>
    </row>
    <row r="2792" spans="1:11" hidden="1">
      <c r="A2792" s="1132"/>
      <c r="F2792" s="575"/>
      <c r="G2792" s="576"/>
      <c r="H2792" s="575" t="s">
        <v>3803</v>
      </c>
      <c r="I2792" s="575"/>
      <c r="J2792" s="580"/>
      <c r="K2792" s="575">
        <f>SUM(K2783:K2791)</f>
        <v>705</v>
      </c>
    </row>
    <row r="2793" spans="1:11" hidden="1">
      <c r="A2793" s="1132"/>
      <c r="F2793" s="575"/>
      <c r="G2793" s="576"/>
      <c r="H2793" s="575"/>
      <c r="I2793" s="575"/>
      <c r="J2793" s="580"/>
      <c r="K2793" s="622" t="s">
        <v>2653</v>
      </c>
    </row>
    <row r="2794" spans="1:11" hidden="1">
      <c r="A2794" s="1132"/>
      <c r="F2794" s="575"/>
      <c r="G2794" s="576"/>
      <c r="H2794" s="575" t="s">
        <v>3615</v>
      </c>
      <c r="I2794" s="575"/>
      <c r="J2794" s="580"/>
      <c r="K2794" s="575">
        <f>K2792/2</f>
        <v>352.5</v>
      </c>
    </row>
    <row r="2795" spans="1:11" hidden="1">
      <c r="A2795" s="1132"/>
      <c r="F2795" s="575"/>
      <c r="G2795" s="576"/>
      <c r="H2795" s="575"/>
      <c r="I2795" s="575"/>
      <c r="J2795" s="580"/>
      <c r="K2795" s="622" t="s">
        <v>777</v>
      </c>
    </row>
    <row r="2796" spans="1:11" ht="19.5" hidden="1">
      <c r="A2796" s="1132"/>
      <c r="F2796" s="1194">
        <v>112.1</v>
      </c>
      <c r="G2796" s="576"/>
      <c r="H2796" s="1213" t="s">
        <v>3804</v>
      </c>
      <c r="I2796" s="575"/>
      <c r="J2796" s="580"/>
      <c r="K2796" s="575"/>
    </row>
    <row r="2797" spans="1:11" hidden="1">
      <c r="A2797" s="1132"/>
      <c r="F2797" s="575"/>
      <c r="G2797" s="576"/>
      <c r="H2797" s="622" t="s">
        <v>3805</v>
      </c>
      <c r="I2797" s="575"/>
      <c r="J2797" s="580"/>
      <c r="K2797" s="575"/>
    </row>
    <row r="2798" spans="1:11" hidden="1">
      <c r="A2798" s="1132"/>
      <c r="F2798" s="575">
        <v>1</v>
      </c>
      <c r="G2798" s="576" t="s">
        <v>164</v>
      </c>
      <c r="H2798" s="731" t="s">
        <v>3804</v>
      </c>
      <c r="I2798" s="851">
        <v>1059</v>
      </c>
      <c r="J2798" s="580" t="s">
        <v>227</v>
      </c>
      <c r="K2798" s="575">
        <f>I2798*F2798</f>
        <v>1059</v>
      </c>
    </row>
    <row r="2799" spans="1:11" hidden="1">
      <c r="A2799" s="1132"/>
      <c r="F2799" s="575">
        <v>1</v>
      </c>
      <c r="G2799" s="576" t="s">
        <v>164</v>
      </c>
      <c r="H2799" s="731" t="s">
        <v>3806</v>
      </c>
      <c r="I2799" s="575">
        <v>95</v>
      </c>
      <c r="J2799" s="580" t="s">
        <v>227</v>
      </c>
      <c r="K2799" s="575">
        <f>I2799*F2799</f>
        <v>95</v>
      </c>
    </row>
    <row r="2800" spans="1:11" hidden="1">
      <c r="A2800" s="1132"/>
      <c r="F2800" s="575" t="s">
        <v>129</v>
      </c>
      <c r="G2800" s="576"/>
      <c r="H2800" s="731" t="s">
        <v>3807</v>
      </c>
      <c r="I2800" s="575"/>
      <c r="J2800" s="580" t="s">
        <v>129</v>
      </c>
      <c r="K2800" s="575">
        <v>16.64</v>
      </c>
    </row>
    <row r="2801" spans="1:11" hidden="1">
      <c r="A2801" s="1132"/>
      <c r="F2801" s="575"/>
      <c r="G2801" s="576"/>
      <c r="H2801" s="575" t="s">
        <v>3808</v>
      </c>
      <c r="I2801" s="575"/>
      <c r="J2801" s="580"/>
      <c r="K2801" s="575">
        <v>10.11</v>
      </c>
    </row>
    <row r="2802" spans="1:11" hidden="1">
      <c r="A2802" s="1132"/>
      <c r="F2802" s="575"/>
      <c r="G2802" s="576"/>
      <c r="H2802" s="575" t="s">
        <v>1403</v>
      </c>
      <c r="I2802" s="575"/>
      <c r="J2802" s="580" t="s">
        <v>227</v>
      </c>
      <c r="K2802" s="575">
        <f>K2811</f>
        <v>78.25</v>
      </c>
    </row>
    <row r="2803" spans="1:11" hidden="1">
      <c r="A2803" s="1132"/>
      <c r="F2803" s="575"/>
      <c r="G2803" s="576"/>
      <c r="H2803" s="575"/>
      <c r="I2803" s="575"/>
      <c r="J2803" s="580"/>
      <c r="K2803" s="622" t="s">
        <v>3707</v>
      </c>
    </row>
    <row r="2804" spans="1:11" hidden="1">
      <c r="A2804" s="1132"/>
      <c r="F2804" s="575"/>
      <c r="G2804" s="576"/>
      <c r="H2804" s="575"/>
      <c r="I2804" s="575"/>
      <c r="J2804" s="580"/>
      <c r="K2804" s="575">
        <f>SUM(K2798:K2803)</f>
        <v>1259</v>
      </c>
    </row>
    <row r="2805" spans="1:11" hidden="1">
      <c r="A2805" s="1132"/>
      <c r="F2805" s="575"/>
      <c r="G2805" s="576"/>
      <c r="H2805" s="575"/>
      <c r="I2805" s="575"/>
      <c r="J2805" s="580"/>
      <c r="K2805" s="622" t="s">
        <v>2327</v>
      </c>
    </row>
    <row r="2806" spans="1:11" hidden="1">
      <c r="A2806" s="1132"/>
      <c r="F2806" s="575" t="s">
        <v>2142</v>
      </c>
      <c r="G2806" s="576"/>
      <c r="H2806" s="575"/>
      <c r="I2806" s="575"/>
      <c r="J2806" s="580"/>
      <c r="K2806" s="575"/>
    </row>
    <row r="2807" spans="1:11" hidden="1">
      <c r="A2807" s="1132"/>
      <c r="F2807" s="575">
        <v>1</v>
      </c>
      <c r="G2807" s="576" t="s">
        <v>164</v>
      </c>
      <c r="H2807" s="575" t="s">
        <v>3809</v>
      </c>
      <c r="I2807" s="575">
        <v>131</v>
      </c>
      <c r="J2807" s="580" t="s">
        <v>227</v>
      </c>
      <c r="K2807" s="575">
        <f>I2807*F2807</f>
        <v>131</v>
      </c>
    </row>
    <row r="2808" spans="1:11" hidden="1">
      <c r="A2808" s="1132"/>
      <c r="F2808" s="575">
        <v>2</v>
      </c>
      <c r="G2808" s="576" t="s">
        <v>240</v>
      </c>
      <c r="H2808" s="575" t="s">
        <v>3710</v>
      </c>
      <c r="I2808" s="575">
        <v>91</v>
      </c>
      <c r="J2808" s="580" t="s">
        <v>227</v>
      </c>
      <c r="K2808" s="575">
        <f>I2808*F2808</f>
        <v>182</v>
      </c>
    </row>
    <row r="2809" spans="1:11" hidden="1">
      <c r="A2809" s="1132"/>
      <c r="F2809" s="575"/>
      <c r="G2809" s="576"/>
      <c r="H2809" s="575"/>
      <c r="I2809" s="575"/>
      <c r="J2809" s="580"/>
      <c r="K2809" s="622" t="s">
        <v>3707</v>
      </c>
    </row>
    <row r="2810" spans="1:11" hidden="1">
      <c r="A2810" s="1132"/>
      <c r="F2810" s="575"/>
      <c r="G2810" s="576"/>
      <c r="H2810" s="575" t="s">
        <v>3810</v>
      </c>
      <c r="I2810" s="575"/>
      <c r="J2810" s="580"/>
      <c r="K2810" s="575">
        <f>SUM(K2807:K2809)</f>
        <v>313</v>
      </c>
    </row>
    <row r="2811" spans="1:11" hidden="1">
      <c r="A2811" s="1132"/>
      <c r="F2811" s="575"/>
      <c r="G2811" s="576"/>
      <c r="H2811" s="575" t="s">
        <v>3811</v>
      </c>
      <c r="I2811" s="575"/>
      <c r="J2811" s="580"/>
      <c r="K2811" s="575">
        <f>K2810/4</f>
        <v>78.25</v>
      </c>
    </row>
    <row r="2812" spans="1:11" hidden="1">
      <c r="A2812" s="1132"/>
      <c r="F2812" s="575"/>
      <c r="G2812" s="576"/>
      <c r="H2812" s="685"/>
      <c r="I2812" s="575"/>
      <c r="J2812" s="580"/>
      <c r="K2812" s="587"/>
    </row>
    <row r="2813" spans="1:11" hidden="1">
      <c r="A2813" s="1132"/>
      <c r="F2813" s="575">
        <v>70.5</v>
      </c>
      <c r="G2813" s="576"/>
      <c r="H2813" s="575" t="s">
        <v>3812</v>
      </c>
      <c r="I2813" s="575"/>
      <c r="J2813" s="580"/>
      <c r="K2813" s="575"/>
    </row>
    <row r="2814" spans="1:11" hidden="1">
      <c r="A2814" s="1132"/>
      <c r="F2814" s="575"/>
      <c r="G2814" s="576"/>
      <c r="H2814" s="1019" t="s">
        <v>117</v>
      </c>
      <c r="I2814" s="575"/>
      <c r="J2814" s="580"/>
      <c r="K2814" s="575"/>
    </row>
    <row r="2815" spans="1:11" ht="47.25" hidden="1">
      <c r="A2815" s="1132"/>
      <c r="F2815" s="693">
        <v>1</v>
      </c>
      <c r="G2815" s="693" t="s">
        <v>164</v>
      </c>
      <c r="H2815" s="693" t="s">
        <v>3813</v>
      </c>
      <c r="I2815" s="575">
        <v>322</v>
      </c>
      <c r="J2815" s="580" t="s">
        <v>227</v>
      </c>
      <c r="K2815" s="575">
        <f>F2815*I2815</f>
        <v>322</v>
      </c>
    </row>
    <row r="2816" spans="1:11" hidden="1">
      <c r="A2816" s="1132"/>
      <c r="F2816" s="693">
        <v>1</v>
      </c>
      <c r="G2816" s="693" t="s">
        <v>164</v>
      </c>
      <c r="H2816" s="575" t="s">
        <v>3814</v>
      </c>
      <c r="I2816" s="851">
        <v>37</v>
      </c>
      <c r="J2816" s="580" t="s">
        <v>227</v>
      </c>
      <c r="K2816" s="575">
        <f>F2816*I2816</f>
        <v>37</v>
      </c>
    </row>
    <row r="2817" spans="1:11" hidden="1">
      <c r="A2817" s="1132"/>
      <c r="F2817" s="693">
        <v>2</v>
      </c>
      <c r="G2817" s="693" t="s">
        <v>164</v>
      </c>
      <c r="H2817" s="575" t="s">
        <v>3815</v>
      </c>
      <c r="I2817" s="575">
        <v>600</v>
      </c>
      <c r="J2817" s="580" t="s">
        <v>3816</v>
      </c>
      <c r="K2817" s="575">
        <f>(F2817*I2817)/100</f>
        <v>12</v>
      </c>
    </row>
    <row r="2818" spans="1:11" hidden="1">
      <c r="A2818" s="1132"/>
      <c r="F2818" s="693">
        <v>2</v>
      </c>
      <c r="G2818" s="693" t="s">
        <v>164</v>
      </c>
      <c r="H2818" s="575" t="s">
        <v>3817</v>
      </c>
      <c r="I2818" s="575">
        <v>914.1</v>
      </c>
      <c r="J2818" s="580" t="s">
        <v>3818</v>
      </c>
      <c r="K2818" s="575">
        <f>(F2818*I2818)/100</f>
        <v>18.282</v>
      </c>
    </row>
    <row r="2819" spans="1:11" hidden="1">
      <c r="A2819" s="1132"/>
      <c r="F2819" s="693"/>
      <c r="G2819" s="693"/>
      <c r="H2819" s="575" t="s">
        <v>3819</v>
      </c>
      <c r="I2819" s="575">
        <f>K2830</f>
        <v>49.25</v>
      </c>
      <c r="J2819" s="580" t="s">
        <v>129</v>
      </c>
      <c r="K2819" s="575">
        <f>I2819</f>
        <v>49.25</v>
      </c>
    </row>
    <row r="2820" spans="1:11" hidden="1">
      <c r="A2820" s="1132"/>
      <c r="F2820" s="575"/>
      <c r="G2820" s="576"/>
      <c r="H2820" s="575" t="s">
        <v>3820</v>
      </c>
      <c r="I2820" s="575"/>
      <c r="J2820" s="580" t="s">
        <v>129</v>
      </c>
      <c r="K2820" s="575">
        <v>1.84</v>
      </c>
    </row>
    <row r="2821" spans="1:11" hidden="1">
      <c r="A2821" s="1132"/>
      <c r="F2821" s="575"/>
      <c r="G2821" s="576"/>
      <c r="H2821" s="575"/>
      <c r="I2821" s="575"/>
      <c r="J2821" s="580"/>
      <c r="K2821" s="1019" t="s">
        <v>117</v>
      </c>
    </row>
    <row r="2822" spans="1:11" hidden="1">
      <c r="A2822" s="1132"/>
      <c r="F2822" s="575"/>
      <c r="G2822" s="576"/>
      <c r="H2822" s="575" t="s">
        <v>257</v>
      </c>
      <c r="I2822" s="575"/>
      <c r="J2822" s="580"/>
      <c r="K2822" s="575">
        <f>SUM(K2815:K2821)</f>
        <v>440.37199999999996</v>
      </c>
    </row>
    <row r="2823" spans="1:11" hidden="1">
      <c r="A2823" s="1132"/>
      <c r="F2823" s="575"/>
      <c r="G2823" s="576"/>
      <c r="H2823" s="575"/>
      <c r="I2823" s="575"/>
      <c r="J2823" s="580"/>
      <c r="K2823" s="1019" t="s">
        <v>155</v>
      </c>
    </row>
    <row r="2824" spans="1:11" hidden="1">
      <c r="A2824" s="1132"/>
      <c r="F2824" s="575"/>
      <c r="G2824" s="576"/>
      <c r="H2824" s="575" t="s">
        <v>3821</v>
      </c>
      <c r="I2824" s="575"/>
      <c r="J2824" s="580"/>
      <c r="K2824" s="575"/>
    </row>
    <row r="2825" spans="1:11" hidden="1">
      <c r="A2825" s="1132"/>
      <c r="F2825" s="575">
        <v>1</v>
      </c>
      <c r="G2825" s="576" t="s">
        <v>164</v>
      </c>
      <c r="H2825" s="575" t="s">
        <v>3743</v>
      </c>
      <c r="I2825" s="575">
        <v>160</v>
      </c>
      <c r="J2825" s="580" t="s">
        <v>227</v>
      </c>
      <c r="K2825" s="575">
        <f>F2825*I2825</f>
        <v>160</v>
      </c>
    </row>
    <row r="2826" spans="1:11" hidden="1">
      <c r="A2826" s="1132"/>
      <c r="F2826" s="575">
        <v>2</v>
      </c>
      <c r="G2826" s="576" t="s">
        <v>164</v>
      </c>
      <c r="H2826" s="575" t="s">
        <v>3744</v>
      </c>
      <c r="I2826" s="575">
        <v>149</v>
      </c>
      <c r="J2826" s="580" t="s">
        <v>227</v>
      </c>
      <c r="K2826" s="575">
        <f>F2826*I2826</f>
        <v>298</v>
      </c>
    </row>
    <row r="2827" spans="1:11" hidden="1">
      <c r="A2827" s="1132"/>
      <c r="F2827" s="575">
        <v>3</v>
      </c>
      <c r="G2827" s="576" t="s">
        <v>164</v>
      </c>
      <c r="H2827" s="575" t="s">
        <v>3710</v>
      </c>
      <c r="I2827" s="575">
        <v>110</v>
      </c>
      <c r="J2827" s="580" t="s">
        <v>227</v>
      </c>
      <c r="K2827" s="575">
        <f>F2827*I2827</f>
        <v>330</v>
      </c>
    </row>
    <row r="2828" spans="1:11" hidden="1">
      <c r="A2828" s="1132"/>
      <c r="F2828" s="575"/>
      <c r="G2828" s="576"/>
      <c r="H2828" s="575"/>
      <c r="I2828" s="575"/>
      <c r="J2828" s="580"/>
      <c r="K2828" s="1019" t="s">
        <v>117</v>
      </c>
    </row>
    <row r="2829" spans="1:11" hidden="1">
      <c r="A2829" s="1132"/>
      <c r="F2829" s="575"/>
      <c r="G2829" s="576"/>
      <c r="H2829" s="575" t="s">
        <v>3822</v>
      </c>
      <c r="I2829" s="575"/>
      <c r="J2829" s="580"/>
      <c r="K2829" s="575">
        <f>SUM(K2825:K2828)</f>
        <v>788</v>
      </c>
    </row>
    <row r="2830" spans="1:11" hidden="1">
      <c r="A2830" s="1132"/>
      <c r="F2830" s="575"/>
      <c r="G2830" s="576"/>
      <c r="H2830" s="575" t="s">
        <v>3823</v>
      </c>
      <c r="I2830" s="575"/>
      <c r="J2830" s="580"/>
      <c r="K2830" s="575">
        <f>K2829/16</f>
        <v>49.25</v>
      </c>
    </row>
    <row r="2831" spans="1:11" hidden="1">
      <c r="A2831" s="1132"/>
      <c r="F2831" s="575"/>
      <c r="G2831" s="576"/>
      <c r="H2831" s="575"/>
      <c r="I2831" s="575"/>
      <c r="J2831" s="580"/>
      <c r="K2831" s="1019" t="s">
        <v>117</v>
      </c>
    </row>
    <row r="2832" spans="1:11">
      <c r="A2832" s="1132"/>
    </row>
    <row r="2833" spans="1:18" ht="19.5">
      <c r="A2833" s="1132"/>
      <c r="H2833" s="1214" t="s">
        <v>3824</v>
      </c>
    </row>
    <row r="2834" spans="1:18">
      <c r="A2834" s="1132"/>
      <c r="H2834" s="1215" t="s">
        <v>3825</v>
      </c>
    </row>
    <row r="2835" spans="1:18">
      <c r="A2835" s="1132"/>
    </row>
    <row r="2836" spans="1:18" ht="20.25" customHeight="1">
      <c r="A2836" s="1132"/>
      <c r="H2836" s="1216" t="s">
        <v>3826</v>
      </c>
    </row>
    <row r="2837" spans="1:18" ht="31.5">
      <c r="A2837" s="1132"/>
      <c r="H2837" s="1217" t="s">
        <v>3827</v>
      </c>
      <c r="O2837" s="1218" t="s">
        <v>3828</v>
      </c>
    </row>
    <row r="2838" spans="1:18" ht="25.5" customHeight="1">
      <c r="A2838" s="1132"/>
      <c r="H2838" s="1217" t="s">
        <v>3829</v>
      </c>
    </row>
    <row r="2839" spans="1:18">
      <c r="A2839" s="1132"/>
      <c r="H2839" s="1219"/>
    </row>
    <row r="2840" spans="1:18" ht="25.5" customHeight="1">
      <c r="A2840" s="1132"/>
      <c r="H2840" s="1217" t="s">
        <v>3830</v>
      </c>
    </row>
    <row r="2841" spans="1:18">
      <c r="A2841" s="1132"/>
    </row>
    <row r="2842" spans="1:18" ht="187.5" customHeight="1">
      <c r="A2842" s="1132"/>
      <c r="H2842" s="1220" t="s">
        <v>3831</v>
      </c>
      <c r="M2842" s="852"/>
      <c r="N2842" s="852"/>
      <c r="O2842" s="1220" t="s">
        <v>3832</v>
      </c>
      <c r="P2842" s="852"/>
      <c r="Q2842" s="852"/>
      <c r="R2842" s="852"/>
    </row>
    <row r="2843" spans="1:18" ht="36.75" customHeight="1">
      <c r="A2843" s="1132"/>
      <c r="F2843" s="852">
        <v>90</v>
      </c>
      <c r="G2843" s="852" t="s">
        <v>231</v>
      </c>
      <c r="H2843" s="1221" t="s">
        <v>3833</v>
      </c>
      <c r="I2843" s="1222">
        <v>13.5</v>
      </c>
      <c r="J2843" s="852" t="s">
        <v>3834</v>
      </c>
      <c r="K2843" s="852">
        <f>F2843*I2843</f>
        <v>1215</v>
      </c>
      <c r="M2843" s="852"/>
      <c r="N2843" s="852"/>
      <c r="O2843" s="1218"/>
      <c r="P2843" s="852"/>
      <c r="Q2843" s="852"/>
      <c r="R2843" s="852"/>
    </row>
    <row r="2844" spans="1:18" ht="42.75" customHeight="1">
      <c r="A2844" s="1132"/>
      <c r="E2844" s="852"/>
      <c r="F2844" s="852">
        <v>45</v>
      </c>
      <c r="G2844" s="852" t="s">
        <v>231</v>
      </c>
      <c r="H2844" s="1220" t="s">
        <v>3835</v>
      </c>
      <c r="I2844" s="1222">
        <v>17.100000000000001</v>
      </c>
      <c r="J2844" s="852" t="s">
        <v>2820</v>
      </c>
      <c r="K2844" s="852">
        <f t="shared" ref="K2844:K2856" si="86">F2844*I2844</f>
        <v>769.50000000000011</v>
      </c>
      <c r="L2844" s="852"/>
      <c r="M2844" s="852"/>
      <c r="N2844" s="852"/>
      <c r="P2844" s="852" t="s">
        <v>115</v>
      </c>
      <c r="Q2844" s="852"/>
      <c r="R2844" s="852"/>
    </row>
    <row r="2845" spans="1:18" ht="24.95" customHeight="1">
      <c r="A2845" s="1132"/>
      <c r="E2845" s="852"/>
      <c r="F2845" s="852">
        <v>20</v>
      </c>
      <c r="G2845" s="852" t="s">
        <v>164</v>
      </c>
      <c r="H2845" s="852" t="s">
        <v>3836</v>
      </c>
      <c r="I2845" s="1222">
        <v>2.7</v>
      </c>
      <c r="J2845" s="852" t="s">
        <v>164</v>
      </c>
      <c r="K2845" s="852">
        <f t="shared" si="86"/>
        <v>54</v>
      </c>
      <c r="L2845" s="852"/>
      <c r="M2845" s="852"/>
      <c r="N2845" s="852"/>
      <c r="O2845" s="852"/>
      <c r="P2845" s="852"/>
      <c r="Q2845" s="852"/>
      <c r="R2845" s="852"/>
    </row>
    <row r="2846" spans="1:18" ht="34.5" customHeight="1">
      <c r="A2846" s="1132"/>
      <c r="E2846" s="852"/>
      <c r="F2846" s="852">
        <v>10</v>
      </c>
      <c r="G2846" s="852" t="s">
        <v>164</v>
      </c>
      <c r="H2846" s="852" t="s">
        <v>3837</v>
      </c>
      <c r="I2846" s="1223">
        <f>13.7/12</f>
        <v>1.1416666666666666</v>
      </c>
      <c r="J2846" s="852" t="s">
        <v>164</v>
      </c>
      <c r="K2846" s="852">
        <f t="shared" si="86"/>
        <v>11.416666666666666</v>
      </c>
      <c r="L2846" s="852"/>
      <c r="M2846" s="852">
        <v>90</v>
      </c>
      <c r="N2846" s="852" t="s">
        <v>231</v>
      </c>
      <c r="O2846" s="1221" t="s">
        <v>3838</v>
      </c>
      <c r="P2846" s="852">
        <f>I2856</f>
        <v>13.5</v>
      </c>
      <c r="Q2846" s="852" t="s">
        <v>231</v>
      </c>
      <c r="R2846" s="852">
        <f>M2846*P2846</f>
        <v>1215</v>
      </c>
    </row>
    <row r="2847" spans="1:18" ht="40.5" customHeight="1">
      <c r="A2847" s="1132"/>
      <c r="E2847" s="852"/>
      <c r="F2847" s="852">
        <v>1</v>
      </c>
      <c r="G2847" s="852" t="s">
        <v>164</v>
      </c>
      <c r="H2847" s="852" t="s">
        <v>3839</v>
      </c>
      <c r="I2847" s="1223">
        <v>54.9</v>
      </c>
      <c r="J2847" s="852" t="s">
        <v>164</v>
      </c>
      <c r="K2847" s="852">
        <f t="shared" si="86"/>
        <v>54.9</v>
      </c>
      <c r="L2847" s="852"/>
      <c r="M2847" s="852">
        <v>45</v>
      </c>
      <c r="N2847" s="852" t="s">
        <v>231</v>
      </c>
      <c r="O2847" s="1220" t="s">
        <v>3840</v>
      </c>
      <c r="P2847" s="852">
        <f>I2844</f>
        <v>17.100000000000001</v>
      </c>
      <c r="Q2847" s="852" t="s">
        <v>2820</v>
      </c>
      <c r="R2847" s="852">
        <f t="shared" ref="R2847:R2858" si="87">M2847*P2847</f>
        <v>769.50000000000011</v>
      </c>
    </row>
    <row r="2848" spans="1:18">
      <c r="A2848" s="1132"/>
      <c r="E2848" s="852"/>
      <c r="F2848" s="852"/>
      <c r="G2848" s="852"/>
      <c r="H2848" s="852"/>
      <c r="I2848" s="852"/>
      <c r="J2848" s="852"/>
      <c r="K2848" s="852"/>
      <c r="L2848" s="852"/>
      <c r="M2848" s="852">
        <v>75</v>
      </c>
      <c r="N2848" s="852" t="s">
        <v>164</v>
      </c>
      <c r="O2848" s="852" t="s">
        <v>3841</v>
      </c>
      <c r="P2848" s="1223">
        <v>3.1</v>
      </c>
      <c r="Q2848" s="852" t="s">
        <v>3842</v>
      </c>
      <c r="R2848" s="852">
        <f>M2848*P2848/12</f>
        <v>19.375</v>
      </c>
    </row>
    <row r="2849" spans="1:20" ht="24.95" customHeight="1">
      <c r="A2849" s="1132"/>
      <c r="E2849" s="852"/>
      <c r="F2849" s="1224">
        <v>1.4999999999999999E-2</v>
      </c>
      <c r="G2849" s="852" t="s">
        <v>174</v>
      </c>
      <c r="H2849" s="852" t="s">
        <v>3843</v>
      </c>
      <c r="I2849" s="1222">
        <v>563</v>
      </c>
      <c r="J2849" s="852" t="s">
        <v>174</v>
      </c>
      <c r="K2849" s="852">
        <f t="shared" si="86"/>
        <v>8.4450000000000003</v>
      </c>
      <c r="L2849" s="852"/>
      <c r="M2849" s="852">
        <v>12</v>
      </c>
      <c r="N2849" s="852" t="s">
        <v>164</v>
      </c>
      <c r="O2849" s="852" t="s">
        <v>3844</v>
      </c>
      <c r="P2849" s="852">
        <f>I2845</f>
        <v>2.7</v>
      </c>
      <c r="Q2849" s="852" t="s">
        <v>164</v>
      </c>
      <c r="R2849" s="852">
        <f t="shared" si="87"/>
        <v>32.400000000000006</v>
      </c>
    </row>
    <row r="2850" spans="1:20" ht="24.95" customHeight="1">
      <c r="A2850" s="1132"/>
      <c r="E2850" s="852"/>
      <c r="F2850" s="852">
        <v>10</v>
      </c>
      <c r="G2850" s="852" t="s">
        <v>164</v>
      </c>
      <c r="H2850" s="852" t="s">
        <v>3845</v>
      </c>
      <c r="I2850" s="1222">
        <f>ROUND(190.7/12,2)</f>
        <v>15.89</v>
      </c>
      <c r="J2850" s="852" t="s">
        <v>164</v>
      </c>
      <c r="K2850" s="852">
        <f t="shared" si="86"/>
        <v>158.9</v>
      </c>
      <c r="L2850" s="852"/>
      <c r="M2850" s="852">
        <v>6</v>
      </c>
      <c r="N2850" s="852" t="s">
        <v>164</v>
      </c>
      <c r="O2850" s="852" t="s">
        <v>3846</v>
      </c>
      <c r="P2850" s="852">
        <f>I2846</f>
        <v>1.1416666666666666</v>
      </c>
      <c r="Q2850" s="852" t="s">
        <v>164</v>
      </c>
      <c r="R2850" s="852">
        <f t="shared" si="87"/>
        <v>6.85</v>
      </c>
    </row>
    <row r="2851" spans="1:20" ht="24.95" customHeight="1">
      <c r="A2851" s="1132"/>
      <c r="E2851" s="852"/>
      <c r="F2851" s="852">
        <v>10</v>
      </c>
      <c r="G2851" s="852" t="s">
        <v>164</v>
      </c>
      <c r="H2851" s="852" t="s">
        <v>3847</v>
      </c>
      <c r="I2851" s="1222">
        <v>13.6</v>
      </c>
      <c r="J2851" s="852" t="s">
        <v>164</v>
      </c>
      <c r="K2851" s="852">
        <f t="shared" si="86"/>
        <v>136</v>
      </c>
      <c r="L2851" s="852"/>
      <c r="M2851" s="852">
        <v>150</v>
      </c>
      <c r="N2851" s="852" t="s">
        <v>240</v>
      </c>
      <c r="O2851" s="852" t="s">
        <v>3848</v>
      </c>
      <c r="P2851" s="852">
        <f>I3580</f>
        <v>287</v>
      </c>
      <c r="Q2851" s="852">
        <v>1000</v>
      </c>
      <c r="R2851" s="852">
        <f>(M2851*P2851)/1000</f>
        <v>43.05</v>
      </c>
    </row>
    <row r="2852" spans="1:20" ht="24.95" customHeight="1">
      <c r="A2852" s="1132"/>
      <c r="E2852" s="852"/>
      <c r="F2852" s="852">
        <v>10</v>
      </c>
      <c r="G2852" s="852" t="s">
        <v>164</v>
      </c>
      <c r="H2852" s="852" t="s">
        <v>3849</v>
      </c>
      <c r="I2852" s="1222">
        <f>36.8/12</f>
        <v>3.0666666666666664</v>
      </c>
      <c r="J2852" s="852" t="s">
        <v>164</v>
      </c>
      <c r="K2852" s="852">
        <f t="shared" si="86"/>
        <v>30.666666666666664</v>
      </c>
      <c r="L2852" s="852"/>
      <c r="M2852" s="1224">
        <v>7</v>
      </c>
      <c r="N2852" s="852" t="s">
        <v>240</v>
      </c>
      <c r="O2852" s="852" t="s">
        <v>3850</v>
      </c>
      <c r="P2852" s="852">
        <f>I2852</f>
        <v>3.0666666666666664</v>
      </c>
      <c r="Q2852" s="852" t="s">
        <v>164</v>
      </c>
      <c r="R2852" s="852">
        <f t="shared" si="87"/>
        <v>21.466666666666665</v>
      </c>
    </row>
    <row r="2853" spans="1:20" ht="24.95" customHeight="1">
      <c r="A2853" s="1132"/>
      <c r="E2853" s="852"/>
      <c r="F2853" s="852">
        <v>1.25</v>
      </c>
      <c r="G2853" s="852" t="s">
        <v>3851</v>
      </c>
      <c r="H2853" s="852" t="s">
        <v>3852</v>
      </c>
      <c r="I2853" s="1222">
        <f>5800/20</f>
        <v>290</v>
      </c>
      <c r="J2853" s="852" t="s">
        <v>3851</v>
      </c>
      <c r="K2853" s="852">
        <f t="shared" si="86"/>
        <v>362.5</v>
      </c>
      <c r="L2853" s="852"/>
      <c r="M2853" s="852">
        <v>6</v>
      </c>
      <c r="N2853" s="852" t="s">
        <v>164</v>
      </c>
      <c r="O2853" s="852" t="s">
        <v>3853</v>
      </c>
      <c r="P2853" s="852">
        <f>I2851</f>
        <v>13.6</v>
      </c>
      <c r="Q2853" s="852" t="s">
        <v>227</v>
      </c>
      <c r="R2853" s="852">
        <f t="shared" si="87"/>
        <v>81.599999999999994</v>
      </c>
    </row>
    <row r="2854" spans="1:20" ht="24.95" customHeight="1">
      <c r="A2854" s="1132"/>
      <c r="E2854" s="852"/>
      <c r="F2854" s="852">
        <v>10</v>
      </c>
      <c r="G2854" s="852" t="s">
        <v>164</v>
      </c>
      <c r="H2854" s="852" t="s">
        <v>3854</v>
      </c>
      <c r="I2854" s="1225">
        <f>I2847</f>
        <v>54.9</v>
      </c>
      <c r="J2854" s="852" t="s">
        <v>164</v>
      </c>
      <c r="K2854" s="852">
        <f t="shared" si="86"/>
        <v>549</v>
      </c>
      <c r="L2854" s="852"/>
      <c r="M2854" s="852">
        <v>6</v>
      </c>
      <c r="N2854" s="852" t="s">
        <v>164</v>
      </c>
      <c r="O2854" s="852" t="s">
        <v>3855</v>
      </c>
      <c r="P2854" s="1223">
        <v>190.7</v>
      </c>
      <c r="Q2854" s="852" t="s">
        <v>3842</v>
      </c>
      <c r="R2854" s="852">
        <f>(M2854*P2854)/12</f>
        <v>95.34999999999998</v>
      </c>
    </row>
    <row r="2855" spans="1:20" ht="24.95" customHeight="1">
      <c r="A2855" s="1132"/>
      <c r="E2855" s="852"/>
      <c r="F2855" s="852">
        <v>0.15</v>
      </c>
      <c r="G2855" s="852" t="s">
        <v>174</v>
      </c>
      <c r="H2855" s="852" t="s">
        <v>3856</v>
      </c>
      <c r="I2855" s="1222">
        <f>I2849</f>
        <v>563</v>
      </c>
      <c r="J2855" s="852" t="s">
        <v>174</v>
      </c>
      <c r="K2855" s="852">
        <f t="shared" si="86"/>
        <v>84.45</v>
      </c>
      <c r="L2855" s="852"/>
      <c r="M2855" s="852">
        <v>1</v>
      </c>
      <c r="N2855" s="852" t="s">
        <v>3857</v>
      </c>
      <c r="O2855" s="852" t="s">
        <v>3858</v>
      </c>
      <c r="P2855" s="852">
        <f>I3579</f>
        <v>68.2</v>
      </c>
      <c r="Q2855" s="852" t="s">
        <v>3857</v>
      </c>
      <c r="R2855" s="852">
        <f>(M2855*P2855)</f>
        <v>68.2</v>
      </c>
    </row>
    <row r="2856" spans="1:20" ht="44.25" customHeight="1">
      <c r="A2856" s="1132"/>
      <c r="E2856" s="852"/>
      <c r="F2856" s="852">
        <v>45</v>
      </c>
      <c r="G2856" s="852" t="s">
        <v>231</v>
      </c>
      <c r="H2856" s="1221" t="s">
        <v>3833</v>
      </c>
      <c r="I2856" s="1222">
        <f>I2843</f>
        <v>13.5</v>
      </c>
      <c r="J2856" s="852" t="s">
        <v>231</v>
      </c>
      <c r="K2856" s="852">
        <f t="shared" si="86"/>
        <v>607.5</v>
      </c>
      <c r="L2856" s="852"/>
      <c r="M2856" s="852">
        <v>6</v>
      </c>
      <c r="N2856" s="852" t="s">
        <v>240</v>
      </c>
      <c r="O2856" s="1220" t="s">
        <v>3859</v>
      </c>
      <c r="P2856" s="1223">
        <v>52.4</v>
      </c>
      <c r="Q2856" s="852" t="s">
        <v>164</v>
      </c>
      <c r="R2856" s="852">
        <f t="shared" si="87"/>
        <v>314.39999999999998</v>
      </c>
    </row>
    <row r="2857" spans="1:20" ht="24.95" customHeight="1">
      <c r="A2857" s="1132"/>
      <c r="E2857" s="852"/>
      <c r="F2857" s="852" t="s">
        <v>166</v>
      </c>
      <c r="G2857" s="852"/>
      <c r="H2857" s="852" t="s">
        <v>656</v>
      </c>
      <c r="I2857" s="852"/>
      <c r="J2857" s="852" t="s">
        <v>166</v>
      </c>
      <c r="K2857" s="852">
        <f>K2873</f>
        <v>9313</v>
      </c>
      <c r="L2857" s="852"/>
      <c r="M2857" s="1226">
        <v>0.16666666666666666</v>
      </c>
      <c r="N2857" s="852" t="s">
        <v>3860</v>
      </c>
      <c r="O2857" s="852" t="s">
        <v>1124</v>
      </c>
      <c r="P2857" s="852">
        <f>I2853</f>
        <v>290</v>
      </c>
      <c r="Q2857" s="852" t="s">
        <v>3860</v>
      </c>
      <c r="R2857" s="852">
        <f t="shared" si="87"/>
        <v>48.333333333333329</v>
      </c>
    </row>
    <row r="2858" spans="1:20" ht="54" customHeight="1">
      <c r="A2858" s="1132"/>
      <c r="E2858" s="852"/>
      <c r="F2858" s="852" t="s">
        <v>166</v>
      </c>
      <c r="G2858" s="852"/>
      <c r="H2858" s="852" t="s">
        <v>236</v>
      </c>
      <c r="I2858" s="852"/>
      <c r="J2858" s="852" t="s">
        <v>166</v>
      </c>
      <c r="K2858" s="852">
        <v>44.7</v>
      </c>
      <c r="L2858" s="852"/>
      <c r="M2858" s="852">
        <v>45</v>
      </c>
      <c r="N2858" s="852" t="s">
        <v>2831</v>
      </c>
      <c r="O2858" s="1221" t="s">
        <v>3861</v>
      </c>
      <c r="P2858" s="852">
        <f>P2846</f>
        <v>13.5</v>
      </c>
      <c r="Q2858" s="852" t="s">
        <v>174</v>
      </c>
      <c r="R2858" s="852">
        <f t="shared" si="87"/>
        <v>607.5</v>
      </c>
    </row>
    <row r="2859" spans="1:20" ht="24.95" customHeight="1">
      <c r="A2859" s="1132"/>
      <c r="E2859" s="852"/>
      <c r="F2859" s="852"/>
      <c r="G2859" s="852"/>
      <c r="H2859" s="1227" t="s">
        <v>3862</v>
      </c>
      <c r="I2859" s="852"/>
      <c r="J2859" s="852"/>
      <c r="K2859" s="1228">
        <f>SUM(K2843:K2858)</f>
        <v>13399.978333333334</v>
      </c>
      <c r="L2859" s="852">
        <f>10662-K2859</f>
        <v>-2737.9783333333344</v>
      </c>
      <c r="M2859" s="852">
        <v>6</v>
      </c>
      <c r="N2859" s="852" t="s">
        <v>3863</v>
      </c>
      <c r="O2859" s="852" t="s">
        <v>656</v>
      </c>
      <c r="P2859" s="852">
        <f>R2877</f>
        <v>981.5</v>
      </c>
      <c r="Q2859" s="852" t="s">
        <v>3863</v>
      </c>
      <c r="R2859" s="852">
        <f>M2859*P2859</f>
        <v>5889</v>
      </c>
      <c r="S2859" s="794">
        <f>1655*6</f>
        <v>9930</v>
      </c>
    </row>
    <row r="2860" spans="1:20" ht="24.95" customHeight="1">
      <c r="A2860" s="1132"/>
      <c r="E2860" s="852"/>
      <c r="F2860" s="852"/>
      <c r="G2860" s="852"/>
      <c r="H2860" s="1229" t="s">
        <v>3864</v>
      </c>
      <c r="I2860" s="852"/>
      <c r="J2860" s="852"/>
      <c r="K2860" s="1230">
        <f>K2859/10</f>
        <v>1339.9978333333333</v>
      </c>
      <c r="L2860" s="852">
        <f>1070-K2860</f>
        <v>-269.99783333333335</v>
      </c>
      <c r="M2860" s="852"/>
      <c r="N2860" s="852" t="s">
        <v>2295</v>
      </c>
      <c r="O2860" s="852" t="s">
        <v>3865</v>
      </c>
      <c r="P2860" s="852"/>
      <c r="Q2860" s="852"/>
      <c r="R2860" s="1231">
        <v>39.94</v>
      </c>
      <c r="S2860" s="794">
        <f>S2859-R2861</f>
        <v>678.03499999999985</v>
      </c>
    </row>
    <row r="2861" spans="1:20">
      <c r="A2861" s="1132"/>
      <c r="E2861" s="852"/>
      <c r="F2861" s="852"/>
      <c r="G2861" s="852"/>
      <c r="H2861" s="852"/>
      <c r="I2861" s="852"/>
      <c r="J2861" s="852"/>
      <c r="K2861" s="852"/>
      <c r="L2861" s="852">
        <f>L2860*10</f>
        <v>-2699.9783333333335</v>
      </c>
      <c r="M2861" s="852"/>
      <c r="N2861" s="852"/>
      <c r="P2861" s="852"/>
      <c r="Q2861" s="852"/>
      <c r="R2861" s="852">
        <f>SUM(R2846:R2860)</f>
        <v>9251.9650000000001</v>
      </c>
    </row>
    <row r="2862" spans="1:20" ht="24.95" customHeight="1">
      <c r="A2862" s="1132"/>
      <c r="E2862" s="852"/>
      <c r="F2862" s="852"/>
      <c r="G2862" s="852"/>
      <c r="H2862" s="1230" t="s">
        <v>3866</v>
      </c>
      <c r="I2862" s="852"/>
      <c r="J2862" s="852"/>
      <c r="K2862" s="852"/>
      <c r="L2862" s="852"/>
      <c r="M2862" s="852"/>
      <c r="N2862" s="852"/>
      <c r="O2862" s="1227" t="s">
        <v>3867</v>
      </c>
      <c r="P2862" s="852"/>
      <c r="Q2862" s="852"/>
      <c r="R2862" s="1228"/>
    </row>
    <row r="2863" spans="1:20">
      <c r="A2863" s="1132"/>
      <c r="E2863" s="852"/>
      <c r="F2863" s="852"/>
      <c r="G2863" s="852"/>
      <c r="H2863" s="852"/>
      <c r="I2863" s="852"/>
      <c r="J2863" s="852"/>
      <c r="K2863" s="852"/>
      <c r="L2863" s="852"/>
      <c r="M2863" s="852"/>
      <c r="N2863" s="852"/>
      <c r="O2863" s="1229" t="s">
        <v>3864</v>
      </c>
      <c r="P2863" s="852"/>
      <c r="Q2863" s="852"/>
      <c r="R2863" s="1230">
        <f>R2861/6</f>
        <v>1541.9941666666666</v>
      </c>
      <c r="S2863" s="794">
        <f>1377*6</f>
        <v>8262</v>
      </c>
      <c r="T2863" s="794">
        <f>S2863-R2862</f>
        <v>8262</v>
      </c>
    </row>
    <row r="2864" spans="1:20" ht="24.95" customHeight="1">
      <c r="A2864" s="1132"/>
      <c r="E2864" s="852"/>
      <c r="F2864" s="852"/>
      <c r="G2864" s="852"/>
      <c r="H2864" s="1230" t="s">
        <v>3658</v>
      </c>
      <c r="I2864" s="852"/>
      <c r="J2864" s="852"/>
      <c r="K2864" s="852"/>
      <c r="L2864" s="852"/>
      <c r="M2864" s="852"/>
      <c r="N2864" s="852"/>
      <c r="O2864" s="852"/>
      <c r="P2864" s="852"/>
      <c r="Q2864" s="852"/>
      <c r="R2864" s="852"/>
      <c r="S2864" s="794">
        <f>S2863-R2861</f>
        <v>-989.96500000000015</v>
      </c>
    </row>
    <row r="2865" spans="1:18" ht="24.95" customHeight="1">
      <c r="A2865" s="1132"/>
      <c r="E2865" s="852"/>
      <c r="F2865" s="852"/>
      <c r="G2865" s="852"/>
      <c r="H2865" s="852"/>
      <c r="I2865" s="852"/>
      <c r="J2865" s="852"/>
      <c r="K2865" s="852"/>
      <c r="L2865" s="852"/>
      <c r="M2865" s="852"/>
    </row>
    <row r="2866" spans="1:18" ht="24.95" customHeight="1">
      <c r="A2866" s="1132"/>
      <c r="E2866" s="852"/>
      <c r="F2866" s="852">
        <v>1</v>
      </c>
      <c r="G2866" s="852" t="s">
        <v>164</v>
      </c>
      <c r="H2866" s="852" t="s">
        <v>3868</v>
      </c>
      <c r="I2866" s="1223">
        <v>730</v>
      </c>
      <c r="J2866" s="852" t="s">
        <v>164</v>
      </c>
      <c r="K2866" s="852">
        <f>F2866*I2866</f>
        <v>730</v>
      </c>
      <c r="L2866" s="852"/>
      <c r="M2866" s="852"/>
      <c r="N2866" s="1230" t="s">
        <v>3866</v>
      </c>
      <c r="O2866" s="852"/>
      <c r="P2866" s="852"/>
      <c r="Q2866" s="852"/>
    </row>
    <row r="2867" spans="1:18" ht="24.95" customHeight="1">
      <c r="A2867" s="1132"/>
      <c r="E2867" s="852"/>
      <c r="F2867" s="852">
        <v>2</v>
      </c>
      <c r="G2867" s="852" t="s">
        <v>164</v>
      </c>
      <c r="H2867" s="852" t="s">
        <v>3869</v>
      </c>
      <c r="I2867" s="1223">
        <v>636</v>
      </c>
      <c r="J2867" s="852" t="s">
        <v>164</v>
      </c>
      <c r="K2867" s="852">
        <f t="shared" ref="K2867:K2872" si="88">F2867*I2867</f>
        <v>1272</v>
      </c>
      <c r="L2867" s="852"/>
      <c r="M2867" s="852"/>
      <c r="N2867" s="852"/>
      <c r="O2867" s="852"/>
      <c r="P2867" s="852"/>
      <c r="Q2867" s="852"/>
    </row>
    <row r="2868" spans="1:18" ht="24.95" customHeight="1">
      <c r="A2868" s="1132"/>
      <c r="E2868" s="852"/>
      <c r="F2868" s="852">
        <v>3</v>
      </c>
      <c r="G2868" s="852" t="s">
        <v>164</v>
      </c>
      <c r="H2868" s="852" t="s">
        <v>3870</v>
      </c>
      <c r="I2868" s="1223">
        <v>633</v>
      </c>
      <c r="J2868" s="852" t="s">
        <v>164</v>
      </c>
      <c r="K2868" s="852">
        <f t="shared" si="88"/>
        <v>1899</v>
      </c>
      <c r="L2868" s="852"/>
      <c r="M2868" s="852"/>
      <c r="N2868" s="1230" t="s">
        <v>3658</v>
      </c>
      <c r="O2868" s="852"/>
      <c r="P2868" s="852"/>
      <c r="Q2868" s="852"/>
    </row>
    <row r="2869" spans="1:18" ht="24.95" customHeight="1">
      <c r="A2869" s="1132"/>
      <c r="E2869" s="852"/>
      <c r="F2869" s="852">
        <v>4</v>
      </c>
      <c r="G2869" s="852" t="s">
        <v>164</v>
      </c>
      <c r="H2869" s="852" t="str">
        <f>[2]Data!H2299</f>
        <v>Electrical HELPERp-15 it-100</v>
      </c>
      <c r="I2869" s="1223">
        <v>497</v>
      </c>
      <c r="J2869" s="852" t="s">
        <v>164</v>
      </c>
      <c r="K2869" s="852">
        <f t="shared" si="88"/>
        <v>1988</v>
      </c>
      <c r="L2869" s="852"/>
      <c r="M2869" s="852"/>
      <c r="N2869" s="852"/>
      <c r="O2869" s="852"/>
      <c r="P2869" s="852"/>
      <c r="Q2869" s="852"/>
    </row>
    <row r="2870" spans="1:18" ht="24.95" customHeight="1">
      <c r="A2870" s="1132"/>
      <c r="E2870" s="852"/>
      <c r="F2870" s="852"/>
      <c r="G2870" s="852"/>
      <c r="H2870" s="1230" t="s">
        <v>3871</v>
      </c>
      <c r="I2870" s="852"/>
      <c r="J2870" s="852"/>
      <c r="K2870" s="852"/>
      <c r="M2870" s="852">
        <v>1</v>
      </c>
      <c r="N2870" s="852" t="s">
        <v>164</v>
      </c>
      <c r="O2870" s="852" t="s">
        <v>3872</v>
      </c>
      <c r="P2870" s="852">
        <f>I2866</f>
        <v>730</v>
      </c>
      <c r="Q2870" s="852" t="s">
        <v>164</v>
      </c>
      <c r="R2870" s="852">
        <f>M2870*P2870</f>
        <v>730</v>
      </c>
    </row>
    <row r="2871" spans="1:18" ht="24.95" customHeight="1">
      <c r="A2871" s="1132"/>
      <c r="E2871" s="852"/>
      <c r="F2871" s="852">
        <v>2</v>
      </c>
      <c r="G2871" s="852" t="s">
        <v>164</v>
      </c>
      <c r="H2871" s="852" t="s">
        <v>3873</v>
      </c>
      <c r="I2871" s="1223">
        <v>718</v>
      </c>
      <c r="J2871" s="852" t="s">
        <v>164</v>
      </c>
      <c r="K2871" s="852">
        <f t="shared" si="88"/>
        <v>1436</v>
      </c>
      <c r="M2871" s="852">
        <v>2</v>
      </c>
      <c r="N2871" s="852" t="s">
        <v>164</v>
      </c>
      <c r="O2871" s="852" t="s">
        <v>3874</v>
      </c>
      <c r="P2871" s="852">
        <f>I2867</f>
        <v>636</v>
      </c>
      <c r="Q2871" s="852" t="s">
        <v>164</v>
      </c>
      <c r="R2871" s="852">
        <f>M2871*P2871</f>
        <v>1272</v>
      </c>
    </row>
    <row r="2872" spans="1:18" ht="24.95" customHeight="1">
      <c r="A2872" s="1132"/>
      <c r="E2872" s="852"/>
      <c r="F2872" s="852">
        <v>4</v>
      </c>
      <c r="G2872" s="852" t="s">
        <v>164</v>
      </c>
      <c r="H2872" s="852" t="str">
        <f>H2869</f>
        <v>Electrical HELPERp-15 it-100</v>
      </c>
      <c r="I2872" s="1223">
        <f>I2869</f>
        <v>497</v>
      </c>
      <c r="J2872" s="852" t="s">
        <v>164</v>
      </c>
      <c r="K2872" s="852">
        <f t="shared" si="88"/>
        <v>1988</v>
      </c>
      <c r="M2872" s="852">
        <v>3</v>
      </c>
      <c r="N2872" s="852" t="s">
        <v>164</v>
      </c>
      <c r="O2872" s="852" t="s">
        <v>3870</v>
      </c>
      <c r="P2872" s="852">
        <f>I2868</f>
        <v>633</v>
      </c>
      <c r="Q2872" s="852" t="s">
        <v>164</v>
      </c>
      <c r="R2872" s="852">
        <f>M2872*P2872</f>
        <v>1899</v>
      </c>
    </row>
    <row r="2873" spans="1:18" ht="24.95" customHeight="1">
      <c r="A2873" s="1132"/>
      <c r="E2873" s="852"/>
      <c r="F2873" s="852"/>
      <c r="G2873" s="852"/>
      <c r="H2873" s="852"/>
      <c r="I2873" s="852"/>
      <c r="J2873" s="852"/>
      <c r="K2873" s="1232">
        <f>SUM(K2866:K2872)</f>
        <v>9313</v>
      </c>
      <c r="M2873" s="852">
        <v>4</v>
      </c>
      <c r="N2873" s="852" t="s">
        <v>164</v>
      </c>
      <c r="O2873" s="852" t="s">
        <v>3710</v>
      </c>
      <c r="P2873" s="852">
        <f>I2869</f>
        <v>497</v>
      </c>
      <c r="Q2873" s="852" t="s">
        <v>164</v>
      </c>
      <c r="R2873" s="852">
        <f>M2873*P2873</f>
        <v>1988</v>
      </c>
    </row>
    <row r="2874" spans="1:18" ht="16.5" customHeight="1">
      <c r="A2874" s="1132"/>
      <c r="E2874" s="852"/>
      <c r="F2874" s="852"/>
      <c r="G2874" s="852"/>
      <c r="H2874" s="852"/>
      <c r="I2874" s="852"/>
      <c r="J2874" s="852"/>
      <c r="K2874" s="1228"/>
      <c r="M2874" s="852"/>
      <c r="N2874" s="852"/>
      <c r="O2874" s="852"/>
      <c r="P2874" s="852"/>
      <c r="Q2874" s="852"/>
      <c r="R2874" s="852"/>
    </row>
    <row r="2875" spans="1:18" ht="78.75" customHeight="1">
      <c r="A2875" s="1132"/>
      <c r="E2875" s="852"/>
      <c r="F2875" s="852"/>
      <c r="G2875" s="852"/>
      <c r="H2875" s="804" t="s">
        <v>3875</v>
      </c>
      <c r="I2875" s="852"/>
      <c r="J2875" s="852"/>
      <c r="K2875" s="852"/>
      <c r="L2875" s="852"/>
      <c r="M2875" s="852"/>
      <c r="O2875" s="1233" t="s">
        <v>3876</v>
      </c>
      <c r="R2875" s="1234">
        <f>SUM(R2870:R2873)</f>
        <v>5889</v>
      </c>
    </row>
    <row r="2876" spans="1:18" ht="39.950000000000003" customHeight="1">
      <c r="A2876" s="1132"/>
      <c r="E2876" s="852"/>
      <c r="F2876" s="852"/>
      <c r="G2876" s="852"/>
      <c r="H2876" s="804" t="s">
        <v>3877</v>
      </c>
      <c r="I2876" s="852"/>
      <c r="J2876" s="852"/>
      <c r="K2876" s="852"/>
      <c r="L2876" s="852"/>
      <c r="M2876" s="852"/>
    </row>
    <row r="2877" spans="1:18">
      <c r="A2877" s="1132"/>
      <c r="E2877" s="852"/>
      <c r="F2877" s="852"/>
      <c r="G2877" s="852"/>
      <c r="H2877" s="852"/>
      <c r="I2877" s="852"/>
      <c r="J2877" s="852"/>
      <c r="K2877" s="852"/>
      <c r="L2877" s="852"/>
      <c r="M2877" s="852"/>
      <c r="Q2877" s="1235" t="s">
        <v>3878</v>
      </c>
      <c r="R2877" s="805">
        <f>R2875/6</f>
        <v>981.5</v>
      </c>
    </row>
    <row r="2878" spans="1:18" ht="215.25" customHeight="1">
      <c r="A2878" s="1132"/>
      <c r="E2878" s="852"/>
      <c r="F2878" s="852"/>
      <c r="G2878" s="852"/>
      <c r="H2878" s="1220" t="s">
        <v>3879</v>
      </c>
      <c r="I2878" s="852"/>
      <c r="J2878" s="852"/>
      <c r="K2878" s="852"/>
      <c r="L2878" s="852"/>
      <c r="M2878" s="852"/>
      <c r="O2878" s="1220" t="s">
        <v>3880</v>
      </c>
    </row>
    <row r="2879" spans="1:18" ht="42.75" customHeight="1">
      <c r="A2879" s="1132"/>
      <c r="E2879" s="852"/>
      <c r="F2879" s="852"/>
      <c r="G2879" s="852"/>
      <c r="H2879" s="852" t="s">
        <v>3881</v>
      </c>
      <c r="I2879" s="852"/>
      <c r="J2879" s="852"/>
      <c r="K2879" s="852">
        <f>K2859-K2858</f>
        <v>13355.278333333334</v>
      </c>
      <c r="L2879" s="852"/>
      <c r="M2879" s="852">
        <v>90</v>
      </c>
      <c r="N2879" s="852" t="s">
        <v>231</v>
      </c>
      <c r="O2879" s="1221" t="s">
        <v>3838</v>
      </c>
      <c r="P2879" s="852">
        <f>P2846</f>
        <v>13.5</v>
      </c>
      <c r="Q2879" s="852" t="s">
        <v>231</v>
      </c>
      <c r="R2879" s="852">
        <f>M2879*P2879</f>
        <v>1215</v>
      </c>
    </row>
    <row r="2880" spans="1:18" ht="30" customHeight="1">
      <c r="A2880" s="1132"/>
      <c r="E2880" s="852"/>
      <c r="F2880" s="852"/>
      <c r="G2880" s="852"/>
      <c r="H2880" s="852" t="s">
        <v>3882</v>
      </c>
      <c r="I2880" s="852"/>
      <c r="J2880" s="852"/>
      <c r="K2880" s="852">
        <f>K2851</f>
        <v>136</v>
      </c>
      <c r="L2880" s="852"/>
      <c r="M2880" s="852">
        <v>45</v>
      </c>
      <c r="N2880" s="852" t="s">
        <v>231</v>
      </c>
      <c r="O2880" s="1220" t="s">
        <v>3840</v>
      </c>
      <c r="P2880" s="852">
        <f t="shared" ref="P2880:P2887" si="89">P2847</f>
        <v>17.100000000000001</v>
      </c>
      <c r="Q2880" s="852" t="s">
        <v>2820</v>
      </c>
      <c r="R2880" s="852">
        <f>M2880*P2880</f>
        <v>769.50000000000011</v>
      </c>
    </row>
    <row r="2881" spans="1:20" ht="30" customHeight="1">
      <c r="A2881" s="1132"/>
      <c r="E2881" s="852"/>
      <c r="F2881" s="852"/>
      <c r="G2881" s="852"/>
      <c r="H2881" s="1223" t="s">
        <v>3883</v>
      </c>
      <c r="I2881" s="1223"/>
      <c r="J2881" s="1223"/>
      <c r="K2881" s="1223">
        <f>16.35*10</f>
        <v>163.5</v>
      </c>
      <c r="L2881" s="852"/>
      <c r="M2881" s="852">
        <v>75</v>
      </c>
      <c r="N2881" s="852" t="s">
        <v>164</v>
      </c>
      <c r="O2881" s="852" t="s">
        <v>3884</v>
      </c>
      <c r="P2881" s="852">
        <f t="shared" si="89"/>
        <v>3.1</v>
      </c>
      <c r="Q2881" s="852" t="s">
        <v>3842</v>
      </c>
      <c r="R2881" s="852">
        <f>M2881*P2881/12</f>
        <v>19.375</v>
      </c>
    </row>
    <row r="2882" spans="1:20" ht="30" customHeight="1">
      <c r="A2882" s="1132"/>
      <c r="E2882" s="852"/>
      <c r="F2882" s="852"/>
      <c r="G2882" s="852"/>
      <c r="H2882" s="852" t="s">
        <v>236</v>
      </c>
      <c r="I2882" s="852"/>
      <c r="J2882" s="852"/>
      <c r="K2882" s="1231">
        <v>57.2</v>
      </c>
      <c r="L2882" s="852">
        <f>K2882-7.83</f>
        <v>49.370000000000005</v>
      </c>
      <c r="M2882" s="852">
        <v>12</v>
      </c>
      <c r="N2882" s="852" t="s">
        <v>164</v>
      </c>
      <c r="O2882" s="852" t="s">
        <v>3844</v>
      </c>
      <c r="P2882" s="852">
        <f t="shared" si="89"/>
        <v>2.7</v>
      </c>
      <c r="Q2882" s="852" t="s">
        <v>164</v>
      </c>
      <c r="R2882" s="852">
        <f>M2882*P2882</f>
        <v>32.400000000000006</v>
      </c>
    </row>
    <row r="2883" spans="1:20" ht="39.950000000000003" customHeight="1">
      <c r="A2883" s="1132"/>
      <c r="E2883" s="852"/>
      <c r="F2883" s="852"/>
      <c r="G2883" s="852"/>
      <c r="H2883" s="1227" t="s">
        <v>3885</v>
      </c>
      <c r="I2883" s="852"/>
      <c r="J2883" s="852"/>
      <c r="K2883" s="1228">
        <f>K2879-K2880+K2881+K2882</f>
        <v>13439.978333333334</v>
      </c>
      <c r="L2883" s="852">
        <f>10000-K2883</f>
        <v>-3439.9783333333344</v>
      </c>
      <c r="M2883" s="852">
        <v>6</v>
      </c>
      <c r="N2883" s="852" t="s">
        <v>164</v>
      </c>
      <c r="O2883" s="852" t="s">
        <v>3846</v>
      </c>
      <c r="P2883" s="852">
        <f t="shared" si="89"/>
        <v>1.1416666666666666</v>
      </c>
      <c r="Q2883" s="852" t="s">
        <v>164</v>
      </c>
      <c r="R2883" s="852">
        <f>M2883*P2883</f>
        <v>6.85</v>
      </c>
    </row>
    <row r="2884" spans="1:20" ht="39.950000000000003" customHeight="1">
      <c r="A2884" s="1132"/>
      <c r="E2884" s="852"/>
      <c r="F2884" s="852"/>
      <c r="G2884" s="852"/>
      <c r="H2884" s="1229" t="s">
        <v>3886</v>
      </c>
      <c r="I2884" s="852"/>
      <c r="J2884" s="852"/>
      <c r="K2884" s="1230">
        <f>K2883/10</f>
        <v>1343.9978333333333</v>
      </c>
      <c r="L2884" s="852">
        <f>1070-K2884</f>
        <v>-273.99783333333335</v>
      </c>
      <c r="M2884" s="852">
        <v>150</v>
      </c>
      <c r="N2884" s="852" t="s">
        <v>240</v>
      </c>
      <c r="O2884" s="852" t="str">
        <f>O2851</f>
        <v>Teakwood plugs 1.5"x1"x2"P-84 part-J e</v>
      </c>
      <c r="P2884" s="852">
        <f t="shared" si="89"/>
        <v>287</v>
      </c>
      <c r="Q2884" s="852">
        <v>1000</v>
      </c>
      <c r="R2884" s="852">
        <f>(M2884*P2884)/1000</f>
        <v>43.05</v>
      </c>
    </row>
    <row r="2885" spans="1:20">
      <c r="A2885" s="1132"/>
      <c r="E2885" s="852"/>
      <c r="F2885" s="852"/>
      <c r="G2885" s="852"/>
      <c r="H2885" s="852"/>
      <c r="I2885" s="852"/>
      <c r="J2885" s="852"/>
      <c r="K2885" s="852"/>
      <c r="L2885" s="852">
        <f>L2884*10</f>
        <v>-2739.9783333333335</v>
      </c>
      <c r="M2885" s="1224">
        <v>7</v>
      </c>
      <c r="N2885" s="852" t="s">
        <v>240</v>
      </c>
      <c r="O2885" s="852" t="s">
        <v>3850</v>
      </c>
      <c r="P2885" s="852">
        <f t="shared" si="89"/>
        <v>3.0666666666666664</v>
      </c>
      <c r="Q2885" s="852" t="s">
        <v>164</v>
      </c>
      <c r="R2885" s="852">
        <f>M2885*P2885</f>
        <v>21.466666666666665</v>
      </c>
    </row>
    <row r="2886" spans="1:20" ht="24.95" customHeight="1">
      <c r="A2886" s="1132"/>
      <c r="E2886" s="852"/>
      <c r="F2886" s="852"/>
      <c r="G2886" s="852"/>
      <c r="H2886" s="1230" t="s">
        <v>3887</v>
      </c>
      <c r="I2886" s="852"/>
      <c r="J2886" s="852"/>
      <c r="K2886" s="852"/>
      <c r="L2886" s="852"/>
      <c r="M2886" s="852">
        <v>6</v>
      </c>
      <c r="N2886" s="852" t="s">
        <v>164</v>
      </c>
      <c r="O2886" s="852" t="s">
        <v>3853</v>
      </c>
      <c r="P2886" s="852">
        <f t="shared" si="89"/>
        <v>13.6</v>
      </c>
      <c r="Q2886" s="852" t="s">
        <v>227</v>
      </c>
      <c r="R2886" s="852">
        <f>M2886*P2886</f>
        <v>81.599999999999994</v>
      </c>
    </row>
    <row r="2887" spans="1:20" ht="36.75" customHeight="1">
      <c r="A2887" s="1132"/>
      <c r="E2887" s="852"/>
      <c r="F2887" s="852"/>
      <c r="G2887" s="852"/>
      <c r="H2887" s="1218" t="s">
        <v>3888</v>
      </c>
      <c r="I2887" s="852"/>
      <c r="J2887" s="852"/>
      <c r="K2887" s="852"/>
      <c r="L2887" s="852"/>
      <c r="M2887" s="852">
        <v>6</v>
      </c>
      <c r="N2887" s="852" t="s">
        <v>164</v>
      </c>
      <c r="O2887" s="852" t="str">
        <f>O2854</f>
        <v>5 amps switch (flush type) P-117 part C-a</v>
      </c>
      <c r="P2887" s="852">
        <f t="shared" si="89"/>
        <v>190.7</v>
      </c>
      <c r="Q2887" s="852" t="s">
        <v>3842</v>
      </c>
      <c r="R2887" s="852">
        <f>(M2887*P2887)/12</f>
        <v>95.34999999999998</v>
      </c>
    </row>
    <row r="2888" spans="1:20">
      <c r="A2888" s="1132"/>
      <c r="E2888" s="852"/>
      <c r="F2888" s="852"/>
      <c r="G2888" s="852"/>
      <c r="H2888" s="852"/>
      <c r="I2888" s="852"/>
      <c r="J2888" s="852"/>
      <c r="K2888" s="852"/>
      <c r="L2888" s="852"/>
      <c r="M2888" s="852">
        <v>1</v>
      </c>
      <c r="N2888" s="852" t="s">
        <v>3857</v>
      </c>
      <c r="O2888" s="852" t="str">
        <f>O2855</f>
        <v>Brass screws  ( 40 mm x 6 no) P-85 Part-L c</v>
      </c>
      <c r="P2888" s="852">
        <f>P2855</f>
        <v>68.2</v>
      </c>
      <c r="Q2888" s="852" t="s">
        <v>3857</v>
      </c>
      <c r="R2888" s="852">
        <f>(M2888*P2888)</f>
        <v>68.2</v>
      </c>
    </row>
    <row r="2889" spans="1:20" ht="33.75" customHeight="1">
      <c r="A2889" s="1132"/>
      <c r="E2889" s="852"/>
      <c r="F2889" s="852"/>
      <c r="G2889" s="852"/>
      <c r="H2889" s="1220" t="s">
        <v>3889</v>
      </c>
      <c r="I2889" s="852"/>
      <c r="J2889" s="852"/>
      <c r="K2889" s="852"/>
      <c r="L2889" s="852"/>
      <c r="M2889" s="852">
        <v>6</v>
      </c>
      <c r="N2889" s="852" t="s">
        <v>240</v>
      </c>
      <c r="O2889" s="1220" t="s">
        <v>3890</v>
      </c>
      <c r="P2889" s="1223">
        <v>52.4</v>
      </c>
      <c r="Q2889" s="852" t="s">
        <v>227</v>
      </c>
      <c r="R2889" s="852">
        <f>M2889*P2889</f>
        <v>314.39999999999998</v>
      </c>
    </row>
    <row r="2890" spans="1:20" ht="30" customHeight="1">
      <c r="A2890" s="1132"/>
      <c r="E2890" s="852"/>
      <c r="F2890" s="852"/>
      <c r="G2890" s="852"/>
      <c r="H2890" s="852" t="s">
        <v>3891</v>
      </c>
      <c r="I2890" s="852"/>
      <c r="J2890" s="852"/>
      <c r="K2890" s="852">
        <f>K2879</f>
        <v>13355.278333333334</v>
      </c>
      <c r="L2890" s="852"/>
      <c r="M2890" s="1226">
        <v>0.16666666666666666</v>
      </c>
      <c r="N2890" s="852" t="s">
        <v>3860</v>
      </c>
      <c r="O2890" s="852" t="s">
        <v>1124</v>
      </c>
      <c r="P2890" s="852">
        <f>P2857</f>
        <v>290</v>
      </c>
      <c r="Q2890" s="852" t="s">
        <v>3860</v>
      </c>
      <c r="R2890" s="852">
        <f>M2890*P2890</f>
        <v>48.333333333333329</v>
      </c>
    </row>
    <row r="2891" spans="1:20" ht="30" customHeight="1">
      <c r="A2891" s="1132"/>
      <c r="E2891" s="852"/>
      <c r="F2891" s="852"/>
      <c r="G2891" s="852"/>
      <c r="H2891" s="852" t="s">
        <v>3892</v>
      </c>
      <c r="I2891" s="852"/>
      <c r="J2891" s="852"/>
      <c r="K2891" s="852">
        <f>K2880</f>
        <v>136</v>
      </c>
      <c r="L2891" s="852"/>
      <c r="M2891" s="852"/>
      <c r="N2891" s="852"/>
      <c r="O2891" s="1140"/>
      <c r="P2891" s="852"/>
      <c r="Q2891" s="852"/>
      <c r="R2891" s="852"/>
    </row>
    <row r="2892" spans="1:20" ht="30" customHeight="1">
      <c r="A2892" s="1132"/>
      <c r="E2892" s="852"/>
      <c r="F2892" s="852"/>
      <c r="G2892" s="852"/>
      <c r="H2892" s="852" t="s">
        <v>3893</v>
      </c>
      <c r="I2892" s="852"/>
      <c r="J2892" s="852"/>
      <c r="K2892" s="852">
        <f>K2852</f>
        <v>30.666666666666664</v>
      </c>
      <c r="L2892" s="852"/>
      <c r="M2892" s="852">
        <v>6</v>
      </c>
      <c r="N2892" s="852" t="s">
        <v>3863</v>
      </c>
      <c r="O2892" s="852" t="s">
        <v>656</v>
      </c>
      <c r="P2892" s="852">
        <f>R2877</f>
        <v>981.5</v>
      </c>
      <c r="Q2892" s="852" t="s">
        <v>3863</v>
      </c>
      <c r="R2892" s="852">
        <f>M2892*P2892</f>
        <v>5889</v>
      </c>
    </row>
    <row r="2893" spans="1:20" ht="30" customHeight="1">
      <c r="A2893" s="1132"/>
      <c r="E2893" s="852"/>
      <c r="F2893" s="852"/>
      <c r="G2893" s="852"/>
      <c r="H2893" s="852" t="s">
        <v>3894</v>
      </c>
      <c r="I2893" s="852"/>
      <c r="J2893" s="852"/>
      <c r="K2893" s="852">
        <f>K2850</f>
        <v>158.9</v>
      </c>
      <c r="L2893" s="852"/>
      <c r="M2893" s="852"/>
      <c r="N2893" s="852" t="s">
        <v>2295</v>
      </c>
      <c r="O2893" s="852" t="s">
        <v>3865</v>
      </c>
      <c r="P2893" s="852"/>
      <c r="Q2893" s="852"/>
      <c r="R2893" s="1231">
        <v>17.45</v>
      </c>
    </row>
    <row r="2894" spans="1:20" ht="30" customHeight="1">
      <c r="A2894" s="1132"/>
      <c r="E2894" s="852"/>
      <c r="F2894" s="852"/>
      <c r="G2894" s="852"/>
      <c r="H2894" s="852" t="s">
        <v>3895</v>
      </c>
      <c r="I2894" s="852"/>
      <c r="J2894" s="852"/>
      <c r="K2894" s="1222">
        <f>10*40.9</f>
        <v>409</v>
      </c>
      <c r="L2894" s="852"/>
      <c r="M2894" s="852"/>
      <c r="N2894" s="852"/>
      <c r="P2894" s="852"/>
      <c r="Q2894" s="852"/>
      <c r="R2894" s="852"/>
    </row>
    <row r="2895" spans="1:20" ht="30" customHeight="1">
      <c r="A2895" s="1132"/>
      <c r="E2895" s="852"/>
      <c r="F2895" s="852"/>
      <c r="G2895" s="852"/>
      <c r="H2895" s="1236" t="s">
        <v>3896</v>
      </c>
      <c r="I2895" s="852"/>
      <c r="J2895" s="852"/>
      <c r="K2895" s="1236">
        <f>10*9</f>
        <v>90</v>
      </c>
      <c r="L2895" s="852"/>
      <c r="M2895" s="852"/>
      <c r="N2895" s="852"/>
      <c r="O2895" s="1227" t="s">
        <v>3867</v>
      </c>
      <c r="P2895" s="852"/>
      <c r="Q2895" s="852"/>
      <c r="R2895" s="1228">
        <f>SUM(R2879:R2894)</f>
        <v>8621.9750000000004</v>
      </c>
      <c r="T2895" s="794">
        <f>T2896-R2895</f>
        <v>-1480.1750000000011</v>
      </c>
    </row>
    <row r="2896" spans="1:20" ht="30" customHeight="1">
      <c r="A2896" s="1132"/>
      <c r="E2896" s="852"/>
      <c r="F2896" s="852"/>
      <c r="G2896" s="852"/>
      <c r="H2896" s="852" t="s">
        <v>3897</v>
      </c>
      <c r="I2896" s="852"/>
      <c r="J2896" s="852"/>
      <c r="K2896" s="1222">
        <f>16.5*10</f>
        <v>165</v>
      </c>
      <c r="L2896" s="852"/>
      <c r="M2896" s="852"/>
      <c r="N2896" s="852"/>
      <c r="O2896" s="1229" t="s">
        <v>3864</v>
      </c>
      <c r="P2896" s="852"/>
      <c r="Q2896" s="852"/>
      <c r="R2896" s="1230">
        <f>R2895/6</f>
        <v>1436.9958333333334</v>
      </c>
      <c r="S2896" s="794" t="s">
        <v>3898</v>
      </c>
      <c r="T2896" s="794">
        <f>1190.3*6</f>
        <v>7141.7999999999993</v>
      </c>
    </row>
    <row r="2897" spans="1:19" ht="30" customHeight="1">
      <c r="A2897" s="1132"/>
      <c r="E2897" s="852"/>
      <c r="F2897" s="852"/>
      <c r="G2897" s="852"/>
      <c r="H2897" s="852" t="s">
        <v>236</v>
      </c>
      <c r="I2897" s="852"/>
      <c r="J2897" s="852"/>
      <c r="K2897" s="1231">
        <v>26.3</v>
      </c>
      <c r="L2897" s="852"/>
      <c r="M2897" s="852"/>
      <c r="S2897" s="794">
        <f>1152*6</f>
        <v>6912</v>
      </c>
    </row>
    <row r="2898" spans="1:19" ht="25.5" customHeight="1">
      <c r="A2898" s="1132"/>
      <c r="E2898" s="852"/>
      <c r="F2898" s="852"/>
      <c r="G2898" s="852"/>
      <c r="H2898" s="1227" t="s">
        <v>3885</v>
      </c>
      <c r="I2898" s="852"/>
      <c r="J2898" s="852"/>
      <c r="K2898" s="1228">
        <f>(K2890-K2891-K2892-K2893)+(K2894+K2895+K2896+K2897)</f>
        <v>13720.011666666667</v>
      </c>
      <c r="L2898" s="852">
        <f>10290-K2898</f>
        <v>-3430.0116666666672</v>
      </c>
      <c r="M2898" s="852"/>
      <c r="S2898" s="794">
        <f>S2897-R2895</f>
        <v>-1709.9750000000004</v>
      </c>
    </row>
    <row r="2899" spans="1:19" ht="27.75" customHeight="1">
      <c r="A2899" s="1132"/>
      <c r="E2899" s="852"/>
      <c r="F2899" s="852"/>
      <c r="G2899" s="852"/>
      <c r="H2899" s="1229" t="s">
        <v>3899</v>
      </c>
      <c r="I2899" s="852"/>
      <c r="J2899" s="852"/>
      <c r="K2899" s="1230">
        <f>K2898/10</f>
        <v>1372.0011666666667</v>
      </c>
      <c r="L2899" s="852">
        <f>1100-K2899</f>
        <v>-272.00116666666668</v>
      </c>
      <c r="M2899" s="852"/>
    </row>
    <row r="2900" spans="1:19">
      <c r="A2900" s="1132"/>
      <c r="E2900" s="852"/>
      <c r="F2900" s="852"/>
      <c r="G2900" s="852"/>
      <c r="H2900" s="852"/>
      <c r="I2900" s="852"/>
      <c r="J2900" s="852"/>
      <c r="K2900" s="852"/>
      <c r="L2900" s="852">
        <f>L2899*10</f>
        <v>-2720.0116666666668</v>
      </c>
      <c r="M2900" s="852"/>
    </row>
    <row r="2901" spans="1:19">
      <c r="A2901" s="1132"/>
      <c r="E2901" s="852"/>
      <c r="F2901" s="852"/>
      <c r="G2901" s="852"/>
      <c r="H2901" s="1230" t="s">
        <v>3900</v>
      </c>
      <c r="I2901" s="852"/>
      <c r="J2901" s="852"/>
      <c r="K2901" s="852"/>
      <c r="L2901" s="852"/>
      <c r="M2901" s="852"/>
    </row>
    <row r="2902" spans="1:19">
      <c r="A2902" s="1132"/>
      <c r="E2902" s="852"/>
      <c r="F2902" s="852"/>
      <c r="G2902" s="852"/>
      <c r="H2902" s="1230" t="s">
        <v>3901</v>
      </c>
      <c r="I2902" s="852"/>
      <c r="J2902" s="852"/>
      <c r="K2902" s="852"/>
      <c r="L2902" s="852"/>
      <c r="M2902" s="852"/>
    </row>
    <row r="2903" spans="1:19" ht="141.75">
      <c r="A2903" s="1132"/>
      <c r="E2903" s="852"/>
      <c r="F2903" s="852"/>
      <c r="G2903" s="852"/>
      <c r="H2903" s="1220" t="s">
        <v>3902</v>
      </c>
      <c r="I2903" s="852"/>
      <c r="J2903" s="852"/>
      <c r="K2903" s="852"/>
      <c r="L2903" s="852"/>
      <c r="M2903" s="852"/>
    </row>
    <row r="2904" spans="1:19">
      <c r="A2904" s="1132"/>
      <c r="E2904" s="852"/>
      <c r="F2904" s="852"/>
      <c r="G2904" s="852"/>
      <c r="H2904" s="852"/>
      <c r="I2904" s="852"/>
      <c r="J2904" s="852"/>
      <c r="K2904" s="852"/>
      <c r="L2904" s="852"/>
      <c r="M2904" s="852"/>
    </row>
    <row r="2905" spans="1:19" ht="31.5">
      <c r="A2905" s="1132"/>
      <c r="E2905" s="852"/>
      <c r="F2905" s="852">
        <v>90</v>
      </c>
      <c r="G2905" s="852" t="s">
        <v>231</v>
      </c>
      <c r="H2905" s="1221" t="str">
        <f t="shared" ref="H2905:I2908" si="90">H2843</f>
        <v>1.5 sqmm copper PVC insulated unsheathed single core cable (P-124 it-2/b)</v>
      </c>
      <c r="I2905" s="852">
        <f t="shared" si="90"/>
        <v>13.5</v>
      </c>
      <c r="J2905" s="852" t="s">
        <v>231</v>
      </c>
      <c r="K2905" s="852">
        <f>F2905*I2905</f>
        <v>1215</v>
      </c>
      <c r="L2905" s="852"/>
      <c r="M2905" s="852"/>
    </row>
    <row r="2906" spans="1:19" ht="31.5">
      <c r="A2906" s="1132"/>
      <c r="E2906" s="852"/>
      <c r="F2906" s="852">
        <v>45</v>
      </c>
      <c r="G2906" s="852" t="s">
        <v>231</v>
      </c>
      <c r="H2906" s="1220" t="str">
        <f t="shared" si="90"/>
        <v>PVC rigid conduit pipe 19 mm / 20mm heavy duty with ISI mark p-127 part -I IX-1 b</v>
      </c>
      <c r="I2906" s="852">
        <f t="shared" si="90"/>
        <v>17.100000000000001</v>
      </c>
      <c r="J2906" s="852" t="s">
        <v>231</v>
      </c>
      <c r="K2906" s="852">
        <f t="shared" ref="K2906:K2917" si="91">F2906*I2906</f>
        <v>769.50000000000011</v>
      </c>
      <c r="L2906" s="852"/>
      <c r="M2906" s="852"/>
    </row>
    <row r="2907" spans="1:19">
      <c r="A2907" s="1132"/>
      <c r="E2907" s="852"/>
      <c r="F2907" s="852">
        <v>20</v>
      </c>
      <c r="G2907" s="852" t="s">
        <v>164</v>
      </c>
      <c r="H2907" s="852" t="str">
        <f t="shared" si="90"/>
        <v>19 mm PVC rigid bends - p-128 part -I IX-2b</v>
      </c>
      <c r="I2907" s="852">
        <f t="shared" si="90"/>
        <v>2.7</v>
      </c>
      <c r="J2907" s="852" t="s">
        <v>164</v>
      </c>
      <c r="K2907" s="852">
        <f t="shared" si="91"/>
        <v>54</v>
      </c>
      <c r="L2907" s="852"/>
      <c r="M2907" s="852"/>
    </row>
    <row r="2908" spans="1:19">
      <c r="A2908" s="1132"/>
      <c r="E2908" s="852"/>
      <c r="F2908" s="852">
        <v>10</v>
      </c>
      <c r="G2908" s="852" t="s">
        <v>164</v>
      </c>
      <c r="H2908" s="852" t="str">
        <f t="shared" si="90"/>
        <v>19 mm PVC rigid tees (p-128 4b, 13.70/12=1.14)</v>
      </c>
      <c r="I2908" s="852">
        <f t="shared" si="90"/>
        <v>1.1416666666666666</v>
      </c>
      <c r="J2908" s="852" t="s">
        <v>164</v>
      </c>
      <c r="K2908" s="852">
        <f t="shared" si="91"/>
        <v>11.416666666666666</v>
      </c>
      <c r="L2908" s="852"/>
      <c r="M2908" s="852"/>
    </row>
    <row r="2909" spans="1:19">
      <c r="A2909" s="1132"/>
      <c r="E2909" s="852"/>
      <c r="F2909" s="852">
        <v>10</v>
      </c>
      <c r="G2909" s="852" t="s">
        <v>164</v>
      </c>
      <c r="H2909" s="852" t="str">
        <f>H2852</f>
        <v>19 mm PVC junction box  ( p-129,6-b( 36.80/12=3.07)</v>
      </c>
      <c r="I2909" s="852">
        <f>I2852</f>
        <v>3.0666666666666664</v>
      </c>
      <c r="J2909" s="852" t="s">
        <v>164</v>
      </c>
      <c r="K2909" s="852">
        <f t="shared" si="91"/>
        <v>30.666666666666664</v>
      </c>
      <c r="L2909" s="852"/>
      <c r="M2909" s="852"/>
    </row>
    <row r="2910" spans="1:19">
      <c r="A2910" s="1132"/>
      <c r="E2910" s="852"/>
      <c r="F2910" s="852">
        <v>10</v>
      </c>
      <c r="G2910" s="852" t="s">
        <v>164</v>
      </c>
      <c r="H2910" s="852" t="str">
        <f>H2851</f>
        <v>Ceiling rose p-115 it-26</v>
      </c>
      <c r="I2910" s="852">
        <f>I2851</f>
        <v>13.6</v>
      </c>
      <c r="J2910" s="852" t="s">
        <v>164</v>
      </c>
      <c r="K2910" s="852">
        <f t="shared" si="91"/>
        <v>136</v>
      </c>
      <c r="L2910" s="852"/>
      <c r="M2910" s="852"/>
    </row>
    <row r="2911" spans="1:19">
      <c r="A2911" s="1132"/>
      <c r="E2911" s="852"/>
      <c r="F2911" s="852">
        <v>10</v>
      </c>
      <c r="G2911" s="852" t="s">
        <v>164</v>
      </c>
      <c r="H2911" s="852" t="str">
        <f>H2850</f>
        <v>5 amps flush type switch p-117, Part-C,1 a ( 190.70/12=15.89)</v>
      </c>
      <c r="I2911" s="852">
        <f>I2850</f>
        <v>15.89</v>
      </c>
      <c r="J2911" s="852" t="s">
        <v>164</v>
      </c>
      <c r="K2911" s="852">
        <f t="shared" si="91"/>
        <v>158.9</v>
      </c>
      <c r="L2911" s="852"/>
      <c r="M2911" s="852"/>
    </row>
    <row r="2912" spans="1:19">
      <c r="A2912" s="1132"/>
      <c r="E2912" s="852"/>
      <c r="F2912" s="852">
        <v>10</v>
      </c>
      <c r="G2912" s="852" t="s">
        <v>164</v>
      </c>
      <c r="H2912" s="852" t="s">
        <v>3903</v>
      </c>
      <c r="I2912" s="1222">
        <v>89.3</v>
      </c>
      <c r="J2912" s="852" t="s">
        <v>164</v>
      </c>
      <c r="K2912" s="852">
        <f t="shared" si="91"/>
        <v>893</v>
      </c>
      <c r="L2912" s="852"/>
      <c r="M2912" s="852"/>
    </row>
    <row r="2913" spans="1:13" ht="24" customHeight="1">
      <c r="A2913" s="1132"/>
      <c r="E2913" s="852"/>
      <c r="F2913" s="852">
        <v>0.6</v>
      </c>
      <c r="G2913" s="852" t="s">
        <v>174</v>
      </c>
      <c r="H2913" s="852" t="str">
        <f>H2855</f>
        <v>3 mm thick laminated Hylem sheet p-129 it-7a part-I</v>
      </c>
      <c r="I2913" s="852">
        <f>I2849</f>
        <v>563</v>
      </c>
      <c r="J2913" s="852" t="s">
        <v>174</v>
      </c>
      <c r="K2913" s="852">
        <f t="shared" si="91"/>
        <v>337.8</v>
      </c>
      <c r="L2913" s="852"/>
      <c r="M2913" s="852"/>
    </row>
    <row r="2914" spans="1:13">
      <c r="A2914" s="1132"/>
      <c r="E2914" s="852"/>
      <c r="F2914" s="852">
        <v>1</v>
      </c>
      <c r="G2914" s="852" t="s">
        <v>164</v>
      </c>
      <c r="H2914" s="852" t="s">
        <v>3904</v>
      </c>
      <c r="I2914" s="852">
        <f>I2854</f>
        <v>54.9</v>
      </c>
      <c r="J2914" s="852" t="s">
        <v>164</v>
      </c>
      <c r="K2914" s="852">
        <f t="shared" si="91"/>
        <v>54.9</v>
      </c>
      <c r="L2914" s="852"/>
      <c r="M2914" s="852"/>
    </row>
    <row r="2915" spans="1:13">
      <c r="A2915" s="1132"/>
      <c r="E2915" s="852"/>
      <c r="F2915" s="1224">
        <v>1.4999999999999999E-2</v>
      </c>
      <c r="G2915" s="852" t="s">
        <v>174</v>
      </c>
      <c r="H2915" s="852" t="str">
        <f>H2913</f>
        <v>3 mm thick laminated Hylem sheet p-129 it-7a part-I</v>
      </c>
      <c r="I2915" s="852">
        <f>I2913</f>
        <v>563</v>
      </c>
      <c r="J2915" s="852" t="s">
        <v>174</v>
      </c>
      <c r="K2915" s="852">
        <f t="shared" si="91"/>
        <v>8.4450000000000003</v>
      </c>
      <c r="L2915" s="852"/>
      <c r="M2915" s="852"/>
    </row>
    <row r="2916" spans="1:13">
      <c r="A2916" s="1132"/>
      <c r="E2916" s="852"/>
      <c r="F2916" s="852">
        <v>1.25</v>
      </c>
      <c r="G2916" s="852" t="s">
        <v>3851</v>
      </c>
      <c r="H2916" s="852" t="s">
        <v>1124</v>
      </c>
      <c r="I2916" s="852">
        <f>I2853</f>
        <v>290</v>
      </c>
      <c r="J2916" s="852" t="s">
        <v>3851</v>
      </c>
      <c r="K2916" s="852">
        <f t="shared" si="91"/>
        <v>362.5</v>
      </c>
      <c r="L2916" s="852"/>
      <c r="M2916" s="852"/>
    </row>
    <row r="2917" spans="1:13" ht="31.5">
      <c r="A2917" s="1132"/>
      <c r="E2917" s="852"/>
      <c r="F2917" s="852">
        <v>45</v>
      </c>
      <c r="G2917" s="852" t="s">
        <v>231</v>
      </c>
      <c r="H2917" s="1221" t="str">
        <f>H2856</f>
        <v>1.5 sqmm copper PVC insulated unsheathed single core cable (P-124 it-2/b)</v>
      </c>
      <c r="I2917" s="852">
        <f>I2843</f>
        <v>13.5</v>
      </c>
      <c r="J2917" s="852" t="s">
        <v>231</v>
      </c>
      <c r="K2917" s="852">
        <f t="shared" si="91"/>
        <v>607.5</v>
      </c>
      <c r="L2917" s="852"/>
      <c r="M2917" s="852"/>
    </row>
    <row r="2918" spans="1:13">
      <c r="A2918" s="1132"/>
      <c r="E2918" s="852"/>
      <c r="F2918" s="852" t="s">
        <v>166</v>
      </c>
      <c r="G2918" s="852"/>
      <c r="H2918" s="852" t="s">
        <v>656</v>
      </c>
      <c r="I2918" s="852"/>
      <c r="J2918" s="852"/>
      <c r="K2918" s="852">
        <f>K2873</f>
        <v>9313</v>
      </c>
      <c r="L2918" s="852"/>
      <c r="M2918" s="852"/>
    </row>
    <row r="2919" spans="1:13">
      <c r="A2919" s="1132"/>
      <c r="E2919" s="852"/>
      <c r="F2919" s="852" t="s">
        <v>166</v>
      </c>
      <c r="G2919" s="852"/>
      <c r="H2919" s="852" t="s">
        <v>236</v>
      </c>
      <c r="I2919" s="852"/>
      <c r="J2919" s="852"/>
      <c r="K2919" s="1231">
        <v>27.35</v>
      </c>
      <c r="L2919" s="852"/>
      <c r="M2919" s="852"/>
    </row>
    <row r="2920" spans="1:13">
      <c r="A2920" s="1132"/>
      <c r="E2920" s="852"/>
      <c r="F2920" s="852"/>
      <c r="G2920" s="852"/>
      <c r="H2920" s="1227" t="s">
        <v>3885</v>
      </c>
      <c r="I2920" s="852"/>
      <c r="J2920" s="852"/>
      <c r="K2920" s="1228">
        <f>SUM(K2905:K2919)</f>
        <v>13979.978333333334</v>
      </c>
      <c r="L2920" s="852">
        <f>K2920-10520</f>
        <v>3459.9783333333344</v>
      </c>
      <c r="M2920" s="852">
        <f>11920-K2920</f>
        <v>-2059.9783333333344</v>
      </c>
    </row>
    <row r="2921" spans="1:13">
      <c r="A2921" s="1132"/>
      <c r="E2921" s="852"/>
      <c r="F2921" s="852"/>
      <c r="G2921" s="852"/>
      <c r="H2921" s="1229" t="s">
        <v>3899</v>
      </c>
      <c r="I2921" s="852"/>
      <c r="J2921" s="852"/>
      <c r="K2921" s="1230">
        <f>K2920/10</f>
        <v>1397.9978333333333</v>
      </c>
      <c r="L2921" s="852">
        <f>K2921-1126</f>
        <v>271.99783333333335</v>
      </c>
      <c r="M2921" s="852"/>
    </row>
    <row r="2922" spans="1:13">
      <c r="A2922" s="1132"/>
      <c r="E2922" s="852"/>
      <c r="F2922" s="852"/>
      <c r="G2922" s="852"/>
      <c r="H2922" s="1230" t="s">
        <v>3905</v>
      </c>
      <c r="I2922" s="852"/>
      <c r="J2922" s="852"/>
      <c r="K2922" s="1230"/>
      <c r="L2922" s="852">
        <f>L2921*10</f>
        <v>2719.9783333333335</v>
      </c>
      <c r="M2922" s="852"/>
    </row>
    <row r="2923" spans="1:13">
      <c r="A2923" s="1132"/>
      <c r="E2923" s="852"/>
      <c r="F2923" s="852"/>
      <c r="G2923" s="852"/>
      <c r="H2923" s="853" t="s">
        <v>3906</v>
      </c>
      <c r="I2923" s="852">
        <f>90</f>
        <v>90</v>
      </c>
      <c r="J2923" s="852"/>
      <c r="K2923" s="1230"/>
      <c r="L2923" s="852"/>
      <c r="M2923" s="852"/>
    </row>
    <row r="2924" spans="1:13">
      <c r="A2924" s="1132"/>
      <c r="E2924" s="852"/>
      <c r="F2924" s="852"/>
      <c r="G2924" s="852"/>
      <c r="H2924" s="853" t="s">
        <v>3907</v>
      </c>
      <c r="I2924" s="1237">
        <v>8.2500000000000004E-2</v>
      </c>
      <c r="J2924" s="852"/>
      <c r="K2924" s="1230"/>
      <c r="L2924" s="852"/>
      <c r="M2924" s="852"/>
    </row>
    <row r="2925" spans="1:13" ht="18">
      <c r="A2925" s="1132"/>
      <c r="E2925" s="852"/>
      <c r="F2925" s="852"/>
      <c r="G2925" s="852"/>
      <c r="H2925" s="853" t="s">
        <v>3908</v>
      </c>
      <c r="I2925" s="1224">
        <v>0.13500000000000001</v>
      </c>
      <c r="J2925" s="852"/>
      <c r="K2925" s="1230">
        <f>I2923*I2925/I2924</f>
        <v>147.27272727272728</v>
      </c>
      <c r="L2925" s="852"/>
      <c r="M2925" s="852"/>
    </row>
    <row r="2926" spans="1:13">
      <c r="A2926" s="1132"/>
      <c r="E2926" s="852"/>
      <c r="F2926" s="852"/>
      <c r="G2926" s="852"/>
      <c r="H2926" s="1229"/>
      <c r="I2926" s="852"/>
      <c r="J2926" s="852"/>
      <c r="K2926" s="1230"/>
      <c r="L2926" s="852"/>
      <c r="M2926" s="852"/>
    </row>
    <row r="2927" spans="1:13">
      <c r="A2927" s="1132"/>
      <c r="E2927" s="852"/>
      <c r="F2927" s="852"/>
      <c r="G2927" s="852"/>
      <c r="H2927" s="852"/>
      <c r="I2927" s="852"/>
      <c r="J2927" s="852"/>
      <c r="K2927" s="852"/>
      <c r="L2927" s="852"/>
      <c r="M2927" s="852"/>
    </row>
    <row r="2928" spans="1:13">
      <c r="A2928" s="1132"/>
      <c r="E2928" s="852"/>
      <c r="F2928" s="852"/>
      <c r="G2928" s="852"/>
      <c r="H2928" s="1230" t="s">
        <v>3909</v>
      </c>
      <c r="I2928" s="852"/>
      <c r="J2928" s="852"/>
      <c r="K2928" s="852"/>
      <c r="L2928" s="852"/>
      <c r="M2928" s="852"/>
    </row>
    <row r="2929" spans="1:13">
      <c r="A2929" s="1132"/>
      <c r="E2929" s="852"/>
      <c r="F2929" s="852"/>
      <c r="G2929" s="852"/>
      <c r="H2929" s="1230" t="s">
        <v>3910</v>
      </c>
      <c r="I2929" s="852"/>
      <c r="J2929" s="852"/>
      <c r="K2929" s="852"/>
      <c r="L2929" s="852"/>
      <c r="M2929" s="852"/>
    </row>
    <row r="2930" spans="1:13" ht="177.75" customHeight="1">
      <c r="A2930" s="1132"/>
      <c r="E2930" s="852"/>
      <c r="F2930" s="852"/>
      <c r="G2930" s="852"/>
      <c r="H2930" s="1220" t="s">
        <v>3911</v>
      </c>
      <c r="I2930" s="852"/>
      <c r="J2930" s="852"/>
      <c r="K2930" s="852"/>
      <c r="L2930" s="852"/>
      <c r="M2930" s="852"/>
    </row>
    <row r="2931" spans="1:13">
      <c r="A2931" s="1132"/>
      <c r="E2931" s="852"/>
      <c r="F2931" s="852">
        <v>90</v>
      </c>
      <c r="G2931" s="852" t="s">
        <v>231</v>
      </c>
      <c r="H2931" s="1140" t="s">
        <v>3838</v>
      </c>
      <c r="I2931" s="852">
        <f>I2843</f>
        <v>13.5</v>
      </c>
      <c r="J2931" s="852" t="s">
        <v>3834</v>
      </c>
      <c r="K2931" s="852">
        <f>F2931*I2931</f>
        <v>1215</v>
      </c>
      <c r="L2931" s="852"/>
      <c r="M2931" s="852"/>
    </row>
    <row r="2932" spans="1:13">
      <c r="A2932" s="1132"/>
      <c r="E2932" s="852"/>
      <c r="F2932" s="852">
        <v>30</v>
      </c>
      <c r="G2932" s="852" t="s">
        <v>231</v>
      </c>
      <c r="H2932" s="1220" t="s">
        <v>3840</v>
      </c>
      <c r="I2932" s="852">
        <f>I2906</f>
        <v>17.100000000000001</v>
      </c>
      <c r="J2932" s="852" t="s">
        <v>231</v>
      </c>
      <c r="K2932" s="852">
        <f t="shared" ref="K2932:K2941" si="92">F2932*I2932</f>
        <v>513</v>
      </c>
      <c r="L2932" s="852"/>
      <c r="M2932" s="852"/>
    </row>
    <row r="2933" spans="1:13">
      <c r="A2933" s="1132"/>
      <c r="E2933" s="852"/>
      <c r="F2933" s="852">
        <v>10</v>
      </c>
      <c r="G2933" s="852" t="s">
        <v>164</v>
      </c>
      <c r="H2933" s="852" t="s">
        <v>3844</v>
      </c>
      <c r="I2933" s="852">
        <f>I2907</f>
        <v>2.7</v>
      </c>
      <c r="J2933" s="852" t="s">
        <v>164</v>
      </c>
      <c r="K2933" s="852">
        <f t="shared" si="92"/>
        <v>27</v>
      </c>
      <c r="L2933" s="852"/>
      <c r="M2933" s="852"/>
    </row>
    <row r="2934" spans="1:13">
      <c r="A2934" s="1132"/>
      <c r="E2934" s="852"/>
      <c r="F2934" s="852">
        <v>5</v>
      </c>
      <c r="G2934" s="852" t="s">
        <v>164</v>
      </c>
      <c r="H2934" s="852" t="s">
        <v>3846</v>
      </c>
      <c r="I2934" s="852">
        <f>I2908</f>
        <v>1.1416666666666666</v>
      </c>
      <c r="J2934" s="852" t="s">
        <v>164</v>
      </c>
      <c r="K2934" s="852">
        <f t="shared" si="92"/>
        <v>5.708333333333333</v>
      </c>
      <c r="L2934" s="852"/>
      <c r="M2934" s="852"/>
    </row>
    <row r="2935" spans="1:13">
      <c r="A2935" s="1132"/>
      <c r="E2935" s="852"/>
      <c r="F2935" s="852">
        <v>10</v>
      </c>
      <c r="G2935" s="852" t="s">
        <v>164</v>
      </c>
      <c r="H2935" s="1220" t="s">
        <v>3912</v>
      </c>
      <c r="I2935" s="1223">
        <f>ROUND(237/12,2)</f>
        <v>19.75</v>
      </c>
      <c r="J2935" s="852" t="s">
        <v>164</v>
      </c>
      <c r="K2935" s="852">
        <f t="shared" si="92"/>
        <v>197.5</v>
      </c>
      <c r="L2935" s="852"/>
      <c r="M2935" s="852">
        <f>253/12</f>
        <v>21.083333333333332</v>
      </c>
    </row>
    <row r="2936" spans="1:13">
      <c r="A2936" s="1132"/>
      <c r="E2936" s="852"/>
      <c r="F2936" s="852">
        <v>5</v>
      </c>
      <c r="G2936" s="852" t="s">
        <v>164</v>
      </c>
      <c r="H2936" s="852" t="s">
        <v>3853</v>
      </c>
      <c r="I2936" s="852">
        <f>I2910</f>
        <v>13.6</v>
      </c>
      <c r="J2936" s="852" t="s">
        <v>164</v>
      </c>
      <c r="K2936" s="852">
        <f t="shared" si="92"/>
        <v>68</v>
      </c>
      <c r="L2936" s="852"/>
      <c r="M2936" s="852"/>
    </row>
    <row r="2937" spans="1:13">
      <c r="A2937" s="1132"/>
      <c r="E2937" s="852"/>
      <c r="F2937" s="852">
        <v>5</v>
      </c>
      <c r="G2937" s="852" t="s">
        <v>164</v>
      </c>
      <c r="H2937" s="852" t="s">
        <v>3913</v>
      </c>
      <c r="I2937" s="852">
        <f>I2909</f>
        <v>3.0666666666666664</v>
      </c>
      <c r="J2937" s="852" t="s">
        <v>164</v>
      </c>
      <c r="K2937" s="852">
        <f t="shared" si="92"/>
        <v>15.333333333333332</v>
      </c>
      <c r="L2937" s="852"/>
      <c r="M2937" s="852"/>
    </row>
    <row r="2938" spans="1:13">
      <c r="A2938" s="1132"/>
      <c r="E2938" s="852"/>
      <c r="F2938" s="852">
        <v>6</v>
      </c>
      <c r="G2938" s="852" t="s">
        <v>164</v>
      </c>
      <c r="H2938" s="852" t="s">
        <v>3914</v>
      </c>
      <c r="I2938" s="852">
        <f>I2914</f>
        <v>54.9</v>
      </c>
      <c r="J2938" s="852" t="s">
        <v>164</v>
      </c>
      <c r="K2938" s="852">
        <f t="shared" si="92"/>
        <v>329.4</v>
      </c>
      <c r="L2938" s="852"/>
      <c r="M2938" s="852"/>
    </row>
    <row r="2939" spans="1:13">
      <c r="A2939" s="1132"/>
      <c r="E2939" s="852"/>
      <c r="F2939" s="852">
        <v>0.09</v>
      </c>
      <c r="G2939" s="852" t="s">
        <v>174</v>
      </c>
      <c r="H2939" s="852" t="s">
        <v>3915</v>
      </c>
      <c r="I2939" s="852">
        <f>I2913</f>
        <v>563</v>
      </c>
      <c r="J2939" s="852" t="s">
        <v>174</v>
      </c>
      <c r="K2939" s="852">
        <f t="shared" si="92"/>
        <v>50.669999999999995</v>
      </c>
      <c r="L2939" s="852"/>
      <c r="M2939" s="852"/>
    </row>
    <row r="2940" spans="1:13">
      <c r="A2940" s="1132"/>
      <c r="E2940" s="852"/>
      <c r="F2940" s="852">
        <v>1.25</v>
      </c>
      <c r="G2940" s="852" t="s">
        <v>3851</v>
      </c>
      <c r="H2940" s="852" t="s">
        <v>1124</v>
      </c>
      <c r="I2940" s="852">
        <f>I2916</f>
        <v>290</v>
      </c>
      <c r="J2940" s="852" t="s">
        <v>3851</v>
      </c>
      <c r="K2940" s="852">
        <f t="shared" si="92"/>
        <v>362.5</v>
      </c>
      <c r="L2940" s="852"/>
      <c r="M2940" s="852"/>
    </row>
    <row r="2941" spans="1:13" ht="31.5">
      <c r="A2941" s="1132"/>
      <c r="E2941" s="852"/>
      <c r="F2941" s="852">
        <v>30</v>
      </c>
      <c r="G2941" s="852" t="s">
        <v>231</v>
      </c>
      <c r="H2941" s="1140" t="s">
        <v>3861</v>
      </c>
      <c r="I2941" s="852">
        <f>I2931</f>
        <v>13.5</v>
      </c>
      <c r="J2941" s="852" t="s">
        <v>231</v>
      </c>
      <c r="K2941" s="852">
        <f t="shared" si="92"/>
        <v>405</v>
      </c>
      <c r="L2941" s="852"/>
      <c r="M2941" s="852"/>
    </row>
    <row r="2942" spans="1:13">
      <c r="A2942" s="1132"/>
      <c r="E2942" s="852"/>
      <c r="F2942" s="852"/>
      <c r="G2942" s="852"/>
      <c r="H2942" s="852" t="s">
        <v>656</v>
      </c>
      <c r="I2942" s="852"/>
      <c r="J2942" s="852"/>
      <c r="K2942" s="852">
        <f>K2873</f>
        <v>9313</v>
      </c>
      <c r="L2942" s="852"/>
      <c r="M2942" s="852"/>
    </row>
    <row r="2943" spans="1:13">
      <c r="A2943" s="1132"/>
      <c r="E2943" s="852"/>
      <c r="F2943" s="852"/>
      <c r="G2943" s="852"/>
      <c r="H2943" s="852" t="s">
        <v>236</v>
      </c>
      <c r="I2943" s="852"/>
      <c r="J2943" s="852"/>
      <c r="K2943" s="1238">
        <v>27.88</v>
      </c>
      <c r="L2943" s="852"/>
      <c r="M2943" s="852"/>
    </row>
    <row r="2944" spans="1:13">
      <c r="A2944" s="1132"/>
      <c r="E2944" s="852"/>
      <c r="F2944" s="852"/>
      <c r="G2944" s="852"/>
      <c r="H2944" s="1227" t="s">
        <v>3916</v>
      </c>
      <c r="I2944" s="852"/>
      <c r="J2944" s="852"/>
      <c r="K2944" s="1228">
        <f>SUM(K2931:K2943)</f>
        <v>12529.991666666667</v>
      </c>
      <c r="L2944" s="852">
        <f>K2944-9145</f>
        <v>3384.9916666666668</v>
      </c>
      <c r="M2944" s="852"/>
    </row>
    <row r="2945" spans="1:14">
      <c r="A2945" s="1132"/>
      <c r="E2945" s="852"/>
      <c r="F2945" s="852"/>
      <c r="G2945" s="852"/>
      <c r="H2945" s="1229" t="s">
        <v>3899</v>
      </c>
      <c r="I2945" s="852"/>
      <c r="J2945" s="852"/>
      <c r="K2945" s="1230">
        <f>K2944/5</f>
        <v>2505.9983333333334</v>
      </c>
      <c r="L2945" s="852">
        <f>1973-K2945</f>
        <v>-532.99833333333345</v>
      </c>
      <c r="M2945" s="852"/>
    </row>
    <row r="2946" spans="1:14">
      <c r="A2946" s="1132"/>
      <c r="E2946" s="852"/>
      <c r="F2946" s="852"/>
      <c r="G2946" s="852"/>
      <c r="H2946" s="852"/>
      <c r="I2946" s="852"/>
      <c r="J2946" s="852"/>
      <c r="K2946" s="852"/>
      <c r="L2946" s="852">
        <f>L2945*5</f>
        <v>-2664.9916666666672</v>
      </c>
      <c r="M2946" s="852"/>
    </row>
    <row r="2947" spans="1:14">
      <c r="A2947" s="1132"/>
      <c r="E2947" s="852"/>
      <c r="F2947" s="852"/>
      <c r="G2947" s="852"/>
      <c r="H2947" s="1230" t="s">
        <v>3917</v>
      </c>
      <c r="I2947" s="852"/>
      <c r="J2947" s="852"/>
      <c r="K2947" s="852"/>
      <c r="L2947" s="852"/>
      <c r="M2947" s="852"/>
    </row>
    <row r="2948" spans="1:14">
      <c r="A2948" s="1132"/>
      <c r="E2948" s="852"/>
      <c r="F2948" s="852"/>
      <c r="G2948" s="852"/>
      <c r="H2948" s="1230" t="s">
        <v>3918</v>
      </c>
      <c r="I2948" s="852"/>
      <c r="J2948" s="852"/>
      <c r="K2948" s="852"/>
      <c r="L2948" s="852"/>
      <c r="M2948" s="852"/>
    </row>
    <row r="2949" spans="1:14">
      <c r="A2949" s="1132"/>
      <c r="E2949" s="852"/>
      <c r="F2949" s="852"/>
      <c r="G2949" s="852"/>
      <c r="H2949" s="852"/>
      <c r="I2949" s="852"/>
      <c r="J2949" s="852"/>
      <c r="K2949" s="852"/>
      <c r="L2949" s="852"/>
      <c r="M2949" s="852"/>
    </row>
    <row r="2950" spans="1:14" ht="141.75">
      <c r="A2950" s="1132"/>
      <c r="E2950" s="852"/>
      <c r="F2950" s="852"/>
      <c r="G2950" s="852"/>
      <c r="H2950" s="1220" t="s">
        <v>3919</v>
      </c>
      <c r="I2950" s="852"/>
      <c r="J2950" s="852"/>
      <c r="K2950" s="852"/>
      <c r="L2950" s="852"/>
      <c r="M2950" s="852"/>
    </row>
    <row r="2951" spans="1:14">
      <c r="A2951" s="1132"/>
      <c r="E2951" s="852"/>
      <c r="F2951" s="852">
        <v>90</v>
      </c>
      <c r="G2951" s="852" t="s">
        <v>231</v>
      </c>
      <c r="H2951" s="1140" t="s">
        <v>3838</v>
      </c>
      <c r="I2951" s="852">
        <f>I2931</f>
        <v>13.5</v>
      </c>
      <c r="J2951" s="852" t="s">
        <v>3834</v>
      </c>
      <c r="K2951" s="852">
        <f>F2951*I2951</f>
        <v>1215</v>
      </c>
      <c r="L2951" s="852"/>
      <c r="M2951" s="852"/>
    </row>
    <row r="2952" spans="1:14">
      <c r="E2952" s="852"/>
      <c r="F2952" s="852">
        <v>45</v>
      </c>
      <c r="G2952" s="852" t="s">
        <v>231</v>
      </c>
      <c r="H2952" s="1220" t="s">
        <v>3840</v>
      </c>
      <c r="I2952" s="852">
        <f>I2932</f>
        <v>17.100000000000001</v>
      </c>
      <c r="J2952" s="852" t="s">
        <v>231</v>
      </c>
      <c r="K2952" s="852">
        <f t="shared" ref="K2952:K2961" si="93">F2952*I2952</f>
        <v>769.50000000000011</v>
      </c>
      <c r="L2952" s="852"/>
      <c r="M2952" s="852"/>
    </row>
    <row r="2953" spans="1:14" ht="20.100000000000001" customHeight="1">
      <c r="E2953" s="852"/>
      <c r="F2953" s="852">
        <v>20</v>
      </c>
      <c r="G2953" s="852" t="s">
        <v>164</v>
      </c>
      <c r="H2953" s="852" t="s">
        <v>3844</v>
      </c>
      <c r="I2953" s="852">
        <f>I2933</f>
        <v>2.7</v>
      </c>
      <c r="J2953" s="852" t="s">
        <v>3842</v>
      </c>
      <c r="K2953" s="852">
        <f t="shared" si="93"/>
        <v>54</v>
      </c>
      <c r="L2953" s="852"/>
      <c r="M2953" s="852"/>
    </row>
    <row r="2954" spans="1:14" ht="20.100000000000001" customHeight="1">
      <c r="E2954" s="852"/>
      <c r="F2954" s="852">
        <v>10</v>
      </c>
      <c r="G2954" s="852" t="s">
        <v>164</v>
      </c>
      <c r="H2954" s="852" t="s">
        <v>3846</v>
      </c>
      <c r="I2954" s="852">
        <f>I2934</f>
        <v>1.1416666666666666</v>
      </c>
      <c r="J2954" s="852" t="s">
        <v>3842</v>
      </c>
      <c r="K2954" s="852">
        <f t="shared" si="93"/>
        <v>11.416666666666666</v>
      </c>
      <c r="L2954" s="852"/>
      <c r="M2954" s="852"/>
    </row>
    <row r="2955" spans="1:14" ht="20.100000000000001" customHeight="1">
      <c r="E2955" s="852"/>
      <c r="F2955" s="852">
        <v>1</v>
      </c>
      <c r="G2955" s="852" t="s">
        <v>164</v>
      </c>
      <c r="H2955" s="852" t="s">
        <v>3914</v>
      </c>
      <c r="I2955" s="852">
        <f>I2938</f>
        <v>54.9</v>
      </c>
      <c r="J2955" s="852" t="s">
        <v>164</v>
      </c>
      <c r="K2955" s="852">
        <f t="shared" si="93"/>
        <v>54.9</v>
      </c>
      <c r="L2955" s="852"/>
      <c r="M2955" s="852"/>
    </row>
    <row r="2956" spans="1:14" ht="20.100000000000001" customHeight="1">
      <c r="E2956" s="852"/>
      <c r="F2956" s="1224">
        <v>1.4999999999999999E-2</v>
      </c>
      <c r="G2956" s="852" t="s">
        <v>174</v>
      </c>
      <c r="H2956" s="852" t="s">
        <v>3915</v>
      </c>
      <c r="I2956" s="852">
        <f>I2849</f>
        <v>563</v>
      </c>
      <c r="J2956" s="852" t="s">
        <v>174</v>
      </c>
      <c r="K2956" s="852">
        <f t="shared" si="93"/>
        <v>8.4450000000000003</v>
      </c>
      <c r="L2956" s="852"/>
      <c r="M2956" s="852"/>
    </row>
    <row r="2957" spans="1:14" ht="31.5" customHeight="1">
      <c r="E2957" s="852"/>
      <c r="F2957" s="852">
        <v>15</v>
      </c>
      <c r="G2957" s="852" t="s">
        <v>164</v>
      </c>
      <c r="H2957" s="1220" t="s">
        <v>3920</v>
      </c>
      <c r="I2957" s="1223">
        <f>(190.7/12)+23.7</f>
        <v>39.591666666666669</v>
      </c>
      <c r="J2957" s="852" t="s">
        <v>164</v>
      </c>
      <c r="K2957" s="852">
        <f t="shared" si="93"/>
        <v>593.875</v>
      </c>
      <c r="L2957" s="1239">
        <f>185+230</f>
        <v>415</v>
      </c>
      <c r="M2957" s="852">
        <f>L2957/12</f>
        <v>34.583333333333336</v>
      </c>
      <c r="N2957" s="794">
        <f>M2957/12</f>
        <v>2.8819444444444446</v>
      </c>
    </row>
    <row r="2958" spans="1:14" ht="20.100000000000001" customHeight="1">
      <c r="E2958" s="852"/>
      <c r="F2958" s="852">
        <v>15</v>
      </c>
      <c r="G2958" s="852" t="s">
        <v>164</v>
      </c>
      <c r="H2958" s="852" t="s">
        <v>3914</v>
      </c>
      <c r="I2958" s="852">
        <f>I2955</f>
        <v>54.9</v>
      </c>
      <c r="J2958" s="852" t="s">
        <v>164</v>
      </c>
      <c r="K2958" s="852">
        <f t="shared" si="93"/>
        <v>823.5</v>
      </c>
      <c r="L2958" s="852"/>
      <c r="M2958" s="852"/>
    </row>
    <row r="2959" spans="1:14" ht="20.100000000000001" customHeight="1">
      <c r="E2959" s="852"/>
      <c r="F2959" s="1224">
        <v>0.22500000000000001</v>
      </c>
      <c r="G2959" s="852" t="s">
        <v>174</v>
      </c>
      <c r="H2959" s="852" t="s">
        <v>3915</v>
      </c>
      <c r="I2959" s="852">
        <f>I2956</f>
        <v>563</v>
      </c>
      <c r="J2959" s="852" t="s">
        <v>3921</v>
      </c>
      <c r="K2959" s="852">
        <f t="shared" si="93"/>
        <v>126.675</v>
      </c>
      <c r="L2959" s="852"/>
      <c r="M2959" s="852"/>
    </row>
    <row r="2960" spans="1:14" ht="20.100000000000001" customHeight="1">
      <c r="E2960" s="852"/>
      <c r="F2960" s="852">
        <v>1.25</v>
      </c>
      <c r="G2960" s="852" t="s">
        <v>3851</v>
      </c>
      <c r="H2960" s="852" t="s">
        <v>1124</v>
      </c>
      <c r="I2960" s="852">
        <f>I2940</f>
        <v>290</v>
      </c>
      <c r="J2960" s="852" t="s">
        <v>3851</v>
      </c>
      <c r="K2960" s="852">
        <f t="shared" si="93"/>
        <v>362.5</v>
      </c>
      <c r="L2960" s="852"/>
      <c r="M2960" s="852"/>
    </row>
    <row r="2961" spans="5:13" ht="31.5">
      <c r="E2961" s="852"/>
      <c r="F2961" s="852">
        <v>45</v>
      </c>
      <c r="G2961" s="852" t="s">
        <v>174</v>
      </c>
      <c r="H2961" s="1140" t="s">
        <v>3861</v>
      </c>
      <c r="I2961" s="852">
        <f>I2951</f>
        <v>13.5</v>
      </c>
      <c r="J2961" s="852" t="s">
        <v>231</v>
      </c>
      <c r="K2961" s="852">
        <f t="shared" si="93"/>
        <v>607.5</v>
      </c>
      <c r="L2961" s="852"/>
      <c r="M2961" s="852"/>
    </row>
    <row r="2962" spans="5:13" ht="15.75" customHeight="1">
      <c r="E2962" s="852"/>
      <c r="F2962" s="852"/>
      <c r="G2962" s="852"/>
      <c r="H2962" s="852" t="s">
        <v>656</v>
      </c>
      <c r="I2962" s="852"/>
      <c r="J2962" s="852"/>
      <c r="K2962" s="852">
        <f>K2918</f>
        <v>9313</v>
      </c>
      <c r="L2962" s="852"/>
      <c r="M2962" s="852"/>
    </row>
    <row r="2963" spans="5:13" ht="17.25" customHeight="1">
      <c r="E2963" s="852"/>
      <c r="F2963" s="852"/>
      <c r="G2963" s="852"/>
      <c r="H2963" s="852" t="s">
        <v>236</v>
      </c>
      <c r="I2963" s="852"/>
      <c r="J2963" s="852"/>
      <c r="K2963" s="1231">
        <v>39.72</v>
      </c>
      <c r="L2963" s="852"/>
      <c r="M2963" s="852"/>
    </row>
    <row r="2964" spans="5:13">
      <c r="E2964" s="852"/>
      <c r="F2964" s="852"/>
      <c r="G2964" s="852"/>
      <c r="H2964" s="1227" t="s">
        <v>3922</v>
      </c>
      <c r="I2964" s="852"/>
      <c r="J2964" s="852"/>
      <c r="K2964" s="1228">
        <f>SUM(K2951:K2963)</f>
        <v>13980.031666666666</v>
      </c>
      <c r="L2964" s="852">
        <f>10515-K2964</f>
        <v>-3465.0316666666658</v>
      </c>
      <c r="M2964" s="852"/>
    </row>
    <row r="2965" spans="5:13">
      <c r="E2965" s="852"/>
      <c r="F2965" s="852"/>
      <c r="G2965" s="852"/>
      <c r="H2965" s="1229" t="s">
        <v>3899</v>
      </c>
      <c r="I2965" s="852"/>
      <c r="J2965" s="852"/>
      <c r="K2965" s="1230">
        <f>K2964/15</f>
        <v>932.00211111111105</v>
      </c>
      <c r="L2965" s="852">
        <f>752-K2965</f>
        <v>-180.00211111111105</v>
      </c>
      <c r="M2965" s="852"/>
    </row>
    <row r="2966" spans="5:13" ht="12.75" customHeight="1">
      <c r="E2966" s="852"/>
      <c r="F2966" s="852"/>
      <c r="G2966" s="852"/>
      <c r="H2966" s="852"/>
      <c r="I2966" s="852"/>
      <c r="J2966" s="852"/>
      <c r="K2966" s="852"/>
      <c r="L2966" s="852">
        <f>L2965*15</f>
        <v>-2700.0316666666658</v>
      </c>
      <c r="M2966" s="852"/>
    </row>
    <row r="2967" spans="5:13">
      <c r="E2967" s="852"/>
      <c r="F2967" s="852"/>
      <c r="G2967" s="852"/>
      <c r="H2967" s="1230" t="s">
        <v>3923</v>
      </c>
      <c r="I2967" s="852"/>
      <c r="J2967" s="852"/>
      <c r="K2967" s="852"/>
      <c r="L2967" s="852"/>
      <c r="M2967" s="852"/>
    </row>
    <row r="2968" spans="5:13">
      <c r="E2968" s="852"/>
      <c r="F2968" s="852"/>
      <c r="G2968" s="852"/>
      <c r="H2968" s="1230" t="s">
        <v>3924</v>
      </c>
      <c r="I2968" s="852"/>
      <c r="J2968" s="852"/>
      <c r="K2968" s="852"/>
      <c r="L2968" s="852"/>
      <c r="M2968" s="852"/>
    </row>
    <row r="2969" spans="5:13">
      <c r="E2969" s="852"/>
      <c r="F2969" s="852"/>
      <c r="G2969" s="852"/>
      <c r="H2969" s="852"/>
      <c r="I2969" s="852"/>
      <c r="J2969" s="852"/>
      <c r="K2969" s="852"/>
      <c r="L2969" s="852"/>
      <c r="M2969" s="852"/>
    </row>
    <row r="2970" spans="5:13" ht="141.75">
      <c r="E2970" s="852"/>
      <c r="F2970" s="852"/>
      <c r="G2970" s="852"/>
      <c r="H2970" s="1220" t="s">
        <v>3925</v>
      </c>
      <c r="I2970" s="852"/>
      <c r="J2970" s="852"/>
      <c r="K2970" s="852"/>
      <c r="L2970" s="852"/>
      <c r="M2970" s="852"/>
    </row>
    <row r="2971" spans="5:13">
      <c r="E2971" s="852"/>
      <c r="F2971" s="852"/>
      <c r="G2971" s="852"/>
      <c r="H2971" s="852"/>
      <c r="I2971" s="852"/>
      <c r="J2971" s="852"/>
      <c r="K2971" s="852"/>
      <c r="L2971" s="852"/>
      <c r="M2971" s="852"/>
    </row>
    <row r="2972" spans="5:13">
      <c r="E2972" s="852"/>
      <c r="F2972" s="852">
        <v>5</v>
      </c>
      <c r="G2972" s="852" t="s">
        <v>231</v>
      </c>
      <c r="H2972" s="1221" t="s">
        <v>3838</v>
      </c>
      <c r="I2972" s="852">
        <f>I2951</f>
        <v>13.5</v>
      </c>
      <c r="J2972" s="852" t="s">
        <v>2820</v>
      </c>
      <c r="K2972" s="852">
        <f>F2972*I2972</f>
        <v>67.5</v>
      </c>
      <c r="L2972" s="852"/>
      <c r="M2972" s="852"/>
    </row>
    <row r="2973" spans="5:13" ht="33" customHeight="1">
      <c r="E2973" s="852"/>
      <c r="F2973" s="852">
        <v>2.5</v>
      </c>
      <c r="G2973" s="852" t="s">
        <v>231</v>
      </c>
      <c r="H2973" s="1220" t="s">
        <v>3840</v>
      </c>
      <c r="I2973" s="852">
        <f>I2952</f>
        <v>17.100000000000001</v>
      </c>
      <c r="J2973" s="852" t="s">
        <v>231</v>
      </c>
      <c r="K2973" s="852">
        <f>F2973*I2973</f>
        <v>42.75</v>
      </c>
      <c r="L2973" s="852"/>
      <c r="M2973" s="852"/>
    </row>
    <row r="2974" spans="5:13" ht="35.25" customHeight="1">
      <c r="E2974" s="852"/>
      <c r="F2974" s="852">
        <v>1</v>
      </c>
      <c r="G2974" s="852" t="s">
        <v>164</v>
      </c>
      <c r="H2974" s="1220" t="s">
        <v>3926</v>
      </c>
      <c r="I2974" s="1222">
        <f>I2957</f>
        <v>39.591666666666669</v>
      </c>
      <c r="J2974" s="852" t="s">
        <v>164</v>
      </c>
      <c r="K2974" s="852">
        <f>F2974*I2974</f>
        <v>39.591666666666669</v>
      </c>
      <c r="L2974" s="852"/>
      <c r="M2974" s="852"/>
    </row>
    <row r="2975" spans="5:13">
      <c r="E2975" s="852"/>
      <c r="F2975" s="852"/>
      <c r="G2975" s="852"/>
      <c r="H2975" s="852" t="s">
        <v>656</v>
      </c>
      <c r="I2975" s="852"/>
      <c r="J2975" s="852"/>
      <c r="K2975" s="852">
        <f>ROUND(K2873*5/90,2)</f>
        <v>517.39</v>
      </c>
      <c r="L2975" s="852"/>
      <c r="M2975" s="852"/>
    </row>
    <row r="2976" spans="5:13">
      <c r="E2976" s="852"/>
      <c r="F2976" s="852"/>
      <c r="G2976" s="852"/>
      <c r="H2976" s="852" t="s">
        <v>236</v>
      </c>
      <c r="I2976" s="852"/>
      <c r="J2976" s="852"/>
      <c r="K2976" s="1231">
        <v>20.77</v>
      </c>
      <c r="L2976" s="852"/>
      <c r="M2976" s="852"/>
    </row>
    <row r="2977" spans="5:13">
      <c r="E2977" s="852"/>
      <c r="F2977" s="852"/>
      <c r="G2977" s="852"/>
      <c r="H2977" s="1229" t="s">
        <v>3899</v>
      </c>
      <c r="I2977" s="852"/>
      <c r="J2977" s="852"/>
      <c r="K2977" s="1232">
        <f>SUM(K2972:K2976)</f>
        <v>688.00166666666667</v>
      </c>
      <c r="L2977" s="852">
        <f>K2977*8</f>
        <v>5504.0133333333333</v>
      </c>
      <c r="M2977" s="852"/>
    </row>
    <row r="2978" spans="5:13">
      <c r="E2978" s="852"/>
      <c r="F2978" s="852"/>
      <c r="G2978" s="852"/>
      <c r="H2978" s="852"/>
      <c r="I2978" s="852"/>
      <c r="J2978" s="852"/>
      <c r="K2978" s="852"/>
      <c r="L2978" s="852"/>
      <c r="M2978" s="852"/>
    </row>
    <row r="2979" spans="5:13">
      <c r="E2979" s="852"/>
      <c r="F2979" s="852"/>
      <c r="G2979" s="852"/>
      <c r="H2979" s="1230" t="s">
        <v>3927</v>
      </c>
      <c r="I2979" s="852"/>
      <c r="J2979" s="852"/>
      <c r="K2979" s="852"/>
      <c r="L2979" s="852"/>
      <c r="M2979" s="852"/>
    </row>
    <row r="2980" spans="5:13" ht="14.25" customHeight="1">
      <c r="E2980" s="852"/>
      <c r="F2980" s="852"/>
      <c r="G2980" s="852"/>
      <c r="H2980" s="1230" t="s">
        <v>3928</v>
      </c>
      <c r="I2980" s="852"/>
      <c r="J2980" s="852"/>
      <c r="K2980" s="852"/>
      <c r="L2980" s="852"/>
      <c r="M2980" s="852"/>
    </row>
    <row r="2981" spans="5:13">
      <c r="E2981" s="852"/>
      <c r="F2981" s="852"/>
      <c r="G2981" s="852"/>
      <c r="H2981" s="852"/>
      <c r="I2981" s="852"/>
      <c r="J2981" s="852"/>
      <c r="K2981" s="852"/>
      <c r="L2981" s="852"/>
      <c r="M2981" s="852"/>
    </row>
    <row r="2982" spans="5:13" ht="65.25" customHeight="1">
      <c r="E2982" s="852"/>
      <c r="F2982" s="852"/>
      <c r="G2982" s="852"/>
      <c r="H2982" s="1220" t="s">
        <v>3929</v>
      </c>
      <c r="I2982" s="852"/>
      <c r="J2982" s="852"/>
      <c r="K2982" s="852"/>
      <c r="L2982" s="852"/>
      <c r="M2982" s="852"/>
    </row>
    <row r="2983" spans="5:13">
      <c r="E2983" s="852"/>
      <c r="F2983" s="852"/>
      <c r="G2983" s="852"/>
      <c r="H2983" s="852"/>
      <c r="I2983" s="852"/>
      <c r="J2983" s="852"/>
      <c r="K2983" s="852"/>
      <c r="L2983" s="852"/>
      <c r="M2983" s="852"/>
    </row>
    <row r="2984" spans="5:13" ht="22.5" customHeight="1">
      <c r="E2984" s="852"/>
      <c r="F2984" s="852">
        <v>1</v>
      </c>
      <c r="G2984" s="852" t="s">
        <v>164</v>
      </c>
      <c r="H2984" s="852" t="s">
        <v>3930</v>
      </c>
      <c r="I2984" s="1223">
        <v>53.5</v>
      </c>
      <c r="J2984" s="852" t="s">
        <v>164</v>
      </c>
      <c r="K2984" s="852">
        <f>F2984*I2984</f>
        <v>53.5</v>
      </c>
      <c r="L2984" s="852"/>
      <c r="M2984" s="852"/>
    </row>
    <row r="2985" spans="5:13" ht="22.5" customHeight="1">
      <c r="E2985" s="852"/>
      <c r="F2985" s="852">
        <v>1</v>
      </c>
      <c r="G2985" s="852" t="s">
        <v>164</v>
      </c>
      <c r="H2985" s="852" t="s">
        <v>3931</v>
      </c>
      <c r="I2985" s="852">
        <f>I2955</f>
        <v>54.9</v>
      </c>
      <c r="J2985" s="852" t="s">
        <v>164</v>
      </c>
      <c r="K2985" s="852">
        <f>F2985*I2985</f>
        <v>54.9</v>
      </c>
      <c r="L2985" s="852"/>
      <c r="M2985" s="852"/>
    </row>
    <row r="2986" spans="5:13" ht="22.5" customHeight="1">
      <c r="E2986" s="852"/>
      <c r="F2986" s="1224">
        <v>1.4999999999999999E-2</v>
      </c>
      <c r="G2986" s="852" t="s">
        <v>174</v>
      </c>
      <c r="H2986" s="852" t="s">
        <v>3932</v>
      </c>
      <c r="I2986" s="852">
        <f>I2956</f>
        <v>563</v>
      </c>
      <c r="J2986" s="852" t="s">
        <v>174</v>
      </c>
      <c r="K2986" s="852">
        <f>F2986*I2986</f>
        <v>8.4450000000000003</v>
      </c>
      <c r="L2986" s="852"/>
      <c r="M2986" s="852"/>
    </row>
    <row r="2987" spans="5:13" ht="17.25" customHeight="1">
      <c r="E2987" s="852"/>
      <c r="F2987" s="852" t="s">
        <v>166</v>
      </c>
      <c r="G2987" s="852"/>
      <c r="H2987" s="852" t="s">
        <v>3933</v>
      </c>
      <c r="I2987" s="852"/>
      <c r="J2987" s="852"/>
      <c r="K2987" s="1231">
        <v>12.15</v>
      </c>
      <c r="L2987" s="852"/>
      <c r="M2987" s="852"/>
    </row>
    <row r="2988" spans="5:13" ht="20.25" customHeight="1">
      <c r="E2988" s="852"/>
      <c r="F2988" s="852"/>
      <c r="G2988" s="852"/>
      <c r="H2988" s="1229" t="s">
        <v>2553</v>
      </c>
      <c r="I2988" s="852"/>
      <c r="J2988" s="852"/>
      <c r="K2988" s="1232">
        <f>SUM(K2984:K2987)</f>
        <v>128.995</v>
      </c>
      <c r="L2988" s="852">
        <f>114-K2988</f>
        <v>-14.995000000000005</v>
      </c>
      <c r="M2988" s="852"/>
    </row>
    <row r="2989" spans="5:13">
      <c r="E2989" s="852"/>
      <c r="F2989" s="852"/>
      <c r="G2989" s="852"/>
      <c r="H2989" s="852"/>
      <c r="I2989" s="852"/>
      <c r="J2989" s="852"/>
      <c r="K2989" s="852">
        <f>K2988*18</f>
        <v>2321.91</v>
      </c>
      <c r="L2989" s="852"/>
      <c r="M2989" s="852"/>
    </row>
    <row r="2990" spans="5:13">
      <c r="E2990" s="852"/>
      <c r="F2990" s="852"/>
      <c r="G2990" s="852"/>
      <c r="H2990" s="1230" t="s">
        <v>3934</v>
      </c>
      <c r="I2990" s="852"/>
      <c r="J2990" s="852"/>
      <c r="K2990" s="852"/>
      <c r="L2990" s="852"/>
      <c r="M2990" s="852"/>
    </row>
    <row r="2991" spans="5:13" ht="31.5">
      <c r="E2991" s="852"/>
      <c r="F2991" s="852"/>
      <c r="G2991" s="852"/>
      <c r="H2991" s="1218" t="s">
        <v>3935</v>
      </c>
      <c r="I2991" s="852"/>
      <c r="J2991" s="852"/>
      <c r="K2991" s="852"/>
      <c r="L2991" s="852"/>
      <c r="M2991" s="852"/>
    </row>
    <row r="2992" spans="5:13">
      <c r="E2992" s="852"/>
      <c r="F2992" s="852"/>
      <c r="G2992" s="852"/>
      <c r="H2992" s="1218"/>
      <c r="I2992" s="852"/>
      <c r="J2992" s="852"/>
      <c r="K2992" s="852"/>
      <c r="L2992" s="852"/>
      <c r="M2992" s="852"/>
    </row>
    <row r="2993" spans="5:13" ht="210.75" customHeight="1">
      <c r="E2993" s="852"/>
      <c r="F2993" s="852"/>
      <c r="G2993" s="852"/>
      <c r="H2993" s="1220" t="s">
        <v>3936</v>
      </c>
      <c r="I2993" s="852"/>
      <c r="J2993" s="852"/>
      <c r="K2993" s="852"/>
      <c r="L2993" s="852"/>
      <c r="M2993" s="852"/>
    </row>
    <row r="2994" spans="5:13">
      <c r="E2994" s="852"/>
      <c r="F2994" s="852"/>
      <c r="G2994" s="852"/>
      <c r="H2994" s="852"/>
      <c r="I2994" s="852"/>
      <c r="J2994" s="852"/>
      <c r="K2994" s="852"/>
      <c r="L2994" s="852"/>
      <c r="M2994" s="852"/>
    </row>
    <row r="2995" spans="5:13">
      <c r="E2995" s="852"/>
      <c r="F2995" s="852">
        <v>90</v>
      </c>
      <c r="G2995" s="852" t="s">
        <v>231</v>
      </c>
      <c r="H2995" s="1140" t="s">
        <v>3838</v>
      </c>
      <c r="I2995" s="852">
        <f>I2843</f>
        <v>13.5</v>
      </c>
      <c r="J2995" s="852" t="s">
        <v>231</v>
      </c>
      <c r="K2995" s="852">
        <f>F2995*I2995</f>
        <v>1215</v>
      </c>
      <c r="L2995" s="852"/>
      <c r="M2995" s="852"/>
    </row>
    <row r="2996" spans="5:13">
      <c r="E2996" s="852"/>
      <c r="F2996" s="852">
        <v>45</v>
      </c>
      <c r="G2996" s="852" t="s">
        <v>231</v>
      </c>
      <c r="H2996" s="1220" t="s">
        <v>3840</v>
      </c>
      <c r="I2996" s="852">
        <f>I2844</f>
        <v>17.100000000000001</v>
      </c>
      <c r="J2996" s="852" t="s">
        <v>2820</v>
      </c>
      <c r="K2996" s="852">
        <f t="shared" ref="K2996:K3007" si="94">F2996*I2996</f>
        <v>769.50000000000011</v>
      </c>
      <c r="L2996" s="852"/>
      <c r="M2996" s="852"/>
    </row>
    <row r="2997" spans="5:13">
      <c r="E2997" s="852"/>
      <c r="F2997" s="852">
        <v>12</v>
      </c>
      <c r="G2997" s="852" t="s">
        <v>164</v>
      </c>
      <c r="H2997" s="852" t="s">
        <v>3844</v>
      </c>
      <c r="I2997" s="852">
        <f>I2845</f>
        <v>2.7</v>
      </c>
      <c r="J2997" s="852" t="s">
        <v>164</v>
      </c>
      <c r="K2997" s="852">
        <f t="shared" si="94"/>
        <v>32.400000000000006</v>
      </c>
      <c r="L2997" s="852"/>
      <c r="M2997" s="852"/>
    </row>
    <row r="2998" spans="5:13">
      <c r="E2998" s="852"/>
      <c r="F2998" s="852">
        <v>6</v>
      </c>
      <c r="G2998" s="852" t="s">
        <v>164</v>
      </c>
      <c r="H2998" s="852" t="s">
        <v>3846</v>
      </c>
      <c r="I2998" s="852">
        <f>I2846</f>
        <v>1.1416666666666666</v>
      </c>
      <c r="J2998" s="852" t="s">
        <v>164</v>
      </c>
      <c r="K2998" s="852">
        <f t="shared" si="94"/>
        <v>6.85</v>
      </c>
      <c r="L2998" s="852"/>
      <c r="M2998" s="852"/>
    </row>
    <row r="2999" spans="5:13">
      <c r="E2999" s="852"/>
      <c r="F2999" s="852">
        <v>1</v>
      </c>
      <c r="G2999" s="852" t="s">
        <v>164</v>
      </c>
      <c r="H2999" s="852" t="s">
        <v>3937</v>
      </c>
      <c r="I2999" s="852">
        <f>I2847</f>
        <v>54.9</v>
      </c>
      <c r="J2999" s="852" t="s">
        <v>164</v>
      </c>
      <c r="K2999" s="852">
        <f t="shared" si="94"/>
        <v>54.9</v>
      </c>
      <c r="L2999" s="852"/>
      <c r="M2999" s="852"/>
    </row>
    <row r="3000" spans="5:13">
      <c r="E3000" s="852"/>
      <c r="F3000" s="1224">
        <v>1.4999999999999999E-2</v>
      </c>
      <c r="G3000" s="852" t="s">
        <v>174</v>
      </c>
      <c r="H3000" s="852" t="s">
        <v>3938</v>
      </c>
      <c r="I3000" s="852">
        <f t="shared" ref="I3000:I3007" si="95">I2849</f>
        <v>563</v>
      </c>
      <c r="J3000" s="852" t="s">
        <v>174</v>
      </c>
      <c r="K3000" s="852">
        <f t="shared" si="94"/>
        <v>8.4450000000000003</v>
      </c>
      <c r="L3000" s="852"/>
      <c r="M3000" s="852"/>
    </row>
    <row r="3001" spans="5:13">
      <c r="E3001" s="852"/>
      <c r="F3001" s="852">
        <v>6</v>
      </c>
      <c r="G3001" s="852" t="s">
        <v>164</v>
      </c>
      <c r="H3001" s="852" t="s">
        <v>3939</v>
      </c>
      <c r="I3001" s="852">
        <f t="shared" si="95"/>
        <v>15.89</v>
      </c>
      <c r="J3001" s="852" t="s">
        <v>3842</v>
      </c>
      <c r="K3001" s="852">
        <f t="shared" si="94"/>
        <v>95.34</v>
      </c>
      <c r="L3001" s="852"/>
      <c r="M3001" s="852"/>
    </row>
    <row r="3002" spans="5:13">
      <c r="E3002" s="852"/>
      <c r="F3002" s="852">
        <v>6</v>
      </c>
      <c r="G3002" s="852" t="s">
        <v>164</v>
      </c>
      <c r="H3002" s="852" t="s">
        <v>3853</v>
      </c>
      <c r="I3002" s="852">
        <f t="shared" si="95"/>
        <v>13.6</v>
      </c>
      <c r="J3002" s="852" t="s">
        <v>164</v>
      </c>
      <c r="K3002" s="852">
        <f t="shared" si="94"/>
        <v>81.599999999999994</v>
      </c>
      <c r="L3002" s="852"/>
      <c r="M3002" s="852"/>
    </row>
    <row r="3003" spans="5:13">
      <c r="E3003" s="852"/>
      <c r="F3003" s="852">
        <v>6</v>
      </c>
      <c r="G3003" s="852" t="s">
        <v>164</v>
      </c>
      <c r="H3003" s="852" t="s">
        <v>3913</v>
      </c>
      <c r="I3003" s="852">
        <f t="shared" si="95"/>
        <v>3.0666666666666664</v>
      </c>
      <c r="J3003" s="852" t="s">
        <v>164</v>
      </c>
      <c r="K3003" s="852">
        <f t="shared" si="94"/>
        <v>18.399999999999999</v>
      </c>
      <c r="L3003" s="852"/>
      <c r="M3003" s="852"/>
    </row>
    <row r="3004" spans="5:13">
      <c r="E3004" s="852"/>
      <c r="F3004" s="852">
        <v>1.25</v>
      </c>
      <c r="G3004" s="852" t="s">
        <v>3851</v>
      </c>
      <c r="H3004" s="852" t="s">
        <v>1124</v>
      </c>
      <c r="I3004" s="852">
        <f t="shared" si="95"/>
        <v>290</v>
      </c>
      <c r="J3004" s="852" t="s">
        <v>3851</v>
      </c>
      <c r="K3004" s="852">
        <f t="shared" si="94"/>
        <v>362.5</v>
      </c>
      <c r="L3004" s="852"/>
      <c r="M3004" s="852"/>
    </row>
    <row r="3005" spans="5:13">
      <c r="E3005" s="852"/>
      <c r="F3005" s="852">
        <v>6</v>
      </c>
      <c r="G3005" s="852" t="s">
        <v>164</v>
      </c>
      <c r="H3005" s="852" t="s">
        <v>3940</v>
      </c>
      <c r="I3005" s="852">
        <f t="shared" si="95"/>
        <v>54.9</v>
      </c>
      <c r="J3005" s="852" t="s">
        <v>164</v>
      </c>
      <c r="K3005" s="852">
        <f t="shared" si="94"/>
        <v>329.4</v>
      </c>
      <c r="L3005" s="852"/>
      <c r="M3005" s="852"/>
    </row>
    <row r="3006" spans="5:13">
      <c r="E3006" s="852"/>
      <c r="F3006" s="852">
        <v>0.09</v>
      </c>
      <c r="G3006" s="852" t="s">
        <v>174</v>
      </c>
      <c r="H3006" s="852" t="s">
        <v>3941</v>
      </c>
      <c r="I3006" s="852">
        <f t="shared" si="95"/>
        <v>563</v>
      </c>
      <c r="J3006" s="852" t="s">
        <v>174</v>
      </c>
      <c r="K3006" s="852">
        <f t="shared" si="94"/>
        <v>50.669999999999995</v>
      </c>
      <c r="L3006" s="852"/>
      <c r="M3006" s="852"/>
    </row>
    <row r="3007" spans="5:13" ht="31.5">
      <c r="E3007" s="852"/>
      <c r="F3007" s="852">
        <v>45</v>
      </c>
      <c r="G3007" s="852"/>
      <c r="H3007" s="1140" t="s">
        <v>3861</v>
      </c>
      <c r="I3007" s="852">
        <f t="shared" si="95"/>
        <v>13.5</v>
      </c>
      <c r="J3007" s="852" t="s">
        <v>3942</v>
      </c>
      <c r="K3007" s="852">
        <f t="shared" si="94"/>
        <v>607.5</v>
      </c>
      <c r="L3007" s="852"/>
      <c r="M3007" s="852"/>
    </row>
    <row r="3008" spans="5:13">
      <c r="E3008" s="852"/>
      <c r="F3008" s="852"/>
      <c r="G3008" s="852"/>
      <c r="H3008" s="852" t="s">
        <v>656</v>
      </c>
      <c r="I3008" s="852"/>
      <c r="J3008" s="852" t="s">
        <v>166</v>
      </c>
      <c r="K3008" s="852">
        <f>K2857</f>
        <v>9313</v>
      </c>
      <c r="L3008" s="852"/>
      <c r="M3008" s="852"/>
    </row>
    <row r="3009" spans="5:13">
      <c r="E3009" s="852"/>
      <c r="F3009" s="852"/>
      <c r="G3009" s="852"/>
      <c r="H3009" s="852" t="s">
        <v>236</v>
      </c>
      <c r="I3009" s="852"/>
      <c r="J3009" s="852" t="s">
        <v>166</v>
      </c>
      <c r="K3009" s="1231">
        <v>50.48</v>
      </c>
      <c r="L3009" s="852"/>
      <c r="M3009" s="852"/>
    </row>
    <row r="3010" spans="5:13" ht="30" customHeight="1">
      <c r="E3010" s="852"/>
      <c r="F3010" s="852"/>
      <c r="G3010" s="852"/>
      <c r="H3010" s="1227" t="s">
        <v>3867</v>
      </c>
      <c r="I3010" s="852"/>
      <c r="J3010" s="852"/>
      <c r="K3010" s="1228">
        <f>SUM(K2995:K3009)</f>
        <v>12995.985000000001</v>
      </c>
      <c r="L3010" s="852"/>
      <c r="M3010" s="852"/>
    </row>
    <row r="3011" spans="5:13" ht="30" customHeight="1">
      <c r="E3011" s="852"/>
      <c r="F3011" s="852"/>
      <c r="G3011" s="852"/>
      <c r="H3011" s="1229" t="s">
        <v>3864</v>
      </c>
      <c r="I3011" s="852"/>
      <c r="J3011" s="852"/>
      <c r="K3011" s="1230">
        <f>K3010/6</f>
        <v>2165.9974999999999</v>
      </c>
      <c r="L3011" s="852">
        <f>1785*6</f>
        <v>10710</v>
      </c>
      <c r="M3011" s="852">
        <f>L3011-K3010</f>
        <v>-2285.9850000000006</v>
      </c>
    </row>
    <row r="3012" spans="5:13">
      <c r="E3012" s="852"/>
      <c r="F3012" s="852"/>
      <c r="G3012" s="852"/>
      <c r="H3012" s="852"/>
      <c r="I3012" s="852"/>
      <c r="J3012" s="852"/>
      <c r="K3012" s="852"/>
      <c r="L3012" s="852">
        <f>K3011-1718</f>
        <v>447.99749999999995</v>
      </c>
      <c r="M3012" s="852"/>
    </row>
    <row r="3013" spans="5:13" ht="30" customHeight="1">
      <c r="E3013" s="852"/>
      <c r="F3013" s="852"/>
      <c r="G3013" s="852"/>
      <c r="H3013" s="1230" t="s">
        <v>3943</v>
      </c>
      <c r="I3013" s="852"/>
      <c r="J3013" s="852"/>
      <c r="K3013" s="852"/>
      <c r="L3013" s="852">
        <f>L3012*6</f>
        <v>2687.9849999999997</v>
      </c>
      <c r="M3013" s="852"/>
    </row>
    <row r="3014" spans="5:13" ht="47.25">
      <c r="E3014" s="852"/>
      <c r="F3014" s="852"/>
      <c r="G3014" s="852"/>
      <c r="H3014" s="1218" t="s">
        <v>3944</v>
      </c>
      <c r="I3014" s="852"/>
      <c r="J3014" s="852"/>
      <c r="K3014" s="852"/>
      <c r="L3014" s="852"/>
      <c r="M3014" s="852"/>
    </row>
    <row r="3015" spans="5:13">
      <c r="E3015" s="852"/>
      <c r="F3015" s="852"/>
      <c r="G3015" s="852"/>
      <c r="H3015" s="852"/>
      <c r="I3015" s="852"/>
      <c r="J3015" s="852"/>
      <c r="K3015" s="852"/>
      <c r="L3015" s="852"/>
      <c r="M3015" s="852"/>
    </row>
    <row r="3016" spans="5:13" ht="213.75" customHeight="1">
      <c r="E3016" s="852"/>
      <c r="F3016" s="852"/>
      <c r="G3016" s="852"/>
      <c r="H3016" s="1220" t="s">
        <v>3945</v>
      </c>
      <c r="I3016" s="852"/>
      <c r="J3016" s="852"/>
      <c r="K3016" s="852"/>
      <c r="L3016" s="852"/>
      <c r="M3016" s="852"/>
    </row>
    <row r="3017" spans="5:13">
      <c r="E3017" s="852"/>
      <c r="F3017" s="852"/>
      <c r="G3017" s="852"/>
      <c r="H3017" s="852"/>
      <c r="I3017" s="852"/>
      <c r="J3017" s="852"/>
      <c r="K3017" s="852"/>
      <c r="L3017" s="852"/>
      <c r="M3017" s="852"/>
    </row>
    <row r="3018" spans="5:13" ht="30" customHeight="1">
      <c r="E3018" s="852"/>
      <c r="F3018" s="852"/>
      <c r="G3018" s="852"/>
      <c r="H3018" s="852" t="s">
        <v>3946</v>
      </c>
      <c r="I3018" s="852"/>
      <c r="J3018" s="852"/>
      <c r="K3018" s="852">
        <f>K3010-K3009</f>
        <v>12945.505000000001</v>
      </c>
      <c r="L3018" s="852"/>
      <c r="M3018" s="852"/>
    </row>
    <row r="3019" spans="5:13" ht="30" customHeight="1">
      <c r="E3019" s="852"/>
      <c r="F3019" s="852"/>
      <c r="G3019" s="852"/>
      <c r="H3019" s="852" t="s">
        <v>3947</v>
      </c>
      <c r="I3019" s="852"/>
      <c r="J3019" s="852"/>
      <c r="K3019" s="852">
        <f>K3002</f>
        <v>81.599999999999994</v>
      </c>
      <c r="L3019" s="852"/>
      <c r="M3019" s="852"/>
    </row>
    <row r="3020" spans="5:13" ht="30" customHeight="1">
      <c r="E3020" s="852"/>
      <c r="F3020" s="852"/>
      <c r="G3020" s="852"/>
      <c r="H3020" s="852" t="s">
        <v>3948</v>
      </c>
      <c r="I3020" s="852"/>
      <c r="J3020" s="852"/>
      <c r="K3020" s="1223">
        <f>16.35*6</f>
        <v>98.100000000000009</v>
      </c>
      <c r="L3020" s="852"/>
      <c r="M3020" s="852"/>
    </row>
    <row r="3021" spans="5:13" ht="30" customHeight="1">
      <c r="E3021" s="852"/>
      <c r="F3021" s="852"/>
      <c r="G3021" s="852"/>
      <c r="H3021" s="852" t="s">
        <v>236</v>
      </c>
      <c r="I3021" s="852"/>
      <c r="J3021" s="852"/>
      <c r="K3021" s="852">
        <v>39.979999999999997</v>
      </c>
      <c r="L3021" s="852"/>
      <c r="M3021" s="852"/>
    </row>
    <row r="3022" spans="5:13" ht="24" customHeight="1">
      <c r="E3022" s="852"/>
      <c r="F3022" s="852"/>
      <c r="G3022" s="852"/>
      <c r="H3022" s="1227" t="s">
        <v>3949</v>
      </c>
      <c r="I3022" s="852"/>
      <c r="J3022" s="852"/>
      <c r="K3022" s="1228">
        <f>(K3018-K3019)+K3020+K3021</f>
        <v>13001.985000000001</v>
      </c>
      <c r="L3022" s="852">
        <f>9582-K3022</f>
        <v>-3419.9850000000006</v>
      </c>
      <c r="M3022" s="852"/>
    </row>
    <row r="3023" spans="5:13" ht="24" customHeight="1">
      <c r="E3023" s="852"/>
      <c r="F3023" s="852"/>
      <c r="G3023" s="852"/>
      <c r="H3023" s="1229" t="s">
        <v>3950</v>
      </c>
      <c r="I3023" s="852"/>
      <c r="J3023" s="852"/>
      <c r="K3023" s="1230">
        <f>K3022/6</f>
        <v>2166.9974999999999</v>
      </c>
      <c r="L3023" s="852">
        <f>K3023-1729</f>
        <v>437.99749999999995</v>
      </c>
      <c r="M3023" s="852">
        <f>K3022-L3023</f>
        <v>12563.987500000001</v>
      </c>
    </row>
    <row r="3024" spans="5:13">
      <c r="E3024" s="852"/>
      <c r="F3024" s="852"/>
      <c r="G3024" s="852"/>
      <c r="H3024" s="852"/>
      <c r="I3024" s="852"/>
      <c r="J3024" s="852"/>
      <c r="K3024" s="852"/>
      <c r="L3024" s="852">
        <f>L3023*6</f>
        <v>2627.9849999999997</v>
      </c>
      <c r="M3024" s="852"/>
    </row>
    <row r="3025" spans="5:13">
      <c r="E3025" s="852"/>
      <c r="F3025" s="852"/>
      <c r="G3025" s="852"/>
      <c r="H3025" s="1230" t="s">
        <v>3951</v>
      </c>
      <c r="I3025" s="852"/>
      <c r="J3025" s="852"/>
      <c r="K3025" s="852"/>
      <c r="L3025" s="852"/>
      <c r="M3025" s="852"/>
    </row>
    <row r="3026" spans="5:13" ht="30.75" customHeight="1">
      <c r="E3026" s="852"/>
      <c r="F3026" s="852"/>
      <c r="G3026" s="852"/>
      <c r="H3026" s="1218" t="s">
        <v>3828</v>
      </c>
      <c r="I3026" s="852"/>
      <c r="J3026" s="852"/>
      <c r="K3026" s="852"/>
      <c r="L3026" s="852"/>
      <c r="M3026" s="852"/>
    </row>
    <row r="3027" spans="5:13" ht="157.5">
      <c r="E3027" s="852"/>
      <c r="F3027" s="852"/>
      <c r="G3027" s="852"/>
      <c r="H3027" s="1220" t="s">
        <v>3952</v>
      </c>
      <c r="I3027" s="852"/>
      <c r="J3027" s="852"/>
      <c r="K3027" s="852"/>
      <c r="L3027" s="852"/>
      <c r="M3027" s="852"/>
    </row>
    <row r="3028" spans="5:13" ht="30.75" customHeight="1">
      <c r="E3028" s="852"/>
      <c r="F3028" s="852">
        <v>90</v>
      </c>
      <c r="G3028" s="852" t="s">
        <v>231</v>
      </c>
      <c r="H3028" s="1140" t="s">
        <v>3838</v>
      </c>
      <c r="I3028" s="852">
        <f t="shared" ref="I3028:I3040" si="96">I2905</f>
        <v>13.5</v>
      </c>
      <c r="J3028" s="852" t="s">
        <v>3834</v>
      </c>
      <c r="K3028" s="852">
        <f>F3028*I3028</f>
        <v>1215</v>
      </c>
      <c r="L3028" s="852"/>
      <c r="M3028" s="852"/>
    </row>
    <row r="3029" spans="5:13" ht="27.75" customHeight="1">
      <c r="E3029" s="852"/>
      <c r="F3029" s="852">
        <v>45</v>
      </c>
      <c r="G3029" s="852" t="s">
        <v>231</v>
      </c>
      <c r="H3029" s="1220" t="s">
        <v>3840</v>
      </c>
      <c r="I3029" s="852">
        <f t="shared" si="96"/>
        <v>17.100000000000001</v>
      </c>
      <c r="J3029" s="852" t="s">
        <v>231</v>
      </c>
      <c r="K3029" s="852">
        <f t="shared" ref="K3029:K3040" si="97">F3029*I3029</f>
        <v>769.50000000000011</v>
      </c>
      <c r="L3029" s="852"/>
      <c r="M3029" s="852"/>
    </row>
    <row r="3030" spans="5:13">
      <c r="E3030" s="852"/>
      <c r="F3030" s="852">
        <v>12</v>
      </c>
      <c r="G3030" s="852" t="s">
        <v>164</v>
      </c>
      <c r="H3030" s="852" t="s">
        <v>3844</v>
      </c>
      <c r="I3030" s="852">
        <f t="shared" si="96"/>
        <v>2.7</v>
      </c>
      <c r="J3030" s="852" t="s">
        <v>164</v>
      </c>
      <c r="K3030" s="852">
        <f t="shared" si="97"/>
        <v>32.400000000000006</v>
      </c>
      <c r="L3030" s="852"/>
      <c r="M3030" s="852"/>
    </row>
    <row r="3031" spans="5:13">
      <c r="E3031" s="852"/>
      <c r="F3031" s="852">
        <v>6</v>
      </c>
      <c r="G3031" s="852" t="s">
        <v>164</v>
      </c>
      <c r="H3031" s="852" t="s">
        <v>3846</v>
      </c>
      <c r="I3031" s="852">
        <f t="shared" si="96"/>
        <v>1.1416666666666666</v>
      </c>
      <c r="J3031" s="852" t="s">
        <v>164</v>
      </c>
      <c r="K3031" s="852">
        <f t="shared" si="97"/>
        <v>6.85</v>
      </c>
      <c r="L3031" s="852"/>
      <c r="M3031" s="852"/>
    </row>
    <row r="3032" spans="5:13">
      <c r="E3032" s="852"/>
      <c r="F3032" s="852">
        <v>6</v>
      </c>
      <c r="G3032" s="852" t="s">
        <v>164</v>
      </c>
      <c r="H3032" s="852" t="s">
        <v>3953</v>
      </c>
      <c r="I3032" s="852">
        <f t="shared" si="96"/>
        <v>3.0666666666666664</v>
      </c>
      <c r="J3032" s="852" t="s">
        <v>164</v>
      </c>
      <c r="K3032" s="852">
        <f t="shared" si="97"/>
        <v>18.399999999999999</v>
      </c>
      <c r="L3032" s="852"/>
      <c r="M3032" s="852"/>
    </row>
    <row r="3033" spans="5:13">
      <c r="E3033" s="852"/>
      <c r="F3033" s="852">
        <v>6</v>
      </c>
      <c r="G3033" s="852" t="s">
        <v>164</v>
      </c>
      <c r="H3033" s="852" t="s">
        <v>3853</v>
      </c>
      <c r="I3033" s="852">
        <f t="shared" si="96"/>
        <v>13.6</v>
      </c>
      <c r="J3033" s="852" t="s">
        <v>164</v>
      </c>
      <c r="K3033" s="852">
        <f t="shared" si="97"/>
        <v>81.599999999999994</v>
      </c>
      <c r="L3033" s="852"/>
      <c r="M3033" s="852"/>
    </row>
    <row r="3034" spans="5:13">
      <c r="E3034" s="852"/>
      <c r="F3034" s="852">
        <v>6</v>
      </c>
      <c r="G3034" s="852" t="s">
        <v>164</v>
      </c>
      <c r="H3034" s="852" t="s">
        <v>3939</v>
      </c>
      <c r="I3034" s="852">
        <f t="shared" si="96"/>
        <v>15.89</v>
      </c>
      <c r="J3034" s="852" t="s">
        <v>3842</v>
      </c>
      <c r="K3034" s="852">
        <f t="shared" si="97"/>
        <v>95.34</v>
      </c>
      <c r="L3034" s="852"/>
      <c r="M3034" s="852"/>
    </row>
    <row r="3035" spans="5:13">
      <c r="E3035" s="852"/>
      <c r="F3035" s="852">
        <v>6</v>
      </c>
      <c r="G3035" s="852" t="s">
        <v>164</v>
      </c>
      <c r="H3035" s="852" t="s">
        <v>3954</v>
      </c>
      <c r="I3035" s="852">
        <f t="shared" si="96"/>
        <v>89.3</v>
      </c>
      <c r="J3035" s="852" t="s">
        <v>164</v>
      </c>
      <c r="K3035" s="852">
        <f t="shared" si="97"/>
        <v>535.79999999999995</v>
      </c>
      <c r="L3035" s="852"/>
      <c r="M3035" s="852"/>
    </row>
    <row r="3036" spans="5:13">
      <c r="E3036" s="852"/>
      <c r="F3036" s="852">
        <v>0.36</v>
      </c>
      <c r="G3036" s="852" t="s">
        <v>174</v>
      </c>
      <c r="H3036" s="852" t="s">
        <v>3941</v>
      </c>
      <c r="I3036" s="852">
        <f t="shared" si="96"/>
        <v>563</v>
      </c>
      <c r="J3036" s="852" t="s">
        <v>174</v>
      </c>
      <c r="K3036" s="852">
        <f t="shared" si="97"/>
        <v>202.67999999999998</v>
      </c>
      <c r="L3036" s="852"/>
      <c r="M3036" s="852"/>
    </row>
    <row r="3037" spans="5:13">
      <c r="E3037" s="852"/>
      <c r="F3037" s="852">
        <v>1</v>
      </c>
      <c r="G3037" s="852" t="s">
        <v>164</v>
      </c>
      <c r="H3037" s="852" t="s">
        <v>3904</v>
      </c>
      <c r="I3037" s="852">
        <f t="shared" si="96"/>
        <v>54.9</v>
      </c>
      <c r="J3037" s="852" t="s">
        <v>164</v>
      </c>
      <c r="K3037" s="852">
        <f t="shared" si="97"/>
        <v>54.9</v>
      </c>
      <c r="L3037" s="852"/>
      <c r="M3037" s="852"/>
    </row>
    <row r="3038" spans="5:13">
      <c r="E3038" s="852"/>
      <c r="F3038" s="1224">
        <v>1.4999999999999999E-2</v>
      </c>
      <c r="G3038" s="852" t="s">
        <v>174</v>
      </c>
      <c r="H3038" s="852" t="s">
        <v>3941</v>
      </c>
      <c r="I3038" s="852">
        <f t="shared" si="96"/>
        <v>563</v>
      </c>
      <c r="J3038" s="852" t="s">
        <v>174</v>
      </c>
      <c r="K3038" s="852">
        <f t="shared" si="97"/>
        <v>8.4450000000000003</v>
      </c>
      <c r="L3038" s="852"/>
      <c r="M3038" s="852"/>
    </row>
    <row r="3039" spans="5:13">
      <c r="E3039" s="852"/>
      <c r="F3039" s="852">
        <v>1.25</v>
      </c>
      <c r="G3039" s="852" t="s">
        <v>3851</v>
      </c>
      <c r="H3039" s="852" t="s">
        <v>1124</v>
      </c>
      <c r="I3039" s="852">
        <f t="shared" si="96"/>
        <v>290</v>
      </c>
      <c r="J3039" s="852" t="s">
        <v>3851</v>
      </c>
      <c r="K3039" s="852">
        <f t="shared" si="97"/>
        <v>362.5</v>
      </c>
      <c r="L3039" s="852"/>
      <c r="M3039" s="852"/>
    </row>
    <row r="3040" spans="5:13" ht="31.5">
      <c r="E3040" s="852"/>
      <c r="F3040" s="852">
        <v>45</v>
      </c>
      <c r="G3040" s="852" t="s">
        <v>231</v>
      </c>
      <c r="H3040" s="1140" t="s">
        <v>3861</v>
      </c>
      <c r="I3040" s="852">
        <f t="shared" si="96"/>
        <v>13.5</v>
      </c>
      <c r="J3040" s="852" t="s">
        <v>3834</v>
      </c>
      <c r="K3040" s="852">
        <f t="shared" si="97"/>
        <v>607.5</v>
      </c>
      <c r="L3040" s="852"/>
      <c r="M3040" s="852"/>
    </row>
    <row r="3041" spans="5:13">
      <c r="E3041" s="852"/>
      <c r="F3041" s="852"/>
      <c r="G3041" s="852"/>
      <c r="H3041" s="852" t="s">
        <v>656</v>
      </c>
      <c r="I3041" s="852"/>
      <c r="J3041" s="852"/>
      <c r="K3041" s="852">
        <f>K2918</f>
        <v>9313</v>
      </c>
      <c r="L3041" s="852"/>
      <c r="M3041" s="852"/>
    </row>
    <row r="3042" spans="5:13">
      <c r="E3042" s="852"/>
      <c r="F3042" s="852"/>
      <c r="G3042" s="852"/>
      <c r="H3042" s="852" t="s">
        <v>236</v>
      </c>
      <c r="I3042" s="852"/>
      <c r="J3042" s="852"/>
      <c r="K3042" s="852">
        <v>46.07</v>
      </c>
      <c r="L3042" s="852">
        <f>43.19-K3042</f>
        <v>-2.8800000000000026</v>
      </c>
      <c r="M3042" s="852"/>
    </row>
    <row r="3043" spans="5:13">
      <c r="E3043" s="852"/>
      <c r="F3043" s="852"/>
      <c r="G3043" s="852"/>
      <c r="H3043" s="1227" t="s">
        <v>3949</v>
      </c>
      <c r="I3043" s="852"/>
      <c r="J3043" s="852"/>
      <c r="K3043" s="1228">
        <f>SUM(K3028:K3042)</f>
        <v>13349.985000000001</v>
      </c>
      <c r="L3043" s="852"/>
      <c r="M3043" s="852"/>
    </row>
    <row r="3044" spans="5:13">
      <c r="E3044" s="852"/>
      <c r="F3044" s="852"/>
      <c r="G3044" s="852"/>
      <c r="H3044" s="1229" t="s">
        <v>3899</v>
      </c>
      <c r="I3044" s="852"/>
      <c r="J3044" s="852"/>
      <c r="K3044" s="1230">
        <f>K3043/6</f>
        <v>2224.9974999999999</v>
      </c>
      <c r="L3044" s="852"/>
      <c r="M3044" s="852"/>
    </row>
    <row r="3045" spans="5:13">
      <c r="E3045" s="852"/>
      <c r="F3045" s="852"/>
      <c r="G3045" s="852"/>
      <c r="H3045" s="852"/>
      <c r="I3045" s="852"/>
      <c r="J3045" s="852"/>
      <c r="K3045" s="852"/>
      <c r="L3045" s="852"/>
      <c r="M3045" s="852"/>
    </row>
    <row r="3046" spans="5:13">
      <c r="E3046" s="852"/>
      <c r="F3046" s="852"/>
      <c r="G3046" s="852"/>
      <c r="H3046" s="1230" t="s">
        <v>3955</v>
      </c>
      <c r="I3046" s="852"/>
      <c r="J3046" s="852"/>
      <c r="K3046" s="852">
        <f>0.13*6</f>
        <v>0.78</v>
      </c>
      <c r="L3046" s="852"/>
      <c r="M3046" s="852"/>
    </row>
    <row r="3047" spans="5:13" ht="48.75" customHeight="1">
      <c r="E3047" s="852"/>
      <c r="F3047" s="852"/>
      <c r="G3047" s="852"/>
      <c r="H3047" s="1218" t="s">
        <v>3956</v>
      </c>
      <c r="I3047" s="852"/>
      <c r="J3047" s="852"/>
      <c r="K3047" s="852"/>
      <c r="L3047" s="852"/>
      <c r="M3047" s="852"/>
    </row>
    <row r="3048" spans="5:13" ht="192.75" customHeight="1">
      <c r="E3048" s="852"/>
      <c r="F3048" s="852"/>
      <c r="G3048" s="852"/>
      <c r="H3048" s="1220" t="s">
        <v>3957</v>
      </c>
      <c r="I3048" s="852"/>
      <c r="J3048" s="852"/>
      <c r="K3048" s="852"/>
      <c r="L3048" s="852"/>
      <c r="M3048" s="852"/>
    </row>
    <row r="3049" spans="5:13" ht="30" customHeight="1">
      <c r="E3049" s="852"/>
      <c r="F3049" s="852">
        <v>90</v>
      </c>
      <c r="G3049" s="852" t="s">
        <v>231</v>
      </c>
      <c r="H3049" s="1140" t="s">
        <v>3838</v>
      </c>
      <c r="I3049" s="852">
        <f t="shared" ref="I3049:I3059" si="98">I2931</f>
        <v>13.5</v>
      </c>
      <c r="J3049" s="852" t="s">
        <v>3834</v>
      </c>
      <c r="K3049" s="852">
        <f>F3049*I3049</f>
        <v>1215</v>
      </c>
      <c r="L3049" s="852"/>
      <c r="M3049" s="852"/>
    </row>
    <row r="3050" spans="5:13" ht="27.75" customHeight="1">
      <c r="E3050" s="852"/>
      <c r="F3050" s="852">
        <v>30</v>
      </c>
      <c r="G3050" s="852" t="s">
        <v>231</v>
      </c>
      <c r="H3050" s="1220" t="s">
        <v>3840</v>
      </c>
      <c r="I3050" s="852">
        <f t="shared" si="98"/>
        <v>17.100000000000001</v>
      </c>
      <c r="J3050" s="852" t="s">
        <v>231</v>
      </c>
      <c r="K3050" s="852">
        <f t="shared" ref="K3050:K3059" si="99">F3050*I3050</f>
        <v>513</v>
      </c>
      <c r="L3050" s="852"/>
      <c r="M3050" s="852"/>
    </row>
    <row r="3051" spans="5:13">
      <c r="E3051" s="852"/>
      <c r="F3051" s="852">
        <v>6</v>
      </c>
      <c r="G3051" s="852" t="s">
        <v>164</v>
      </c>
      <c r="H3051" s="852" t="s">
        <v>3844</v>
      </c>
      <c r="I3051" s="852">
        <f t="shared" si="98"/>
        <v>2.7</v>
      </c>
      <c r="J3051" s="852" t="s">
        <v>164</v>
      </c>
      <c r="K3051" s="852">
        <f t="shared" si="99"/>
        <v>16.200000000000003</v>
      </c>
      <c r="L3051" s="852"/>
      <c r="M3051" s="852"/>
    </row>
    <row r="3052" spans="5:13">
      <c r="E3052" s="852"/>
      <c r="F3052" s="852">
        <v>3</v>
      </c>
      <c r="G3052" s="852" t="s">
        <v>164</v>
      </c>
      <c r="H3052" s="852" t="s">
        <v>3846</v>
      </c>
      <c r="I3052" s="852">
        <f t="shared" si="98"/>
        <v>1.1416666666666666</v>
      </c>
      <c r="J3052" s="852" t="s">
        <v>164</v>
      </c>
      <c r="K3052" s="852">
        <f t="shared" si="99"/>
        <v>3.4249999999999998</v>
      </c>
      <c r="L3052" s="852"/>
      <c r="M3052" s="852"/>
    </row>
    <row r="3053" spans="5:13">
      <c r="E3053" s="852"/>
      <c r="F3053" s="852">
        <v>6</v>
      </c>
      <c r="G3053" s="852" t="s">
        <v>164</v>
      </c>
      <c r="H3053" s="852" t="s">
        <v>3958</v>
      </c>
      <c r="I3053" s="852">
        <f t="shared" si="98"/>
        <v>19.75</v>
      </c>
      <c r="J3053" s="852" t="s">
        <v>164</v>
      </c>
      <c r="K3053" s="852">
        <f t="shared" si="99"/>
        <v>118.5</v>
      </c>
      <c r="L3053" s="852"/>
      <c r="M3053" s="852"/>
    </row>
    <row r="3054" spans="5:13">
      <c r="E3054" s="852"/>
      <c r="F3054" s="852">
        <v>3</v>
      </c>
      <c r="G3054" s="852" t="s">
        <v>164</v>
      </c>
      <c r="H3054" s="852" t="s">
        <v>3853</v>
      </c>
      <c r="I3054" s="852">
        <f t="shared" si="98"/>
        <v>13.6</v>
      </c>
      <c r="J3054" s="852" t="s">
        <v>164</v>
      </c>
      <c r="K3054" s="852">
        <f t="shared" si="99"/>
        <v>40.799999999999997</v>
      </c>
      <c r="L3054" s="852"/>
      <c r="M3054" s="852"/>
    </row>
    <row r="3055" spans="5:13">
      <c r="E3055" s="852"/>
      <c r="F3055" s="852">
        <v>3</v>
      </c>
      <c r="G3055" s="852" t="s">
        <v>164</v>
      </c>
      <c r="H3055" s="852" t="s">
        <v>3913</v>
      </c>
      <c r="I3055" s="852">
        <f t="shared" si="98"/>
        <v>3.0666666666666664</v>
      </c>
      <c r="J3055" s="852" t="s">
        <v>164</v>
      </c>
      <c r="K3055" s="852">
        <f t="shared" si="99"/>
        <v>9.1999999999999993</v>
      </c>
      <c r="L3055" s="852"/>
      <c r="M3055" s="852"/>
    </row>
    <row r="3056" spans="5:13">
      <c r="E3056" s="852"/>
      <c r="F3056" s="852">
        <v>3</v>
      </c>
      <c r="G3056" s="852" t="s">
        <v>164</v>
      </c>
      <c r="H3056" s="852" t="s">
        <v>3914</v>
      </c>
      <c r="I3056" s="852">
        <f t="shared" si="98"/>
        <v>54.9</v>
      </c>
      <c r="J3056" s="852" t="s">
        <v>164</v>
      </c>
      <c r="K3056" s="852">
        <f t="shared" si="99"/>
        <v>164.7</v>
      </c>
      <c r="L3056" s="852"/>
      <c r="M3056" s="852"/>
    </row>
    <row r="3057" spans="5:18">
      <c r="E3057" s="852"/>
      <c r="F3057" s="1224">
        <v>5.3999999999999999E-2</v>
      </c>
      <c r="G3057" s="852" t="s">
        <v>174</v>
      </c>
      <c r="H3057" s="852" t="s">
        <v>3915</v>
      </c>
      <c r="I3057" s="852">
        <f t="shared" si="98"/>
        <v>563</v>
      </c>
      <c r="J3057" s="852" t="s">
        <v>174</v>
      </c>
      <c r="K3057" s="852">
        <f t="shared" si="99"/>
        <v>30.402000000000001</v>
      </c>
      <c r="L3057" s="852"/>
      <c r="M3057" s="852"/>
    </row>
    <row r="3058" spans="5:18">
      <c r="E3058" s="852"/>
      <c r="F3058" s="852">
        <v>1.25</v>
      </c>
      <c r="G3058" s="852" t="s">
        <v>3851</v>
      </c>
      <c r="H3058" s="852" t="s">
        <v>1124</v>
      </c>
      <c r="I3058" s="852">
        <f t="shared" si="98"/>
        <v>290</v>
      </c>
      <c r="J3058" s="852" t="s">
        <v>3851</v>
      </c>
      <c r="K3058" s="852">
        <f t="shared" si="99"/>
        <v>362.5</v>
      </c>
      <c r="L3058" s="852"/>
      <c r="M3058" s="852"/>
    </row>
    <row r="3059" spans="5:18" ht="29.25" customHeight="1">
      <c r="E3059" s="852"/>
      <c r="F3059" s="852">
        <v>30</v>
      </c>
      <c r="G3059" s="852" t="s">
        <v>231</v>
      </c>
      <c r="H3059" s="1140" t="s">
        <v>3861</v>
      </c>
      <c r="I3059" s="852">
        <f t="shared" si="98"/>
        <v>13.5</v>
      </c>
      <c r="J3059" s="852" t="s">
        <v>3834</v>
      </c>
      <c r="K3059" s="852">
        <f t="shared" si="99"/>
        <v>405</v>
      </c>
      <c r="L3059" s="852"/>
      <c r="M3059" s="852"/>
    </row>
    <row r="3060" spans="5:18">
      <c r="E3060" s="852"/>
      <c r="F3060" s="852"/>
      <c r="G3060" s="852"/>
      <c r="H3060" s="852" t="s">
        <v>656</v>
      </c>
      <c r="I3060" s="852"/>
      <c r="J3060" s="852"/>
      <c r="K3060" s="852">
        <f>K2942</f>
        <v>9313</v>
      </c>
      <c r="L3060" s="852"/>
      <c r="M3060" s="852"/>
    </row>
    <row r="3061" spans="5:18">
      <c r="E3061" s="852"/>
      <c r="F3061" s="852"/>
      <c r="G3061" s="852"/>
      <c r="H3061" s="852" t="s">
        <v>236</v>
      </c>
      <c r="I3061" s="852"/>
      <c r="J3061" s="852"/>
      <c r="K3061" s="1231">
        <v>18.27</v>
      </c>
      <c r="L3061" s="852"/>
      <c r="M3061" s="852"/>
    </row>
    <row r="3062" spans="5:18">
      <c r="E3062" s="852"/>
      <c r="F3062" s="852"/>
      <c r="G3062" s="852"/>
      <c r="H3062" s="1227" t="s">
        <v>3959</v>
      </c>
      <c r="I3062" s="852"/>
      <c r="J3062" s="852"/>
      <c r="K3062" s="1228">
        <f>SUM(K3049:K3061)</f>
        <v>12209.996999999999</v>
      </c>
      <c r="L3062" s="852">
        <f>3185-K3063</f>
        <v>-884.9989999999998</v>
      </c>
      <c r="M3062" s="852"/>
    </row>
    <row r="3063" spans="5:18">
      <c r="E3063" s="852"/>
      <c r="F3063" s="852"/>
      <c r="G3063" s="852"/>
      <c r="H3063" s="1229" t="s">
        <v>3899</v>
      </c>
      <c r="I3063" s="852"/>
      <c r="J3063" s="852"/>
      <c r="K3063" s="1230">
        <f>K3062/3</f>
        <v>4069.9989999999998</v>
      </c>
      <c r="L3063" s="852">
        <f>L3062*3</f>
        <v>-2654.9969999999994</v>
      </c>
      <c r="M3063" s="852"/>
    </row>
    <row r="3064" spans="5:18">
      <c r="E3064" s="852"/>
      <c r="F3064" s="852"/>
      <c r="G3064" s="852"/>
      <c r="H3064" s="852"/>
      <c r="I3064" s="852"/>
      <c r="J3064" s="852"/>
      <c r="K3064" s="852"/>
      <c r="L3064" s="852"/>
      <c r="M3064" s="852"/>
    </row>
    <row r="3065" spans="5:18" ht="22.5" customHeight="1">
      <c r="E3065" s="852"/>
      <c r="F3065" s="852"/>
      <c r="G3065" s="852"/>
      <c r="H3065" s="1240" t="s">
        <v>3960</v>
      </c>
      <c r="I3065" s="852"/>
      <c r="J3065" s="852"/>
      <c r="K3065" s="852"/>
      <c r="L3065" s="852"/>
      <c r="M3065" s="852"/>
    </row>
    <row r="3066" spans="5:18">
      <c r="E3066" s="852"/>
      <c r="F3066" s="852"/>
      <c r="G3066" s="852"/>
      <c r="H3066" s="852"/>
      <c r="I3066" s="852"/>
      <c r="J3066" s="852"/>
      <c r="K3066" s="852"/>
      <c r="L3066" s="852"/>
      <c r="M3066" s="852"/>
    </row>
    <row r="3067" spans="5:18" ht="24.75" customHeight="1">
      <c r="E3067" s="852"/>
      <c r="F3067" s="852"/>
      <c r="G3067" s="852"/>
      <c r="H3067" s="1230" t="s">
        <v>3961</v>
      </c>
      <c r="I3067" s="852"/>
      <c r="J3067" s="852"/>
      <c r="K3067" s="852"/>
      <c r="L3067" s="852"/>
      <c r="M3067" s="852"/>
      <c r="N3067" s="852"/>
      <c r="O3067" s="1230" t="s">
        <v>3962</v>
      </c>
      <c r="P3067" s="852"/>
      <c r="Q3067" s="852"/>
      <c r="R3067" s="852"/>
    </row>
    <row r="3068" spans="5:18" ht="23.25" customHeight="1">
      <c r="E3068" s="852"/>
      <c r="F3068" s="852"/>
      <c r="G3068" s="852"/>
      <c r="H3068" s="1230" t="s">
        <v>3963</v>
      </c>
      <c r="I3068" s="852"/>
      <c r="J3068" s="852"/>
      <c r="K3068" s="852"/>
      <c r="L3068" s="852"/>
      <c r="M3068" s="852"/>
      <c r="N3068" s="852"/>
      <c r="O3068" s="1230" t="s">
        <v>3964</v>
      </c>
      <c r="P3068" s="852"/>
      <c r="Q3068" s="852"/>
      <c r="R3068" s="852"/>
    </row>
    <row r="3069" spans="5:18">
      <c r="E3069" s="852"/>
      <c r="F3069" s="852"/>
      <c r="G3069" s="852"/>
      <c r="H3069" s="852"/>
      <c r="I3069" s="852"/>
      <c r="J3069" s="852"/>
      <c r="K3069" s="852"/>
      <c r="L3069" s="852"/>
      <c r="M3069" s="852"/>
      <c r="N3069" s="852"/>
      <c r="O3069" s="852"/>
      <c r="P3069" s="852"/>
      <c r="Q3069" s="852"/>
      <c r="R3069" s="852"/>
    </row>
    <row r="3070" spans="5:18" ht="122.25" customHeight="1">
      <c r="E3070" s="852"/>
      <c r="F3070" s="852"/>
      <c r="G3070" s="852"/>
      <c r="H3070" s="1220" t="s">
        <v>3965</v>
      </c>
      <c r="I3070" s="852"/>
      <c r="J3070" s="852"/>
      <c r="K3070" s="852"/>
      <c r="L3070" s="852"/>
      <c r="M3070" s="852"/>
      <c r="N3070" s="852"/>
      <c r="O3070" s="1220" t="s">
        <v>3966</v>
      </c>
      <c r="P3070" s="852"/>
      <c r="Q3070" s="852"/>
      <c r="R3070" s="852"/>
    </row>
    <row r="3071" spans="5:18" ht="31.5">
      <c r="E3071" s="852"/>
      <c r="F3071" s="852"/>
      <c r="G3071" s="852"/>
      <c r="H3071" s="852"/>
      <c r="I3071" s="852"/>
      <c r="J3071" s="852"/>
      <c r="K3071" s="852"/>
      <c r="L3071" s="852"/>
      <c r="M3071" s="852">
        <v>180</v>
      </c>
      <c r="N3071" s="852" t="s">
        <v>231</v>
      </c>
      <c r="O3071" s="1140" t="s">
        <v>3967</v>
      </c>
      <c r="P3071" s="1223">
        <v>49.3</v>
      </c>
      <c r="Q3071" s="852" t="s">
        <v>3834</v>
      </c>
      <c r="R3071" s="852">
        <f>M3071*P3071</f>
        <v>8874</v>
      </c>
    </row>
    <row r="3072" spans="5:18" ht="38.25" customHeight="1">
      <c r="E3072" s="852"/>
      <c r="F3072" s="852">
        <v>180</v>
      </c>
      <c r="G3072" s="852" t="s">
        <v>231</v>
      </c>
      <c r="H3072" s="1221" t="s">
        <v>3838</v>
      </c>
      <c r="I3072" s="852">
        <f>I3049</f>
        <v>13.5</v>
      </c>
      <c r="J3072" s="852" t="s">
        <v>231</v>
      </c>
      <c r="K3072" s="852">
        <f>F3072*I3072</f>
        <v>2430</v>
      </c>
      <c r="L3072" s="852"/>
      <c r="M3072" s="852">
        <v>90</v>
      </c>
      <c r="N3072" s="852" t="s">
        <v>231</v>
      </c>
      <c r="O3072" s="1220" t="s">
        <v>3840</v>
      </c>
      <c r="P3072" s="1241">
        <f>I3099</f>
        <v>17.100000000000001</v>
      </c>
      <c r="Q3072" s="852" t="s">
        <v>231</v>
      </c>
      <c r="R3072" s="852">
        <f>M3072*P3072</f>
        <v>1539.0000000000002</v>
      </c>
    </row>
    <row r="3073" spans="5:20" ht="37.5" customHeight="1">
      <c r="E3073" s="852"/>
      <c r="F3073" s="852">
        <v>90</v>
      </c>
      <c r="G3073" s="852" t="s">
        <v>231</v>
      </c>
      <c r="H3073" s="1220" t="s">
        <v>3840</v>
      </c>
      <c r="I3073" s="852">
        <f>I3050</f>
        <v>17.100000000000001</v>
      </c>
      <c r="J3073" s="852" t="s">
        <v>231</v>
      </c>
      <c r="K3073" s="852">
        <f>F3073*I3073</f>
        <v>1539.0000000000002</v>
      </c>
      <c r="L3073" s="852"/>
      <c r="M3073" s="852">
        <v>3</v>
      </c>
      <c r="N3073" s="852" t="s">
        <v>3851</v>
      </c>
      <c r="O3073" s="852" t="s">
        <v>1124</v>
      </c>
      <c r="P3073" s="1241">
        <f>I3100</f>
        <v>290</v>
      </c>
      <c r="Q3073" s="852" t="s">
        <v>3851</v>
      </c>
      <c r="R3073" s="852">
        <f>M3073*P3073</f>
        <v>870</v>
      </c>
    </row>
    <row r="3074" spans="5:20" ht="35.25" customHeight="1">
      <c r="E3074" s="852"/>
      <c r="F3074" s="852">
        <v>3</v>
      </c>
      <c r="G3074" s="852" t="s">
        <v>3851</v>
      </c>
      <c r="H3074" s="852" t="s">
        <v>1124</v>
      </c>
      <c r="I3074" s="852">
        <f>I3058</f>
        <v>290</v>
      </c>
      <c r="J3074" s="852" t="s">
        <v>3851</v>
      </c>
      <c r="K3074" s="852">
        <f>F3074*I3074</f>
        <v>870</v>
      </c>
      <c r="L3074" s="852"/>
      <c r="M3074" s="852">
        <v>90</v>
      </c>
      <c r="N3074" s="852" t="s">
        <v>231</v>
      </c>
      <c r="O3074" s="1140" t="s">
        <v>3968</v>
      </c>
      <c r="P3074" s="1223">
        <v>33.299999999999997</v>
      </c>
      <c r="Q3074" s="852" t="s">
        <v>3834</v>
      </c>
      <c r="R3074" s="852">
        <f>M3074*P3074</f>
        <v>2996.9999999999995</v>
      </c>
    </row>
    <row r="3075" spans="5:20" ht="39.75" customHeight="1">
      <c r="E3075" s="852"/>
      <c r="F3075" s="852">
        <v>90</v>
      </c>
      <c r="G3075" s="852" t="s">
        <v>231</v>
      </c>
      <c r="H3075" s="1221" t="s">
        <v>3861</v>
      </c>
      <c r="I3075" s="852">
        <f>I3072</f>
        <v>13.5</v>
      </c>
      <c r="J3075" s="852" t="s">
        <v>3834</v>
      </c>
      <c r="K3075" s="852">
        <f>F3075*I3075</f>
        <v>1215</v>
      </c>
      <c r="L3075" s="852"/>
      <c r="M3075" s="852"/>
      <c r="N3075" s="852"/>
      <c r="O3075" s="852" t="s">
        <v>656</v>
      </c>
      <c r="P3075" s="852"/>
      <c r="Q3075" s="852"/>
      <c r="R3075" s="852">
        <f>K3102</f>
        <v>9313</v>
      </c>
    </row>
    <row r="3076" spans="5:20" ht="20.25" customHeight="1">
      <c r="E3076" s="852"/>
      <c r="F3076" s="852"/>
      <c r="G3076" s="852"/>
      <c r="H3076" s="852" t="s">
        <v>656</v>
      </c>
      <c r="I3076" s="852"/>
      <c r="J3076" s="852"/>
      <c r="K3076" s="852">
        <f>K3060</f>
        <v>9313</v>
      </c>
      <c r="L3076" s="852"/>
      <c r="M3076" s="852"/>
      <c r="N3076" s="852"/>
      <c r="O3076" s="852" t="s">
        <v>236</v>
      </c>
      <c r="P3076" s="852"/>
      <c r="Q3076" s="852"/>
      <c r="R3076" s="1231">
        <v>77.400000000000006</v>
      </c>
    </row>
    <row r="3077" spans="5:20">
      <c r="E3077" s="852"/>
      <c r="F3077" s="852"/>
      <c r="G3077" s="852"/>
      <c r="H3077" s="852"/>
      <c r="I3077" s="852"/>
      <c r="J3077" s="852"/>
      <c r="K3077" s="852">
        <f>SUM(K3072:K3076)</f>
        <v>15367</v>
      </c>
      <c r="L3077" s="852"/>
      <c r="M3077" s="852"/>
      <c r="N3077" s="852"/>
      <c r="O3077" s="1227" t="s">
        <v>3969</v>
      </c>
      <c r="P3077" s="852"/>
      <c r="Q3077" s="852"/>
      <c r="R3077" s="1228">
        <f>SUM(R3071:R3076)</f>
        <v>23670.400000000001</v>
      </c>
    </row>
    <row r="3078" spans="5:20" ht="20.25" customHeight="1">
      <c r="E3078" s="852"/>
      <c r="F3078" s="852"/>
      <c r="G3078" s="852"/>
      <c r="H3078" s="852" t="s">
        <v>236</v>
      </c>
      <c r="I3078" s="852"/>
      <c r="J3078" s="852"/>
      <c r="K3078" s="1231">
        <v>113</v>
      </c>
      <c r="L3078" s="852"/>
      <c r="M3078" s="852"/>
      <c r="N3078" s="852"/>
      <c r="O3078" s="1229" t="s">
        <v>3970</v>
      </c>
      <c r="P3078" s="852"/>
      <c r="Q3078" s="852"/>
      <c r="R3078" s="1230">
        <f>R3077/90</f>
        <v>263.00444444444446</v>
      </c>
      <c r="S3078" s="794" t="s">
        <v>3971</v>
      </c>
      <c r="T3078" s="794">
        <f>S3078-R3077</f>
        <v>-23670.400000000001</v>
      </c>
    </row>
    <row r="3079" spans="5:20">
      <c r="E3079" s="852"/>
      <c r="F3079" s="852"/>
      <c r="G3079" s="852"/>
      <c r="H3079" s="1227" t="s">
        <v>3969</v>
      </c>
      <c r="I3079" s="852"/>
      <c r="J3079" s="852"/>
      <c r="K3079" s="1228">
        <f>SUM(K3077:K3078)</f>
        <v>15480</v>
      </c>
      <c r="L3079" s="852"/>
      <c r="M3079" s="852"/>
      <c r="N3079" s="852"/>
      <c r="O3079" s="852"/>
      <c r="P3079" s="852"/>
      <c r="Q3079" s="852"/>
      <c r="R3079" s="852"/>
      <c r="S3079" s="794">
        <f>S3078-R3077</f>
        <v>-23670.400000000001</v>
      </c>
    </row>
    <row r="3080" spans="5:20" ht="21.75" customHeight="1">
      <c r="E3080" s="852"/>
      <c r="F3080" s="852"/>
      <c r="G3080" s="852"/>
      <c r="H3080" s="1229" t="s">
        <v>3970</v>
      </c>
      <c r="I3080" s="852"/>
      <c r="J3080" s="852"/>
      <c r="K3080" s="1230">
        <f>K3079/90</f>
        <v>172</v>
      </c>
      <c r="L3080" s="852">
        <f>141*90</f>
        <v>12690</v>
      </c>
      <c r="M3080" s="852"/>
      <c r="S3080" s="794">
        <f>212.5*90</f>
        <v>19125</v>
      </c>
    </row>
    <row r="3081" spans="5:20">
      <c r="E3081" s="852"/>
      <c r="F3081" s="852"/>
      <c r="G3081" s="852"/>
      <c r="H3081" s="852"/>
      <c r="I3081" s="852"/>
      <c r="J3081" s="852"/>
      <c r="K3081" s="852"/>
      <c r="L3081" s="852">
        <f>L3080-K3079</f>
        <v>-2790</v>
      </c>
      <c r="M3081" s="852"/>
      <c r="S3081" s="794">
        <f>S3080-R3077</f>
        <v>-4545.4000000000015</v>
      </c>
    </row>
    <row r="3082" spans="5:20">
      <c r="E3082" s="852"/>
      <c r="F3082" s="852"/>
      <c r="G3082" s="852"/>
      <c r="H3082" s="1230" t="s">
        <v>3972</v>
      </c>
      <c r="I3082" s="852"/>
      <c r="J3082" s="852"/>
      <c r="K3082" s="852"/>
      <c r="L3082" s="852"/>
      <c r="M3082" s="852"/>
    </row>
    <row r="3083" spans="5:20">
      <c r="E3083" s="852"/>
      <c r="F3083" s="852"/>
      <c r="G3083" s="852"/>
      <c r="H3083" s="1230" t="s">
        <v>3973</v>
      </c>
      <c r="I3083" s="852"/>
      <c r="J3083" s="852"/>
      <c r="K3083" s="852"/>
      <c r="L3083" s="852"/>
      <c r="M3083" s="852"/>
    </row>
    <row r="3084" spans="5:20">
      <c r="E3084" s="852"/>
      <c r="F3084" s="852"/>
      <c r="G3084" s="852"/>
      <c r="H3084" s="852"/>
      <c r="I3084" s="852"/>
      <c r="J3084" s="852"/>
      <c r="K3084" s="852"/>
      <c r="L3084" s="852"/>
      <c r="M3084" s="852"/>
    </row>
    <row r="3085" spans="5:20" ht="113.25" customHeight="1">
      <c r="E3085" s="852"/>
      <c r="F3085" s="852"/>
      <c r="G3085" s="852"/>
      <c r="H3085" s="1220" t="s">
        <v>3974</v>
      </c>
      <c r="I3085" s="852"/>
      <c r="J3085" s="852"/>
      <c r="K3085" s="852"/>
      <c r="L3085" s="852"/>
      <c r="M3085" s="852"/>
    </row>
    <row r="3086" spans="5:20">
      <c r="E3086" s="852"/>
      <c r="F3086" s="852"/>
      <c r="G3086" s="852"/>
      <c r="H3086" s="852"/>
      <c r="I3086" s="852"/>
      <c r="J3086" s="852"/>
      <c r="K3086" s="852"/>
      <c r="L3086" s="852"/>
      <c r="M3086" s="852"/>
    </row>
    <row r="3087" spans="5:20">
      <c r="E3087" s="852"/>
      <c r="F3087" s="852"/>
      <c r="G3087" s="852"/>
      <c r="H3087" s="852" t="s">
        <v>3975</v>
      </c>
      <c r="I3087" s="852"/>
      <c r="J3087" s="852"/>
      <c r="K3087" s="852">
        <f>K3077</f>
        <v>15367</v>
      </c>
      <c r="L3087" s="852"/>
      <c r="M3087" s="852"/>
    </row>
    <row r="3088" spans="5:20" ht="34.5" customHeight="1">
      <c r="E3088" s="852"/>
      <c r="F3088" s="852">
        <v>180</v>
      </c>
      <c r="G3088" s="852" t="s">
        <v>231</v>
      </c>
      <c r="H3088" s="1220" t="s">
        <v>3976</v>
      </c>
      <c r="I3088" s="1223">
        <v>21</v>
      </c>
      <c r="J3088" s="852" t="s">
        <v>231</v>
      </c>
      <c r="K3088" s="852">
        <f>F3088*I3088</f>
        <v>3780</v>
      </c>
      <c r="L3088" s="852"/>
      <c r="M3088" s="852"/>
    </row>
    <row r="3089" spans="5:18" ht="36.75" customHeight="1">
      <c r="E3089" s="852"/>
      <c r="F3089" s="852">
        <v>180</v>
      </c>
      <c r="G3089" s="852" t="s">
        <v>231</v>
      </c>
      <c r="H3089" s="1220" t="s">
        <v>3977</v>
      </c>
      <c r="I3089" s="852">
        <f>I3075</f>
        <v>13.5</v>
      </c>
      <c r="J3089" s="852" t="s">
        <v>3834</v>
      </c>
      <c r="K3089" s="852">
        <f>F3089*I3089</f>
        <v>2430</v>
      </c>
      <c r="L3089" s="852"/>
      <c r="M3089" s="852"/>
    </row>
    <row r="3090" spans="5:18" ht="25.5" customHeight="1">
      <c r="E3090" s="852"/>
      <c r="F3090" s="852"/>
      <c r="G3090" s="852"/>
      <c r="H3090" s="852" t="s">
        <v>236</v>
      </c>
      <c r="I3090" s="852"/>
      <c r="J3090" s="852"/>
      <c r="K3090" s="1231">
        <v>113</v>
      </c>
      <c r="L3090" s="852"/>
      <c r="M3090" s="852"/>
    </row>
    <row r="3091" spans="5:18">
      <c r="E3091" s="852"/>
      <c r="F3091" s="852"/>
      <c r="G3091" s="852"/>
      <c r="H3091" s="1227" t="s">
        <v>3978</v>
      </c>
      <c r="I3091" s="852"/>
      <c r="J3091" s="852"/>
      <c r="K3091" s="1228">
        <f>K3087+K3088-K3089+K3090</f>
        <v>16830</v>
      </c>
      <c r="L3091" s="852"/>
      <c r="M3091" s="852"/>
    </row>
    <row r="3092" spans="5:18">
      <c r="E3092" s="852"/>
      <c r="F3092" s="852"/>
      <c r="G3092" s="852"/>
      <c r="H3092" s="1229" t="s">
        <v>3970</v>
      </c>
      <c r="I3092" s="852"/>
      <c r="J3092" s="852"/>
      <c r="K3092" s="1230">
        <f>K3091/90</f>
        <v>187</v>
      </c>
      <c r="L3092" s="852">
        <f>165*90</f>
        <v>14850</v>
      </c>
      <c r="M3092" s="852">
        <f>L3092-K3091</f>
        <v>-1980</v>
      </c>
    </row>
    <row r="3093" spans="5:18">
      <c r="E3093" s="852"/>
      <c r="F3093" s="852"/>
      <c r="G3093" s="852"/>
      <c r="H3093" s="852"/>
      <c r="I3093" s="852"/>
      <c r="J3093" s="852"/>
      <c r="K3093" s="852"/>
      <c r="L3093" s="852">
        <f>155*90</f>
        <v>13950</v>
      </c>
      <c r="M3093" s="852"/>
    </row>
    <row r="3094" spans="5:18">
      <c r="E3094" s="852"/>
      <c r="F3094" s="852"/>
      <c r="G3094" s="852"/>
      <c r="H3094" s="1230" t="s">
        <v>3962</v>
      </c>
      <c r="I3094" s="852"/>
      <c r="J3094" s="852"/>
      <c r="K3094" s="852"/>
      <c r="L3094" s="852">
        <f>L3093-K3091</f>
        <v>-2880</v>
      </c>
      <c r="M3094" s="852"/>
    </row>
    <row r="3095" spans="5:18">
      <c r="E3095" s="852"/>
      <c r="F3095" s="852"/>
      <c r="G3095" s="852"/>
      <c r="H3095" s="1230" t="s">
        <v>3979</v>
      </c>
      <c r="I3095" s="852"/>
      <c r="J3095" s="852"/>
      <c r="K3095" s="852"/>
      <c r="L3095" s="852"/>
      <c r="M3095" s="852"/>
    </row>
    <row r="3096" spans="5:18">
      <c r="E3096" s="852"/>
      <c r="F3096" s="852"/>
      <c r="G3096" s="852"/>
      <c r="H3096" s="852"/>
      <c r="I3096" s="852"/>
      <c r="J3096" s="852"/>
      <c r="K3096" s="852"/>
      <c r="L3096" s="852"/>
      <c r="M3096" s="852"/>
    </row>
    <row r="3097" spans="5:18" ht="111.75" customHeight="1">
      <c r="E3097" s="852"/>
      <c r="F3097" s="852"/>
      <c r="G3097" s="852"/>
      <c r="H3097" s="1220" t="s">
        <v>3980</v>
      </c>
      <c r="I3097" s="852"/>
      <c r="J3097" s="852"/>
      <c r="K3097" s="852"/>
      <c r="L3097" s="852"/>
      <c r="M3097" s="852"/>
      <c r="N3097" s="852"/>
      <c r="O3097" s="1220"/>
      <c r="P3097" s="852"/>
      <c r="Q3097" s="852"/>
      <c r="R3097" s="852"/>
    </row>
    <row r="3098" spans="5:18" ht="36" customHeight="1">
      <c r="E3098" s="852"/>
      <c r="F3098" s="852">
        <v>180</v>
      </c>
      <c r="G3098" s="852" t="s">
        <v>231</v>
      </c>
      <c r="H3098" s="1221" t="s">
        <v>3981</v>
      </c>
      <c r="I3098" s="1223">
        <v>33.299999999999997</v>
      </c>
      <c r="J3098" s="852" t="s">
        <v>3834</v>
      </c>
      <c r="K3098" s="852">
        <f>F3098*I3098</f>
        <v>5993.9999999999991</v>
      </c>
      <c r="L3098" s="852"/>
      <c r="M3098" s="852"/>
      <c r="N3098" s="852"/>
      <c r="O3098" s="1140"/>
      <c r="P3098" s="852"/>
      <c r="Q3098" s="852"/>
      <c r="R3098" s="852"/>
    </row>
    <row r="3099" spans="5:18" ht="39" customHeight="1">
      <c r="E3099" s="852"/>
      <c r="F3099" s="852">
        <v>90</v>
      </c>
      <c r="G3099" s="852" t="s">
        <v>231</v>
      </c>
      <c r="H3099" s="1220" t="s">
        <v>3840</v>
      </c>
      <c r="I3099" s="852">
        <f>I3073</f>
        <v>17.100000000000001</v>
      </c>
      <c r="J3099" s="852" t="s">
        <v>231</v>
      </c>
      <c r="K3099" s="852">
        <f>F3099*I3099</f>
        <v>1539.0000000000002</v>
      </c>
      <c r="L3099" s="852"/>
      <c r="M3099" s="852"/>
      <c r="N3099" s="852"/>
      <c r="O3099" s="1220"/>
      <c r="P3099" s="852"/>
      <c r="Q3099" s="852"/>
      <c r="R3099" s="852"/>
    </row>
    <row r="3100" spans="5:18" ht="23.25" customHeight="1">
      <c r="E3100" s="852"/>
      <c r="F3100" s="852">
        <v>3</v>
      </c>
      <c r="G3100" s="852" t="s">
        <v>3851</v>
      </c>
      <c r="H3100" s="852" t="s">
        <v>1124</v>
      </c>
      <c r="I3100" s="852">
        <f>I3074</f>
        <v>290</v>
      </c>
      <c r="J3100" s="852" t="s">
        <v>3851</v>
      </c>
      <c r="K3100" s="852">
        <f>F3100*I3100</f>
        <v>870</v>
      </c>
      <c r="L3100" s="852"/>
      <c r="M3100" s="852"/>
      <c r="N3100" s="852"/>
      <c r="O3100" s="852"/>
      <c r="P3100" s="852"/>
      <c r="Q3100" s="852"/>
      <c r="R3100" s="852"/>
    </row>
    <row r="3101" spans="5:18" ht="38.25" customHeight="1">
      <c r="E3101" s="852"/>
      <c r="F3101" s="852">
        <v>90</v>
      </c>
      <c r="G3101" s="852" t="s">
        <v>231</v>
      </c>
      <c r="H3101" s="1221" t="s">
        <v>3982</v>
      </c>
      <c r="I3101" s="852">
        <f>I3088</f>
        <v>21</v>
      </c>
      <c r="J3101" s="852" t="s">
        <v>3834</v>
      </c>
      <c r="K3101" s="852">
        <f>F3101*I3101</f>
        <v>1890</v>
      </c>
      <c r="L3101" s="852"/>
      <c r="M3101" s="852"/>
      <c r="N3101" s="852"/>
      <c r="O3101" s="1140"/>
      <c r="P3101" s="852"/>
      <c r="Q3101" s="852"/>
      <c r="R3101" s="852"/>
    </row>
    <row r="3102" spans="5:18">
      <c r="E3102" s="852"/>
      <c r="F3102" s="852"/>
      <c r="G3102" s="852"/>
      <c r="H3102" s="852" t="s">
        <v>656</v>
      </c>
      <c r="I3102" s="852"/>
      <c r="J3102" s="852"/>
      <c r="K3102" s="852">
        <f>K3076</f>
        <v>9313</v>
      </c>
      <c r="L3102" s="852"/>
      <c r="M3102" s="852"/>
      <c r="N3102" s="852"/>
      <c r="O3102" s="852"/>
      <c r="P3102" s="852"/>
      <c r="Q3102" s="852"/>
      <c r="R3102" s="852"/>
    </row>
    <row r="3103" spans="5:18">
      <c r="E3103" s="852"/>
      <c r="F3103" s="852"/>
      <c r="G3103" s="852"/>
      <c r="H3103" s="852" t="s">
        <v>236</v>
      </c>
      <c r="I3103" s="852"/>
      <c r="J3103" s="852"/>
      <c r="K3103" s="852">
        <v>104</v>
      </c>
      <c r="L3103" s="852"/>
      <c r="M3103" s="852"/>
      <c r="N3103" s="852"/>
      <c r="O3103" s="852"/>
      <c r="P3103" s="852"/>
      <c r="Q3103" s="852"/>
      <c r="R3103" s="852"/>
    </row>
    <row r="3104" spans="5:18">
      <c r="E3104" s="852"/>
      <c r="F3104" s="852"/>
      <c r="G3104" s="852"/>
      <c r="H3104" s="1227" t="s">
        <v>3969</v>
      </c>
      <c r="I3104" s="852"/>
      <c r="J3104" s="852"/>
      <c r="K3104" s="1228">
        <f>SUM(K3098:K3103)</f>
        <v>19710</v>
      </c>
      <c r="L3104" s="852"/>
      <c r="M3104" s="852"/>
      <c r="N3104" s="852"/>
      <c r="O3104" s="1227"/>
      <c r="P3104" s="852"/>
      <c r="Q3104" s="852"/>
      <c r="R3104" s="1228"/>
    </row>
    <row r="3105" spans="5:21">
      <c r="E3105" s="852"/>
      <c r="F3105" s="852"/>
      <c r="G3105" s="852"/>
      <c r="H3105" s="1229" t="s">
        <v>3970</v>
      </c>
      <c r="I3105" s="852"/>
      <c r="J3105" s="852"/>
      <c r="K3105" s="1230">
        <f>K3104/90</f>
        <v>219</v>
      </c>
      <c r="L3105" s="852">
        <f>186*90</f>
        <v>16740</v>
      </c>
      <c r="M3105" s="852"/>
      <c r="N3105" s="852"/>
      <c r="O3105" s="1229"/>
      <c r="P3105" s="852"/>
      <c r="Q3105" s="852"/>
      <c r="R3105" s="1230"/>
    </row>
    <row r="3106" spans="5:21">
      <c r="E3106" s="852"/>
      <c r="F3106" s="852"/>
      <c r="G3106" s="852"/>
      <c r="H3106" s="852"/>
      <c r="I3106" s="852"/>
      <c r="J3106" s="852"/>
      <c r="K3106" s="852"/>
      <c r="L3106" s="852">
        <f>L3105-K3104</f>
        <v>-2970</v>
      </c>
      <c r="M3106" s="852"/>
    </row>
    <row r="3107" spans="5:21">
      <c r="E3107" s="852"/>
      <c r="F3107" s="852"/>
      <c r="G3107" s="852"/>
      <c r="H3107" s="852"/>
      <c r="I3107" s="852"/>
      <c r="J3107" s="852"/>
      <c r="K3107" s="852"/>
      <c r="L3107" s="852"/>
      <c r="M3107" s="852"/>
    </row>
    <row r="3108" spans="5:21">
      <c r="E3108" s="852"/>
      <c r="F3108" s="852"/>
      <c r="G3108" s="852"/>
      <c r="H3108" s="1230" t="s">
        <v>3983</v>
      </c>
      <c r="I3108" s="852"/>
      <c r="J3108" s="852"/>
      <c r="K3108" s="852"/>
      <c r="L3108" s="852"/>
      <c r="M3108" s="852"/>
      <c r="N3108" s="852"/>
      <c r="O3108" s="1230" t="s">
        <v>3983</v>
      </c>
      <c r="P3108" s="852"/>
      <c r="Q3108" s="852"/>
      <c r="R3108" s="852"/>
      <c r="S3108" s="852"/>
    </row>
    <row r="3109" spans="5:21">
      <c r="E3109" s="852"/>
      <c r="F3109" s="852"/>
      <c r="G3109" s="852"/>
      <c r="H3109" s="1230" t="s">
        <v>3984</v>
      </c>
      <c r="I3109" s="852"/>
      <c r="J3109" s="852"/>
      <c r="K3109" s="852"/>
      <c r="L3109" s="852"/>
      <c r="M3109" s="852"/>
      <c r="N3109" s="852"/>
      <c r="O3109" s="1230" t="s">
        <v>3985</v>
      </c>
      <c r="P3109" s="852"/>
      <c r="Q3109" s="852"/>
      <c r="R3109" s="852"/>
      <c r="S3109" s="852"/>
    </row>
    <row r="3110" spans="5:21">
      <c r="E3110" s="852"/>
      <c r="F3110" s="852"/>
      <c r="G3110" s="852"/>
      <c r="H3110" s="852"/>
      <c r="I3110" s="852"/>
      <c r="J3110" s="852"/>
      <c r="K3110" s="852"/>
      <c r="L3110" s="852"/>
      <c r="M3110" s="852"/>
      <c r="N3110" s="852"/>
      <c r="O3110" s="852"/>
      <c r="P3110" s="852"/>
      <c r="Q3110" s="852"/>
      <c r="R3110" s="852"/>
      <c r="S3110" s="852"/>
    </row>
    <row r="3111" spans="5:21" ht="115.5" customHeight="1">
      <c r="E3111" s="852"/>
      <c r="F3111" s="852"/>
      <c r="G3111" s="852"/>
      <c r="H3111" s="1220" t="s">
        <v>3986</v>
      </c>
      <c r="I3111" s="852"/>
      <c r="J3111" s="852"/>
      <c r="K3111" s="852"/>
      <c r="L3111" s="852"/>
      <c r="M3111" s="852"/>
      <c r="N3111" s="852"/>
      <c r="O3111" s="1473" t="s">
        <v>3987</v>
      </c>
      <c r="P3111" s="1473"/>
      <c r="Q3111" s="852"/>
      <c r="R3111" s="852"/>
      <c r="S3111" s="852"/>
    </row>
    <row r="3112" spans="5:21" ht="34.5" customHeight="1">
      <c r="E3112" s="852"/>
      <c r="F3112" s="852">
        <v>360</v>
      </c>
      <c r="G3112" s="852"/>
      <c r="H3112" s="1221" t="s">
        <v>3988</v>
      </c>
      <c r="I3112" s="1223">
        <f>I3098</f>
        <v>33.299999999999997</v>
      </c>
      <c r="J3112" s="852" t="s">
        <v>3834</v>
      </c>
      <c r="K3112" s="852">
        <f>F3112*I3112</f>
        <v>11987.999999999998</v>
      </c>
      <c r="L3112" s="852"/>
      <c r="M3112" s="852">
        <v>360</v>
      </c>
      <c r="N3112" s="852"/>
      <c r="O3112" s="1140" t="s">
        <v>3989</v>
      </c>
      <c r="P3112" s="1241">
        <f>P3071</f>
        <v>49.3</v>
      </c>
      <c r="Q3112" s="852" t="s">
        <v>3834</v>
      </c>
      <c r="R3112" s="852">
        <f>M3112*P3112</f>
        <v>17748</v>
      </c>
      <c r="S3112" s="852"/>
    </row>
    <row r="3113" spans="5:21" ht="36" customHeight="1">
      <c r="E3113" s="852"/>
      <c r="F3113" s="852">
        <v>90</v>
      </c>
      <c r="G3113" s="852"/>
      <c r="H3113" s="1220" t="s">
        <v>3990</v>
      </c>
      <c r="I3113" s="1223">
        <v>25.4</v>
      </c>
      <c r="J3113" s="852" t="s">
        <v>231</v>
      </c>
      <c r="K3113" s="852">
        <f>F3113*I3113</f>
        <v>2286</v>
      </c>
      <c r="L3113" s="852"/>
      <c r="M3113" s="852">
        <v>90</v>
      </c>
      <c r="N3113" s="852"/>
      <c r="O3113" s="1220" t="s">
        <v>3991</v>
      </c>
      <c r="P3113" s="1241">
        <f>I3113</f>
        <v>25.4</v>
      </c>
      <c r="Q3113" s="852" t="s">
        <v>231</v>
      </c>
      <c r="R3113" s="852">
        <f>M3113*P3113</f>
        <v>2286</v>
      </c>
      <c r="S3113" s="852"/>
    </row>
    <row r="3114" spans="5:21" ht="21" customHeight="1">
      <c r="E3114" s="852"/>
      <c r="F3114" s="852">
        <v>3</v>
      </c>
      <c r="G3114" s="852"/>
      <c r="H3114" s="852" t="s">
        <v>1124</v>
      </c>
      <c r="I3114" s="852">
        <f>I3100</f>
        <v>290</v>
      </c>
      <c r="J3114" s="852" t="s">
        <v>3851</v>
      </c>
      <c r="K3114" s="852">
        <f>F3114*I3114</f>
        <v>870</v>
      </c>
      <c r="L3114" s="852"/>
      <c r="M3114" s="852">
        <v>3</v>
      </c>
      <c r="N3114" s="852"/>
      <c r="O3114" s="852" t="s">
        <v>1124</v>
      </c>
      <c r="P3114" s="1241">
        <f>I3114</f>
        <v>290</v>
      </c>
      <c r="Q3114" s="852" t="s">
        <v>3851</v>
      </c>
      <c r="R3114" s="852">
        <f>M3114*P3114</f>
        <v>870</v>
      </c>
      <c r="S3114" s="852"/>
    </row>
    <row r="3115" spans="5:21" ht="33.75" customHeight="1">
      <c r="E3115" s="852"/>
      <c r="F3115" s="852">
        <v>90</v>
      </c>
      <c r="G3115" s="852"/>
      <c r="H3115" s="1221" t="s">
        <v>3992</v>
      </c>
      <c r="I3115" s="852">
        <f>I3101</f>
        <v>21</v>
      </c>
      <c r="J3115" s="852" t="s">
        <v>3834</v>
      </c>
      <c r="K3115" s="852">
        <f>F3115*I3115</f>
        <v>1890</v>
      </c>
      <c r="L3115" s="852"/>
      <c r="M3115" s="852">
        <v>90</v>
      </c>
      <c r="N3115" s="852"/>
      <c r="O3115" s="1140" t="s">
        <v>3993</v>
      </c>
      <c r="P3115" s="1223">
        <v>33.299999999999997</v>
      </c>
      <c r="Q3115" s="852" t="s">
        <v>3834</v>
      </c>
      <c r="R3115" s="852">
        <f>M3115*P3115</f>
        <v>2996.9999999999995</v>
      </c>
      <c r="S3115" s="852"/>
    </row>
    <row r="3116" spans="5:21">
      <c r="E3116" s="852"/>
      <c r="F3116" s="852"/>
      <c r="G3116" s="852"/>
      <c r="H3116" s="852" t="s">
        <v>656</v>
      </c>
      <c r="I3116" s="852"/>
      <c r="J3116" s="852"/>
      <c r="K3116" s="852">
        <f>I3122</f>
        <v>12257.5</v>
      </c>
      <c r="L3116" s="852"/>
      <c r="M3116" s="852"/>
      <c r="N3116" s="852"/>
      <c r="O3116" s="852" t="s">
        <v>656</v>
      </c>
      <c r="P3116" s="852"/>
      <c r="Q3116" s="852"/>
      <c r="R3116" s="852">
        <f>K3116</f>
        <v>12257.5</v>
      </c>
      <c r="S3116" s="852"/>
    </row>
    <row r="3117" spans="5:21">
      <c r="E3117" s="852"/>
      <c r="F3117" s="852"/>
      <c r="G3117" s="852"/>
      <c r="H3117" s="852" t="s">
        <v>236</v>
      </c>
      <c r="I3117" s="852"/>
      <c r="J3117" s="852"/>
      <c r="K3117" s="1231">
        <v>48.5</v>
      </c>
      <c r="L3117" s="852"/>
      <c r="M3117" s="852"/>
      <c r="N3117" s="852"/>
      <c r="O3117" s="852" t="s">
        <v>236</v>
      </c>
      <c r="P3117" s="852"/>
      <c r="Q3117" s="852"/>
      <c r="R3117" s="1231">
        <v>111.6</v>
      </c>
      <c r="S3117" s="852"/>
    </row>
    <row r="3118" spans="5:21">
      <c r="E3118" s="852"/>
      <c r="F3118" s="852"/>
      <c r="G3118" s="852"/>
      <c r="H3118" s="1227" t="s">
        <v>3969</v>
      </c>
      <c r="I3118" s="852"/>
      <c r="J3118" s="852"/>
      <c r="K3118" s="1228">
        <f>SUM(K3112:K3117)</f>
        <v>29340</v>
      </c>
      <c r="L3118" s="852"/>
      <c r="M3118" s="852"/>
      <c r="N3118" s="852"/>
      <c r="O3118" s="1227" t="s">
        <v>3969</v>
      </c>
      <c r="P3118" s="852"/>
      <c r="Q3118" s="852"/>
      <c r="R3118" s="1228">
        <f>SUM(R3112:R3117)</f>
        <v>36270.1</v>
      </c>
      <c r="S3118" s="852">
        <f>217.3*90</f>
        <v>19557</v>
      </c>
    </row>
    <row r="3119" spans="5:21">
      <c r="E3119" s="852"/>
      <c r="F3119" s="852"/>
      <c r="G3119" s="852"/>
      <c r="H3119" s="1229" t="s">
        <v>3970</v>
      </c>
      <c r="I3119" s="852"/>
      <c r="J3119" s="852"/>
      <c r="K3119" s="1230">
        <f>K3118/90</f>
        <v>326</v>
      </c>
      <c r="L3119" s="852">
        <f>282*90</f>
        <v>25380</v>
      </c>
      <c r="M3119" s="852"/>
      <c r="N3119" s="852"/>
      <c r="O3119" s="1229" t="s">
        <v>3970</v>
      </c>
      <c r="P3119" s="852"/>
      <c r="Q3119" s="852"/>
      <c r="R3119" s="1230">
        <f>R3118/90</f>
        <v>403.00111111111107</v>
      </c>
      <c r="S3119" s="852">
        <f>336*90</f>
        <v>30240</v>
      </c>
      <c r="T3119" s="794">
        <f>375.8*90</f>
        <v>33822</v>
      </c>
      <c r="U3119" s="794">
        <f>T3119-R3118</f>
        <v>-2448.0999999999985</v>
      </c>
    </row>
    <row r="3120" spans="5:21">
      <c r="E3120" s="852"/>
      <c r="F3120" s="852"/>
      <c r="G3120" s="852"/>
      <c r="H3120" s="852"/>
      <c r="I3120" s="852"/>
      <c r="J3120" s="852"/>
      <c r="K3120" s="852"/>
      <c r="L3120" s="852">
        <f>L3119-K3118</f>
        <v>-3960</v>
      </c>
      <c r="M3120" s="852"/>
      <c r="S3120" s="794">
        <f>S3119-R3118</f>
        <v>-6030.0999999999985</v>
      </c>
    </row>
    <row r="3121" spans="5:19">
      <c r="E3121" s="852"/>
      <c r="F3121" s="852"/>
      <c r="G3121" s="852"/>
      <c r="H3121" s="1230" t="s">
        <v>3994</v>
      </c>
      <c r="I3121" s="852"/>
      <c r="J3121" s="852"/>
      <c r="K3121" s="852"/>
      <c r="L3121" s="852"/>
      <c r="M3121" s="852"/>
    </row>
    <row r="3122" spans="5:19" s="1244" customFormat="1">
      <c r="E3122" s="1242"/>
      <c r="F3122" s="1242"/>
      <c r="G3122" s="1242"/>
      <c r="H3122" s="1242" t="s">
        <v>3995</v>
      </c>
      <c r="I3122" s="1243">
        <f>(1.5*K2873)-((K2871+K2872)/2)</f>
        <v>12257.5</v>
      </c>
      <c r="J3122" s="1242"/>
      <c r="K3122" s="1242"/>
      <c r="L3122" s="1242">
        <f>(1.5*5914)-((888+1232)/2)</f>
        <v>7811</v>
      </c>
      <c r="M3122" s="852"/>
      <c r="N3122" s="852"/>
      <c r="O3122" s="1230" t="s">
        <v>3983</v>
      </c>
      <c r="P3122" s="852"/>
      <c r="Q3122" s="852"/>
      <c r="R3122" s="852"/>
    </row>
    <row r="3123" spans="5:19">
      <c r="E3123" s="852"/>
      <c r="F3123" s="852"/>
      <c r="G3123" s="852"/>
      <c r="H3123" s="852">
        <f>1.5*K2873-(K2871+K2872)/2</f>
        <v>12257.5</v>
      </c>
      <c r="I3123" s="852"/>
      <c r="J3123" s="852"/>
      <c r="K3123" s="852"/>
      <c r="L3123" s="852"/>
      <c r="M3123" s="852"/>
      <c r="N3123" s="852"/>
      <c r="O3123" s="1230" t="s">
        <v>3996</v>
      </c>
      <c r="P3123" s="852"/>
      <c r="Q3123" s="852"/>
      <c r="R3123" s="852"/>
    </row>
    <row r="3124" spans="5:19">
      <c r="E3124" s="852"/>
      <c r="F3124" s="852"/>
      <c r="G3124" s="852"/>
      <c r="H3124" s="852"/>
      <c r="I3124" s="852"/>
      <c r="J3124" s="852"/>
      <c r="K3124" s="852"/>
      <c r="L3124" s="852"/>
      <c r="M3124" s="852"/>
      <c r="N3124" s="852"/>
      <c r="O3124" s="852"/>
      <c r="P3124" s="852"/>
      <c r="Q3124" s="852"/>
      <c r="R3124" s="852"/>
    </row>
    <row r="3125" spans="5:19" ht="96" customHeight="1">
      <c r="E3125" s="852"/>
      <c r="F3125" s="852"/>
      <c r="G3125" s="852"/>
      <c r="I3125" s="852"/>
      <c r="J3125" s="852"/>
      <c r="K3125" s="852"/>
      <c r="L3125" s="852"/>
      <c r="M3125" s="852"/>
      <c r="N3125" s="852"/>
      <c r="O3125" s="1220" t="s">
        <v>3997</v>
      </c>
      <c r="P3125" s="852"/>
      <c r="Q3125" s="852"/>
      <c r="R3125" s="852"/>
    </row>
    <row r="3126" spans="5:19" ht="31.5">
      <c r="E3126" s="852"/>
      <c r="F3126" s="852"/>
      <c r="G3126" s="852"/>
      <c r="H3126" s="1240" t="s">
        <v>3998</v>
      </c>
      <c r="I3126" s="852"/>
      <c r="J3126" s="852"/>
      <c r="K3126" s="852"/>
      <c r="L3126" s="852"/>
      <c r="M3126" s="852">
        <v>360</v>
      </c>
      <c r="N3126" s="852"/>
      <c r="O3126" s="1245" t="s">
        <v>3999</v>
      </c>
      <c r="P3126" s="1223">
        <v>74.2</v>
      </c>
      <c r="Q3126" s="852" t="s">
        <v>3834</v>
      </c>
      <c r="R3126" s="852">
        <f>M3126*P3126</f>
        <v>26712</v>
      </c>
    </row>
    <row r="3127" spans="5:19" ht="18" customHeight="1">
      <c r="E3127" s="852"/>
      <c r="F3127" s="852"/>
      <c r="G3127" s="852"/>
      <c r="H3127" s="1230" t="s">
        <v>4000</v>
      </c>
      <c r="I3127" s="852"/>
      <c r="J3127" s="852"/>
      <c r="K3127" s="852"/>
      <c r="L3127" s="852"/>
      <c r="M3127" s="852">
        <v>90</v>
      </c>
      <c r="N3127" s="852"/>
      <c r="O3127" s="1220" t="s">
        <v>4001</v>
      </c>
      <c r="P3127" s="1241">
        <f>P3113</f>
        <v>25.4</v>
      </c>
      <c r="Q3127" s="852" t="s">
        <v>231</v>
      </c>
      <c r="R3127" s="852">
        <f>M3127*P3127</f>
        <v>2286</v>
      </c>
    </row>
    <row r="3128" spans="5:19">
      <c r="E3128" s="852"/>
      <c r="F3128" s="852"/>
      <c r="G3128" s="852"/>
      <c r="H3128" s="852"/>
      <c r="I3128" s="852"/>
      <c r="J3128" s="852"/>
      <c r="K3128" s="852"/>
      <c r="L3128" s="852"/>
      <c r="M3128" s="852">
        <v>3</v>
      </c>
      <c r="N3128" s="852"/>
      <c r="O3128" s="852" t="s">
        <v>1124</v>
      </c>
      <c r="P3128" s="1241">
        <f>P3114</f>
        <v>290</v>
      </c>
      <c r="Q3128" s="852" t="s">
        <v>3851</v>
      </c>
      <c r="R3128" s="852">
        <f>M3128*P3128</f>
        <v>870</v>
      </c>
    </row>
    <row r="3129" spans="5:19" ht="33.75" customHeight="1">
      <c r="E3129" s="852"/>
      <c r="F3129" s="852"/>
      <c r="G3129" s="852"/>
      <c r="H3129" s="1230" t="s">
        <v>4002</v>
      </c>
      <c r="I3129" s="852"/>
      <c r="J3129" s="852"/>
      <c r="K3129" s="852"/>
      <c r="L3129" s="852"/>
      <c r="M3129" s="852">
        <v>90</v>
      </c>
      <c r="N3129" s="852"/>
      <c r="O3129" s="1140" t="s">
        <v>4003</v>
      </c>
      <c r="P3129" s="1223">
        <v>49.3</v>
      </c>
      <c r="Q3129" s="852" t="s">
        <v>3834</v>
      </c>
      <c r="R3129" s="852">
        <f>M3129*P3129</f>
        <v>4437</v>
      </c>
    </row>
    <row r="3130" spans="5:19">
      <c r="E3130" s="852"/>
      <c r="F3130" s="852"/>
      <c r="G3130" s="852"/>
      <c r="H3130" s="852"/>
      <c r="I3130" s="852"/>
      <c r="J3130" s="852"/>
      <c r="K3130" s="852"/>
      <c r="L3130" s="852"/>
      <c r="M3130" s="852"/>
      <c r="N3130" s="852"/>
      <c r="O3130" s="852" t="s">
        <v>656</v>
      </c>
      <c r="P3130" s="852"/>
      <c r="Q3130" s="852"/>
      <c r="R3130" s="852">
        <f>R3116</f>
        <v>12257.5</v>
      </c>
    </row>
    <row r="3131" spans="5:19" ht="47.25">
      <c r="E3131" s="852"/>
      <c r="F3131" s="852"/>
      <c r="G3131" s="852"/>
      <c r="H3131" s="1220" t="s">
        <v>4004</v>
      </c>
      <c r="I3131" s="852"/>
      <c r="J3131" s="852"/>
      <c r="K3131" s="852"/>
      <c r="L3131" s="852"/>
      <c r="M3131" s="852"/>
      <c r="N3131" s="852"/>
      <c r="O3131" s="852" t="s">
        <v>236</v>
      </c>
      <c r="P3131" s="852"/>
      <c r="Q3131" s="852"/>
      <c r="R3131" s="1231">
        <v>57.6</v>
      </c>
    </row>
    <row r="3132" spans="5:19">
      <c r="E3132" s="852"/>
      <c r="F3132" s="852">
        <v>1</v>
      </c>
      <c r="G3132" s="852" t="s">
        <v>164</v>
      </c>
      <c r="H3132" s="852" t="s">
        <v>4005</v>
      </c>
      <c r="I3132" s="1223">
        <v>272.2</v>
      </c>
      <c r="J3132" s="852" t="s">
        <v>164</v>
      </c>
      <c r="K3132" s="852">
        <f>F3132*I3132</f>
        <v>272.2</v>
      </c>
      <c r="L3132" s="852"/>
      <c r="M3132" s="852"/>
      <c r="N3132" s="852"/>
      <c r="O3132" s="1227" t="s">
        <v>3969</v>
      </c>
      <c r="P3132" s="852"/>
      <c r="Q3132" s="852"/>
      <c r="R3132" s="1228">
        <f>SUM(R3126:R3131)</f>
        <v>46620.1</v>
      </c>
    </row>
    <row r="3133" spans="5:19">
      <c r="E3133" s="852"/>
      <c r="F3133" s="852"/>
      <c r="G3133" s="852"/>
      <c r="H3133" s="852" t="s">
        <v>236</v>
      </c>
      <c r="I3133" s="852"/>
      <c r="J3133" s="852"/>
      <c r="K3133" s="1231">
        <v>6</v>
      </c>
      <c r="L3133" s="852"/>
      <c r="M3133" s="852"/>
      <c r="N3133" s="852"/>
      <c r="O3133" s="1229" t="s">
        <v>3970</v>
      </c>
      <c r="P3133" s="852"/>
      <c r="Q3133" s="852"/>
      <c r="R3133" s="1230">
        <f>R3132/90</f>
        <v>518.00111111111107</v>
      </c>
      <c r="S3133" s="794">
        <f>440*90</f>
        <v>39600</v>
      </c>
    </row>
    <row r="3134" spans="5:19">
      <c r="E3134" s="852"/>
      <c r="F3134" s="852"/>
      <c r="G3134" s="852"/>
      <c r="H3134" s="852" t="s">
        <v>656</v>
      </c>
      <c r="I3134" s="852"/>
      <c r="J3134" s="852"/>
      <c r="K3134" s="852">
        <f>K3142</f>
        <v>183.8</v>
      </c>
      <c r="L3134" s="852"/>
      <c r="M3134" s="852"/>
      <c r="S3134" s="794">
        <f>S3133-R3132</f>
        <v>-7020.0999999999985</v>
      </c>
    </row>
    <row r="3135" spans="5:19">
      <c r="E3135" s="852"/>
      <c r="F3135" s="852"/>
      <c r="G3135" s="852"/>
      <c r="H3135" s="1229" t="s">
        <v>4006</v>
      </c>
      <c r="I3135" s="852"/>
      <c r="J3135" s="852"/>
      <c r="K3135" s="1230">
        <f>SUM(K3132:K3134)</f>
        <v>462</v>
      </c>
      <c r="L3135" s="852">
        <f>K3135-401</f>
        <v>61</v>
      </c>
      <c r="M3135" s="852"/>
    </row>
    <row r="3136" spans="5:19">
      <c r="E3136" s="852"/>
      <c r="F3136" s="852"/>
      <c r="G3136" s="852"/>
      <c r="H3136" s="852"/>
      <c r="I3136" s="852"/>
      <c r="J3136" s="852"/>
      <c r="K3136" s="852"/>
      <c r="L3136" s="852"/>
      <c r="M3136" s="852"/>
    </row>
    <row r="3137" spans="5:13">
      <c r="E3137" s="852"/>
      <c r="F3137" s="852"/>
      <c r="G3137" s="852"/>
      <c r="H3137" s="852"/>
      <c r="I3137" s="852"/>
      <c r="J3137" s="852"/>
      <c r="K3137" s="852"/>
      <c r="L3137" s="852"/>
      <c r="M3137" s="852"/>
    </row>
    <row r="3138" spans="5:13">
      <c r="E3138" s="852"/>
      <c r="F3138" s="852"/>
      <c r="G3138" s="852"/>
      <c r="H3138" s="1232" t="s">
        <v>4007</v>
      </c>
      <c r="I3138" s="852"/>
      <c r="J3138" s="852"/>
      <c r="K3138" s="852"/>
      <c r="L3138" s="852"/>
      <c r="M3138" s="852"/>
    </row>
    <row r="3139" spans="5:13" ht="19.5" customHeight="1">
      <c r="E3139" s="852"/>
      <c r="F3139" s="852">
        <v>2</v>
      </c>
      <c r="G3139" s="852" t="s">
        <v>164</v>
      </c>
      <c r="H3139" s="852" t="s">
        <v>4008</v>
      </c>
      <c r="I3139" s="852">
        <f>I2868</f>
        <v>633</v>
      </c>
      <c r="J3139" s="852" t="s">
        <v>164</v>
      </c>
      <c r="K3139" s="852">
        <f>F3139*I3139</f>
        <v>1266</v>
      </c>
      <c r="L3139" s="852"/>
      <c r="M3139" s="852"/>
    </row>
    <row r="3140" spans="5:13" ht="19.5" customHeight="1">
      <c r="E3140" s="852"/>
      <c r="F3140" s="852">
        <v>3</v>
      </c>
      <c r="G3140" s="852" t="s">
        <v>164</v>
      </c>
      <c r="H3140" s="852" t="s">
        <v>4009</v>
      </c>
      <c r="I3140" s="852">
        <f>I2869</f>
        <v>497</v>
      </c>
      <c r="J3140" s="852" t="s">
        <v>164</v>
      </c>
      <c r="K3140" s="852">
        <f>F3140*I3140</f>
        <v>1491</v>
      </c>
      <c r="L3140" s="852"/>
      <c r="M3140" s="852"/>
    </row>
    <row r="3141" spans="5:13" ht="19.5" customHeight="1">
      <c r="E3141" s="852"/>
      <c r="F3141" s="852"/>
      <c r="G3141" s="852"/>
      <c r="H3141" s="1227" t="s">
        <v>4010</v>
      </c>
      <c r="I3141" s="852"/>
      <c r="J3141" s="852"/>
      <c r="K3141" s="1228">
        <f>SUM(K3139:K3140)</f>
        <v>2757</v>
      </c>
      <c r="L3141" s="852"/>
      <c r="M3141" s="852"/>
    </row>
    <row r="3142" spans="5:13" ht="19.5" customHeight="1">
      <c r="E3142" s="852"/>
      <c r="F3142" s="852"/>
      <c r="G3142" s="852"/>
      <c r="H3142" s="1229" t="s">
        <v>3615</v>
      </c>
      <c r="I3142" s="852"/>
      <c r="J3142" s="852"/>
      <c r="K3142" s="1230">
        <f>K3141/15</f>
        <v>183.8</v>
      </c>
      <c r="L3142" s="852"/>
      <c r="M3142" s="852"/>
    </row>
    <row r="3143" spans="5:13">
      <c r="E3143" s="852"/>
      <c r="F3143" s="852"/>
      <c r="G3143" s="852"/>
      <c r="H3143" s="852"/>
      <c r="I3143" s="852"/>
      <c r="J3143" s="852"/>
      <c r="K3143" s="852"/>
      <c r="L3143" s="852"/>
      <c r="M3143" s="852"/>
    </row>
    <row r="3144" spans="5:13">
      <c r="E3144" s="852"/>
      <c r="F3144" s="852"/>
      <c r="G3144" s="1236"/>
      <c r="H3144" s="1230" t="s">
        <v>4011</v>
      </c>
      <c r="I3144" s="1236"/>
      <c r="J3144" s="1236"/>
      <c r="K3144" s="1236"/>
      <c r="L3144" s="852"/>
      <c r="M3144" s="852"/>
    </row>
    <row r="3145" spans="5:13">
      <c r="E3145" s="852"/>
      <c r="F3145" s="852"/>
      <c r="G3145" s="1236"/>
      <c r="H3145" s="1241"/>
      <c r="I3145" s="1236"/>
      <c r="J3145" s="1236"/>
      <c r="K3145" s="1236"/>
      <c r="L3145" s="852"/>
      <c r="M3145" s="852"/>
    </row>
    <row r="3146" spans="5:13" ht="65.25" customHeight="1">
      <c r="E3146" s="852"/>
      <c r="F3146" s="852"/>
      <c r="G3146" s="1236"/>
      <c r="H3146" s="1218" t="s">
        <v>4012</v>
      </c>
      <c r="I3146" s="1236"/>
      <c r="J3146" s="1236"/>
      <c r="K3146" s="1236"/>
      <c r="L3146" s="852"/>
      <c r="M3146" s="852"/>
    </row>
    <row r="3147" spans="5:13">
      <c r="E3147" s="852"/>
      <c r="F3147" s="852"/>
      <c r="G3147" s="1236"/>
      <c r="H3147" s="1241"/>
      <c r="I3147" s="1236"/>
      <c r="J3147" s="1236"/>
      <c r="K3147" s="1236"/>
      <c r="L3147" s="852"/>
      <c r="M3147" s="852"/>
    </row>
    <row r="3148" spans="5:13" ht="78" customHeight="1">
      <c r="E3148" s="852"/>
      <c r="F3148" s="852"/>
      <c r="G3148" s="1236"/>
      <c r="H3148" s="1246" t="s">
        <v>4013</v>
      </c>
      <c r="I3148" s="1236"/>
      <c r="J3148" s="1236"/>
      <c r="K3148" s="1236"/>
      <c r="L3148" s="852"/>
      <c r="M3148" s="852"/>
    </row>
    <row r="3149" spans="5:13">
      <c r="E3149" s="852"/>
      <c r="F3149" s="852"/>
      <c r="G3149" s="1236"/>
      <c r="H3149" s="1236"/>
      <c r="I3149" s="1236"/>
      <c r="J3149" s="1236"/>
      <c r="K3149" s="1236"/>
      <c r="L3149" s="852"/>
      <c r="M3149" s="852"/>
    </row>
    <row r="3150" spans="5:13" s="1249" customFormat="1" ht="31.5">
      <c r="E3150" s="1231"/>
      <c r="F3150" s="1231">
        <v>1</v>
      </c>
      <c r="G3150" s="1238" t="s">
        <v>164</v>
      </c>
      <c r="H3150" s="1247" t="s">
        <v>4014</v>
      </c>
      <c r="I3150" s="1248">
        <v>338</v>
      </c>
      <c r="J3150" s="1238" t="s">
        <v>164</v>
      </c>
      <c r="K3150" s="1238">
        <f>F3150*I3150</f>
        <v>338</v>
      </c>
      <c r="L3150" s="1231"/>
      <c r="M3150" s="1231"/>
    </row>
    <row r="3151" spans="5:13" s="1249" customFormat="1" ht="31.5">
      <c r="E3151" s="1231"/>
      <c r="F3151" s="1231">
        <v>1</v>
      </c>
      <c r="G3151" s="1238" t="s">
        <v>164</v>
      </c>
      <c r="H3151" s="1247" t="s">
        <v>4015</v>
      </c>
      <c r="I3151" s="1248">
        <v>59.9</v>
      </c>
      <c r="J3151" s="1238" t="s">
        <v>164</v>
      </c>
      <c r="K3151" s="1238">
        <f>F3151*I3151</f>
        <v>59.9</v>
      </c>
      <c r="L3151" s="1231"/>
      <c r="M3151" s="1231"/>
    </row>
    <row r="3152" spans="5:13">
      <c r="E3152" s="852"/>
      <c r="F3152" s="852"/>
      <c r="G3152" s="1241"/>
      <c r="H3152" s="1246" t="s">
        <v>4016</v>
      </c>
      <c r="I3152" s="1241"/>
      <c r="J3152" s="1241"/>
      <c r="K3152" s="1241">
        <v>9.6</v>
      </c>
      <c r="L3152" s="852"/>
      <c r="M3152" s="852"/>
    </row>
    <row r="3153" spans="5:13">
      <c r="E3153" s="852"/>
      <c r="F3153" s="852"/>
      <c r="G3153" s="1241"/>
      <c r="H3153" s="1241" t="s">
        <v>656</v>
      </c>
      <c r="I3153" s="1241"/>
      <c r="J3153" s="1241"/>
      <c r="K3153" s="1241">
        <f>K3161</f>
        <v>407.5</v>
      </c>
      <c r="L3153" s="852"/>
      <c r="M3153" s="852"/>
    </row>
    <row r="3154" spans="5:13" ht="19.5" customHeight="1">
      <c r="E3154" s="852"/>
      <c r="F3154" s="852"/>
      <c r="G3154" s="1241"/>
      <c r="H3154" s="1229" t="s">
        <v>3615</v>
      </c>
      <c r="I3154" s="1241"/>
      <c r="J3154" s="1241"/>
      <c r="K3154" s="1230">
        <f>SUM(K3150:K3153)</f>
        <v>815</v>
      </c>
      <c r="L3154" s="852">
        <f>K3154-590</f>
        <v>225</v>
      </c>
      <c r="M3154" s="852">
        <f>577-576.75</f>
        <v>0.25</v>
      </c>
    </row>
    <row r="3155" spans="5:13">
      <c r="E3155" s="852"/>
      <c r="F3155" s="852"/>
      <c r="G3155" s="1236"/>
      <c r="H3155" s="1236"/>
      <c r="I3155" s="1236"/>
      <c r="J3155" s="1236"/>
      <c r="K3155" s="1236"/>
      <c r="L3155" s="852"/>
      <c r="M3155" s="852"/>
    </row>
    <row r="3156" spans="5:13">
      <c r="E3156" s="852"/>
      <c r="F3156" s="852"/>
      <c r="G3156" s="852"/>
      <c r="H3156" s="852"/>
      <c r="I3156" s="852"/>
      <c r="J3156" s="852"/>
      <c r="K3156" s="852"/>
      <c r="L3156" s="852"/>
      <c r="M3156" s="852"/>
    </row>
    <row r="3157" spans="5:13">
      <c r="E3157" s="852"/>
      <c r="F3157" s="852"/>
      <c r="G3157" s="852"/>
      <c r="H3157" s="1232" t="s">
        <v>656</v>
      </c>
      <c r="I3157" s="852"/>
      <c r="J3157" s="852"/>
      <c r="K3157" s="852"/>
      <c r="L3157" s="852"/>
      <c r="M3157" s="852"/>
    </row>
    <row r="3158" spans="5:13" ht="18.75" customHeight="1">
      <c r="E3158" s="852"/>
      <c r="F3158" s="852">
        <v>1</v>
      </c>
      <c r="G3158" s="852" t="s">
        <v>164</v>
      </c>
      <c r="H3158" s="852" t="s">
        <v>4017</v>
      </c>
      <c r="I3158" s="852">
        <f>I2867</f>
        <v>636</v>
      </c>
      <c r="J3158" s="852" t="s">
        <v>164</v>
      </c>
      <c r="K3158" s="852">
        <f>F3158*I3158</f>
        <v>636</v>
      </c>
      <c r="L3158" s="852"/>
      <c r="M3158" s="852"/>
    </row>
    <row r="3159" spans="5:13" ht="18.75" customHeight="1">
      <c r="E3159" s="852"/>
      <c r="F3159" s="852">
        <v>2</v>
      </c>
      <c r="G3159" s="852" t="s">
        <v>164</v>
      </c>
      <c r="H3159" s="852" t="s">
        <v>4009</v>
      </c>
      <c r="I3159" s="852">
        <f>I3140</f>
        <v>497</v>
      </c>
      <c r="J3159" s="852" t="s">
        <v>164</v>
      </c>
      <c r="K3159" s="852">
        <f>F3159*I3159</f>
        <v>994</v>
      </c>
      <c r="L3159" s="852"/>
      <c r="M3159" s="852"/>
    </row>
    <row r="3160" spans="5:13" ht="15" customHeight="1">
      <c r="E3160" s="852"/>
      <c r="F3160" s="852"/>
      <c r="G3160" s="852"/>
      <c r="H3160" s="1227" t="s">
        <v>4018</v>
      </c>
      <c r="I3160" s="852"/>
      <c r="J3160" s="852"/>
      <c r="K3160" s="1228">
        <f>SUM(K3158:K3159)</f>
        <v>1630</v>
      </c>
      <c r="L3160" s="852"/>
      <c r="M3160" s="852"/>
    </row>
    <row r="3161" spans="5:13" ht="20.25" customHeight="1">
      <c r="E3161" s="852"/>
      <c r="F3161" s="852"/>
      <c r="G3161" s="852"/>
      <c r="H3161" s="1229" t="s">
        <v>3823</v>
      </c>
      <c r="I3161" s="852"/>
      <c r="J3161" s="852"/>
      <c r="K3161" s="1230">
        <f>K3160/4</f>
        <v>407.5</v>
      </c>
      <c r="L3161" s="852"/>
      <c r="M3161" s="852"/>
    </row>
    <row r="3162" spans="5:13">
      <c r="E3162" s="852"/>
      <c r="F3162" s="852"/>
      <c r="G3162" s="852"/>
      <c r="H3162" s="852"/>
      <c r="I3162" s="852"/>
      <c r="J3162" s="852"/>
      <c r="K3162" s="852"/>
      <c r="L3162" s="852"/>
      <c r="M3162" s="852"/>
    </row>
    <row r="3163" spans="5:13">
      <c r="E3163" s="852"/>
      <c r="F3163" s="852"/>
      <c r="G3163" s="1250"/>
      <c r="H3163" s="1251" t="s">
        <v>4019</v>
      </c>
      <c r="I3163" s="1250"/>
      <c r="J3163" s="1250"/>
      <c r="K3163" s="1250"/>
      <c r="L3163" s="852"/>
      <c r="M3163" s="852"/>
    </row>
    <row r="3164" spans="5:13">
      <c r="E3164" s="852"/>
      <c r="F3164" s="852"/>
      <c r="G3164" s="1250"/>
      <c r="H3164" s="1238"/>
      <c r="I3164" s="1250"/>
      <c r="J3164" s="1250"/>
      <c r="K3164" s="1250"/>
      <c r="L3164" s="852"/>
      <c r="M3164" s="852"/>
    </row>
    <row r="3165" spans="5:13" ht="63">
      <c r="E3165" s="852"/>
      <c r="F3165" s="852"/>
      <c r="G3165" s="1250"/>
      <c r="H3165" s="1252" t="s">
        <v>4020</v>
      </c>
      <c r="I3165" s="1250"/>
      <c r="J3165" s="1250"/>
      <c r="K3165" s="1250"/>
      <c r="L3165" s="852"/>
      <c r="M3165" s="852"/>
    </row>
    <row r="3166" spans="5:13">
      <c r="E3166" s="852"/>
      <c r="F3166" s="852"/>
      <c r="G3166" s="1250"/>
      <c r="H3166" s="1238"/>
      <c r="I3166" s="1250"/>
      <c r="J3166" s="1250"/>
      <c r="K3166" s="1250"/>
      <c r="L3166" s="852"/>
      <c r="M3166" s="852"/>
    </row>
    <row r="3167" spans="5:13" ht="48.75" customHeight="1">
      <c r="E3167" s="852"/>
      <c r="F3167" s="852"/>
      <c r="G3167" s="1250"/>
      <c r="H3167" s="1253" t="s">
        <v>4021</v>
      </c>
      <c r="I3167" s="1250"/>
      <c r="J3167" s="1250"/>
      <c r="K3167" s="1250"/>
      <c r="L3167" s="852"/>
      <c r="M3167" s="852"/>
    </row>
    <row r="3168" spans="5:13">
      <c r="E3168" s="852"/>
      <c r="F3168" s="852"/>
      <c r="G3168" s="1250"/>
      <c r="H3168" s="1250"/>
      <c r="I3168" s="1250"/>
      <c r="J3168" s="1250"/>
      <c r="K3168" s="1250"/>
      <c r="L3168" s="852"/>
      <c r="M3168" s="852"/>
    </row>
    <row r="3169" spans="5:13" s="1249" customFormat="1" ht="39.75" customHeight="1">
      <c r="E3169" s="1231"/>
      <c r="F3169" s="1238">
        <v>1</v>
      </c>
      <c r="G3169" s="1254" t="s">
        <v>164</v>
      </c>
      <c r="H3169" s="1255" t="s">
        <v>4022</v>
      </c>
      <c r="I3169" s="1256">
        <v>761</v>
      </c>
      <c r="J3169" s="1254" t="s">
        <v>164</v>
      </c>
      <c r="K3169" s="1254">
        <f>F3169*I3169</f>
        <v>761</v>
      </c>
      <c r="L3169" s="1231"/>
      <c r="M3169" s="1231"/>
    </row>
    <row r="3170" spans="5:13" s="1249" customFormat="1" ht="39" customHeight="1">
      <c r="E3170" s="1231"/>
      <c r="F3170" s="1238">
        <v>1</v>
      </c>
      <c r="G3170" s="1254" t="s">
        <v>164</v>
      </c>
      <c r="H3170" s="1257" t="s">
        <v>4023</v>
      </c>
      <c r="I3170" s="1256">
        <f>I3151</f>
        <v>59.9</v>
      </c>
      <c r="J3170" s="1254" t="s">
        <v>164</v>
      </c>
      <c r="K3170" s="1254">
        <f>F3170*I3170</f>
        <v>59.9</v>
      </c>
      <c r="L3170" s="1231"/>
      <c r="M3170" s="1231"/>
    </row>
    <row r="3171" spans="5:13" ht="42.75" customHeight="1">
      <c r="E3171" s="852"/>
      <c r="F3171" s="1241"/>
      <c r="G3171" s="1254"/>
      <c r="H3171" s="1257" t="s">
        <v>4016</v>
      </c>
      <c r="I3171" s="1254"/>
      <c r="J3171" s="1254"/>
      <c r="K3171" s="1254">
        <v>9.6</v>
      </c>
      <c r="L3171" s="852"/>
      <c r="M3171" s="852"/>
    </row>
    <row r="3172" spans="5:13" ht="20.100000000000001" customHeight="1">
      <c r="E3172" s="852"/>
      <c r="F3172" s="1241"/>
      <c r="G3172" s="1238"/>
      <c r="H3172" s="1238" t="s">
        <v>656</v>
      </c>
      <c r="I3172" s="1238"/>
      <c r="J3172" s="1238"/>
      <c r="K3172" s="1238">
        <f>K3161</f>
        <v>407.5</v>
      </c>
      <c r="L3172" s="852"/>
      <c r="M3172" s="852"/>
    </row>
    <row r="3173" spans="5:13" ht="30" customHeight="1">
      <c r="E3173" s="852"/>
      <c r="F3173" s="1241"/>
      <c r="G3173" s="1238"/>
      <c r="H3173" s="1258" t="s">
        <v>3615</v>
      </c>
      <c r="I3173" s="1238"/>
      <c r="J3173" s="1238"/>
      <c r="K3173" s="1251">
        <f>SUM(K3169:K3172)</f>
        <v>1238</v>
      </c>
      <c r="L3173" s="852"/>
      <c r="M3173" s="852">
        <f>K3173-817</f>
        <v>421</v>
      </c>
    </row>
    <row r="3174" spans="5:13">
      <c r="E3174" s="852"/>
      <c r="F3174" s="852"/>
      <c r="G3174" s="852"/>
      <c r="H3174" s="852"/>
      <c r="I3174" s="852"/>
      <c r="J3174" s="852"/>
      <c r="K3174" s="852"/>
      <c r="L3174" s="852"/>
      <c r="M3174" s="852"/>
    </row>
    <row r="3175" spans="5:13">
      <c r="E3175" s="852"/>
      <c r="F3175" s="852"/>
      <c r="G3175" s="852"/>
      <c r="H3175" s="852"/>
      <c r="I3175" s="852"/>
      <c r="J3175" s="852"/>
      <c r="K3175" s="852"/>
      <c r="L3175" s="852"/>
      <c r="M3175" s="852"/>
    </row>
    <row r="3176" spans="5:13" ht="20.100000000000001" customHeight="1">
      <c r="E3176" s="852"/>
      <c r="F3176" s="852"/>
      <c r="G3176" s="852"/>
      <c r="H3176" s="1230" t="s">
        <v>4024</v>
      </c>
      <c r="I3176" s="852"/>
      <c r="J3176" s="852"/>
      <c r="K3176" s="852"/>
      <c r="L3176" s="852"/>
      <c r="M3176" s="852"/>
    </row>
    <row r="3177" spans="5:13">
      <c r="E3177" s="852"/>
      <c r="F3177" s="852"/>
      <c r="G3177" s="852"/>
      <c r="H3177" s="852"/>
      <c r="I3177" s="852"/>
      <c r="J3177" s="852"/>
      <c r="K3177" s="852"/>
      <c r="L3177" s="852"/>
      <c r="M3177" s="852"/>
    </row>
    <row r="3178" spans="5:13" ht="58.5" customHeight="1">
      <c r="E3178" s="852"/>
      <c r="F3178" s="852"/>
      <c r="G3178" s="852"/>
      <c r="H3178" s="1220" t="s">
        <v>4025</v>
      </c>
      <c r="I3178" s="852"/>
      <c r="J3178" s="852"/>
      <c r="K3178" s="852"/>
      <c r="L3178" s="852"/>
      <c r="M3178" s="852"/>
    </row>
    <row r="3179" spans="5:13">
      <c r="E3179" s="852"/>
      <c r="F3179" s="852"/>
      <c r="G3179" s="852"/>
      <c r="H3179" s="852"/>
      <c r="I3179" s="852"/>
      <c r="J3179" s="852"/>
      <c r="K3179" s="852"/>
      <c r="L3179" s="852"/>
      <c r="M3179" s="852"/>
    </row>
    <row r="3180" spans="5:13" ht="40.5" customHeight="1">
      <c r="E3180" s="852"/>
      <c r="F3180" s="852">
        <v>1</v>
      </c>
      <c r="G3180" s="852" t="s">
        <v>164</v>
      </c>
      <c r="H3180" s="1220" t="s">
        <v>4026</v>
      </c>
      <c r="I3180" s="1222">
        <v>454</v>
      </c>
      <c r="J3180" s="852" t="s">
        <v>164</v>
      </c>
      <c r="K3180" s="852">
        <f>F3180*I3180</f>
        <v>454</v>
      </c>
      <c r="L3180" s="852"/>
      <c r="M3180" s="852"/>
    </row>
    <row r="3181" spans="5:13" s="1259" customFormat="1" ht="20.100000000000001" customHeight="1">
      <c r="E3181" s="1250"/>
      <c r="F3181" s="1238">
        <v>1</v>
      </c>
      <c r="G3181" s="1238" t="s">
        <v>164</v>
      </c>
      <c r="H3181" s="1231" t="s">
        <v>4027</v>
      </c>
      <c r="I3181" s="1238">
        <f>I3170</f>
        <v>59.9</v>
      </c>
      <c r="J3181" s="1238" t="s">
        <v>164</v>
      </c>
      <c r="K3181" s="1238">
        <f>F3181*I3181</f>
        <v>59.9</v>
      </c>
      <c r="L3181" s="1250"/>
      <c r="M3181" s="1250"/>
    </row>
    <row r="3182" spans="5:13" ht="20.100000000000001" customHeight="1">
      <c r="E3182" s="852"/>
      <c r="F3182" s="852"/>
      <c r="G3182" s="852"/>
      <c r="H3182" s="852" t="s">
        <v>236</v>
      </c>
      <c r="I3182" s="852"/>
      <c r="J3182" s="852"/>
      <c r="K3182" s="852">
        <v>10.6</v>
      </c>
      <c r="L3182" s="852"/>
      <c r="M3182" s="852"/>
    </row>
    <row r="3183" spans="5:13" ht="19.5" customHeight="1">
      <c r="E3183" s="852"/>
      <c r="F3183" s="852"/>
      <c r="G3183" s="852"/>
      <c r="H3183" s="852" t="s">
        <v>4028</v>
      </c>
      <c r="I3183" s="852"/>
      <c r="J3183" s="852"/>
      <c r="K3183" s="852">
        <f>K3161</f>
        <v>407.5</v>
      </c>
      <c r="L3183" s="852"/>
      <c r="M3183" s="852"/>
    </row>
    <row r="3184" spans="5:13" ht="30" customHeight="1">
      <c r="E3184" s="852"/>
      <c r="F3184" s="852"/>
      <c r="G3184" s="852"/>
      <c r="H3184" s="1229" t="s">
        <v>2553</v>
      </c>
      <c r="I3184" s="852"/>
      <c r="J3184" s="852"/>
      <c r="K3184" s="1230">
        <f>SUM(K3180:K3183)</f>
        <v>932</v>
      </c>
      <c r="L3184" s="852">
        <f>K3184-830</f>
        <v>102</v>
      </c>
      <c r="M3184" s="852">
        <f>917-K3184</f>
        <v>-15</v>
      </c>
    </row>
    <row r="3185" spans="5:13">
      <c r="E3185" s="852"/>
      <c r="F3185" s="852"/>
      <c r="G3185" s="852"/>
      <c r="H3185" s="852"/>
      <c r="I3185" s="852"/>
      <c r="J3185" s="852"/>
      <c r="K3185" s="852"/>
      <c r="L3185" s="852"/>
      <c r="M3185" s="852"/>
    </row>
    <row r="3186" spans="5:13" ht="20.100000000000001" customHeight="1">
      <c r="E3186" s="852"/>
      <c r="F3186" s="852"/>
      <c r="G3186" s="1250"/>
      <c r="H3186" s="1251" t="s">
        <v>4019</v>
      </c>
      <c r="I3186" s="1250"/>
      <c r="J3186" s="1250"/>
      <c r="K3186" s="1250"/>
      <c r="L3186" s="852"/>
      <c r="M3186" s="852"/>
    </row>
    <row r="3187" spans="5:13" ht="28.5" customHeight="1">
      <c r="E3187" s="852"/>
      <c r="F3187" s="852"/>
      <c r="G3187" s="1250"/>
      <c r="H3187" s="1238"/>
      <c r="I3187" s="1250"/>
      <c r="J3187" s="1250"/>
      <c r="K3187" s="1250"/>
      <c r="L3187" s="852"/>
      <c r="M3187" s="852"/>
    </row>
    <row r="3188" spans="5:13" ht="52.5" customHeight="1">
      <c r="E3188" s="852"/>
      <c r="F3188" s="852"/>
      <c r="G3188" s="1250"/>
      <c r="H3188" s="1252" t="s">
        <v>4029</v>
      </c>
      <c r="I3188" s="1250"/>
      <c r="J3188" s="1250"/>
      <c r="K3188" s="1250"/>
      <c r="L3188" s="852"/>
      <c r="M3188" s="852"/>
    </row>
    <row r="3189" spans="5:13">
      <c r="E3189" s="852"/>
      <c r="F3189" s="852"/>
      <c r="G3189" s="1250"/>
      <c r="H3189" s="1238"/>
      <c r="I3189" s="1250"/>
      <c r="J3189" s="1250"/>
      <c r="K3189" s="1250"/>
      <c r="L3189" s="852"/>
      <c r="M3189" s="852"/>
    </row>
    <row r="3190" spans="5:13" ht="88.5" customHeight="1">
      <c r="E3190" s="852"/>
      <c r="F3190" s="852"/>
      <c r="G3190" s="1250"/>
      <c r="H3190" s="1253" t="s">
        <v>4030</v>
      </c>
      <c r="I3190" s="1250"/>
      <c r="J3190" s="1250"/>
      <c r="K3190" s="1250"/>
      <c r="L3190" s="852"/>
      <c r="M3190" s="852"/>
    </row>
    <row r="3191" spans="5:13" ht="38.25" customHeight="1">
      <c r="E3191" s="852"/>
      <c r="F3191" s="1241">
        <v>1</v>
      </c>
      <c r="G3191" s="1238" t="s">
        <v>164</v>
      </c>
      <c r="H3191" s="1247" t="s">
        <v>4031</v>
      </c>
      <c r="I3191" s="1248">
        <v>873</v>
      </c>
      <c r="J3191" s="1238" t="s">
        <v>164</v>
      </c>
      <c r="K3191" s="1238">
        <f>F3191*I3191</f>
        <v>873</v>
      </c>
      <c r="L3191" s="852"/>
      <c r="M3191" s="852"/>
    </row>
    <row r="3192" spans="5:13" ht="40.5" customHeight="1">
      <c r="E3192" s="852"/>
      <c r="F3192" s="1241">
        <v>1</v>
      </c>
      <c r="G3192" s="1238" t="s">
        <v>164</v>
      </c>
      <c r="H3192" s="1247" t="s">
        <v>4032</v>
      </c>
      <c r="I3192" s="1248">
        <v>159.69999999999999</v>
      </c>
      <c r="J3192" s="1238" t="s">
        <v>164</v>
      </c>
      <c r="K3192" s="1238">
        <f>F3192*I3192</f>
        <v>159.69999999999999</v>
      </c>
      <c r="L3192" s="852"/>
      <c r="M3192" s="852"/>
    </row>
    <row r="3193" spans="5:13" ht="38.25" customHeight="1">
      <c r="E3193" s="852"/>
      <c r="F3193" s="1241"/>
      <c r="G3193" s="1238"/>
      <c r="H3193" s="1253" t="s">
        <v>4033</v>
      </c>
      <c r="I3193" s="1238"/>
      <c r="J3193" s="1238"/>
      <c r="K3193" s="1238">
        <v>13.97</v>
      </c>
      <c r="L3193" s="852"/>
      <c r="M3193" s="852"/>
    </row>
    <row r="3194" spans="5:13" ht="23.25" customHeight="1">
      <c r="E3194" s="852"/>
      <c r="F3194" s="1241"/>
      <c r="G3194" s="1238"/>
      <c r="H3194" s="1238" t="s">
        <v>656</v>
      </c>
      <c r="I3194" s="1238"/>
      <c r="J3194" s="1238"/>
      <c r="K3194" s="1238">
        <f>K3201</f>
        <v>543.33333333333337</v>
      </c>
      <c r="L3194" s="852"/>
      <c r="M3194" s="852"/>
    </row>
    <row r="3195" spans="5:13" ht="30" customHeight="1">
      <c r="E3195" s="852"/>
      <c r="F3195" s="1241"/>
      <c r="G3195" s="1238"/>
      <c r="H3195" s="1258" t="s">
        <v>2553</v>
      </c>
      <c r="I3195" s="1238"/>
      <c r="J3195" s="1238"/>
      <c r="K3195" s="1251">
        <f>SUM(K3191:K3194)</f>
        <v>1590.0033333333336</v>
      </c>
      <c r="L3195" s="852">
        <f>K3195-1021</f>
        <v>569.00333333333356</v>
      </c>
      <c r="M3195" s="852">
        <f>K3195-1003</f>
        <v>587.00333333333356</v>
      </c>
    </row>
    <row r="3196" spans="5:13">
      <c r="E3196" s="852"/>
      <c r="F3196" s="852"/>
      <c r="G3196" s="852"/>
      <c r="H3196" s="852"/>
      <c r="I3196" s="852"/>
      <c r="J3196" s="852"/>
      <c r="K3196" s="852"/>
      <c r="L3196" s="852"/>
      <c r="M3196" s="852"/>
    </row>
    <row r="3197" spans="5:13" ht="20.100000000000001" customHeight="1">
      <c r="E3197" s="852"/>
      <c r="F3197" s="852"/>
      <c r="G3197" s="852"/>
      <c r="H3197" s="1228" t="s">
        <v>656</v>
      </c>
      <c r="I3197" s="852"/>
      <c r="J3197" s="852"/>
      <c r="K3197" s="852"/>
      <c r="L3197" s="852"/>
      <c r="M3197" s="852"/>
    </row>
    <row r="3198" spans="5:13">
      <c r="E3198" s="852"/>
      <c r="F3198" s="852">
        <v>1</v>
      </c>
      <c r="G3198" s="852" t="s">
        <v>164</v>
      </c>
      <c r="H3198" s="852" t="s">
        <v>4034</v>
      </c>
      <c r="I3198" s="852">
        <f>I3158</f>
        <v>636</v>
      </c>
      <c r="J3198" s="852" t="s">
        <v>164</v>
      </c>
      <c r="K3198" s="852">
        <f>F3198*I3198</f>
        <v>636</v>
      </c>
      <c r="L3198" s="852"/>
      <c r="M3198" s="852"/>
    </row>
    <row r="3199" spans="5:13">
      <c r="E3199" s="852"/>
      <c r="F3199" s="852">
        <v>2</v>
      </c>
      <c r="G3199" s="852" t="s">
        <v>164</v>
      </c>
      <c r="H3199" s="852" t="s">
        <v>3766</v>
      </c>
      <c r="I3199" s="852">
        <f>I3159</f>
        <v>497</v>
      </c>
      <c r="J3199" s="852" t="s">
        <v>164</v>
      </c>
      <c r="K3199" s="852">
        <f>F3199*I3199</f>
        <v>994</v>
      </c>
      <c r="L3199" s="852"/>
      <c r="M3199" s="852"/>
    </row>
    <row r="3200" spans="5:13" ht="20.100000000000001" customHeight="1">
      <c r="E3200" s="852"/>
      <c r="F3200" s="852"/>
      <c r="G3200" s="852"/>
      <c r="H3200" s="1227" t="s">
        <v>3768</v>
      </c>
      <c r="I3200" s="852"/>
      <c r="J3200" s="852"/>
      <c r="K3200" s="852">
        <f>SUM(K3198:K3199)</f>
        <v>1630</v>
      </c>
      <c r="L3200" s="852"/>
      <c r="M3200" s="852"/>
    </row>
    <row r="3201" spans="5:13" ht="20.100000000000001" customHeight="1">
      <c r="E3201" s="852"/>
      <c r="F3201" s="852"/>
      <c r="G3201" s="852"/>
      <c r="H3201" s="1229" t="s">
        <v>3615</v>
      </c>
      <c r="I3201" s="852"/>
      <c r="J3201" s="852"/>
      <c r="K3201" s="1230">
        <f>K3200/3</f>
        <v>543.33333333333337</v>
      </c>
      <c r="L3201" s="852"/>
      <c r="M3201" s="852"/>
    </row>
    <row r="3202" spans="5:13">
      <c r="E3202" s="852"/>
      <c r="F3202" s="852"/>
      <c r="G3202" s="852"/>
      <c r="H3202" s="852"/>
      <c r="I3202" s="852"/>
      <c r="J3202" s="852"/>
      <c r="K3202" s="852"/>
      <c r="L3202" s="852"/>
      <c r="M3202" s="852"/>
    </row>
    <row r="3203" spans="5:13" ht="30" customHeight="1">
      <c r="E3203" s="852"/>
      <c r="F3203" s="852"/>
      <c r="G3203" s="1250"/>
      <c r="H3203" s="1251" t="s">
        <v>4035</v>
      </c>
      <c r="I3203" s="1250"/>
      <c r="J3203" s="1250"/>
      <c r="K3203" s="1250"/>
      <c r="L3203" s="852"/>
      <c r="M3203" s="852"/>
    </row>
    <row r="3204" spans="5:13">
      <c r="E3204" s="852"/>
      <c r="F3204" s="852"/>
      <c r="G3204" s="1250"/>
      <c r="H3204" s="1238"/>
      <c r="I3204" s="1250"/>
      <c r="J3204" s="1250"/>
      <c r="K3204" s="1250"/>
      <c r="L3204" s="852"/>
      <c r="M3204" s="852"/>
    </row>
    <row r="3205" spans="5:13" ht="91.5" customHeight="1">
      <c r="E3205" s="852"/>
      <c r="F3205" s="852"/>
      <c r="G3205" s="1250"/>
      <c r="H3205" s="1252" t="s">
        <v>4036</v>
      </c>
      <c r="I3205" s="1250"/>
      <c r="J3205" s="1250"/>
      <c r="K3205" s="1250"/>
      <c r="L3205" s="852"/>
      <c r="M3205" s="852"/>
    </row>
    <row r="3206" spans="5:13" ht="30" customHeight="1">
      <c r="E3206" s="852"/>
      <c r="F3206" s="852">
        <v>1</v>
      </c>
      <c r="G3206" s="1238" t="s">
        <v>164</v>
      </c>
      <c r="H3206" s="1231" t="s">
        <v>4037</v>
      </c>
      <c r="I3206" s="1248">
        <v>1290</v>
      </c>
      <c r="J3206" s="1238" t="s">
        <v>164</v>
      </c>
      <c r="K3206" s="1238">
        <f>F3206*I3206</f>
        <v>1290</v>
      </c>
      <c r="L3206" s="852"/>
      <c r="M3206" s="852"/>
    </row>
    <row r="3207" spans="5:13" ht="43.5" customHeight="1">
      <c r="E3207" s="852"/>
      <c r="F3207" s="852">
        <v>1</v>
      </c>
      <c r="G3207" s="1238" t="s">
        <v>164</v>
      </c>
      <c r="H3207" s="1247" t="s">
        <v>4038</v>
      </c>
      <c r="I3207" s="1238">
        <f>I3192</f>
        <v>159.69999999999999</v>
      </c>
      <c r="J3207" s="1238" t="s">
        <v>164</v>
      </c>
      <c r="K3207" s="1238">
        <f>F3207*I3207</f>
        <v>159.69999999999999</v>
      </c>
      <c r="L3207" s="852"/>
      <c r="M3207" s="852"/>
    </row>
    <row r="3208" spans="5:13" ht="41.25" customHeight="1">
      <c r="E3208" s="852"/>
      <c r="F3208" s="852"/>
      <c r="G3208" s="1238"/>
      <c r="H3208" s="1253" t="s">
        <v>4033</v>
      </c>
      <c r="I3208" s="1238"/>
      <c r="J3208" s="1238"/>
      <c r="K3208" s="1238">
        <v>13.97</v>
      </c>
      <c r="L3208" s="852"/>
      <c r="M3208" s="852"/>
    </row>
    <row r="3209" spans="5:13" ht="30" customHeight="1">
      <c r="E3209" s="852"/>
      <c r="F3209" s="852"/>
      <c r="G3209" s="1238"/>
      <c r="H3209" s="1238" t="s">
        <v>656</v>
      </c>
      <c r="I3209" s="1238"/>
      <c r="J3209" s="1238"/>
      <c r="K3209" s="1238">
        <f>K3201</f>
        <v>543.33333333333337</v>
      </c>
      <c r="L3209" s="852"/>
      <c r="M3209" s="852"/>
    </row>
    <row r="3210" spans="5:13" ht="30" customHeight="1">
      <c r="E3210" s="852"/>
      <c r="F3210" s="852"/>
      <c r="G3210" s="1238"/>
      <c r="H3210" s="1258" t="s">
        <v>2553</v>
      </c>
      <c r="I3210" s="1238"/>
      <c r="J3210" s="1238"/>
      <c r="K3210" s="1251">
        <f>SUM(K3206:K3209)</f>
        <v>2007.0033333333336</v>
      </c>
      <c r="L3210" s="852">
        <f>K3210-1340</f>
        <v>667.00333333333356</v>
      </c>
      <c r="M3210" s="852">
        <f>1322-K3210</f>
        <v>-685.00333333333356</v>
      </c>
    </row>
    <row r="3211" spans="5:13">
      <c r="E3211" s="852"/>
      <c r="F3211" s="852"/>
      <c r="G3211" s="852"/>
      <c r="H3211" s="852"/>
      <c r="I3211" s="852"/>
      <c r="J3211" s="852"/>
      <c r="K3211" s="852"/>
      <c r="L3211" s="852"/>
      <c r="M3211" s="852"/>
    </row>
    <row r="3212" spans="5:13" ht="30" customHeight="1">
      <c r="E3212" s="852"/>
      <c r="F3212" s="852"/>
      <c r="G3212" s="852"/>
      <c r="H3212" s="1230" t="s">
        <v>4039</v>
      </c>
      <c r="I3212" s="852"/>
      <c r="J3212" s="852"/>
      <c r="K3212" s="852"/>
      <c r="L3212" s="852"/>
      <c r="M3212" s="852"/>
    </row>
    <row r="3213" spans="5:13" ht="30.75" customHeight="1">
      <c r="E3213" s="852"/>
      <c r="F3213" s="852"/>
      <c r="G3213" s="852"/>
      <c r="H3213" s="852"/>
      <c r="I3213" s="852"/>
      <c r="J3213" s="852"/>
      <c r="K3213" s="852"/>
      <c r="L3213" s="852"/>
      <c r="M3213" s="852"/>
    </row>
    <row r="3214" spans="5:13" ht="74.25" customHeight="1">
      <c r="E3214" s="852"/>
      <c r="F3214" s="852"/>
      <c r="G3214" s="852"/>
      <c r="H3214" s="1218" t="s">
        <v>4040</v>
      </c>
      <c r="I3214" s="852"/>
      <c r="J3214" s="852"/>
      <c r="K3214" s="852"/>
      <c r="L3214" s="852"/>
      <c r="M3214" s="852"/>
    </row>
    <row r="3215" spans="5:13" ht="95.25" customHeight="1">
      <c r="E3215" s="852"/>
      <c r="F3215" s="852"/>
      <c r="G3215" s="852"/>
      <c r="H3215" s="1220" t="s">
        <v>4041</v>
      </c>
      <c r="I3215" s="852"/>
      <c r="J3215" s="852"/>
      <c r="K3215" s="852"/>
      <c r="L3215" s="852"/>
      <c r="M3215" s="852"/>
    </row>
    <row r="3216" spans="5:13">
      <c r="E3216" s="852"/>
      <c r="F3216" s="852"/>
      <c r="G3216" s="852"/>
      <c r="H3216" s="852"/>
      <c r="I3216" s="852"/>
      <c r="J3216" s="852"/>
      <c r="K3216" s="852"/>
      <c r="L3216" s="852"/>
      <c r="M3216" s="852"/>
    </row>
    <row r="3217" spans="5:14" ht="45" customHeight="1">
      <c r="E3217" s="852"/>
      <c r="F3217" s="852">
        <v>1</v>
      </c>
      <c r="G3217" s="852" t="s">
        <v>164</v>
      </c>
      <c r="H3217" s="1220" t="s">
        <v>4042</v>
      </c>
      <c r="I3217" s="1222">
        <v>2267</v>
      </c>
      <c r="J3217" s="852" t="s">
        <v>164</v>
      </c>
      <c r="K3217" s="852">
        <f>F3217*I3217</f>
        <v>2267</v>
      </c>
      <c r="L3217" s="852"/>
      <c r="M3217" s="852"/>
    </row>
    <row r="3218" spans="5:14" s="1261" customFormat="1" ht="30" customHeight="1">
      <c r="E3218" s="1260"/>
      <c r="F3218" s="1260">
        <v>1</v>
      </c>
      <c r="G3218" s="1260" t="s">
        <v>164</v>
      </c>
      <c r="H3218" s="1260" t="s">
        <v>4043</v>
      </c>
      <c r="I3218" s="1260">
        <f>K3222</f>
        <v>411.37875000000008</v>
      </c>
      <c r="J3218" s="1260" t="s">
        <v>164</v>
      </c>
      <c r="K3218" s="1260">
        <f>F3218*I3218</f>
        <v>411.37875000000008</v>
      </c>
      <c r="L3218" s="1260"/>
      <c r="M3218" s="1260"/>
    </row>
    <row r="3219" spans="5:14" ht="44.25" customHeight="1">
      <c r="E3219" s="852"/>
      <c r="F3219" s="852"/>
      <c r="G3219" s="852"/>
      <c r="H3219" s="1220" t="s">
        <v>4044</v>
      </c>
      <c r="I3219" s="852"/>
      <c r="J3219" s="852"/>
      <c r="K3219" s="1231">
        <v>28.29</v>
      </c>
      <c r="L3219" s="852"/>
      <c r="M3219" s="852"/>
    </row>
    <row r="3220" spans="5:14" ht="30" customHeight="1">
      <c r="E3220" s="852"/>
      <c r="F3220" s="852"/>
      <c r="G3220" s="852"/>
      <c r="H3220" s="852" t="s">
        <v>656</v>
      </c>
      <c r="I3220" s="852"/>
      <c r="J3220" s="852"/>
      <c r="K3220" s="852">
        <f>K3201</f>
        <v>543.33333333333337</v>
      </c>
      <c r="L3220" s="852"/>
      <c r="M3220" s="852"/>
    </row>
    <row r="3221" spans="5:14" ht="30" customHeight="1">
      <c r="E3221" s="852"/>
      <c r="F3221" s="852"/>
      <c r="G3221" s="852"/>
      <c r="H3221" s="1229" t="s">
        <v>2553</v>
      </c>
      <c r="I3221" s="852"/>
      <c r="J3221" s="852"/>
      <c r="K3221" s="1230">
        <f>SUM(K3217:K3220)</f>
        <v>3250.0020833333333</v>
      </c>
      <c r="L3221" s="852">
        <f>3000-K3221</f>
        <v>-250.0020833333333</v>
      </c>
      <c r="M3221" s="852">
        <f>3533-K3221</f>
        <v>282.9979166666667</v>
      </c>
    </row>
    <row r="3222" spans="5:14" s="1264" customFormat="1" ht="42.75" customHeight="1">
      <c r="E3222" s="1260"/>
      <c r="F3222" s="1260"/>
      <c r="G3222" s="1260"/>
      <c r="H3222" s="1262" t="s">
        <v>4045</v>
      </c>
      <c r="I3222" s="1256">
        <f>N3222</f>
        <v>101575</v>
      </c>
      <c r="J3222" s="1263">
        <f>0.75*0.45*0.012</f>
        <v>4.0500000000000006E-3</v>
      </c>
      <c r="K3222" s="1260">
        <f>J3222*I3222</f>
        <v>411.37875000000008</v>
      </c>
      <c r="L3222" s="1260"/>
      <c r="M3222" s="1260">
        <f>6180+82300</f>
        <v>88480</v>
      </c>
      <c r="N3222" s="1264">
        <f>10275 +91300</f>
        <v>101575</v>
      </c>
    </row>
    <row r="3223" spans="5:14" ht="30" customHeight="1">
      <c r="E3223" s="852"/>
      <c r="F3223" s="852"/>
      <c r="G3223" s="852"/>
      <c r="H3223" s="1230" t="s">
        <v>4046</v>
      </c>
      <c r="I3223" s="852"/>
      <c r="J3223" s="852"/>
      <c r="K3223" s="852"/>
      <c r="L3223" s="852"/>
      <c r="M3223" s="852"/>
    </row>
    <row r="3224" spans="5:14">
      <c r="E3224" s="852"/>
      <c r="F3224" s="852"/>
      <c r="G3224" s="852"/>
      <c r="H3224" s="852"/>
      <c r="I3224" s="852"/>
      <c r="J3224" s="852"/>
      <c r="K3224" s="852"/>
      <c r="L3224" s="852"/>
      <c r="M3224" s="852"/>
    </row>
    <row r="3225" spans="5:14" ht="92.25" customHeight="1">
      <c r="E3225" s="852"/>
      <c r="F3225" s="852"/>
      <c r="G3225" s="852"/>
      <c r="H3225" s="1218" t="s">
        <v>4047</v>
      </c>
      <c r="I3225" s="852"/>
      <c r="J3225" s="852"/>
      <c r="K3225" s="852"/>
      <c r="L3225" s="852"/>
      <c r="M3225" s="852"/>
    </row>
    <row r="3226" spans="5:14">
      <c r="E3226" s="852"/>
      <c r="F3226" s="852"/>
      <c r="G3226" s="852"/>
      <c r="H3226" s="852"/>
      <c r="I3226" s="852"/>
      <c r="J3226" s="852"/>
      <c r="K3226" s="852"/>
      <c r="L3226" s="852"/>
      <c r="M3226" s="852"/>
    </row>
    <row r="3227" spans="5:14" ht="30" customHeight="1">
      <c r="E3227" s="852"/>
      <c r="F3227" s="852"/>
      <c r="G3227" s="852"/>
      <c r="H3227" s="852" t="s">
        <v>4048</v>
      </c>
      <c r="I3227" s="852"/>
      <c r="J3227" s="852"/>
      <c r="K3227" s="852"/>
      <c r="L3227" s="852"/>
      <c r="M3227" s="852"/>
    </row>
    <row r="3228" spans="5:14">
      <c r="E3228" s="852"/>
      <c r="F3228" s="852"/>
      <c r="G3228" s="852"/>
      <c r="H3228" s="852"/>
      <c r="I3228" s="852"/>
      <c r="J3228" s="852"/>
      <c r="K3228" s="852"/>
      <c r="L3228" s="852"/>
      <c r="M3228" s="852"/>
    </row>
    <row r="3229" spans="5:14" ht="30" customHeight="1">
      <c r="E3229" s="852"/>
      <c r="F3229" s="852"/>
      <c r="G3229" s="852"/>
      <c r="H3229" s="852" t="s">
        <v>4049</v>
      </c>
      <c r="I3229" s="852"/>
      <c r="J3229" s="852"/>
      <c r="K3229" s="852">
        <f>K3221</f>
        <v>3250.0020833333333</v>
      </c>
      <c r="L3229" s="852"/>
      <c r="M3229" s="852"/>
    </row>
    <row r="3230" spans="5:14" ht="30" customHeight="1">
      <c r="E3230" s="852"/>
      <c r="F3230" s="852">
        <v>1</v>
      </c>
      <c r="G3230" s="852" t="s">
        <v>164</v>
      </c>
      <c r="H3230" s="852" t="s">
        <v>4050</v>
      </c>
      <c r="I3230" s="1222">
        <v>3033</v>
      </c>
      <c r="J3230" s="852" t="s">
        <v>164</v>
      </c>
      <c r="K3230" s="852">
        <f>F3230*I3230</f>
        <v>3033</v>
      </c>
      <c r="L3230" s="852"/>
      <c r="M3230" s="852"/>
    </row>
    <row r="3231" spans="5:14" ht="30" customHeight="1">
      <c r="E3231" s="852"/>
      <c r="F3231" s="852">
        <v>1</v>
      </c>
      <c r="G3231" s="852" t="s">
        <v>164</v>
      </c>
      <c r="H3231" s="852" t="s">
        <v>4051</v>
      </c>
      <c r="I3231" s="1223">
        <f>I3217</f>
        <v>2267</v>
      </c>
      <c r="J3231" s="852" t="s">
        <v>164</v>
      </c>
      <c r="K3231" s="852">
        <f>F3231*I3231</f>
        <v>2267</v>
      </c>
      <c r="L3231" s="852"/>
      <c r="M3231" s="852"/>
    </row>
    <row r="3232" spans="5:14" ht="30" customHeight="1">
      <c r="E3232" s="852"/>
      <c r="F3232" s="852"/>
      <c r="G3232" s="852"/>
      <c r="H3232" s="852" t="s">
        <v>236</v>
      </c>
      <c r="I3232" s="852"/>
      <c r="J3232" s="852"/>
      <c r="K3232" s="852"/>
      <c r="L3232" s="852"/>
      <c r="M3232" s="852"/>
    </row>
    <row r="3233" spans="5:13" ht="30" customHeight="1">
      <c r="E3233" s="852"/>
      <c r="F3233" s="852"/>
      <c r="G3233" s="852"/>
      <c r="H3233" s="1229" t="s">
        <v>2553</v>
      </c>
      <c r="I3233" s="852"/>
      <c r="J3233" s="852"/>
      <c r="K3233" s="1230">
        <f>K3229+K3230-K3231+K3232</f>
        <v>4016.0020833333328</v>
      </c>
      <c r="L3233" s="852">
        <f>K3233-3737</f>
        <v>279.00208333333285</v>
      </c>
      <c r="M3233" s="852"/>
    </row>
    <row r="3234" spans="5:13" ht="39.75" customHeight="1">
      <c r="E3234" s="852"/>
      <c r="F3234" s="852"/>
      <c r="G3234" s="852"/>
      <c r="H3234" s="852"/>
      <c r="I3234" s="852"/>
      <c r="J3234" s="852"/>
      <c r="K3234" s="852">
        <f>K3233*2</f>
        <v>8032.0041666666657</v>
      </c>
      <c r="L3234" s="852"/>
      <c r="M3234" s="852"/>
    </row>
    <row r="3235" spans="5:13" ht="24.95" customHeight="1">
      <c r="E3235" s="852"/>
      <c r="F3235" s="852"/>
      <c r="G3235" s="852"/>
      <c r="H3235" s="1230" t="s">
        <v>4035</v>
      </c>
      <c r="I3235" s="852"/>
      <c r="J3235" s="852"/>
      <c r="K3235" s="852"/>
      <c r="L3235" s="852"/>
      <c r="M3235" s="852"/>
    </row>
    <row r="3236" spans="5:13">
      <c r="E3236" s="852"/>
      <c r="F3236" s="852"/>
      <c r="G3236" s="852"/>
      <c r="H3236" s="852"/>
      <c r="I3236" s="852"/>
      <c r="J3236" s="852"/>
      <c r="K3236" s="852"/>
      <c r="L3236" s="852"/>
      <c r="M3236" s="852"/>
    </row>
    <row r="3237" spans="5:13" ht="39" customHeight="1">
      <c r="E3237" s="852"/>
      <c r="F3237" s="852"/>
      <c r="G3237" s="852"/>
      <c r="H3237" s="1218" t="s">
        <v>4052</v>
      </c>
      <c r="I3237" s="852"/>
      <c r="J3237" s="852"/>
      <c r="K3237" s="852"/>
      <c r="L3237" s="852"/>
      <c r="M3237" s="852"/>
    </row>
    <row r="3238" spans="5:13">
      <c r="E3238" s="852"/>
      <c r="F3238" s="852"/>
      <c r="G3238" s="852"/>
      <c r="H3238" s="852"/>
      <c r="I3238" s="852"/>
      <c r="J3238" s="852"/>
      <c r="K3238" s="852"/>
      <c r="L3238" s="852"/>
      <c r="M3238" s="852"/>
    </row>
    <row r="3239" spans="5:13" ht="95.25" customHeight="1">
      <c r="E3239" s="852"/>
      <c r="F3239" s="852"/>
      <c r="G3239" s="852"/>
      <c r="H3239" s="1220" t="s">
        <v>4053</v>
      </c>
      <c r="I3239" s="852"/>
      <c r="J3239" s="852"/>
      <c r="K3239" s="852"/>
      <c r="L3239" s="852"/>
      <c r="M3239" s="852"/>
    </row>
    <row r="3240" spans="5:13" ht="24.95" customHeight="1">
      <c r="E3240" s="852"/>
      <c r="F3240" s="852">
        <v>2</v>
      </c>
      <c r="G3240" s="852" t="s">
        <v>164</v>
      </c>
      <c r="H3240" s="852" t="s">
        <v>4054</v>
      </c>
      <c r="I3240" s="1222">
        <v>558</v>
      </c>
      <c r="J3240" s="852" t="s">
        <v>3816</v>
      </c>
      <c r="K3240" s="852">
        <f>F3240*(I3240/100)</f>
        <v>11.16</v>
      </c>
      <c r="L3240" s="852"/>
      <c r="M3240" s="852"/>
    </row>
    <row r="3241" spans="5:13" s="1259" customFormat="1" ht="24.95" customHeight="1">
      <c r="E3241" s="1250"/>
      <c r="F3241" s="1265">
        <v>2</v>
      </c>
      <c r="G3241" s="1265" t="s">
        <v>231</v>
      </c>
      <c r="H3241" s="1265" t="s">
        <v>4055</v>
      </c>
      <c r="I3241" s="1265">
        <v>914.1</v>
      </c>
      <c r="J3241" s="1265" t="s">
        <v>4056</v>
      </c>
      <c r="K3241" s="1265">
        <f>F3241*(I3241/100)</f>
        <v>18.282</v>
      </c>
      <c r="L3241" s="1250"/>
      <c r="M3241" s="1250"/>
    </row>
    <row r="3242" spans="5:13" ht="24.95" customHeight="1">
      <c r="E3242" s="852"/>
      <c r="F3242" s="852"/>
      <c r="G3242" s="852"/>
      <c r="H3242" s="852" t="s">
        <v>4057</v>
      </c>
      <c r="I3242" s="852"/>
      <c r="J3242" s="852"/>
      <c r="K3242" s="1231">
        <v>8.5</v>
      </c>
      <c r="L3242" s="852"/>
      <c r="M3242" s="852"/>
    </row>
    <row r="3243" spans="5:13" ht="24.95" customHeight="1">
      <c r="E3243" s="852"/>
      <c r="F3243" s="852"/>
      <c r="G3243" s="852"/>
      <c r="H3243" s="852" t="s">
        <v>4058</v>
      </c>
      <c r="I3243" s="852"/>
      <c r="J3243" s="852"/>
      <c r="K3243" s="852">
        <f>K3251</f>
        <v>212.0625</v>
      </c>
      <c r="L3243" s="852"/>
      <c r="M3243" s="852"/>
    </row>
    <row r="3244" spans="5:13" ht="24.95" customHeight="1">
      <c r="E3244" s="852"/>
      <c r="F3244" s="852"/>
      <c r="G3244" s="852"/>
      <c r="H3244" s="1229" t="s">
        <v>2553</v>
      </c>
      <c r="I3244" s="852"/>
      <c r="J3244" s="852"/>
      <c r="K3244" s="1230">
        <f>SUM(K3240:K3243)</f>
        <v>250.00450000000001</v>
      </c>
      <c r="L3244" s="852">
        <f>K3244-192</f>
        <v>58.004500000000007</v>
      </c>
      <c r="M3244" s="852"/>
    </row>
    <row r="3245" spans="5:13">
      <c r="E3245" s="852"/>
      <c r="F3245" s="852"/>
      <c r="G3245" s="852"/>
      <c r="H3245" s="852"/>
      <c r="I3245" s="852"/>
      <c r="J3245" s="852"/>
      <c r="K3245" s="852"/>
      <c r="L3245" s="852"/>
      <c r="M3245" s="852"/>
    </row>
    <row r="3246" spans="5:13">
      <c r="E3246" s="852"/>
      <c r="F3246" s="852"/>
      <c r="H3246" s="1228" t="s">
        <v>4059</v>
      </c>
      <c r="I3246" s="852"/>
      <c r="J3246" s="852"/>
      <c r="K3246" s="852"/>
      <c r="L3246" s="852"/>
      <c r="M3246" s="852"/>
    </row>
    <row r="3247" spans="5:13">
      <c r="E3247" s="852"/>
      <c r="F3247" s="852">
        <v>1</v>
      </c>
      <c r="G3247" s="852" t="s">
        <v>164</v>
      </c>
      <c r="H3247" s="852" t="s">
        <v>4017</v>
      </c>
      <c r="I3247" s="852">
        <f>I2867</f>
        <v>636</v>
      </c>
      <c r="J3247" s="852" t="s">
        <v>164</v>
      </c>
      <c r="K3247" s="852">
        <f>F3247*I3247</f>
        <v>636</v>
      </c>
      <c r="L3247" s="852"/>
      <c r="M3247" s="852"/>
    </row>
    <row r="3248" spans="5:13">
      <c r="E3248" s="852"/>
      <c r="F3248" s="852">
        <v>2</v>
      </c>
      <c r="G3248" s="852" t="s">
        <v>164</v>
      </c>
      <c r="H3248" s="852" t="s">
        <v>4008</v>
      </c>
      <c r="I3248" s="852">
        <f>I2868</f>
        <v>633</v>
      </c>
      <c r="J3248" s="852" t="s">
        <v>164</v>
      </c>
      <c r="K3248" s="852">
        <f>F3248*I3248</f>
        <v>1266</v>
      </c>
      <c r="L3248" s="852"/>
      <c r="M3248" s="852"/>
    </row>
    <row r="3249" spans="5:13">
      <c r="E3249" s="852"/>
      <c r="F3249" s="852">
        <v>3</v>
      </c>
      <c r="G3249" s="852" t="s">
        <v>164</v>
      </c>
      <c r="H3249" s="852" t="s">
        <v>3766</v>
      </c>
      <c r="I3249" s="852">
        <f>I2869</f>
        <v>497</v>
      </c>
      <c r="J3249" s="852" t="s">
        <v>164</v>
      </c>
      <c r="K3249" s="852">
        <f>F3249*I3249</f>
        <v>1491</v>
      </c>
      <c r="L3249" s="852"/>
      <c r="M3249" s="852"/>
    </row>
    <row r="3250" spans="5:13">
      <c r="E3250" s="852"/>
      <c r="F3250" s="852"/>
      <c r="G3250" s="852"/>
      <c r="H3250" s="1227" t="s">
        <v>4060</v>
      </c>
      <c r="I3250" s="852"/>
      <c r="J3250" s="852"/>
      <c r="K3250" s="1228">
        <f>SUM(K3247:K3249)</f>
        <v>3393</v>
      </c>
      <c r="L3250" s="852"/>
      <c r="M3250" s="852"/>
    </row>
    <row r="3251" spans="5:13">
      <c r="E3251" s="852"/>
      <c r="F3251" s="852"/>
      <c r="G3251" s="852"/>
      <c r="H3251" s="1229" t="s">
        <v>3615</v>
      </c>
      <c r="I3251" s="852"/>
      <c r="J3251" s="852"/>
      <c r="K3251" s="1230">
        <f>K3250/16</f>
        <v>212.0625</v>
      </c>
      <c r="L3251" s="852"/>
      <c r="M3251" s="852"/>
    </row>
    <row r="3252" spans="5:13">
      <c r="E3252" s="852"/>
      <c r="F3252" s="852"/>
      <c r="G3252" s="852"/>
      <c r="H3252" s="852"/>
      <c r="I3252" s="852"/>
      <c r="J3252" s="852"/>
      <c r="K3252" s="852"/>
      <c r="L3252" s="852"/>
      <c r="M3252" s="852"/>
    </row>
    <row r="3253" spans="5:13">
      <c r="E3253" s="852"/>
      <c r="F3253" s="852"/>
      <c r="G3253" s="852"/>
      <c r="H3253" s="1230" t="s">
        <v>4061</v>
      </c>
      <c r="I3253" s="852"/>
      <c r="J3253" s="852"/>
      <c r="K3253" s="852"/>
      <c r="L3253" s="852"/>
      <c r="M3253" s="852"/>
    </row>
    <row r="3254" spans="5:13" ht="36" customHeight="1">
      <c r="E3254" s="852"/>
      <c r="F3254" s="852"/>
      <c r="G3254" s="852"/>
      <c r="H3254" s="1218" t="s">
        <v>4062</v>
      </c>
      <c r="I3254" s="852"/>
      <c r="J3254" s="852"/>
      <c r="K3254" s="852"/>
      <c r="L3254" s="852"/>
      <c r="M3254" s="852"/>
    </row>
    <row r="3255" spans="5:13">
      <c r="E3255" s="852"/>
      <c r="F3255" s="852"/>
      <c r="G3255" s="852"/>
      <c r="H3255" s="852"/>
      <c r="I3255" s="852"/>
      <c r="J3255" s="852"/>
      <c r="K3255" s="852"/>
      <c r="L3255" s="852"/>
      <c r="M3255" s="852"/>
    </row>
    <row r="3256" spans="5:13" ht="112.5" customHeight="1">
      <c r="E3256" s="852"/>
      <c r="F3256" s="852"/>
      <c r="G3256" s="852"/>
      <c r="H3256" s="1220" t="s">
        <v>4063</v>
      </c>
      <c r="I3256" s="852"/>
      <c r="J3256" s="852"/>
      <c r="K3256" s="852"/>
      <c r="L3256" s="852"/>
      <c r="M3256" s="852"/>
    </row>
    <row r="3257" spans="5:13">
      <c r="E3257" s="852"/>
      <c r="F3257" s="852">
        <v>1.5</v>
      </c>
      <c r="G3257" s="852" t="s">
        <v>231</v>
      </c>
      <c r="H3257" s="852" t="s">
        <v>4064</v>
      </c>
      <c r="I3257" s="1222">
        <v>28.1</v>
      </c>
      <c r="J3257" s="852" t="s">
        <v>231</v>
      </c>
      <c r="K3257" s="852">
        <f>F3257*I3257</f>
        <v>42.150000000000006</v>
      </c>
      <c r="L3257" s="852"/>
      <c r="M3257" s="852"/>
    </row>
    <row r="3258" spans="5:13">
      <c r="E3258" s="852"/>
      <c r="F3258" s="852">
        <v>2</v>
      </c>
      <c r="G3258" s="852" t="s">
        <v>164</v>
      </c>
      <c r="H3258" s="852" t="s">
        <v>4065</v>
      </c>
      <c r="I3258" s="852">
        <f>I3240</f>
        <v>558</v>
      </c>
      <c r="J3258" s="852" t="s">
        <v>3816</v>
      </c>
      <c r="K3258" s="852">
        <f>F3258*(I3258/100)</f>
        <v>11.16</v>
      </c>
      <c r="L3258" s="852"/>
      <c r="M3258" s="852"/>
    </row>
    <row r="3259" spans="5:13" s="1259" customFormat="1">
      <c r="E3259" s="1250"/>
      <c r="F3259" s="1265">
        <v>2</v>
      </c>
      <c r="G3259" s="1265" t="s">
        <v>231</v>
      </c>
      <c r="H3259" s="1265" t="s">
        <v>4055</v>
      </c>
      <c r="I3259" s="1265">
        <f>I3241</f>
        <v>914.1</v>
      </c>
      <c r="J3259" s="1265" t="s">
        <v>231</v>
      </c>
      <c r="K3259" s="1265">
        <f>F3259*(I3259/100)</f>
        <v>18.282</v>
      </c>
      <c r="L3259" s="1250"/>
      <c r="M3259" s="1250"/>
    </row>
    <row r="3260" spans="5:13" ht="31.5" customHeight="1">
      <c r="E3260" s="852"/>
      <c r="F3260" s="852"/>
      <c r="G3260" s="852"/>
      <c r="H3260" s="1220" t="s">
        <v>4066</v>
      </c>
      <c r="I3260" s="852"/>
      <c r="J3260" s="852"/>
      <c r="K3260" s="1231">
        <v>6.11</v>
      </c>
      <c r="L3260" s="852"/>
      <c r="M3260" s="852"/>
    </row>
    <row r="3261" spans="5:13">
      <c r="E3261" s="852"/>
      <c r="F3261" s="852"/>
      <c r="G3261" s="852"/>
      <c r="H3261" s="852" t="s">
        <v>656</v>
      </c>
      <c r="I3261" s="852"/>
      <c r="J3261" s="852"/>
      <c r="K3261" s="852">
        <f>K3269</f>
        <v>339.3</v>
      </c>
      <c r="L3261" s="852"/>
      <c r="M3261" s="852"/>
    </row>
    <row r="3262" spans="5:13" ht="24.95" customHeight="1">
      <c r="E3262" s="852"/>
      <c r="F3262" s="852"/>
      <c r="G3262" s="852"/>
      <c r="H3262" s="1229" t="s">
        <v>2553</v>
      </c>
      <c r="I3262" s="852"/>
      <c r="J3262" s="852"/>
      <c r="K3262" s="1230">
        <f>SUM(K3257:K3261)</f>
        <v>417.00200000000001</v>
      </c>
      <c r="L3262" s="852">
        <f>K3262-320</f>
        <v>97.00200000000001</v>
      </c>
      <c r="M3262" s="852"/>
    </row>
    <row r="3263" spans="5:13">
      <c r="E3263" s="852"/>
      <c r="F3263" s="852"/>
      <c r="G3263" s="852"/>
      <c r="H3263" s="852"/>
      <c r="I3263" s="852"/>
      <c r="J3263" s="852"/>
      <c r="K3263" s="852"/>
      <c r="L3263" s="852"/>
      <c r="M3263" s="852"/>
    </row>
    <row r="3264" spans="5:13">
      <c r="E3264" s="852"/>
      <c r="F3264" s="852"/>
      <c r="G3264" s="852"/>
      <c r="H3264" s="1230" t="s">
        <v>2142</v>
      </c>
      <c r="I3264" s="852"/>
      <c r="J3264" s="852"/>
      <c r="K3264" s="852"/>
      <c r="L3264" s="852"/>
      <c r="M3264" s="852"/>
    </row>
    <row r="3265" spans="5:13">
      <c r="E3265" s="852"/>
      <c r="F3265" s="852">
        <v>1</v>
      </c>
      <c r="G3265" s="852" t="s">
        <v>164</v>
      </c>
      <c r="H3265" s="852" t="s">
        <v>4017</v>
      </c>
      <c r="I3265" s="852">
        <f>I3247</f>
        <v>636</v>
      </c>
      <c r="J3265" s="852" t="s">
        <v>164</v>
      </c>
      <c r="K3265" s="852">
        <f>F3265*I3265</f>
        <v>636</v>
      </c>
      <c r="L3265" s="852"/>
      <c r="M3265" s="852"/>
    </row>
    <row r="3266" spans="5:13">
      <c r="E3266" s="852"/>
      <c r="F3266" s="852">
        <v>2</v>
      </c>
      <c r="G3266" s="852" t="s">
        <v>164</v>
      </c>
      <c r="H3266" s="852" t="s">
        <v>4008</v>
      </c>
      <c r="I3266" s="852">
        <f>I3248</f>
        <v>633</v>
      </c>
      <c r="J3266" s="852" t="s">
        <v>164</v>
      </c>
      <c r="K3266" s="852">
        <f>F3266*I3266</f>
        <v>1266</v>
      </c>
      <c r="L3266" s="852"/>
      <c r="M3266" s="852"/>
    </row>
    <row r="3267" spans="5:13">
      <c r="E3267" s="852"/>
      <c r="F3267" s="852">
        <v>3</v>
      </c>
      <c r="G3267" s="852" t="s">
        <v>164</v>
      </c>
      <c r="H3267" s="852" t="s">
        <v>3766</v>
      </c>
      <c r="I3267" s="852">
        <f>I3249</f>
        <v>497</v>
      </c>
      <c r="J3267" s="852" t="s">
        <v>164</v>
      </c>
      <c r="K3267" s="852">
        <f>F3267*I3267</f>
        <v>1491</v>
      </c>
      <c r="L3267" s="852"/>
      <c r="M3267" s="852"/>
    </row>
    <row r="3268" spans="5:13">
      <c r="E3268" s="852"/>
      <c r="F3268" s="852"/>
      <c r="G3268" s="852"/>
      <c r="H3268" s="1227" t="s">
        <v>4067</v>
      </c>
      <c r="I3268" s="852"/>
      <c r="J3268" s="852"/>
      <c r="K3268" s="1228">
        <f>SUM(K3265:K3267)</f>
        <v>3393</v>
      </c>
      <c r="L3268" s="852"/>
      <c r="M3268" s="852"/>
    </row>
    <row r="3269" spans="5:13">
      <c r="E3269" s="852"/>
      <c r="F3269" s="852"/>
      <c r="G3269" s="852"/>
      <c r="H3269" s="1229" t="s">
        <v>3615</v>
      </c>
      <c r="I3269" s="852"/>
      <c r="J3269" s="852"/>
      <c r="K3269" s="1230">
        <f>K3268/10</f>
        <v>339.3</v>
      </c>
      <c r="L3269" s="852"/>
      <c r="M3269" s="852"/>
    </row>
    <row r="3270" spans="5:13">
      <c r="E3270" s="852"/>
      <c r="F3270" s="852"/>
      <c r="G3270" s="852"/>
      <c r="H3270" s="852"/>
      <c r="I3270" s="852"/>
      <c r="J3270" s="852"/>
      <c r="K3270" s="852"/>
      <c r="L3270" s="852"/>
      <c r="M3270" s="852"/>
    </row>
    <row r="3271" spans="5:13">
      <c r="E3271" s="852"/>
      <c r="F3271" s="852"/>
      <c r="G3271" s="852"/>
      <c r="H3271" s="1230" t="s">
        <v>4046</v>
      </c>
      <c r="I3271" s="852"/>
      <c r="J3271" s="852"/>
      <c r="K3271" s="852"/>
      <c r="L3271" s="852"/>
      <c r="M3271" s="852"/>
    </row>
    <row r="3272" spans="5:13" ht="83.25" customHeight="1">
      <c r="E3272" s="852"/>
      <c r="F3272" s="852"/>
      <c r="G3272" s="852"/>
      <c r="H3272" s="1220" t="s">
        <v>4068</v>
      </c>
      <c r="I3272" s="852"/>
      <c r="J3272" s="852"/>
      <c r="K3272" s="852"/>
      <c r="L3272" s="852"/>
      <c r="M3272" s="852"/>
    </row>
    <row r="3273" spans="5:13">
      <c r="E3273" s="852"/>
      <c r="F3273" s="852"/>
      <c r="G3273" s="852"/>
      <c r="H3273" s="852"/>
      <c r="I3273" s="852"/>
      <c r="J3273" s="852"/>
      <c r="K3273" s="852"/>
      <c r="L3273" s="852"/>
      <c r="M3273" s="852"/>
    </row>
    <row r="3274" spans="5:13" s="1259" customFormat="1" ht="22.5" customHeight="1">
      <c r="E3274" s="1250"/>
      <c r="F3274" s="1265">
        <v>1</v>
      </c>
      <c r="G3274" s="1265" t="s">
        <v>231</v>
      </c>
      <c r="H3274" s="1265" t="s">
        <v>4055</v>
      </c>
      <c r="I3274" s="1265">
        <f>I3259</f>
        <v>914.1</v>
      </c>
      <c r="J3274" s="1265" t="s">
        <v>4069</v>
      </c>
      <c r="K3274" s="1265">
        <f>F3274*(I3274/100)</f>
        <v>9.141</v>
      </c>
      <c r="L3274" s="1250"/>
      <c r="M3274" s="1250"/>
    </row>
    <row r="3275" spans="5:13" ht="24.95" customHeight="1">
      <c r="E3275" s="852"/>
      <c r="F3275" s="852"/>
      <c r="G3275" s="852"/>
      <c r="H3275" s="852" t="s">
        <v>2142</v>
      </c>
      <c r="I3275" s="852"/>
      <c r="J3275" s="852"/>
      <c r="K3275" s="852">
        <f>K3282</f>
        <v>452.6</v>
      </c>
      <c r="L3275" s="852"/>
      <c r="M3275" s="852"/>
    </row>
    <row r="3276" spans="5:13" ht="24.95" customHeight="1">
      <c r="E3276" s="852"/>
      <c r="F3276" s="852"/>
      <c r="G3276" s="852"/>
      <c r="H3276" s="852" t="s">
        <v>3706</v>
      </c>
      <c r="J3276" s="852"/>
      <c r="K3276" s="1231">
        <v>5.26</v>
      </c>
      <c r="L3276" s="852"/>
      <c r="M3276" s="852"/>
    </row>
    <row r="3277" spans="5:13" ht="24.95" customHeight="1">
      <c r="E3277" s="852"/>
      <c r="F3277" s="852"/>
      <c r="G3277" s="852"/>
      <c r="H3277" s="1228" t="s">
        <v>4070</v>
      </c>
      <c r="I3277" s="1230" t="s">
        <v>2553</v>
      </c>
      <c r="J3277" s="852"/>
      <c r="K3277" s="1230">
        <f>SUM(K3274:K3276)</f>
        <v>467.00100000000003</v>
      </c>
      <c r="L3277" s="852">
        <f>K3277-347</f>
        <v>120.00100000000003</v>
      </c>
      <c r="M3277" s="852"/>
    </row>
    <row r="3278" spans="5:13" ht="21" customHeight="1">
      <c r="E3278" s="852"/>
      <c r="F3278" s="852">
        <v>1</v>
      </c>
      <c r="G3278" s="852" t="s">
        <v>164</v>
      </c>
      <c r="H3278" s="852" t="s">
        <v>4017</v>
      </c>
      <c r="I3278" s="852">
        <f>I3265</f>
        <v>636</v>
      </c>
      <c r="J3278" s="852" t="s">
        <v>164</v>
      </c>
      <c r="K3278" s="852">
        <f>F3278*I3278</f>
        <v>636</v>
      </c>
      <c r="L3278" s="852"/>
      <c r="M3278" s="852"/>
    </row>
    <row r="3279" spans="5:13" ht="21" customHeight="1">
      <c r="E3279" s="852"/>
      <c r="F3279" s="852">
        <v>1</v>
      </c>
      <c r="G3279" s="852" t="s">
        <v>164</v>
      </c>
      <c r="H3279" s="852" t="s">
        <v>4008</v>
      </c>
      <c r="I3279" s="852">
        <f>I3266</f>
        <v>633</v>
      </c>
      <c r="J3279" s="852" t="s">
        <v>164</v>
      </c>
      <c r="K3279" s="852">
        <f>F3279*I3279</f>
        <v>633</v>
      </c>
      <c r="L3279" s="852"/>
      <c r="M3279" s="852"/>
    </row>
    <row r="3280" spans="5:13" ht="21" customHeight="1">
      <c r="E3280" s="852"/>
      <c r="F3280" s="852">
        <v>2</v>
      </c>
      <c r="G3280" s="852" t="s">
        <v>164</v>
      </c>
      <c r="H3280" s="852" t="s">
        <v>3766</v>
      </c>
      <c r="I3280" s="852">
        <f>I3267</f>
        <v>497</v>
      </c>
      <c r="J3280" s="852" t="s">
        <v>164</v>
      </c>
      <c r="K3280" s="852">
        <f>F3280*I3280</f>
        <v>994</v>
      </c>
      <c r="L3280" s="852"/>
      <c r="M3280" s="852"/>
    </row>
    <row r="3281" spans="5:14" ht="24.95" customHeight="1">
      <c r="E3281" s="852"/>
      <c r="F3281" s="852"/>
      <c r="G3281" s="852"/>
      <c r="H3281" s="1227" t="s">
        <v>4071</v>
      </c>
      <c r="I3281" s="852"/>
      <c r="J3281" s="852"/>
      <c r="K3281" s="1228">
        <f>SUM(K3278:K3280)</f>
        <v>2263</v>
      </c>
      <c r="L3281" s="852"/>
      <c r="M3281" s="852"/>
    </row>
    <row r="3282" spans="5:14" ht="19.5" customHeight="1">
      <c r="E3282" s="852"/>
      <c r="F3282" s="852"/>
      <c r="G3282" s="852"/>
      <c r="H3282" s="1229" t="s">
        <v>2553</v>
      </c>
      <c r="I3282" s="852"/>
      <c r="J3282" s="852"/>
      <c r="K3282" s="1230">
        <f>K3281/5</f>
        <v>452.6</v>
      </c>
      <c r="L3282" s="852"/>
      <c r="M3282" s="852"/>
    </row>
    <row r="3283" spans="5:14" ht="24.95" customHeight="1">
      <c r="E3283" s="852"/>
      <c r="F3283" s="852"/>
      <c r="G3283" s="852"/>
      <c r="H3283" s="1266" t="s">
        <v>4072</v>
      </c>
      <c r="I3283" s="852"/>
      <c r="J3283" s="852"/>
      <c r="K3283" s="852"/>
      <c r="L3283" s="852"/>
      <c r="M3283" s="852"/>
    </row>
    <row r="3284" spans="5:14">
      <c r="E3284" s="852"/>
      <c r="F3284" s="852"/>
      <c r="G3284" s="852"/>
      <c r="H3284" s="1230" t="s">
        <v>4073</v>
      </c>
      <c r="I3284" s="852"/>
      <c r="J3284" s="852"/>
      <c r="K3284" s="852"/>
      <c r="L3284" s="852"/>
      <c r="M3284" s="852"/>
    </row>
    <row r="3285" spans="5:14">
      <c r="E3285" s="852"/>
      <c r="F3285" s="852"/>
      <c r="G3285" s="852"/>
      <c r="H3285" s="1230" t="s">
        <v>4074</v>
      </c>
      <c r="I3285" s="852"/>
      <c r="J3285" s="852"/>
      <c r="K3285" s="852"/>
      <c r="L3285" s="852"/>
      <c r="M3285" s="852"/>
    </row>
    <row r="3286" spans="5:14">
      <c r="E3286" s="852"/>
      <c r="F3286" s="852"/>
      <c r="G3286" s="852"/>
      <c r="H3286" s="1241" t="s">
        <v>4075</v>
      </c>
      <c r="I3286" s="852"/>
      <c r="J3286" s="852"/>
      <c r="K3286" s="852"/>
      <c r="L3286" s="852"/>
      <c r="M3286" s="852"/>
    </row>
    <row r="3287" spans="5:14" ht="68.25" customHeight="1">
      <c r="E3287" s="852"/>
      <c r="F3287" s="852"/>
      <c r="G3287" s="852"/>
      <c r="H3287" s="1220" t="s">
        <v>4076</v>
      </c>
      <c r="I3287" s="852"/>
      <c r="J3287" s="852"/>
      <c r="K3287" s="852"/>
      <c r="L3287" s="852"/>
      <c r="M3287" s="852"/>
    </row>
    <row r="3288" spans="5:14">
      <c r="E3288" s="852"/>
      <c r="F3288" s="852"/>
      <c r="G3288" s="852"/>
      <c r="H3288" s="852"/>
      <c r="I3288" s="852"/>
      <c r="J3288" s="852"/>
      <c r="K3288" s="852"/>
      <c r="L3288" s="852"/>
      <c r="M3288" s="852"/>
    </row>
    <row r="3289" spans="5:14">
      <c r="E3289" s="852"/>
      <c r="F3289" s="852">
        <v>9.5</v>
      </c>
      <c r="G3289" s="852" t="s">
        <v>148</v>
      </c>
      <c r="H3289" s="852" t="s">
        <v>4077</v>
      </c>
      <c r="I3289" s="1222">
        <v>82.6</v>
      </c>
      <c r="J3289" s="852" t="s">
        <v>148</v>
      </c>
      <c r="K3289" s="852">
        <f>F3289*I3289</f>
        <v>784.69999999999993</v>
      </c>
      <c r="L3289" s="852"/>
      <c r="M3289" s="852"/>
    </row>
    <row r="3290" spans="5:14">
      <c r="E3290" s="852"/>
      <c r="F3290" s="852">
        <v>0.5</v>
      </c>
      <c r="G3290" s="852" t="s">
        <v>148</v>
      </c>
      <c r="H3290" s="852" t="s">
        <v>4078</v>
      </c>
      <c r="I3290" s="1222">
        <v>20.9</v>
      </c>
      <c r="J3290" s="852"/>
      <c r="K3290" s="852">
        <f>F3290*I3290</f>
        <v>10.45</v>
      </c>
      <c r="L3290" s="852"/>
      <c r="M3290" s="852"/>
    </row>
    <row r="3291" spans="5:14">
      <c r="E3291" s="852"/>
      <c r="F3291" s="852"/>
      <c r="G3291" s="852"/>
      <c r="H3291" s="852" t="s">
        <v>2196</v>
      </c>
      <c r="I3291" s="852"/>
      <c r="J3291" s="852"/>
      <c r="K3291" s="852">
        <f>K3299</f>
        <v>1130</v>
      </c>
      <c r="L3291" s="852"/>
      <c r="M3291" s="852"/>
    </row>
    <row r="3292" spans="5:14">
      <c r="E3292" s="852"/>
      <c r="F3292" s="852"/>
      <c r="G3292" s="852"/>
      <c r="H3292" s="852" t="s">
        <v>236</v>
      </c>
      <c r="I3292" s="852"/>
      <c r="J3292" s="852"/>
      <c r="K3292" s="1231">
        <v>7.95</v>
      </c>
      <c r="L3292" s="852">
        <f>0.48*90</f>
        <v>43.199999999999996</v>
      </c>
      <c r="M3292" s="852">
        <f>21*90</f>
        <v>1890</v>
      </c>
      <c r="N3292" s="794">
        <f>M3292-K3293</f>
        <v>-43.100000000000136</v>
      </c>
    </row>
    <row r="3293" spans="5:14">
      <c r="E3293" s="852"/>
      <c r="F3293" s="852"/>
      <c r="G3293" s="852"/>
      <c r="H3293" s="1227" t="s">
        <v>4079</v>
      </c>
      <c r="I3293" s="852"/>
      <c r="J3293" s="852"/>
      <c r="K3293" s="1228">
        <f>SUM(K3289:K3292)</f>
        <v>1933.1000000000001</v>
      </c>
      <c r="L3293" s="852"/>
      <c r="M3293" s="852"/>
    </row>
    <row r="3294" spans="5:14">
      <c r="E3294" s="852"/>
      <c r="F3294" s="852"/>
      <c r="G3294" s="852"/>
      <c r="H3294" s="1229" t="s">
        <v>4080</v>
      </c>
      <c r="I3294" s="852"/>
      <c r="J3294" s="852"/>
      <c r="K3294" s="1230">
        <f>K3293/90-0.48</f>
        <v>20.998888888888889</v>
      </c>
      <c r="L3294" s="852">
        <f>18*90</f>
        <v>1620</v>
      </c>
      <c r="M3294" s="852">
        <f>L3294-K3293</f>
        <v>-313.10000000000014</v>
      </c>
    </row>
    <row r="3295" spans="5:14">
      <c r="E3295" s="852"/>
      <c r="F3295" s="852"/>
      <c r="G3295" s="852"/>
      <c r="H3295" s="1229" t="s">
        <v>2914</v>
      </c>
      <c r="I3295" s="852"/>
      <c r="J3295" s="852"/>
      <c r="K3295" s="1230">
        <v>21</v>
      </c>
      <c r="L3295" s="852">
        <f>L3294-K3293</f>
        <v>-313.10000000000014</v>
      </c>
      <c r="M3295" s="852"/>
    </row>
    <row r="3296" spans="5:14">
      <c r="E3296" s="852"/>
      <c r="F3296" s="852"/>
      <c r="G3296" s="852"/>
      <c r="H3296" s="1228" t="s">
        <v>4081</v>
      </c>
      <c r="I3296" s="852"/>
      <c r="J3296" s="852"/>
      <c r="K3296" s="852"/>
      <c r="L3296" s="852"/>
      <c r="M3296" s="852"/>
    </row>
    <row r="3297" spans="5:13">
      <c r="E3297" s="852"/>
      <c r="F3297" s="852">
        <v>1</v>
      </c>
      <c r="G3297" s="852"/>
      <c r="H3297" s="852" t="s">
        <v>4008</v>
      </c>
      <c r="I3297" s="1223">
        <f>I3279</f>
        <v>633</v>
      </c>
      <c r="J3297" s="852" t="s">
        <v>164</v>
      </c>
      <c r="K3297" s="852">
        <f>F3297*I3297</f>
        <v>633</v>
      </c>
      <c r="L3297" s="852"/>
      <c r="M3297" s="852"/>
    </row>
    <row r="3298" spans="5:13">
      <c r="E3298" s="852"/>
      <c r="F3298" s="852">
        <v>1</v>
      </c>
      <c r="G3298" s="852"/>
      <c r="H3298" s="852" t="s">
        <v>3766</v>
      </c>
      <c r="I3298" s="852">
        <f>I3280</f>
        <v>497</v>
      </c>
      <c r="J3298" s="852" t="s">
        <v>164</v>
      </c>
      <c r="K3298" s="852">
        <f>F3298*I3298</f>
        <v>497</v>
      </c>
      <c r="L3298" s="852"/>
      <c r="M3298" s="852"/>
    </row>
    <row r="3299" spans="5:13">
      <c r="E3299" s="852"/>
      <c r="F3299" s="852"/>
      <c r="G3299" s="852"/>
      <c r="H3299" s="852"/>
      <c r="I3299" s="852"/>
      <c r="J3299" s="852"/>
      <c r="K3299" s="1230">
        <f>SUM(K3297:K3298)</f>
        <v>1130</v>
      </c>
      <c r="L3299" s="852"/>
      <c r="M3299" s="852"/>
    </row>
    <row r="3300" spans="5:13">
      <c r="E3300" s="852"/>
      <c r="F3300" s="852" t="s">
        <v>4082</v>
      </c>
      <c r="G3300" s="852"/>
      <c r="H3300" s="852"/>
      <c r="I3300" s="852"/>
      <c r="J3300" s="852"/>
      <c r="K3300" s="852"/>
      <c r="L3300" s="852"/>
      <c r="M3300" s="852"/>
    </row>
    <row r="3301" spans="5:13">
      <c r="E3301" s="852"/>
      <c r="F3301" s="852"/>
      <c r="G3301" s="852"/>
      <c r="H3301" s="852"/>
      <c r="I3301" s="852"/>
      <c r="J3301" s="852"/>
      <c r="K3301" s="852"/>
      <c r="L3301" s="852"/>
      <c r="M3301" s="852"/>
    </row>
    <row r="3302" spans="5:13">
      <c r="E3302" s="852"/>
      <c r="F3302" s="852"/>
      <c r="G3302" s="852"/>
      <c r="H3302" s="1230" t="s">
        <v>4083</v>
      </c>
      <c r="I3302" s="852"/>
      <c r="J3302" s="852"/>
      <c r="K3302" s="852"/>
      <c r="L3302" s="852"/>
      <c r="M3302" s="852"/>
    </row>
    <row r="3303" spans="5:13">
      <c r="E3303" s="852"/>
      <c r="F3303" s="852"/>
      <c r="G3303" s="852"/>
      <c r="H3303" s="1230" t="s">
        <v>4084</v>
      </c>
      <c r="I3303" s="852"/>
      <c r="J3303" s="852"/>
      <c r="K3303" s="852"/>
      <c r="L3303" s="852"/>
      <c r="M3303" s="852"/>
    </row>
    <row r="3304" spans="5:13">
      <c r="E3304" s="852"/>
      <c r="F3304" s="852"/>
      <c r="G3304" s="852"/>
      <c r="H3304" s="852"/>
      <c r="I3304" s="852"/>
      <c r="J3304" s="852"/>
      <c r="K3304" s="852"/>
      <c r="L3304" s="852"/>
      <c r="M3304" s="852"/>
    </row>
    <row r="3305" spans="5:13" ht="57" customHeight="1">
      <c r="E3305" s="852"/>
      <c r="F3305" s="852"/>
      <c r="G3305" s="852"/>
      <c r="H3305" s="1220" t="s">
        <v>4085</v>
      </c>
      <c r="I3305" s="852"/>
      <c r="J3305" s="852"/>
      <c r="K3305" s="852"/>
      <c r="L3305" s="852"/>
      <c r="M3305" s="852"/>
    </row>
    <row r="3306" spans="5:13">
      <c r="E3306" s="852"/>
      <c r="F3306" s="852">
        <v>2.5</v>
      </c>
      <c r="G3306" s="852" t="s">
        <v>231</v>
      </c>
      <c r="H3306" s="852" t="s">
        <v>4086</v>
      </c>
      <c r="I3306" s="1222">
        <v>163</v>
      </c>
      <c r="J3306" s="852" t="s">
        <v>231</v>
      </c>
      <c r="K3306" s="852">
        <f>F3306*I3306</f>
        <v>407.5</v>
      </c>
      <c r="L3306" s="852"/>
      <c r="M3306" s="852"/>
    </row>
    <row r="3307" spans="5:13">
      <c r="E3307" s="852"/>
      <c r="F3307" s="852">
        <v>1</v>
      </c>
      <c r="G3307" s="852" t="s">
        <v>231</v>
      </c>
      <c r="H3307" s="852" t="s">
        <v>4087</v>
      </c>
      <c r="I3307" s="1222">
        <v>98.6</v>
      </c>
      <c r="J3307" s="852" t="s">
        <v>231</v>
      </c>
      <c r="K3307" s="852">
        <f t="shared" ref="K3307:K3316" si="100">F3307*I3307</f>
        <v>98.6</v>
      </c>
      <c r="L3307" s="852"/>
      <c r="M3307" s="852"/>
    </row>
    <row r="3308" spans="5:13">
      <c r="E3308" s="852"/>
      <c r="F3308" s="852">
        <v>1</v>
      </c>
      <c r="G3308" s="852" t="s">
        <v>231</v>
      </c>
      <c r="H3308" s="852" t="s">
        <v>4088</v>
      </c>
      <c r="I3308" s="1222">
        <v>69.8</v>
      </c>
      <c r="J3308" s="852" t="s">
        <v>231</v>
      </c>
      <c r="K3308" s="852">
        <f t="shared" si="100"/>
        <v>69.8</v>
      </c>
      <c r="L3308" s="852"/>
      <c r="M3308" s="852"/>
    </row>
    <row r="3309" spans="5:13">
      <c r="E3309" s="852"/>
      <c r="F3309" s="852">
        <v>1</v>
      </c>
      <c r="G3309" s="852" t="s">
        <v>164</v>
      </c>
      <c r="H3309" s="852" t="s">
        <v>4089</v>
      </c>
      <c r="I3309" s="1222">
        <v>52</v>
      </c>
      <c r="J3309" s="852" t="s">
        <v>164</v>
      </c>
      <c r="K3309" s="852">
        <f t="shared" si="100"/>
        <v>52</v>
      </c>
      <c r="L3309" s="852"/>
      <c r="M3309" s="852"/>
    </row>
    <row r="3310" spans="5:13" s="1249" customFormat="1">
      <c r="E3310" s="1231"/>
      <c r="F3310" s="1231">
        <v>1</v>
      </c>
      <c r="G3310" s="1231" t="s">
        <v>1885</v>
      </c>
      <c r="H3310" s="1231" t="s">
        <v>4090</v>
      </c>
      <c r="I3310" s="1231" t="s">
        <v>166</v>
      </c>
      <c r="J3310" s="1231" t="s">
        <v>1885</v>
      </c>
      <c r="K3310" s="1231">
        <v>15</v>
      </c>
      <c r="L3310" s="1231"/>
      <c r="M3310" s="1231"/>
    </row>
    <row r="3311" spans="5:13" s="1249" customFormat="1">
      <c r="E3311" s="1231"/>
      <c r="F3311" s="1231"/>
      <c r="G3311" s="1231" t="s">
        <v>166</v>
      </c>
      <c r="H3311" s="1231" t="s">
        <v>4091</v>
      </c>
      <c r="I3311" s="1231" t="s">
        <v>166</v>
      </c>
      <c r="J3311" s="1231" t="s">
        <v>166</v>
      </c>
      <c r="K3311" s="1248">
        <v>383</v>
      </c>
      <c r="L3311" s="1231"/>
      <c r="M3311" s="1231"/>
    </row>
    <row r="3312" spans="5:13" s="1249" customFormat="1">
      <c r="E3312" s="1231"/>
      <c r="F3312" s="1231">
        <v>1</v>
      </c>
      <c r="G3312" s="1231" t="s">
        <v>164</v>
      </c>
      <c r="H3312" s="1231" t="s">
        <v>4092</v>
      </c>
      <c r="I3312" s="1231">
        <v>100</v>
      </c>
      <c r="J3312" s="1231" t="s">
        <v>164</v>
      </c>
      <c r="K3312" s="1231">
        <f t="shared" si="100"/>
        <v>100</v>
      </c>
      <c r="L3312" s="1231"/>
      <c r="M3312" s="1231"/>
    </row>
    <row r="3313" spans="5:14">
      <c r="E3313" s="852"/>
      <c r="F3313" s="852">
        <v>40</v>
      </c>
      <c r="G3313" s="852" t="s">
        <v>148</v>
      </c>
      <c r="H3313" s="852" t="s">
        <v>4093</v>
      </c>
      <c r="I3313" s="1267">
        <v>4.96</v>
      </c>
      <c r="J3313" s="852" t="s">
        <v>148</v>
      </c>
      <c r="K3313" s="852">
        <f t="shared" si="100"/>
        <v>198.4</v>
      </c>
      <c r="L3313" s="852"/>
      <c r="M3313" s="852"/>
    </row>
    <row r="3314" spans="5:14">
      <c r="E3314" s="852"/>
      <c r="F3314" s="852">
        <v>2</v>
      </c>
      <c r="G3314" s="852" t="s">
        <v>164</v>
      </c>
      <c r="H3314" s="852" t="s">
        <v>4094</v>
      </c>
      <c r="I3314" s="1222">
        <v>13.6</v>
      </c>
      <c r="J3314" s="852" t="s">
        <v>164</v>
      </c>
      <c r="K3314" s="852">
        <f t="shared" si="100"/>
        <v>27.2</v>
      </c>
      <c r="L3314" s="852"/>
      <c r="M3314" s="852"/>
      <c r="N3314" s="794">
        <f>100.7/20.32</f>
        <v>4.9557086614173231</v>
      </c>
    </row>
    <row r="3315" spans="5:14">
      <c r="E3315" s="852"/>
      <c r="F3315" s="852">
        <v>4</v>
      </c>
      <c r="G3315" s="852" t="s">
        <v>164</v>
      </c>
      <c r="H3315" s="852" t="s">
        <v>4095</v>
      </c>
      <c r="I3315" s="1222">
        <v>13.6</v>
      </c>
      <c r="J3315" s="852" t="s">
        <v>164</v>
      </c>
      <c r="K3315" s="852">
        <f t="shared" si="100"/>
        <v>54.4</v>
      </c>
      <c r="L3315" s="852"/>
      <c r="M3315" s="852"/>
    </row>
    <row r="3316" spans="5:14">
      <c r="E3316" s="852"/>
      <c r="F3316" s="852">
        <v>10</v>
      </c>
      <c r="G3316" s="852" t="s">
        <v>148</v>
      </c>
      <c r="H3316" s="852" t="s">
        <v>4096</v>
      </c>
      <c r="I3316" s="1222">
        <v>3.7</v>
      </c>
      <c r="J3316" s="852" t="s">
        <v>148</v>
      </c>
      <c r="K3316" s="852">
        <f t="shared" si="100"/>
        <v>37</v>
      </c>
      <c r="L3316" s="852"/>
      <c r="M3316" s="852"/>
    </row>
    <row r="3317" spans="5:14">
      <c r="E3317" s="852"/>
      <c r="F3317" s="852"/>
      <c r="G3317" s="852"/>
      <c r="H3317" s="852" t="s">
        <v>236</v>
      </c>
      <c r="I3317" s="852"/>
      <c r="J3317" s="852"/>
      <c r="K3317" s="1231">
        <v>12.1</v>
      </c>
      <c r="L3317" s="852"/>
      <c r="M3317" s="852"/>
    </row>
    <row r="3318" spans="5:14">
      <c r="E3318" s="852"/>
      <c r="F3318" s="852"/>
      <c r="G3318" s="852"/>
      <c r="H3318" s="852" t="s">
        <v>656</v>
      </c>
      <c r="I3318" s="852"/>
      <c r="J3318" s="852"/>
      <c r="K3318" s="1241">
        <f>K3324</f>
        <v>1133</v>
      </c>
      <c r="L3318" s="852"/>
      <c r="M3318" s="852"/>
    </row>
    <row r="3319" spans="5:14">
      <c r="E3319" s="852"/>
      <c r="F3319" s="852"/>
      <c r="G3319" s="852"/>
      <c r="H3319" s="1229" t="s">
        <v>2553</v>
      </c>
      <c r="I3319" s="852"/>
      <c r="J3319" s="852"/>
      <c r="K3319" s="1230">
        <f>SUM(K3306:K3318)</f>
        <v>2588</v>
      </c>
      <c r="L3319" s="852">
        <f>K3319-2020</f>
        <v>568</v>
      </c>
      <c r="M3319" s="852"/>
    </row>
    <row r="3320" spans="5:14">
      <c r="E3320" s="852"/>
      <c r="F3320" s="852"/>
      <c r="G3320" s="852"/>
      <c r="H3320" s="852"/>
      <c r="I3320" s="852"/>
      <c r="J3320" s="852"/>
      <c r="K3320" s="852"/>
      <c r="L3320" s="852"/>
      <c r="M3320" s="852"/>
    </row>
    <row r="3321" spans="5:14">
      <c r="E3321" s="852"/>
      <c r="F3321" s="852"/>
      <c r="G3321" s="852"/>
      <c r="H3321" s="1228" t="s">
        <v>656</v>
      </c>
      <c r="I3321" s="852"/>
      <c r="J3321" s="852"/>
      <c r="K3321" s="852"/>
      <c r="L3321" s="852"/>
      <c r="M3321" s="852"/>
    </row>
    <row r="3322" spans="5:14">
      <c r="E3322" s="852"/>
      <c r="F3322" s="852">
        <v>1</v>
      </c>
      <c r="G3322" s="852" t="s">
        <v>164</v>
      </c>
      <c r="H3322" s="852" t="s">
        <v>4017</v>
      </c>
      <c r="I3322" s="852">
        <f>I3278</f>
        <v>636</v>
      </c>
      <c r="J3322" s="852" t="s">
        <v>164</v>
      </c>
      <c r="K3322" s="852">
        <f>F3322*I3322</f>
        <v>636</v>
      </c>
      <c r="L3322" s="852"/>
      <c r="M3322" s="852"/>
    </row>
    <row r="3323" spans="5:14">
      <c r="E3323" s="852"/>
      <c r="F3323" s="852">
        <v>1</v>
      </c>
      <c r="G3323" s="852" t="s">
        <v>164</v>
      </c>
      <c r="H3323" s="852" t="s">
        <v>3766</v>
      </c>
      <c r="I3323" s="852">
        <f>I3298</f>
        <v>497</v>
      </c>
      <c r="J3323" s="852" t="s">
        <v>164</v>
      </c>
      <c r="K3323" s="852">
        <f>F3323*I3323</f>
        <v>497</v>
      </c>
      <c r="L3323" s="852"/>
      <c r="M3323" s="852"/>
    </row>
    <row r="3324" spans="5:14">
      <c r="E3324" s="852"/>
      <c r="F3324" s="852"/>
      <c r="G3324" s="852"/>
      <c r="H3324" s="852"/>
      <c r="I3324" s="852"/>
      <c r="J3324" s="852"/>
      <c r="K3324" s="1230">
        <f>SUM(K3322:K3323)</f>
        <v>1133</v>
      </c>
      <c r="L3324" s="852"/>
      <c r="M3324" s="852"/>
    </row>
    <row r="3325" spans="5:14">
      <c r="E3325" s="852"/>
      <c r="F3325" s="852"/>
      <c r="G3325" s="852"/>
      <c r="H3325" s="1230" t="s">
        <v>4097</v>
      </c>
      <c r="I3325" s="852"/>
      <c r="J3325" s="852"/>
      <c r="K3325" s="852"/>
      <c r="L3325" s="852"/>
      <c r="M3325" s="852"/>
    </row>
    <row r="3326" spans="5:14">
      <c r="E3326" s="852"/>
      <c r="F3326" s="852"/>
      <c r="G3326" s="852"/>
      <c r="H3326" s="1230" t="s">
        <v>4098</v>
      </c>
      <c r="I3326" s="852"/>
      <c r="J3326" s="852"/>
      <c r="K3326" s="852"/>
      <c r="L3326" s="852"/>
      <c r="M3326" s="852"/>
    </row>
    <row r="3327" spans="5:14">
      <c r="E3327" s="852"/>
      <c r="F3327" s="852"/>
      <c r="G3327" s="852"/>
      <c r="H3327" s="852"/>
      <c r="I3327" s="852"/>
      <c r="J3327" s="852"/>
      <c r="K3327" s="852"/>
      <c r="L3327" s="852"/>
      <c r="M3327" s="852"/>
    </row>
    <row r="3328" spans="5:14" ht="86.25" customHeight="1">
      <c r="E3328" s="852"/>
      <c r="F3328" s="852"/>
      <c r="G3328" s="852"/>
      <c r="H3328" s="1220" t="s">
        <v>4099</v>
      </c>
      <c r="I3328" s="852"/>
      <c r="J3328" s="852"/>
      <c r="K3328" s="852"/>
      <c r="L3328" s="852"/>
      <c r="M3328" s="852"/>
    </row>
    <row r="3329" spans="5:13">
      <c r="E3329" s="852"/>
      <c r="F3329" s="852"/>
      <c r="G3329" s="852"/>
      <c r="H3329" s="852"/>
      <c r="I3329" s="852"/>
      <c r="J3329" s="852"/>
      <c r="K3329" s="852"/>
      <c r="L3329" s="852"/>
      <c r="M3329" s="852"/>
    </row>
    <row r="3330" spans="5:13" s="1261" customFormat="1">
      <c r="E3330" s="1260"/>
      <c r="F3330" s="1260">
        <v>1</v>
      </c>
      <c r="G3330" s="1260" t="s">
        <v>164</v>
      </c>
      <c r="H3330" s="1260" t="s">
        <v>4100</v>
      </c>
      <c r="I3330" s="1260">
        <f>K3335</f>
        <v>60.95</v>
      </c>
      <c r="J3330" s="1260" t="s">
        <v>227</v>
      </c>
      <c r="K3330" s="1260">
        <f>F3330*I3330</f>
        <v>60.95</v>
      </c>
      <c r="L3330" s="1260"/>
      <c r="M3330" s="1260"/>
    </row>
    <row r="3331" spans="5:13" ht="56.25" customHeight="1">
      <c r="E3331" s="852"/>
      <c r="F3331" s="852"/>
      <c r="G3331" s="852"/>
      <c r="H3331" s="1220" t="s">
        <v>4101</v>
      </c>
      <c r="I3331" s="852"/>
      <c r="J3331" s="852" t="s">
        <v>166</v>
      </c>
      <c r="K3331" s="1231">
        <v>15.55</v>
      </c>
      <c r="L3331" s="852"/>
      <c r="M3331" s="852"/>
    </row>
    <row r="3332" spans="5:13">
      <c r="E3332" s="852"/>
      <c r="F3332" s="852"/>
      <c r="G3332" s="852"/>
      <c r="H3332" s="852" t="s">
        <v>2142</v>
      </c>
      <c r="I3332" s="852"/>
      <c r="J3332" s="852"/>
      <c r="K3332" s="852">
        <f>K3340</f>
        <v>253.5</v>
      </c>
      <c r="L3332" s="852"/>
      <c r="M3332" s="852"/>
    </row>
    <row r="3333" spans="5:13">
      <c r="E3333" s="852"/>
      <c r="F3333" s="852"/>
      <c r="G3333" s="852"/>
      <c r="H3333" s="1229" t="s">
        <v>2553</v>
      </c>
      <c r="I3333" s="852"/>
      <c r="J3333" s="852"/>
      <c r="K3333" s="1230">
        <f>SUM(K3330:K3332)</f>
        <v>330</v>
      </c>
      <c r="L3333" s="852">
        <f>K3333-261</f>
        <v>69</v>
      </c>
      <c r="M3333" s="852"/>
    </row>
    <row r="3334" spans="5:13">
      <c r="E3334" s="852"/>
      <c r="F3334" s="852"/>
      <c r="G3334" s="852"/>
      <c r="H3334" s="852"/>
      <c r="I3334" s="852"/>
      <c r="J3334" s="852"/>
      <c r="K3334" s="852"/>
      <c r="L3334" s="852"/>
      <c r="M3334" s="852"/>
    </row>
    <row r="3335" spans="5:13">
      <c r="E3335" s="852"/>
      <c r="F3335" s="852"/>
      <c r="G3335" s="852"/>
      <c r="H3335" s="1230" t="s">
        <v>4102</v>
      </c>
      <c r="I3335" s="1241">
        <f>I3222</f>
        <v>101575</v>
      </c>
      <c r="J3335" s="1268">
        <v>5.9999999999999995E-4</v>
      </c>
      <c r="K3335" s="1241">
        <f>ROUND(I3335*J3335,2)</f>
        <v>60.95</v>
      </c>
      <c r="L3335" s="852"/>
      <c r="M3335" s="852"/>
    </row>
    <row r="3336" spans="5:13">
      <c r="E3336" s="852"/>
      <c r="F3336" s="852"/>
      <c r="G3336" s="852"/>
      <c r="H3336" s="852" t="s">
        <v>2142</v>
      </c>
      <c r="I3336" s="852"/>
      <c r="J3336" s="852"/>
      <c r="K3336" s="852"/>
      <c r="L3336" s="852"/>
      <c r="M3336" s="852"/>
    </row>
    <row r="3337" spans="5:13">
      <c r="E3337" s="852"/>
      <c r="F3337" s="852">
        <v>1</v>
      </c>
      <c r="G3337" s="852" t="s">
        <v>164</v>
      </c>
      <c r="H3337" s="852" t="s">
        <v>4103</v>
      </c>
      <c r="I3337" s="852">
        <f>I3278</f>
        <v>636</v>
      </c>
      <c r="J3337" s="852" t="s">
        <v>227</v>
      </c>
      <c r="K3337" s="852">
        <f>F3337*I3337</f>
        <v>636</v>
      </c>
      <c r="L3337" s="852"/>
      <c r="M3337" s="852"/>
    </row>
    <row r="3338" spans="5:13">
      <c r="E3338" s="852"/>
      <c r="F3338" s="852">
        <v>3</v>
      </c>
      <c r="G3338" s="852" t="s">
        <v>164</v>
      </c>
      <c r="H3338" s="852" t="s">
        <v>4008</v>
      </c>
      <c r="I3338" s="852">
        <f>I3279</f>
        <v>633</v>
      </c>
      <c r="J3338" s="852" t="s">
        <v>227</v>
      </c>
      <c r="K3338" s="852">
        <f>F3338*I3338</f>
        <v>1899</v>
      </c>
      <c r="L3338" s="852"/>
      <c r="M3338" s="852"/>
    </row>
    <row r="3339" spans="5:13">
      <c r="E3339" s="852"/>
      <c r="F3339" s="852"/>
      <c r="G3339" s="852"/>
      <c r="H3339" s="1227" t="s">
        <v>4104</v>
      </c>
      <c r="I3339" s="852"/>
      <c r="J3339" s="852"/>
      <c r="K3339" s="1241">
        <f>SUM(K3337:K3338)</f>
        <v>2535</v>
      </c>
      <c r="L3339" s="852"/>
      <c r="M3339" s="852"/>
    </row>
    <row r="3340" spans="5:13">
      <c r="E3340" s="852"/>
      <c r="F3340" s="852"/>
      <c r="G3340" s="852"/>
      <c r="H3340" s="1227" t="s">
        <v>4105</v>
      </c>
      <c r="I3340" s="852"/>
      <c r="J3340" s="852"/>
      <c r="K3340" s="1230">
        <f>K3339/10</f>
        <v>253.5</v>
      </c>
      <c r="L3340" s="852"/>
      <c r="M3340" s="852"/>
    </row>
    <row r="3341" spans="5:13">
      <c r="E3341" s="852"/>
      <c r="F3341" s="852"/>
      <c r="G3341" s="852"/>
      <c r="H3341" s="852"/>
      <c r="I3341" s="852"/>
      <c r="J3341" s="852"/>
      <c r="K3341" s="852"/>
      <c r="L3341" s="852"/>
      <c r="M3341" s="852"/>
    </row>
    <row r="3342" spans="5:13">
      <c r="E3342" s="852"/>
      <c r="F3342" s="852"/>
      <c r="G3342" s="852"/>
      <c r="H3342" s="1230" t="s">
        <v>4106</v>
      </c>
      <c r="I3342" s="852"/>
      <c r="J3342" s="852"/>
      <c r="K3342" s="852"/>
      <c r="L3342" s="852"/>
      <c r="M3342" s="852"/>
    </row>
    <row r="3343" spans="5:13" ht="103.5" customHeight="1">
      <c r="E3343" s="852"/>
      <c r="F3343" s="852"/>
      <c r="G3343" s="852"/>
      <c r="H3343" s="1220" t="s">
        <v>4107</v>
      </c>
      <c r="I3343" s="852"/>
      <c r="J3343" s="852"/>
      <c r="K3343" s="852"/>
      <c r="L3343" s="852"/>
      <c r="M3343" s="852"/>
    </row>
    <row r="3344" spans="5:13">
      <c r="E3344" s="852"/>
      <c r="F3344" s="852"/>
      <c r="G3344" s="852"/>
      <c r="H3344" s="852"/>
      <c r="I3344" s="852"/>
      <c r="J3344" s="852"/>
      <c r="K3344" s="852"/>
      <c r="L3344" s="852"/>
      <c r="M3344" s="852"/>
    </row>
    <row r="3345" spans="5:13">
      <c r="E3345" s="852"/>
      <c r="F3345" s="852">
        <v>1</v>
      </c>
      <c r="G3345" s="852" t="s">
        <v>164</v>
      </c>
      <c r="H3345" s="852" t="s">
        <v>4108</v>
      </c>
      <c r="I3345" s="1222">
        <v>270</v>
      </c>
      <c r="J3345" s="852" t="s">
        <v>164</v>
      </c>
      <c r="K3345" s="852">
        <f>F3345*I3345</f>
        <v>270</v>
      </c>
      <c r="L3345" s="852"/>
      <c r="M3345" s="852"/>
    </row>
    <row r="3346" spans="5:13" ht="52.5" customHeight="1">
      <c r="E3346" s="852"/>
      <c r="F3346" s="852"/>
      <c r="G3346" s="852"/>
      <c r="H3346" s="1220" t="s">
        <v>4109</v>
      </c>
      <c r="I3346" s="852"/>
      <c r="J3346" s="852"/>
      <c r="K3346" s="1231">
        <v>21.35</v>
      </c>
      <c r="L3346" s="852"/>
      <c r="M3346" s="852"/>
    </row>
    <row r="3347" spans="5:13">
      <c r="E3347" s="852"/>
      <c r="F3347" s="852"/>
      <c r="G3347" s="852"/>
      <c r="H3347" s="852" t="s">
        <v>656</v>
      </c>
      <c r="I3347" s="852"/>
      <c r="J3347" s="852"/>
      <c r="K3347" s="852">
        <f>K3356</f>
        <v>341.65</v>
      </c>
      <c r="L3347" s="852"/>
      <c r="M3347" s="852"/>
    </row>
    <row r="3348" spans="5:13">
      <c r="E3348" s="852"/>
      <c r="F3348" s="852"/>
      <c r="G3348" s="852"/>
      <c r="H3348" s="1229" t="s">
        <v>2553</v>
      </c>
      <c r="I3348" s="852"/>
      <c r="J3348" s="852"/>
      <c r="K3348" s="1230">
        <f>SUM(K3345:K3347)</f>
        <v>633</v>
      </c>
      <c r="L3348" s="852">
        <f>537-K3348</f>
        <v>-96</v>
      </c>
      <c r="M3348" s="852"/>
    </row>
    <row r="3349" spans="5:13">
      <c r="E3349" s="852"/>
      <c r="F3349" s="852"/>
      <c r="G3349" s="852"/>
      <c r="H3349" s="1229"/>
      <c r="I3349" s="852"/>
      <c r="J3349" s="852"/>
      <c r="K3349" s="1230"/>
      <c r="L3349" s="852"/>
      <c r="M3349" s="852"/>
    </row>
    <row r="3350" spans="5:13">
      <c r="E3350" s="852"/>
      <c r="F3350" s="852"/>
      <c r="G3350" s="852"/>
      <c r="H3350" s="852" t="s">
        <v>2142</v>
      </c>
      <c r="I3350" s="852"/>
      <c r="J3350" s="852"/>
      <c r="K3350" s="852"/>
      <c r="L3350" s="852"/>
      <c r="M3350" s="852"/>
    </row>
    <row r="3351" spans="5:13">
      <c r="E3351" s="852"/>
      <c r="F3351" s="852">
        <v>1</v>
      </c>
      <c r="G3351" s="852"/>
      <c r="H3351" s="852" t="s">
        <v>4017</v>
      </c>
      <c r="I3351" s="852">
        <f>I2867</f>
        <v>636</v>
      </c>
      <c r="J3351" s="852" t="s">
        <v>164</v>
      </c>
      <c r="K3351" s="852">
        <f>F3351*I3351</f>
        <v>636</v>
      </c>
      <c r="L3351" s="852"/>
      <c r="M3351" s="852"/>
    </row>
    <row r="3352" spans="5:13">
      <c r="E3352" s="852"/>
      <c r="F3352" s="852">
        <v>3</v>
      </c>
      <c r="G3352" s="852"/>
      <c r="H3352" s="852" t="s">
        <v>4008</v>
      </c>
      <c r="I3352" s="852">
        <f>I2868</f>
        <v>633</v>
      </c>
      <c r="J3352" s="852" t="s">
        <v>164</v>
      </c>
      <c r="K3352" s="852">
        <f>F3352*I3352</f>
        <v>1899</v>
      </c>
      <c r="L3352" s="852"/>
      <c r="M3352" s="852"/>
    </row>
    <row r="3353" spans="5:13">
      <c r="E3353" s="852"/>
      <c r="F3353" s="852">
        <v>1</v>
      </c>
      <c r="G3353" s="852"/>
      <c r="H3353" s="852" t="s">
        <v>3710</v>
      </c>
      <c r="I3353" s="852">
        <f>I2869</f>
        <v>497</v>
      </c>
      <c r="J3353" s="852" t="s">
        <v>164</v>
      </c>
      <c r="K3353" s="852">
        <f>F3353*I3353</f>
        <v>497</v>
      </c>
      <c r="L3353" s="852"/>
      <c r="M3353" s="852"/>
    </row>
    <row r="3354" spans="5:13">
      <c r="E3354" s="852"/>
      <c r="F3354" s="852">
        <v>0.5</v>
      </c>
      <c r="G3354" s="852"/>
      <c r="H3354" s="852" t="s">
        <v>4110</v>
      </c>
      <c r="I3354" s="1222">
        <v>769</v>
      </c>
      <c r="J3354" s="852" t="s">
        <v>164</v>
      </c>
      <c r="K3354" s="852">
        <f>F3354*I3354</f>
        <v>384.5</v>
      </c>
      <c r="L3354" s="852"/>
      <c r="M3354" s="852"/>
    </row>
    <row r="3355" spans="5:13">
      <c r="E3355" s="852"/>
      <c r="F3355" s="852"/>
      <c r="G3355" s="852"/>
      <c r="H3355" s="1227" t="s">
        <v>4111</v>
      </c>
      <c r="I3355" s="852"/>
      <c r="J3355" s="852"/>
      <c r="K3355" s="1228">
        <f>SUM(K3351:K3354)</f>
        <v>3416.5</v>
      </c>
      <c r="L3355" s="852"/>
      <c r="M3355" s="852"/>
    </row>
    <row r="3356" spans="5:13">
      <c r="E3356" s="852"/>
      <c r="F3356" s="852"/>
      <c r="G3356" s="852"/>
      <c r="H3356" s="1229" t="s">
        <v>4112</v>
      </c>
      <c r="I3356" s="1230"/>
      <c r="J3356" s="1230"/>
      <c r="K3356" s="1230">
        <f>K3355/10</f>
        <v>341.65</v>
      </c>
      <c r="L3356" s="852"/>
      <c r="M3356" s="852"/>
    </row>
    <row r="3357" spans="5:13">
      <c r="E3357" s="852"/>
      <c r="F3357" s="852"/>
      <c r="G3357" s="852"/>
      <c r="H3357" s="852"/>
      <c r="I3357" s="852"/>
      <c r="J3357" s="852"/>
      <c r="K3357" s="852"/>
      <c r="L3357" s="852"/>
      <c r="M3357" s="852"/>
    </row>
    <row r="3358" spans="5:13">
      <c r="E3358" s="852"/>
      <c r="F3358" s="852"/>
      <c r="G3358" s="852"/>
      <c r="H3358" s="1230" t="s">
        <v>4113</v>
      </c>
      <c r="I3358" s="852"/>
      <c r="J3358" s="852"/>
      <c r="K3358" s="852"/>
      <c r="L3358" s="852"/>
      <c r="M3358" s="852"/>
    </row>
    <row r="3359" spans="5:13">
      <c r="E3359" s="852"/>
      <c r="F3359" s="852"/>
      <c r="G3359" s="852"/>
      <c r="H3359" s="1230" t="s">
        <v>4114</v>
      </c>
      <c r="I3359" s="852"/>
      <c r="J3359" s="852"/>
      <c r="K3359" s="852"/>
      <c r="L3359" s="852"/>
      <c r="M3359" s="852"/>
    </row>
    <row r="3360" spans="5:13">
      <c r="E3360" s="852"/>
      <c r="F3360" s="852"/>
      <c r="G3360" s="852"/>
      <c r="H3360" s="852"/>
      <c r="I3360" s="852"/>
      <c r="J3360" s="852"/>
      <c r="K3360" s="852"/>
      <c r="L3360" s="852"/>
      <c r="M3360" s="852"/>
    </row>
    <row r="3361" spans="5:13" ht="103.5" customHeight="1">
      <c r="E3361" s="852"/>
      <c r="F3361" s="852"/>
      <c r="G3361" s="852"/>
      <c r="H3361" s="1220" t="s">
        <v>4115</v>
      </c>
      <c r="I3361" s="852"/>
      <c r="J3361" s="852"/>
      <c r="K3361" s="852"/>
      <c r="L3361" s="852"/>
      <c r="M3361" s="852"/>
    </row>
    <row r="3362" spans="5:13">
      <c r="E3362" s="852"/>
      <c r="F3362" s="852"/>
      <c r="G3362" s="852"/>
      <c r="H3362" s="852"/>
      <c r="I3362" s="852"/>
      <c r="J3362" s="852"/>
      <c r="K3362" s="852"/>
      <c r="L3362" s="852"/>
      <c r="M3362" s="852"/>
    </row>
    <row r="3363" spans="5:13" s="1261" customFormat="1">
      <c r="E3363" s="1260"/>
      <c r="F3363" s="1260">
        <v>1</v>
      </c>
      <c r="G3363" s="1260" t="s">
        <v>164</v>
      </c>
      <c r="H3363" s="1260" t="s">
        <v>4116</v>
      </c>
      <c r="I3363" s="1260">
        <f>K3368</f>
        <v>121.88999999999999</v>
      </c>
      <c r="J3363" s="1260" t="s">
        <v>227</v>
      </c>
      <c r="K3363" s="1260">
        <f>F3363*I3363</f>
        <v>121.88999999999999</v>
      </c>
      <c r="L3363" s="1260"/>
      <c r="M3363" s="1260"/>
    </row>
    <row r="3364" spans="5:13" ht="51" customHeight="1">
      <c r="E3364" s="852"/>
      <c r="F3364" s="852" t="s">
        <v>166</v>
      </c>
      <c r="G3364" s="852" t="s">
        <v>166</v>
      </c>
      <c r="H3364" s="1220" t="s">
        <v>4117</v>
      </c>
      <c r="I3364" s="852" t="s">
        <v>166</v>
      </c>
      <c r="J3364" s="852" t="s">
        <v>166</v>
      </c>
      <c r="K3364" s="1231">
        <v>42.61</v>
      </c>
      <c r="L3364" s="852"/>
      <c r="M3364" s="852"/>
    </row>
    <row r="3365" spans="5:13">
      <c r="E3365" s="852"/>
      <c r="F3365" s="852"/>
      <c r="G3365" s="852"/>
      <c r="H3365" s="852" t="s">
        <v>2142</v>
      </c>
      <c r="I3365" s="852"/>
      <c r="J3365" s="852"/>
      <c r="K3365" s="852">
        <f>K3340</f>
        <v>253.5</v>
      </c>
      <c r="L3365" s="852"/>
      <c r="M3365" s="852"/>
    </row>
    <row r="3366" spans="5:13">
      <c r="E3366" s="852"/>
      <c r="F3366" s="852"/>
      <c r="G3366" s="852"/>
      <c r="H3366" s="1229" t="s">
        <v>2553</v>
      </c>
      <c r="I3366" s="852"/>
      <c r="J3366" s="852"/>
      <c r="K3366" s="1230">
        <f>SUM(K3363:K3365)</f>
        <v>418</v>
      </c>
      <c r="L3366" s="852">
        <f>K3366-345</f>
        <v>73</v>
      </c>
      <c r="M3366" s="852"/>
    </row>
    <row r="3367" spans="5:13">
      <c r="E3367" s="852"/>
      <c r="F3367" s="852"/>
      <c r="G3367" s="852"/>
      <c r="H3367" s="852"/>
      <c r="I3367" s="852"/>
      <c r="J3367" s="852"/>
      <c r="K3367" s="1230"/>
      <c r="L3367" s="852"/>
      <c r="M3367" s="852"/>
    </row>
    <row r="3368" spans="5:13">
      <c r="E3368" s="852"/>
      <c r="F3368" s="852"/>
      <c r="G3368" s="852"/>
      <c r="H3368" s="1230" t="s">
        <v>4116</v>
      </c>
      <c r="I3368" s="852">
        <f>I3335</f>
        <v>101575</v>
      </c>
      <c r="J3368" s="1237">
        <f>0.0012</f>
        <v>1.1999999999999999E-3</v>
      </c>
      <c r="K3368" s="1230">
        <f>I3368*J3368</f>
        <v>121.88999999999999</v>
      </c>
      <c r="L3368" s="852"/>
      <c r="M3368" s="852"/>
    </row>
    <row r="3369" spans="5:13">
      <c r="E3369" s="852"/>
      <c r="F3369" s="852"/>
      <c r="G3369" s="852"/>
      <c r="H3369" s="852"/>
      <c r="I3369" s="852"/>
      <c r="J3369" s="852"/>
      <c r="K3369" s="852"/>
      <c r="L3369" s="852"/>
      <c r="M3369" s="852"/>
    </row>
    <row r="3370" spans="5:13">
      <c r="E3370" s="852"/>
      <c r="F3370" s="852"/>
      <c r="G3370" s="852"/>
      <c r="H3370" s="1230" t="s">
        <v>4097</v>
      </c>
      <c r="I3370" s="852"/>
      <c r="J3370" s="852"/>
      <c r="K3370" s="852"/>
      <c r="L3370" s="852"/>
      <c r="M3370" s="852"/>
    </row>
    <row r="3371" spans="5:13">
      <c r="E3371" s="852"/>
      <c r="F3371" s="852"/>
      <c r="G3371" s="852"/>
      <c r="H3371" s="852"/>
      <c r="I3371" s="852"/>
      <c r="J3371" s="852"/>
      <c r="K3371" s="852"/>
      <c r="L3371" s="852"/>
      <c r="M3371" s="852"/>
    </row>
    <row r="3372" spans="5:13">
      <c r="E3372" s="852"/>
      <c r="F3372" s="852"/>
      <c r="G3372" s="852"/>
      <c r="H3372" s="1230" t="s">
        <v>4118</v>
      </c>
      <c r="I3372" s="852"/>
      <c r="J3372" s="852"/>
      <c r="K3372" s="852"/>
      <c r="L3372" s="852"/>
      <c r="M3372" s="852"/>
    </row>
    <row r="3373" spans="5:13">
      <c r="E3373" s="852"/>
      <c r="F3373" s="852"/>
      <c r="G3373" s="852"/>
      <c r="H3373" s="852"/>
      <c r="I3373" s="852"/>
      <c r="J3373" s="852"/>
      <c r="K3373" s="852"/>
      <c r="L3373" s="852"/>
      <c r="M3373" s="852"/>
    </row>
    <row r="3374" spans="5:13" ht="102" customHeight="1">
      <c r="E3374" s="852"/>
      <c r="F3374" s="852"/>
      <c r="G3374" s="852"/>
      <c r="H3374" s="1220" t="s">
        <v>4119</v>
      </c>
      <c r="I3374" s="852"/>
      <c r="J3374" s="852"/>
      <c r="K3374" s="852"/>
      <c r="L3374" s="852"/>
      <c r="M3374" s="852"/>
    </row>
    <row r="3375" spans="5:13">
      <c r="E3375" s="852"/>
      <c r="F3375" s="852"/>
      <c r="G3375" s="852"/>
      <c r="H3375" s="852"/>
      <c r="I3375" s="852"/>
      <c r="J3375" s="852"/>
      <c r="K3375" s="852"/>
      <c r="L3375" s="852"/>
      <c r="M3375" s="852"/>
    </row>
    <row r="3376" spans="5:13">
      <c r="E3376" s="852"/>
      <c r="F3376" s="852">
        <v>1</v>
      </c>
      <c r="G3376" s="852" t="s">
        <v>164</v>
      </c>
      <c r="H3376" s="852" t="s">
        <v>4120</v>
      </c>
      <c r="I3376" s="1223">
        <f>I3345</f>
        <v>270</v>
      </c>
      <c r="J3376" s="852" t="s">
        <v>164</v>
      </c>
      <c r="K3376" s="852">
        <f>F3376*I3376</f>
        <v>270</v>
      </c>
      <c r="L3376" s="852"/>
      <c r="M3376" s="852"/>
    </row>
    <row r="3377" spans="5:13" ht="31.5">
      <c r="E3377" s="852"/>
      <c r="F3377" s="852"/>
      <c r="G3377" s="852"/>
      <c r="H3377" s="1220" t="s">
        <v>4109</v>
      </c>
      <c r="I3377" s="852"/>
      <c r="J3377" s="852"/>
      <c r="K3377" s="1231">
        <v>35.35</v>
      </c>
      <c r="L3377" s="852"/>
      <c r="M3377" s="852"/>
    </row>
    <row r="3378" spans="5:13">
      <c r="E3378" s="852"/>
      <c r="F3378" s="852"/>
      <c r="G3378" s="852"/>
      <c r="H3378" s="852" t="s">
        <v>656</v>
      </c>
      <c r="I3378" s="852"/>
      <c r="J3378" s="852"/>
      <c r="K3378" s="852">
        <f>K3356</f>
        <v>341.65</v>
      </c>
      <c r="L3378" s="852"/>
      <c r="M3378" s="852"/>
    </row>
    <row r="3379" spans="5:13">
      <c r="E3379" s="852"/>
      <c r="F3379" s="852"/>
      <c r="G3379" s="852"/>
      <c r="H3379" s="1229" t="s">
        <v>2553</v>
      </c>
      <c r="I3379" s="852"/>
      <c r="J3379" s="852"/>
      <c r="K3379" s="1230">
        <f>SUM(K3376:K3378)</f>
        <v>647</v>
      </c>
      <c r="L3379" s="852">
        <f>K3379-551</f>
        <v>96</v>
      </c>
      <c r="M3379" s="852"/>
    </row>
    <row r="3380" spans="5:13">
      <c r="E3380" s="852"/>
      <c r="F3380" s="852"/>
      <c r="G3380" s="852"/>
      <c r="H3380" s="852"/>
      <c r="I3380" s="852"/>
      <c r="J3380" s="852"/>
      <c r="K3380" s="852"/>
      <c r="L3380" s="852"/>
      <c r="M3380" s="852"/>
    </row>
    <row r="3381" spans="5:13">
      <c r="E3381" s="852"/>
      <c r="F3381" s="852"/>
      <c r="G3381" s="852"/>
      <c r="H3381" s="1230" t="s">
        <v>4121</v>
      </c>
      <c r="I3381" s="852"/>
      <c r="J3381" s="852"/>
      <c r="K3381" s="852"/>
      <c r="L3381" s="852"/>
      <c r="M3381" s="852"/>
    </row>
    <row r="3382" spans="5:13">
      <c r="E3382" s="852"/>
      <c r="F3382" s="852"/>
      <c r="G3382" s="852"/>
      <c r="H3382" s="1230" t="s">
        <v>4122</v>
      </c>
      <c r="I3382" s="852"/>
      <c r="J3382" s="852"/>
      <c r="K3382" s="852"/>
      <c r="L3382" s="852"/>
      <c r="M3382" s="852"/>
    </row>
    <row r="3383" spans="5:13">
      <c r="E3383" s="852"/>
      <c r="F3383" s="852"/>
      <c r="G3383" s="852"/>
      <c r="H3383" s="852"/>
      <c r="I3383" s="852"/>
      <c r="J3383" s="852"/>
      <c r="K3383" s="852"/>
      <c r="L3383" s="852"/>
      <c r="M3383" s="852"/>
    </row>
    <row r="3384" spans="5:13" ht="39" customHeight="1">
      <c r="E3384" s="852"/>
      <c r="F3384" s="852">
        <v>1</v>
      </c>
      <c r="G3384" s="852" t="s">
        <v>164</v>
      </c>
      <c r="H3384" s="1220" t="s">
        <v>4123</v>
      </c>
      <c r="I3384" s="1222">
        <v>1492</v>
      </c>
      <c r="J3384" s="852" t="s">
        <v>164</v>
      </c>
      <c r="K3384" s="1230">
        <f>F3384*I3384</f>
        <v>1492</v>
      </c>
      <c r="L3384" s="852"/>
      <c r="M3384" s="852"/>
    </row>
    <row r="3385" spans="5:13">
      <c r="E3385" s="852"/>
      <c r="F3385" s="852"/>
      <c r="G3385" s="852"/>
      <c r="H3385" s="852"/>
      <c r="I3385" s="852"/>
      <c r="J3385" s="852"/>
      <c r="K3385" s="852"/>
      <c r="L3385" s="852"/>
      <c r="M3385" s="852"/>
    </row>
    <row r="3386" spans="5:13">
      <c r="E3386" s="852"/>
      <c r="F3386" s="852"/>
      <c r="G3386" s="852"/>
      <c r="H3386" s="1230" t="s">
        <v>4124</v>
      </c>
      <c r="I3386" s="852"/>
      <c r="J3386" s="852"/>
      <c r="K3386" s="852"/>
      <c r="L3386" s="852"/>
      <c r="M3386" s="852"/>
    </row>
    <row r="3387" spans="5:13">
      <c r="E3387" s="852"/>
      <c r="F3387" s="852"/>
      <c r="G3387" s="852"/>
      <c r="H3387" s="1230" t="s">
        <v>4125</v>
      </c>
      <c r="I3387" s="852"/>
      <c r="J3387" s="852"/>
      <c r="K3387" s="852"/>
      <c r="L3387" s="852"/>
      <c r="M3387" s="852"/>
    </row>
    <row r="3388" spans="5:13">
      <c r="E3388" s="852"/>
      <c r="F3388" s="852"/>
      <c r="G3388" s="852"/>
      <c r="H3388" s="852"/>
      <c r="I3388" s="852"/>
      <c r="J3388" s="852"/>
      <c r="K3388" s="852"/>
      <c r="L3388" s="852"/>
      <c r="M3388" s="852"/>
    </row>
    <row r="3389" spans="5:13" ht="36.75" customHeight="1">
      <c r="E3389" s="852"/>
      <c r="F3389" s="852">
        <v>1</v>
      </c>
      <c r="G3389" s="852" t="s">
        <v>164</v>
      </c>
      <c r="H3389" s="1220" t="s">
        <v>4126</v>
      </c>
      <c r="I3389" s="1222">
        <v>1840</v>
      </c>
      <c r="J3389" s="852" t="s">
        <v>164</v>
      </c>
      <c r="K3389" s="1230">
        <f>F3389*I3389</f>
        <v>1840</v>
      </c>
      <c r="L3389" s="852"/>
      <c r="M3389" s="852"/>
    </row>
    <row r="3390" spans="5:13" ht="7.5" customHeight="1">
      <c r="E3390" s="852"/>
      <c r="F3390" s="852"/>
      <c r="G3390" s="852"/>
      <c r="H3390" s="852"/>
      <c r="I3390" s="852"/>
      <c r="J3390" s="852"/>
      <c r="K3390" s="852"/>
      <c r="L3390" s="852"/>
      <c r="M3390" s="852"/>
    </row>
    <row r="3391" spans="5:13">
      <c r="E3391" s="852"/>
      <c r="F3391" s="852"/>
      <c r="G3391" s="852"/>
      <c r="H3391" s="1230" t="s">
        <v>4127</v>
      </c>
      <c r="I3391" s="852"/>
      <c r="J3391" s="852"/>
      <c r="K3391" s="852"/>
      <c r="L3391" s="852"/>
      <c r="M3391" s="852"/>
    </row>
    <row r="3392" spans="5:13">
      <c r="E3392" s="852"/>
      <c r="F3392" s="852"/>
      <c r="G3392" s="852"/>
      <c r="H3392" s="1230" t="s">
        <v>4128</v>
      </c>
      <c r="I3392" s="852"/>
      <c r="J3392" s="852"/>
      <c r="K3392" s="852"/>
      <c r="L3392" s="852"/>
      <c r="M3392" s="852"/>
    </row>
    <row r="3393" spans="5:15">
      <c r="E3393" s="852"/>
      <c r="F3393" s="852"/>
      <c r="G3393" s="852"/>
      <c r="H3393" s="1228" t="s">
        <v>4129</v>
      </c>
      <c r="I3393" s="852"/>
      <c r="J3393" s="852"/>
      <c r="K3393" s="852"/>
      <c r="L3393" s="852"/>
      <c r="M3393" s="852"/>
    </row>
    <row r="3394" spans="5:15">
      <c r="E3394" s="852"/>
      <c r="F3394" s="852"/>
      <c r="G3394" s="852"/>
      <c r="H3394" s="852"/>
      <c r="I3394" s="852"/>
      <c r="J3394" s="852"/>
      <c r="K3394" s="852"/>
      <c r="L3394" s="852"/>
      <c r="M3394" s="852"/>
    </row>
    <row r="3395" spans="5:15" ht="63">
      <c r="E3395" s="852"/>
      <c r="F3395" s="852"/>
      <c r="G3395" s="852"/>
      <c r="H3395" s="1220" t="s">
        <v>4130</v>
      </c>
      <c r="I3395" s="852"/>
      <c r="J3395" s="852"/>
      <c r="K3395" s="852"/>
      <c r="L3395" s="1220" t="s">
        <v>4131</v>
      </c>
      <c r="M3395" s="1220" t="s">
        <v>4132</v>
      </c>
      <c r="N3395" s="1220" t="s">
        <v>4133</v>
      </c>
      <c r="O3395" s="1220" t="s">
        <v>4134</v>
      </c>
    </row>
    <row r="3396" spans="5:15">
      <c r="E3396" s="852"/>
      <c r="F3396" s="852">
        <v>1</v>
      </c>
      <c r="G3396" s="852" t="s">
        <v>164</v>
      </c>
      <c r="H3396" s="852" t="s">
        <v>4135</v>
      </c>
      <c r="I3396" s="1222">
        <v>83.6</v>
      </c>
      <c r="J3396" s="852" t="s">
        <v>164</v>
      </c>
      <c r="K3396" s="852">
        <f>F3396*I3396</f>
        <v>83.6</v>
      </c>
      <c r="L3396" s="1256">
        <v>186.6</v>
      </c>
      <c r="M3396" s="1256">
        <v>47.2</v>
      </c>
      <c r="N3396" s="1256">
        <v>337</v>
      </c>
      <c r="O3396" s="1256">
        <v>545</v>
      </c>
    </row>
    <row r="3397" spans="5:15">
      <c r="E3397" s="852"/>
      <c r="F3397" s="852">
        <v>1</v>
      </c>
      <c r="G3397" s="852" t="s">
        <v>164</v>
      </c>
      <c r="H3397" s="852" t="s">
        <v>4136</v>
      </c>
      <c r="I3397" s="852">
        <f>K3402</f>
        <v>30.472499999999997</v>
      </c>
      <c r="J3397" s="852" t="s">
        <v>164</v>
      </c>
      <c r="K3397" s="852">
        <f>F3397*I3397</f>
        <v>30.472499999999997</v>
      </c>
      <c r="L3397" s="852">
        <f t="shared" ref="L3397:O3398" si="101">K3397</f>
        <v>30.472499999999997</v>
      </c>
      <c r="M3397" s="852">
        <f t="shared" si="101"/>
        <v>30.472499999999997</v>
      </c>
      <c r="N3397" s="852">
        <f t="shared" si="101"/>
        <v>30.472499999999997</v>
      </c>
      <c r="O3397" s="795">
        <f t="shared" si="101"/>
        <v>30.472499999999997</v>
      </c>
    </row>
    <row r="3398" spans="5:15">
      <c r="E3398" s="852"/>
      <c r="F3398" s="852"/>
      <c r="G3398" s="852"/>
      <c r="H3398" s="852" t="s">
        <v>656</v>
      </c>
      <c r="I3398" s="852"/>
      <c r="J3398" s="852"/>
      <c r="K3398" s="852">
        <f>K3409</f>
        <v>345</v>
      </c>
      <c r="L3398" s="852">
        <f t="shared" si="101"/>
        <v>345</v>
      </c>
      <c r="M3398" s="852">
        <f t="shared" si="101"/>
        <v>345</v>
      </c>
      <c r="N3398" s="852">
        <f t="shared" si="101"/>
        <v>345</v>
      </c>
      <c r="O3398" s="795">
        <f t="shared" si="101"/>
        <v>345</v>
      </c>
    </row>
    <row r="3399" spans="5:15">
      <c r="E3399" s="852"/>
      <c r="F3399" s="852"/>
      <c r="G3399" s="852"/>
      <c r="H3399" s="852" t="s">
        <v>4137</v>
      </c>
      <c r="I3399" s="852" t="s">
        <v>166</v>
      </c>
      <c r="J3399" s="852"/>
      <c r="K3399" s="852">
        <v>6.93</v>
      </c>
      <c r="L3399" s="852">
        <v>6.93</v>
      </c>
      <c r="M3399" s="852">
        <v>7.33</v>
      </c>
      <c r="N3399" s="852">
        <v>6.53</v>
      </c>
      <c r="O3399" s="795">
        <v>6.53</v>
      </c>
    </row>
    <row r="3400" spans="5:15">
      <c r="E3400" s="852"/>
      <c r="F3400" s="852"/>
      <c r="G3400" s="852"/>
      <c r="H3400" s="1229" t="s">
        <v>2553</v>
      </c>
      <c r="I3400" s="852"/>
      <c r="J3400" s="852"/>
      <c r="K3400" s="1230">
        <f>SUM(K3396:K3399)</f>
        <v>466.0025</v>
      </c>
      <c r="L3400" s="1230">
        <f>SUM(L3396:L3399)</f>
        <v>569.00249999999994</v>
      </c>
      <c r="M3400" s="1230">
        <f>SUM(M3396:M3399)</f>
        <v>430.0025</v>
      </c>
      <c r="N3400" s="1230">
        <f>SUM(N3396:N3399)</f>
        <v>719.00249999999994</v>
      </c>
      <c r="O3400" s="1230">
        <f>SUM(O3396:O3399)</f>
        <v>927.00249999999994</v>
      </c>
    </row>
    <row r="3401" spans="5:15" ht="9.75" customHeight="1">
      <c r="E3401" s="852"/>
      <c r="F3401" s="852"/>
      <c r="G3401" s="852"/>
      <c r="H3401" s="852"/>
      <c r="I3401" s="852"/>
      <c r="J3401" s="852"/>
      <c r="K3401" s="852"/>
      <c r="L3401" s="852"/>
      <c r="M3401" s="852"/>
    </row>
    <row r="3402" spans="5:15">
      <c r="E3402" s="852"/>
      <c r="F3402" s="852"/>
      <c r="G3402" s="852"/>
      <c r="H3402" s="1230" t="s">
        <v>4138</v>
      </c>
      <c r="I3402" s="852">
        <f>I3368</f>
        <v>101575</v>
      </c>
      <c r="J3402" s="1237">
        <v>2.9999999999999997E-4</v>
      </c>
      <c r="K3402" s="1230">
        <f>I3402*J3402</f>
        <v>30.472499999999997</v>
      </c>
      <c r="L3402" s="852">
        <f>K3400-368</f>
        <v>98.002499999999998</v>
      </c>
      <c r="M3402" s="852">
        <f>430-M3400</f>
        <v>-2.4999999999977263E-3</v>
      </c>
      <c r="N3402" s="794">
        <f>719-N3400</f>
        <v>-2.4999999999408828E-3</v>
      </c>
    </row>
    <row r="3403" spans="5:15">
      <c r="E3403" s="852"/>
      <c r="F3403" s="852"/>
      <c r="G3403" s="852"/>
      <c r="H3403" s="852"/>
      <c r="I3403" s="852"/>
      <c r="J3403" s="852"/>
      <c r="K3403" s="852"/>
      <c r="L3403" s="852"/>
      <c r="M3403" s="852"/>
    </row>
    <row r="3404" spans="5:15">
      <c r="E3404" s="852"/>
      <c r="F3404" s="852"/>
      <c r="G3404" s="852"/>
      <c r="H3404" s="1228" t="s">
        <v>2142</v>
      </c>
      <c r="I3404" s="852"/>
      <c r="J3404" s="852"/>
      <c r="K3404" s="852"/>
      <c r="L3404" s="852"/>
      <c r="M3404" s="852"/>
    </row>
    <row r="3405" spans="5:15">
      <c r="E3405" s="852"/>
      <c r="F3405" s="852">
        <v>1</v>
      </c>
      <c r="G3405" s="852" t="s">
        <v>164</v>
      </c>
      <c r="H3405" s="852" t="s">
        <v>4017</v>
      </c>
      <c r="I3405" s="852">
        <f>I3351</f>
        <v>636</v>
      </c>
      <c r="J3405" s="852" t="s">
        <v>164</v>
      </c>
      <c r="K3405" s="852">
        <f>F3405*I3405</f>
        <v>636</v>
      </c>
      <c r="L3405" s="852"/>
      <c r="M3405" s="852"/>
    </row>
    <row r="3406" spans="5:15">
      <c r="E3406" s="852"/>
      <c r="F3406" s="852">
        <v>1</v>
      </c>
      <c r="G3406" s="852" t="s">
        <v>164</v>
      </c>
      <c r="H3406" s="852" t="s">
        <v>4008</v>
      </c>
      <c r="I3406" s="852">
        <f>I3352</f>
        <v>633</v>
      </c>
      <c r="J3406" s="852" t="s">
        <v>164</v>
      </c>
      <c r="K3406" s="852">
        <f>F3406*I3406</f>
        <v>633</v>
      </c>
      <c r="L3406" s="852"/>
      <c r="M3406" s="852"/>
    </row>
    <row r="3407" spans="5:15">
      <c r="E3407" s="852"/>
      <c r="F3407" s="852">
        <v>3</v>
      </c>
      <c r="G3407" s="852" t="s">
        <v>164</v>
      </c>
      <c r="H3407" s="852" t="s">
        <v>3710</v>
      </c>
      <c r="I3407" s="852">
        <f>I3353</f>
        <v>497</v>
      </c>
      <c r="J3407" s="852" t="s">
        <v>164</v>
      </c>
      <c r="K3407" s="852">
        <f>F3407*I3407</f>
        <v>1491</v>
      </c>
      <c r="L3407" s="852"/>
      <c r="M3407" s="852"/>
    </row>
    <row r="3408" spans="5:15">
      <c r="E3408" s="852"/>
      <c r="F3408" s="852"/>
      <c r="G3408" s="852"/>
      <c r="H3408" s="1227" t="s">
        <v>4139</v>
      </c>
      <c r="I3408" s="852"/>
      <c r="J3408" s="852"/>
      <c r="K3408" s="852">
        <f>SUM(K3405:K3407)</f>
        <v>2760</v>
      </c>
      <c r="L3408" s="852"/>
      <c r="M3408" s="852"/>
    </row>
    <row r="3409" spans="5:13">
      <c r="E3409" s="852"/>
      <c r="F3409" s="852"/>
      <c r="G3409" s="852"/>
      <c r="H3409" s="1229" t="s">
        <v>3615</v>
      </c>
      <c r="I3409" s="852"/>
      <c r="J3409" s="852"/>
      <c r="K3409" s="1230">
        <f>K3408/8</f>
        <v>345</v>
      </c>
      <c r="L3409" s="852"/>
      <c r="M3409" s="852"/>
    </row>
    <row r="3410" spans="5:13" ht="9" customHeight="1">
      <c r="E3410" s="852"/>
      <c r="F3410" s="852"/>
      <c r="G3410" s="852"/>
      <c r="H3410" s="852"/>
      <c r="I3410" s="852"/>
      <c r="J3410" s="852"/>
      <c r="K3410" s="852"/>
      <c r="L3410" s="852"/>
      <c r="M3410" s="852"/>
    </row>
    <row r="3411" spans="5:13">
      <c r="E3411" s="852"/>
      <c r="F3411" s="852"/>
      <c r="G3411" s="852"/>
      <c r="H3411" s="1230" t="s">
        <v>4140</v>
      </c>
      <c r="I3411" s="852"/>
      <c r="J3411" s="852"/>
      <c r="K3411" s="852"/>
      <c r="L3411" s="852"/>
      <c r="M3411" s="852"/>
    </row>
    <row r="3412" spans="5:13">
      <c r="E3412" s="852"/>
      <c r="F3412" s="852"/>
      <c r="G3412" s="852"/>
      <c r="H3412" s="1230" t="s">
        <v>4141</v>
      </c>
      <c r="I3412" s="852"/>
      <c r="J3412" s="852"/>
      <c r="K3412" s="852"/>
      <c r="L3412" s="852"/>
      <c r="M3412" s="852"/>
    </row>
    <row r="3413" spans="5:13">
      <c r="E3413" s="852"/>
      <c r="F3413" s="852"/>
      <c r="G3413" s="852"/>
      <c r="H3413" s="852"/>
      <c r="I3413" s="852"/>
      <c r="J3413" s="852"/>
      <c r="K3413" s="852"/>
      <c r="L3413" s="852"/>
      <c r="M3413" s="852"/>
    </row>
    <row r="3414" spans="5:13" ht="63">
      <c r="E3414" s="852"/>
      <c r="F3414" s="852"/>
      <c r="G3414" s="852"/>
      <c r="H3414" s="1220" t="s">
        <v>4142</v>
      </c>
      <c r="I3414" s="852"/>
      <c r="J3414" s="852"/>
      <c r="K3414" s="852"/>
      <c r="L3414" s="852" t="s">
        <v>4143</v>
      </c>
      <c r="M3414" s="852"/>
    </row>
    <row r="3415" spans="5:13">
      <c r="E3415" s="852"/>
      <c r="F3415" s="852">
        <v>3</v>
      </c>
      <c r="G3415" s="852" t="s">
        <v>164</v>
      </c>
      <c r="H3415" s="852" t="str">
        <f>H3396</f>
        <v>32 Amps 500 V fuse units P-119 6-b</v>
      </c>
      <c r="I3415" s="1223">
        <f>I3396</f>
        <v>83.6</v>
      </c>
      <c r="J3415" s="852" t="s">
        <v>227</v>
      </c>
      <c r="K3415" s="852">
        <f>F3415*I3415</f>
        <v>250.79999999999998</v>
      </c>
      <c r="L3415" s="852">
        <f>L3396*3</f>
        <v>559.79999999999995</v>
      </c>
      <c r="M3415" s="852"/>
    </row>
    <row r="3416" spans="5:13">
      <c r="E3416" s="852"/>
      <c r="F3416" s="852">
        <v>1</v>
      </c>
      <c r="G3416" s="852" t="s">
        <v>164</v>
      </c>
      <c r="H3416" s="852" t="s">
        <v>4100</v>
      </c>
      <c r="I3416" s="852">
        <f>K3421</f>
        <v>60.944999999999993</v>
      </c>
      <c r="J3416" s="852" t="s">
        <v>164</v>
      </c>
      <c r="K3416" s="852">
        <f>F3416*I3416</f>
        <v>60.944999999999993</v>
      </c>
      <c r="L3416" s="852">
        <f>K3416</f>
        <v>60.944999999999993</v>
      </c>
      <c r="M3416" s="852"/>
    </row>
    <row r="3417" spans="5:13">
      <c r="E3417" s="852"/>
      <c r="F3417" s="852"/>
      <c r="G3417" s="852"/>
      <c r="H3417" s="852" t="s">
        <v>656</v>
      </c>
      <c r="I3417" s="852"/>
      <c r="J3417" s="852"/>
      <c r="K3417" s="852">
        <f>K3428</f>
        <v>407.125</v>
      </c>
      <c r="L3417" s="852">
        <f>K3417</f>
        <v>407.125</v>
      </c>
      <c r="M3417" s="852"/>
    </row>
    <row r="3418" spans="5:13">
      <c r="E3418" s="852"/>
      <c r="F3418" s="852"/>
      <c r="G3418" s="852"/>
      <c r="H3418" s="852" t="s">
        <v>4137</v>
      </c>
      <c r="I3418" s="852" t="s">
        <v>166</v>
      </c>
      <c r="J3418" s="852"/>
      <c r="K3418" s="1231">
        <v>6.12</v>
      </c>
      <c r="L3418" s="1231">
        <v>6.12</v>
      </c>
      <c r="M3418" s="852"/>
    </row>
    <row r="3419" spans="5:13">
      <c r="E3419" s="852"/>
      <c r="F3419" s="852"/>
      <c r="G3419" s="852"/>
      <c r="H3419" s="1229" t="s">
        <v>2553</v>
      </c>
      <c r="I3419" s="852"/>
      <c r="J3419" s="852"/>
      <c r="K3419" s="1230">
        <f>SUM(K3415:K3418)</f>
        <v>724.99</v>
      </c>
      <c r="L3419" s="1230">
        <f>SUM(L3415:L3418)</f>
        <v>1033.9899999999998</v>
      </c>
      <c r="M3419" s="852"/>
    </row>
    <row r="3420" spans="5:13">
      <c r="E3420" s="852"/>
      <c r="F3420" s="852"/>
      <c r="G3420" s="852"/>
      <c r="H3420" s="1229"/>
      <c r="I3420" s="852"/>
      <c r="J3420" s="852"/>
      <c r="K3420" s="1230"/>
      <c r="L3420" s="852">
        <f>600-K3419</f>
        <v>-124.99000000000001</v>
      </c>
      <c r="M3420" s="852"/>
    </row>
    <row r="3421" spans="5:13">
      <c r="E3421" s="852"/>
      <c r="F3421" s="852"/>
      <c r="G3421" s="852"/>
      <c r="H3421" s="1230" t="s">
        <v>4100</v>
      </c>
      <c r="I3421" s="852">
        <f>I3402</f>
        <v>101575</v>
      </c>
      <c r="J3421" s="1237">
        <v>5.9999999999999995E-4</v>
      </c>
      <c r="K3421" s="1230">
        <f>I3421*J3421</f>
        <v>60.944999999999993</v>
      </c>
      <c r="L3421" s="852"/>
      <c r="M3421" s="852"/>
    </row>
    <row r="3422" spans="5:13">
      <c r="E3422" s="852"/>
      <c r="F3422" s="852"/>
      <c r="G3422" s="852"/>
      <c r="H3422" s="1229"/>
      <c r="I3422" s="852"/>
      <c r="J3422" s="852"/>
      <c r="K3422" s="852"/>
      <c r="L3422" s="852"/>
      <c r="M3422" s="852"/>
    </row>
    <row r="3423" spans="5:13">
      <c r="E3423" s="852"/>
      <c r="F3423" s="852"/>
      <c r="G3423" s="852"/>
      <c r="H3423" s="1228" t="s">
        <v>2142</v>
      </c>
      <c r="I3423" s="852"/>
      <c r="J3423" s="852"/>
      <c r="K3423" s="852"/>
      <c r="L3423" s="852"/>
      <c r="M3423" s="852"/>
    </row>
    <row r="3424" spans="5:13">
      <c r="E3424" s="852"/>
      <c r="F3424" s="852">
        <v>1</v>
      </c>
      <c r="G3424" s="852" t="s">
        <v>164</v>
      </c>
      <c r="H3424" s="852" t="s">
        <v>4017</v>
      </c>
      <c r="I3424" s="852">
        <f>I3405</f>
        <v>636</v>
      </c>
      <c r="J3424" s="852" t="s">
        <v>164</v>
      </c>
      <c r="K3424" s="852">
        <f>F3424*I3424</f>
        <v>636</v>
      </c>
      <c r="L3424" s="852"/>
      <c r="M3424" s="852"/>
    </row>
    <row r="3425" spans="5:13">
      <c r="E3425" s="852"/>
      <c r="F3425" s="852">
        <v>1</v>
      </c>
      <c r="G3425" s="852" t="s">
        <v>164</v>
      </c>
      <c r="H3425" s="852" t="s">
        <v>4008</v>
      </c>
      <c r="I3425" s="852">
        <f>I3406</f>
        <v>633</v>
      </c>
      <c r="J3425" s="852" t="s">
        <v>164</v>
      </c>
      <c r="K3425" s="852">
        <f>F3425*I3425</f>
        <v>633</v>
      </c>
      <c r="L3425" s="852"/>
      <c r="M3425" s="852"/>
    </row>
    <row r="3426" spans="5:13">
      <c r="E3426" s="852"/>
      <c r="F3426" s="852">
        <v>4</v>
      </c>
      <c r="G3426" s="852" t="s">
        <v>164</v>
      </c>
      <c r="H3426" s="852" t="s">
        <v>3710</v>
      </c>
      <c r="I3426" s="852">
        <f>I3407</f>
        <v>497</v>
      </c>
      <c r="J3426" s="852" t="s">
        <v>164</v>
      </c>
      <c r="K3426" s="852">
        <f>F3426*I3426</f>
        <v>1988</v>
      </c>
      <c r="L3426" s="852"/>
      <c r="M3426" s="852"/>
    </row>
    <row r="3427" spans="5:13">
      <c r="E3427" s="852"/>
      <c r="F3427" s="852"/>
      <c r="G3427" s="852"/>
      <c r="H3427" s="1227" t="s">
        <v>4139</v>
      </c>
      <c r="I3427" s="852"/>
      <c r="J3427" s="852"/>
      <c r="K3427" s="852">
        <f>SUM(K3424:K3426)</f>
        <v>3257</v>
      </c>
      <c r="L3427" s="852"/>
      <c r="M3427" s="852"/>
    </row>
    <row r="3428" spans="5:13">
      <c r="E3428" s="852"/>
      <c r="F3428" s="852"/>
      <c r="G3428" s="852"/>
      <c r="H3428" s="1229" t="s">
        <v>3823</v>
      </c>
      <c r="I3428" s="852"/>
      <c r="J3428" s="852"/>
      <c r="K3428" s="1230">
        <f>K3427/8</f>
        <v>407.125</v>
      </c>
      <c r="L3428" s="852"/>
      <c r="M3428" s="852"/>
    </row>
    <row r="3429" spans="5:13">
      <c r="E3429" s="852"/>
      <c r="F3429" s="852"/>
      <c r="G3429" s="852"/>
      <c r="H3429" s="852"/>
      <c r="I3429" s="852"/>
      <c r="J3429" s="852"/>
      <c r="K3429" s="852"/>
      <c r="L3429" s="852"/>
      <c r="M3429" s="852"/>
    </row>
    <row r="3430" spans="5:13">
      <c r="E3430" s="852"/>
      <c r="F3430" s="852"/>
      <c r="G3430" s="852"/>
      <c r="H3430" s="1230" t="s">
        <v>4144</v>
      </c>
      <c r="I3430" s="852"/>
      <c r="J3430" s="852"/>
      <c r="K3430" s="852"/>
      <c r="L3430" s="852"/>
      <c r="M3430" s="852"/>
    </row>
    <row r="3431" spans="5:13">
      <c r="E3431" s="852"/>
      <c r="F3431" s="852"/>
      <c r="G3431" s="852"/>
      <c r="H3431" s="852"/>
      <c r="I3431" s="852"/>
      <c r="J3431" s="852"/>
      <c r="K3431" s="852"/>
      <c r="L3431" s="852"/>
      <c r="M3431" s="852"/>
    </row>
    <row r="3432" spans="5:13">
      <c r="E3432" s="852"/>
      <c r="F3432" s="852"/>
      <c r="G3432" s="852"/>
      <c r="H3432" s="1230" t="s">
        <v>4145</v>
      </c>
      <c r="I3432" s="852"/>
      <c r="J3432" s="852"/>
      <c r="K3432" s="852"/>
      <c r="L3432" s="852"/>
      <c r="M3432" s="852"/>
    </row>
    <row r="3433" spans="5:13">
      <c r="E3433" s="852"/>
      <c r="F3433" s="852"/>
      <c r="G3433" s="852"/>
      <c r="H3433" s="852"/>
      <c r="I3433" s="852"/>
      <c r="J3433" s="852"/>
      <c r="K3433" s="852"/>
      <c r="L3433" s="852"/>
      <c r="M3433" s="852"/>
    </row>
    <row r="3434" spans="5:13" ht="81" customHeight="1">
      <c r="E3434" s="852"/>
      <c r="F3434" s="852"/>
      <c r="G3434" s="852"/>
      <c r="H3434" s="1220" t="s">
        <v>4146</v>
      </c>
      <c r="I3434" s="852"/>
      <c r="J3434" s="852"/>
      <c r="K3434" s="852"/>
      <c r="L3434" s="852"/>
      <c r="M3434" s="852"/>
    </row>
    <row r="3435" spans="5:13">
      <c r="E3435" s="852"/>
      <c r="F3435" s="852"/>
      <c r="G3435" s="852"/>
      <c r="H3435" s="852"/>
      <c r="I3435" s="852"/>
      <c r="J3435" s="852"/>
      <c r="K3435" s="852"/>
      <c r="L3435" s="852"/>
      <c r="M3435" s="852"/>
    </row>
    <row r="3436" spans="5:13" s="1269" customFormat="1">
      <c r="E3436" s="1248"/>
      <c r="F3436" s="1248">
        <v>1</v>
      </c>
      <c r="G3436" s="1248" t="s">
        <v>164</v>
      </c>
      <c r="H3436" s="1248" t="s">
        <v>4147</v>
      </c>
      <c r="I3436" s="1248">
        <v>47.2</v>
      </c>
      <c r="J3436" s="1248" t="s">
        <v>164</v>
      </c>
      <c r="K3436" s="1248">
        <f>F3436*I3436</f>
        <v>47.2</v>
      </c>
      <c r="L3436" s="1248"/>
      <c r="M3436" s="1248"/>
    </row>
    <row r="3437" spans="5:13" s="1261" customFormat="1">
      <c r="E3437" s="1260"/>
      <c r="F3437" s="1260">
        <v>1</v>
      </c>
      <c r="G3437" s="1260" t="s">
        <v>164</v>
      </c>
      <c r="H3437" s="1270" t="s">
        <v>4148</v>
      </c>
      <c r="I3437" s="1260">
        <f>K3443</f>
        <v>228.54374999999999</v>
      </c>
      <c r="J3437" s="1260" t="s">
        <v>164</v>
      </c>
      <c r="K3437" s="1260">
        <f>F3437*I3437</f>
        <v>228.54374999999999</v>
      </c>
      <c r="L3437" s="1260"/>
      <c r="M3437" s="1260"/>
    </row>
    <row r="3438" spans="5:13" s="1259" customFormat="1">
      <c r="E3438" s="1250"/>
      <c r="F3438" s="1250">
        <v>1</v>
      </c>
      <c r="G3438" s="1250" t="s">
        <v>164</v>
      </c>
      <c r="H3438" s="1250" t="s">
        <v>4149</v>
      </c>
      <c r="I3438" s="1250">
        <v>25</v>
      </c>
      <c r="J3438" s="1250" t="s">
        <v>4150</v>
      </c>
      <c r="K3438" s="1250">
        <f>F3438*I3438</f>
        <v>25</v>
      </c>
      <c r="L3438" s="1250"/>
      <c r="M3438" s="1250"/>
    </row>
    <row r="3439" spans="5:13">
      <c r="E3439" s="852"/>
      <c r="F3439" s="852"/>
      <c r="G3439" s="852"/>
      <c r="H3439" s="852" t="s">
        <v>2142</v>
      </c>
      <c r="I3439" s="852"/>
      <c r="J3439" s="852"/>
      <c r="K3439" s="852">
        <f>K3449</f>
        <v>407.5</v>
      </c>
      <c r="L3439" s="852"/>
      <c r="M3439" s="852"/>
    </row>
    <row r="3440" spans="5:13">
      <c r="E3440" s="852"/>
      <c r="F3440" s="852"/>
      <c r="G3440" s="852"/>
      <c r="H3440" s="852" t="s">
        <v>4151</v>
      </c>
      <c r="I3440" s="852"/>
      <c r="J3440" s="852"/>
      <c r="K3440" s="1231">
        <v>9.76</v>
      </c>
      <c r="L3440" s="852"/>
      <c r="M3440" s="852"/>
    </row>
    <row r="3441" spans="5:13">
      <c r="E3441" s="852"/>
      <c r="F3441" s="852"/>
      <c r="G3441" s="852"/>
      <c r="H3441" s="1229" t="s">
        <v>4152</v>
      </c>
      <c r="I3441" s="852"/>
      <c r="J3441" s="852"/>
      <c r="K3441" s="1230">
        <f>SUM(K3436:K3440)</f>
        <v>718.00374999999997</v>
      </c>
      <c r="L3441" s="852">
        <f>K3441-592</f>
        <v>126.00374999999997</v>
      </c>
      <c r="M3441" s="852"/>
    </row>
    <row r="3442" spans="5:13" ht="24" customHeight="1">
      <c r="E3442" s="852"/>
      <c r="F3442" s="852"/>
      <c r="G3442" s="852"/>
      <c r="H3442" s="852"/>
      <c r="I3442" s="852"/>
      <c r="J3442" s="852"/>
      <c r="K3442" s="852"/>
      <c r="L3442" s="852"/>
      <c r="M3442" s="852"/>
    </row>
    <row r="3443" spans="5:13">
      <c r="E3443" s="852"/>
      <c r="F3443" s="852"/>
      <c r="G3443" s="852"/>
      <c r="H3443" s="1230" t="s">
        <v>4153</v>
      </c>
      <c r="I3443" s="852">
        <f>I3421</f>
        <v>101575</v>
      </c>
      <c r="J3443" s="1271">
        <v>2.2499999999999998E-3</v>
      </c>
      <c r="K3443" s="852">
        <f>I3443*J3443</f>
        <v>228.54374999999999</v>
      </c>
      <c r="L3443" s="852"/>
      <c r="M3443" s="852"/>
    </row>
    <row r="3444" spans="5:13" ht="20.25" customHeight="1">
      <c r="E3444" s="852"/>
      <c r="F3444" s="852"/>
      <c r="G3444" s="852"/>
      <c r="H3444" s="852"/>
      <c r="I3444" s="852"/>
      <c r="J3444" s="852"/>
      <c r="K3444" s="852"/>
      <c r="L3444" s="852"/>
      <c r="M3444" s="852"/>
    </row>
    <row r="3445" spans="5:13">
      <c r="E3445" s="852"/>
      <c r="F3445" s="852"/>
      <c r="G3445" s="852"/>
      <c r="H3445" s="1230" t="s">
        <v>656</v>
      </c>
      <c r="I3445" s="852"/>
      <c r="J3445" s="852"/>
      <c r="K3445" s="852"/>
      <c r="L3445" s="852"/>
      <c r="M3445" s="852"/>
    </row>
    <row r="3446" spans="5:13">
      <c r="E3446" s="852"/>
      <c r="F3446" s="852">
        <v>1</v>
      </c>
      <c r="G3446" s="852" t="s">
        <v>164</v>
      </c>
      <c r="H3446" s="852" t="s">
        <v>4017</v>
      </c>
      <c r="I3446" s="795">
        <f>I3424</f>
        <v>636</v>
      </c>
      <c r="J3446" s="852" t="s">
        <v>164</v>
      </c>
      <c r="K3446" s="852">
        <f>F3446*I3446</f>
        <v>636</v>
      </c>
      <c r="L3446" s="852"/>
      <c r="M3446" s="852"/>
    </row>
    <row r="3447" spans="5:13">
      <c r="E3447" s="852"/>
      <c r="F3447" s="852">
        <v>2</v>
      </c>
      <c r="G3447" s="852" t="s">
        <v>164</v>
      </c>
      <c r="H3447" s="852" t="s">
        <v>4009</v>
      </c>
      <c r="I3447" s="795">
        <f>I3426</f>
        <v>497</v>
      </c>
      <c r="J3447" s="852" t="s">
        <v>164</v>
      </c>
      <c r="K3447" s="852">
        <f>F3447*I3447</f>
        <v>994</v>
      </c>
      <c r="L3447" s="852"/>
      <c r="M3447" s="852"/>
    </row>
    <row r="3448" spans="5:13">
      <c r="E3448" s="852"/>
      <c r="F3448" s="852"/>
      <c r="G3448" s="852"/>
      <c r="H3448" s="1227" t="s">
        <v>4018</v>
      </c>
      <c r="I3448" s="852"/>
      <c r="J3448" s="852"/>
      <c r="K3448" s="852">
        <f>SUM(K3446:K3447)</f>
        <v>1630</v>
      </c>
      <c r="L3448" s="852"/>
      <c r="M3448" s="852"/>
    </row>
    <row r="3449" spans="5:13">
      <c r="E3449" s="852"/>
      <c r="F3449" s="852"/>
      <c r="G3449" s="852"/>
      <c r="H3449" s="1229" t="s">
        <v>3615</v>
      </c>
      <c r="I3449" s="852"/>
      <c r="J3449" s="852"/>
      <c r="K3449" s="1230">
        <f>K3448/4</f>
        <v>407.5</v>
      </c>
      <c r="L3449" s="852"/>
      <c r="M3449" s="852"/>
    </row>
    <row r="3450" spans="5:13">
      <c r="E3450" s="852"/>
      <c r="F3450" s="852"/>
      <c r="G3450" s="852"/>
      <c r="H3450" s="852"/>
      <c r="I3450" s="852"/>
      <c r="J3450" s="852"/>
      <c r="K3450" s="852"/>
      <c r="L3450" s="852"/>
      <c r="M3450" s="852"/>
    </row>
    <row r="3451" spans="5:13">
      <c r="E3451" s="852"/>
      <c r="F3451" s="852"/>
      <c r="G3451" s="852"/>
      <c r="H3451" s="1230" t="s">
        <v>4154</v>
      </c>
      <c r="I3451" s="852"/>
      <c r="J3451" s="852"/>
      <c r="K3451" s="852"/>
      <c r="L3451" s="852"/>
      <c r="M3451" s="852"/>
    </row>
    <row r="3452" spans="5:13">
      <c r="E3452" s="852"/>
      <c r="F3452" s="852"/>
      <c r="G3452" s="852"/>
      <c r="H3452" s="1230" t="s">
        <v>4155</v>
      </c>
      <c r="I3452" s="852"/>
      <c r="J3452" s="852"/>
      <c r="K3452" s="852"/>
      <c r="L3452" s="852"/>
      <c r="M3452" s="852"/>
    </row>
    <row r="3453" spans="5:13">
      <c r="E3453" s="852"/>
      <c r="F3453" s="852"/>
      <c r="G3453" s="852"/>
      <c r="H3453" s="852" t="s">
        <v>115</v>
      </c>
      <c r="I3453" s="852"/>
      <c r="J3453" s="852"/>
      <c r="K3453" s="852"/>
      <c r="L3453" s="852"/>
      <c r="M3453" s="852"/>
    </row>
    <row r="3454" spans="5:13">
      <c r="E3454" s="852"/>
      <c r="F3454" s="852">
        <v>1</v>
      </c>
      <c r="G3454" s="852" t="s">
        <v>164</v>
      </c>
      <c r="H3454" s="852" t="s">
        <v>4156</v>
      </c>
      <c r="I3454" s="1223">
        <f>I3384</f>
        <v>1492</v>
      </c>
      <c r="J3454" s="852" t="s">
        <v>164</v>
      </c>
      <c r="K3454" s="852">
        <f>F3454*I3454</f>
        <v>1492</v>
      </c>
      <c r="L3454" s="852"/>
      <c r="M3454" s="852"/>
    </row>
    <row r="3455" spans="5:13">
      <c r="E3455" s="852"/>
      <c r="F3455" s="852">
        <v>3</v>
      </c>
      <c r="G3455" s="852" t="s">
        <v>164</v>
      </c>
      <c r="H3455" s="852" t="s">
        <v>4157</v>
      </c>
      <c r="I3455" s="1223">
        <v>126</v>
      </c>
      <c r="J3455" s="852" t="s">
        <v>164</v>
      </c>
      <c r="K3455" s="852">
        <f>F3455*I3455</f>
        <v>378</v>
      </c>
      <c r="L3455" s="852"/>
      <c r="M3455" s="852"/>
    </row>
    <row r="3456" spans="5:13">
      <c r="E3456" s="852"/>
      <c r="F3456" s="852"/>
      <c r="G3456" s="852"/>
      <c r="H3456" s="852" t="s">
        <v>4158</v>
      </c>
      <c r="I3456" s="852"/>
      <c r="J3456" s="852"/>
      <c r="K3456" s="852">
        <f>K3348</f>
        <v>633</v>
      </c>
      <c r="L3456" s="852"/>
      <c r="M3456" s="852"/>
    </row>
    <row r="3457" spans="5:13">
      <c r="E3457" s="852"/>
      <c r="F3457" s="852"/>
      <c r="G3457" s="852"/>
      <c r="H3457" s="852" t="s">
        <v>236</v>
      </c>
      <c r="I3457" s="852"/>
      <c r="J3457" s="852"/>
      <c r="K3457" s="852">
        <v>2</v>
      </c>
      <c r="L3457" s="852"/>
      <c r="M3457" s="852"/>
    </row>
    <row r="3458" spans="5:13">
      <c r="E3458" s="852"/>
      <c r="F3458" s="852"/>
      <c r="G3458" s="852"/>
      <c r="H3458" s="1229" t="s">
        <v>4159</v>
      </c>
      <c r="I3458" s="852"/>
      <c r="J3458" s="852"/>
      <c r="K3458" s="1230">
        <f>SUM(K3454:K3457)</f>
        <v>2505</v>
      </c>
      <c r="L3458" s="852"/>
      <c r="M3458" s="852"/>
    </row>
    <row r="3459" spans="5:13">
      <c r="E3459" s="852"/>
      <c r="F3459" s="852"/>
      <c r="G3459" s="852"/>
      <c r="H3459" s="852"/>
      <c r="I3459" s="852"/>
      <c r="J3459" s="852"/>
      <c r="K3459" s="852"/>
      <c r="L3459" s="852"/>
      <c r="M3459" s="852"/>
    </row>
    <row r="3460" spans="5:13">
      <c r="E3460" s="852"/>
      <c r="F3460" s="852"/>
      <c r="G3460" s="852"/>
      <c r="H3460" s="1230" t="s">
        <v>4154</v>
      </c>
      <c r="I3460" s="852"/>
      <c r="J3460" s="852"/>
      <c r="K3460" s="852"/>
      <c r="L3460" s="852"/>
      <c r="M3460" s="852"/>
    </row>
    <row r="3461" spans="5:13">
      <c r="E3461" s="852"/>
      <c r="F3461" s="852"/>
      <c r="G3461" s="852"/>
      <c r="H3461" s="852"/>
      <c r="I3461" s="852"/>
      <c r="J3461" s="852"/>
      <c r="K3461" s="852"/>
      <c r="L3461" s="852"/>
      <c r="M3461" s="852"/>
    </row>
    <row r="3462" spans="5:13">
      <c r="E3462" s="852"/>
      <c r="F3462" s="852"/>
      <c r="G3462" s="852"/>
      <c r="H3462" s="1230" t="s">
        <v>4160</v>
      </c>
      <c r="I3462" s="852"/>
      <c r="J3462" s="852"/>
      <c r="K3462" s="852"/>
      <c r="L3462" s="852"/>
      <c r="M3462" s="852"/>
    </row>
    <row r="3463" spans="5:13">
      <c r="E3463" s="852"/>
      <c r="F3463" s="852"/>
      <c r="G3463" s="852"/>
      <c r="H3463" s="852"/>
      <c r="I3463" s="852"/>
      <c r="J3463" s="852"/>
      <c r="K3463" s="852"/>
      <c r="L3463" s="852"/>
      <c r="M3463" s="852"/>
    </row>
    <row r="3464" spans="5:13">
      <c r="E3464" s="852"/>
      <c r="F3464" s="852">
        <v>1</v>
      </c>
      <c r="G3464" s="852" t="s">
        <v>164</v>
      </c>
      <c r="H3464" s="852" t="s">
        <v>4161</v>
      </c>
      <c r="I3464" s="1272">
        <f>I3389</f>
        <v>1840</v>
      </c>
      <c r="J3464" s="852" t="s">
        <v>164</v>
      </c>
      <c r="K3464" s="852">
        <f>F3464*I3464</f>
        <v>1840</v>
      </c>
      <c r="L3464" s="852"/>
      <c r="M3464" s="852"/>
    </row>
    <row r="3465" spans="5:13">
      <c r="E3465" s="852"/>
      <c r="F3465" s="852">
        <v>3</v>
      </c>
      <c r="G3465" s="852" t="s">
        <v>164</v>
      </c>
      <c r="H3465" s="852" t="s">
        <v>4162</v>
      </c>
      <c r="I3465" s="1223">
        <f>I3455</f>
        <v>126</v>
      </c>
      <c r="J3465" s="852" t="s">
        <v>164</v>
      </c>
      <c r="K3465" s="852">
        <f>F3465*I3465</f>
        <v>378</v>
      </c>
      <c r="L3465" s="852"/>
      <c r="M3465" s="852"/>
    </row>
    <row r="3466" spans="5:13">
      <c r="E3466" s="852"/>
      <c r="F3466" s="852"/>
      <c r="G3466" s="852"/>
      <c r="H3466" s="852" t="s">
        <v>4163</v>
      </c>
      <c r="I3466" s="852"/>
      <c r="J3466" s="852"/>
      <c r="K3466" s="852">
        <f>K3379</f>
        <v>647</v>
      </c>
      <c r="L3466" s="852"/>
      <c r="M3466" s="852"/>
    </row>
    <row r="3467" spans="5:13">
      <c r="E3467" s="852"/>
      <c r="F3467" s="852"/>
      <c r="G3467" s="852"/>
      <c r="H3467" s="852" t="s">
        <v>236</v>
      </c>
      <c r="I3467" s="852"/>
      <c r="J3467" s="852"/>
      <c r="K3467" s="852">
        <v>5</v>
      </c>
      <c r="L3467" s="852"/>
      <c r="M3467" s="852"/>
    </row>
    <row r="3468" spans="5:13">
      <c r="E3468" s="852"/>
      <c r="F3468" s="852"/>
      <c r="G3468" s="852"/>
      <c r="H3468" s="1229" t="s">
        <v>4164</v>
      </c>
      <c r="I3468" s="852"/>
      <c r="J3468" s="852"/>
      <c r="K3468" s="1230">
        <f>SUM(K3464:K3467)</f>
        <v>2870</v>
      </c>
      <c r="L3468" s="852">
        <f>K3468-2695</f>
        <v>175</v>
      </c>
      <c r="M3468" s="852"/>
    </row>
    <row r="3469" spans="5:13">
      <c r="E3469" s="852"/>
      <c r="F3469" s="852"/>
      <c r="G3469" s="852"/>
      <c r="H3469" s="852"/>
      <c r="I3469" s="852"/>
      <c r="J3469" s="852"/>
      <c r="K3469" s="852"/>
      <c r="L3469" s="852"/>
      <c r="M3469" s="852"/>
    </row>
    <row r="3470" spans="5:13">
      <c r="E3470" s="852"/>
      <c r="F3470" s="852"/>
      <c r="G3470" s="852"/>
      <c r="H3470" s="1230" t="s">
        <v>4165</v>
      </c>
      <c r="I3470" s="852"/>
      <c r="J3470" s="852"/>
      <c r="K3470" s="852"/>
      <c r="L3470" s="852"/>
      <c r="M3470" s="852"/>
    </row>
    <row r="3471" spans="5:13">
      <c r="E3471" s="852"/>
      <c r="F3471" s="852"/>
      <c r="G3471" s="852"/>
      <c r="H3471" s="852"/>
      <c r="I3471" s="852"/>
      <c r="J3471" s="852"/>
      <c r="K3471" s="852"/>
      <c r="L3471" s="852"/>
      <c r="M3471" s="852"/>
    </row>
    <row r="3472" spans="5:13">
      <c r="E3472" s="852"/>
      <c r="F3472" s="852"/>
      <c r="G3472" s="852"/>
      <c r="H3472" s="1230" t="s">
        <v>4166</v>
      </c>
      <c r="I3472" s="852"/>
      <c r="J3472" s="852"/>
      <c r="K3472" s="852"/>
      <c r="L3472" s="852"/>
      <c r="M3472" s="852"/>
    </row>
    <row r="3473" spans="5:13">
      <c r="E3473" s="852"/>
      <c r="F3473" s="852"/>
      <c r="G3473" s="852"/>
      <c r="H3473" s="852"/>
      <c r="I3473" s="852"/>
      <c r="J3473" s="852"/>
      <c r="K3473" s="852"/>
      <c r="L3473" s="852"/>
      <c r="M3473" s="852"/>
    </row>
    <row r="3474" spans="5:13" ht="60.75">
      <c r="E3474" s="852"/>
      <c r="F3474" s="852"/>
      <c r="G3474" s="852"/>
      <c r="H3474" s="1220" t="s">
        <v>4167</v>
      </c>
      <c r="I3474" s="852"/>
      <c r="J3474" s="852"/>
      <c r="K3474" s="852"/>
      <c r="L3474" s="852"/>
      <c r="M3474" s="852"/>
    </row>
    <row r="3475" spans="5:13">
      <c r="E3475" s="852"/>
      <c r="F3475" s="852"/>
      <c r="G3475" s="852"/>
      <c r="H3475" s="852"/>
      <c r="I3475" s="852"/>
      <c r="J3475" s="852"/>
      <c r="K3475" s="852"/>
      <c r="L3475" s="852"/>
      <c r="M3475" s="852"/>
    </row>
    <row r="3476" spans="5:13" ht="24.95" customHeight="1">
      <c r="E3476" s="852"/>
      <c r="F3476" s="852">
        <v>3</v>
      </c>
      <c r="G3476" s="852" t="s">
        <v>164</v>
      </c>
      <c r="H3476" s="852" t="s">
        <v>4168</v>
      </c>
      <c r="I3476" s="1223">
        <f>I3396</f>
        <v>83.6</v>
      </c>
      <c r="J3476" s="852" t="s">
        <v>164</v>
      </c>
      <c r="K3476" s="852">
        <f>F3476*I3476</f>
        <v>250.79999999999998</v>
      </c>
      <c r="L3476" s="852"/>
      <c r="M3476" s="852"/>
    </row>
    <row r="3477" spans="5:13" s="1261" customFormat="1" ht="24.95" customHeight="1">
      <c r="E3477" s="1260"/>
      <c r="F3477" s="1260">
        <v>1</v>
      </c>
      <c r="G3477" s="1260" t="s">
        <v>164</v>
      </c>
      <c r="H3477" s="1270" t="s">
        <v>4169</v>
      </c>
      <c r="I3477" s="1260">
        <f>K3483</f>
        <v>342.81562500000001</v>
      </c>
      <c r="J3477" s="1260" t="s">
        <v>164</v>
      </c>
      <c r="K3477" s="1260">
        <f>F3477*I3477</f>
        <v>342.81562500000001</v>
      </c>
      <c r="L3477" s="1260"/>
      <c r="M3477" s="1260"/>
    </row>
    <row r="3478" spans="5:13" s="1259" customFormat="1" ht="24.95" customHeight="1">
      <c r="E3478" s="1250"/>
      <c r="F3478" s="1250">
        <v>1</v>
      </c>
      <c r="G3478" s="1250" t="s">
        <v>164</v>
      </c>
      <c r="H3478" s="1250" t="s">
        <v>4149</v>
      </c>
      <c r="I3478" s="1250">
        <f>I3438</f>
        <v>25</v>
      </c>
      <c r="J3478" s="1250" t="s">
        <v>4150</v>
      </c>
      <c r="K3478" s="1250">
        <f>F3478*I3478</f>
        <v>25</v>
      </c>
      <c r="L3478" s="1250"/>
      <c r="M3478" s="1250"/>
    </row>
    <row r="3479" spans="5:13" ht="24.95" customHeight="1">
      <c r="E3479" s="852"/>
      <c r="F3479" s="852"/>
      <c r="G3479" s="852"/>
      <c r="H3479" s="852" t="s">
        <v>2142</v>
      </c>
      <c r="I3479" s="852"/>
      <c r="J3479" s="852"/>
      <c r="K3479" s="852">
        <f>K3489</f>
        <v>543.33333333333337</v>
      </c>
      <c r="L3479" s="852"/>
      <c r="M3479" s="852"/>
    </row>
    <row r="3480" spans="5:13">
      <c r="E3480" s="852"/>
      <c r="F3480" s="852"/>
      <c r="G3480" s="852"/>
      <c r="H3480" s="852" t="s">
        <v>4151</v>
      </c>
      <c r="I3480" s="852"/>
      <c r="J3480" s="852"/>
      <c r="K3480" s="1231">
        <v>8.0500000000000007</v>
      </c>
      <c r="L3480" s="852" t="s">
        <v>2221</v>
      </c>
      <c r="M3480" s="852"/>
    </row>
    <row r="3481" spans="5:13" ht="24.95" customHeight="1">
      <c r="E3481" s="852"/>
      <c r="F3481" s="852"/>
      <c r="G3481" s="852"/>
      <c r="H3481" s="1229" t="s">
        <v>4152</v>
      </c>
      <c r="I3481" s="852"/>
      <c r="J3481" s="852"/>
      <c r="K3481" s="1230">
        <f>SUM(K3476:K3480)</f>
        <v>1169.9989583333333</v>
      </c>
      <c r="L3481" s="852">
        <f>990-K3481</f>
        <v>-179.99895833333335</v>
      </c>
      <c r="M3481" s="852"/>
    </row>
    <row r="3482" spans="5:13">
      <c r="E3482" s="852"/>
      <c r="F3482" s="852"/>
      <c r="G3482" s="852"/>
      <c r="H3482" s="852"/>
      <c r="I3482" s="852"/>
      <c r="J3482" s="852"/>
      <c r="K3482" s="852"/>
      <c r="L3482" s="852"/>
      <c r="M3482" s="852"/>
    </row>
    <row r="3483" spans="5:13">
      <c r="E3483" s="852"/>
      <c r="F3483" s="852"/>
      <c r="G3483" s="852"/>
      <c r="H3483" s="1230" t="s">
        <v>4170</v>
      </c>
      <c r="I3483" s="852">
        <f>I3443</f>
        <v>101575</v>
      </c>
      <c r="J3483" s="1271">
        <v>3.375E-3</v>
      </c>
      <c r="K3483" s="852">
        <f>I3483*J3483</f>
        <v>342.81562500000001</v>
      </c>
      <c r="L3483" s="852"/>
      <c r="M3483" s="852"/>
    </row>
    <row r="3484" spans="5:13">
      <c r="E3484" s="852"/>
      <c r="F3484" s="852"/>
      <c r="G3484" s="852"/>
      <c r="H3484" s="852"/>
      <c r="I3484" s="852"/>
      <c r="J3484" s="852"/>
      <c r="K3484" s="852"/>
      <c r="L3484" s="852"/>
      <c r="M3484" s="852"/>
    </row>
    <row r="3485" spans="5:13" ht="21.75" customHeight="1">
      <c r="E3485" s="852"/>
      <c r="F3485" s="852"/>
      <c r="G3485" s="852"/>
      <c r="H3485" s="1228" t="s">
        <v>656</v>
      </c>
      <c r="I3485" s="852"/>
      <c r="J3485" s="852"/>
      <c r="K3485" s="852"/>
      <c r="L3485" s="852"/>
      <c r="M3485" s="852"/>
    </row>
    <row r="3486" spans="5:13" ht="21.75" customHeight="1">
      <c r="E3486" s="852"/>
      <c r="F3486" s="852">
        <v>1</v>
      </c>
      <c r="G3486" s="852" t="s">
        <v>164</v>
      </c>
      <c r="H3486" s="852" t="s">
        <v>4017</v>
      </c>
      <c r="I3486" s="852">
        <f>I3446</f>
        <v>636</v>
      </c>
      <c r="J3486" s="852" t="s">
        <v>164</v>
      </c>
      <c r="K3486" s="852">
        <f>F3486*I3486</f>
        <v>636</v>
      </c>
      <c r="L3486" s="852"/>
      <c r="M3486" s="852"/>
    </row>
    <row r="3487" spans="5:13" ht="21.75" customHeight="1">
      <c r="E3487" s="852"/>
      <c r="F3487" s="852">
        <v>2</v>
      </c>
      <c r="G3487" s="852" t="s">
        <v>164</v>
      </c>
      <c r="H3487" s="852" t="s">
        <v>4009</v>
      </c>
      <c r="I3487" s="852">
        <f>I3447</f>
        <v>497</v>
      </c>
      <c r="J3487" s="852" t="s">
        <v>164</v>
      </c>
      <c r="K3487" s="852">
        <f>F3487*I3487</f>
        <v>994</v>
      </c>
      <c r="L3487" s="852"/>
      <c r="M3487" s="852"/>
    </row>
    <row r="3488" spans="5:13" s="1261" customFormat="1" ht="21.75" customHeight="1">
      <c r="E3488" s="1260"/>
      <c r="F3488" s="1260"/>
      <c r="G3488" s="1260"/>
      <c r="H3488" s="1273" t="s">
        <v>4171</v>
      </c>
      <c r="I3488" s="1260"/>
      <c r="J3488" s="1243"/>
      <c r="K3488" s="1260">
        <f>SUM(K3486:K3487)</f>
        <v>1630</v>
      </c>
      <c r="L3488" s="1260"/>
      <c r="M3488" s="1260"/>
    </row>
    <row r="3489" spans="5:20" s="1261" customFormat="1" ht="21.75" customHeight="1">
      <c r="E3489" s="1260"/>
      <c r="F3489" s="1260"/>
      <c r="G3489" s="1260"/>
      <c r="H3489" s="1274" t="s">
        <v>3615</v>
      </c>
      <c r="I3489" s="1260"/>
      <c r="J3489" s="1243"/>
      <c r="K3489" s="1243">
        <f>K3488/3</f>
        <v>543.33333333333337</v>
      </c>
      <c r="L3489" s="1260"/>
      <c r="M3489" s="1260"/>
    </row>
    <row r="3490" spans="5:20" s="1276" customFormat="1">
      <c r="E3490" s="1275"/>
      <c r="F3490" s="1275"/>
      <c r="G3490" s="1275"/>
      <c r="H3490" s="1275"/>
      <c r="I3490" s="1275"/>
      <c r="J3490" s="1275"/>
      <c r="K3490" s="1275"/>
      <c r="L3490" s="1275"/>
      <c r="M3490" s="1275"/>
    </row>
    <row r="3491" spans="5:20">
      <c r="E3491" s="852"/>
      <c r="F3491" s="852"/>
      <c r="G3491" s="852"/>
      <c r="H3491" s="1230" t="s">
        <v>4172</v>
      </c>
      <c r="I3491" s="852"/>
      <c r="J3491" s="852"/>
      <c r="K3491" s="852"/>
      <c r="L3491" s="852"/>
      <c r="M3491" s="852"/>
    </row>
    <row r="3492" spans="5:20">
      <c r="E3492" s="852"/>
      <c r="F3492" s="852"/>
      <c r="G3492" s="852"/>
      <c r="H3492" s="852"/>
      <c r="I3492" s="852"/>
      <c r="J3492" s="852"/>
      <c r="K3492" s="852"/>
      <c r="L3492" s="852"/>
      <c r="M3492" s="852"/>
    </row>
    <row r="3493" spans="5:20" ht="61.5" customHeight="1">
      <c r="E3493" s="852"/>
      <c r="F3493" s="852"/>
      <c r="G3493" s="852"/>
      <c r="H3493" s="1218" t="s">
        <v>4173</v>
      </c>
      <c r="I3493" s="852"/>
      <c r="J3493" s="852"/>
      <c r="K3493" s="852"/>
      <c r="L3493" s="852"/>
      <c r="M3493" s="852"/>
      <c r="N3493" s="852"/>
      <c r="O3493" s="1218" t="s">
        <v>4174</v>
      </c>
      <c r="P3493" s="852"/>
      <c r="Q3493" s="852"/>
      <c r="R3493" s="852"/>
    </row>
    <row r="3494" spans="5:20" ht="36" customHeight="1">
      <c r="E3494" s="852"/>
      <c r="F3494" s="852">
        <v>180</v>
      </c>
      <c r="G3494" s="852" t="s">
        <v>231</v>
      </c>
      <c r="H3494" s="1220" t="s">
        <v>4175</v>
      </c>
      <c r="I3494" s="1223">
        <f>I3112</f>
        <v>33.299999999999997</v>
      </c>
      <c r="J3494" s="852" t="s">
        <v>231</v>
      </c>
      <c r="K3494" s="852">
        <f>F3494*I3494</f>
        <v>5993.9999999999991</v>
      </c>
      <c r="L3494" s="852"/>
      <c r="M3494" s="852">
        <v>180</v>
      </c>
      <c r="N3494" s="852" t="s">
        <v>231</v>
      </c>
      <c r="O3494" s="1220" t="s">
        <v>4176</v>
      </c>
      <c r="P3494" s="1222">
        <f>I3101</f>
        <v>21</v>
      </c>
      <c r="Q3494" s="852" t="s">
        <v>231</v>
      </c>
      <c r="R3494" s="852">
        <f>M3494*P3494</f>
        <v>3780</v>
      </c>
    </row>
    <row r="3495" spans="5:20" ht="24.95" customHeight="1">
      <c r="E3495" s="852"/>
      <c r="F3495" s="852">
        <v>4</v>
      </c>
      <c r="G3495" s="852" t="s">
        <v>148</v>
      </c>
      <c r="H3495" s="852" t="s">
        <v>4177</v>
      </c>
      <c r="I3495" s="1222">
        <v>82.6</v>
      </c>
      <c r="J3495" s="852" t="s">
        <v>148</v>
      </c>
      <c r="K3495" s="852">
        <f>F3495*I3495</f>
        <v>330.4</v>
      </c>
      <c r="L3495" s="852"/>
      <c r="M3495" s="852">
        <v>4</v>
      </c>
      <c r="N3495" s="852" t="s">
        <v>148</v>
      </c>
      <c r="O3495" s="852" t="s">
        <v>3739</v>
      </c>
      <c r="P3495" s="1222">
        <f>I3495</f>
        <v>82.6</v>
      </c>
      <c r="Q3495" s="852" t="s">
        <v>148</v>
      </c>
      <c r="R3495" s="852">
        <f>M3495*P3495</f>
        <v>330.4</v>
      </c>
    </row>
    <row r="3496" spans="5:20" ht="24.95" customHeight="1">
      <c r="E3496" s="852"/>
      <c r="F3496" s="852">
        <v>180</v>
      </c>
      <c r="G3496" s="852" t="s">
        <v>227</v>
      </c>
      <c r="H3496" s="852" t="s">
        <v>4178</v>
      </c>
      <c r="I3496" s="1222">
        <f>ROUND(6.3/12,2)</f>
        <v>0.53</v>
      </c>
      <c r="J3496" s="852" t="s">
        <v>227</v>
      </c>
      <c r="K3496" s="852">
        <f>F3496*I3496</f>
        <v>95.4</v>
      </c>
      <c r="L3496" s="852"/>
      <c r="M3496" s="852">
        <v>180</v>
      </c>
      <c r="N3496" s="852" t="s">
        <v>227</v>
      </c>
      <c r="O3496" s="852" t="s">
        <v>4179</v>
      </c>
      <c r="P3496" s="1222">
        <f>I3496</f>
        <v>0.53</v>
      </c>
      <c r="Q3496" s="852" t="s">
        <v>227</v>
      </c>
      <c r="R3496" s="852">
        <f>M3496*P3496</f>
        <v>95.4</v>
      </c>
    </row>
    <row r="3497" spans="5:20" ht="24.95" customHeight="1">
      <c r="E3497" s="852"/>
      <c r="F3497" s="852">
        <v>1</v>
      </c>
      <c r="G3497" s="852" t="s">
        <v>148</v>
      </c>
      <c r="H3497" s="852" t="s">
        <v>4180</v>
      </c>
      <c r="I3497" s="1241">
        <f>I3495</f>
        <v>82.6</v>
      </c>
      <c r="J3497" s="852" t="s">
        <v>148</v>
      </c>
      <c r="K3497" s="852">
        <f>F3497*I3497</f>
        <v>82.6</v>
      </c>
      <c r="L3497" s="852"/>
      <c r="M3497" s="852">
        <v>1</v>
      </c>
      <c r="N3497" s="852" t="s">
        <v>148</v>
      </c>
      <c r="O3497" s="852" t="s">
        <v>4180</v>
      </c>
      <c r="P3497" s="1222">
        <f>I3497</f>
        <v>82.6</v>
      </c>
      <c r="Q3497" s="852" t="s">
        <v>148</v>
      </c>
      <c r="R3497" s="852">
        <f>M3497*P3497</f>
        <v>82.6</v>
      </c>
    </row>
    <row r="3498" spans="5:20" ht="24.95" customHeight="1">
      <c r="E3498" s="852"/>
      <c r="F3498" s="852"/>
      <c r="G3498" s="852"/>
      <c r="H3498" s="852" t="s">
        <v>656</v>
      </c>
      <c r="I3498" s="852"/>
      <c r="J3498" s="852"/>
      <c r="K3498" s="852">
        <f>K3507</f>
        <v>4759</v>
      </c>
      <c r="L3498" s="852"/>
      <c r="M3498" s="852"/>
      <c r="N3498" s="852"/>
      <c r="O3498" s="852" t="s">
        <v>656</v>
      </c>
      <c r="P3498" s="852"/>
      <c r="Q3498" s="852"/>
      <c r="R3498" s="852">
        <f>R3507</f>
        <v>4759</v>
      </c>
    </row>
    <row r="3499" spans="5:20" ht="24.95" customHeight="1">
      <c r="E3499" s="852"/>
      <c r="F3499" s="852"/>
      <c r="G3499" s="852"/>
      <c r="H3499" s="852" t="s">
        <v>4181</v>
      </c>
      <c r="I3499" s="852"/>
      <c r="J3499" s="852"/>
      <c r="K3499" s="1231">
        <v>79</v>
      </c>
      <c r="L3499" s="852"/>
      <c r="M3499" s="852"/>
      <c r="N3499" s="852"/>
      <c r="O3499" s="852" t="s">
        <v>4181</v>
      </c>
      <c r="P3499" s="852"/>
      <c r="Q3499" s="852"/>
      <c r="R3499" s="1231">
        <v>42.5</v>
      </c>
    </row>
    <row r="3500" spans="5:20" ht="24.95" customHeight="1">
      <c r="E3500" s="852"/>
      <c r="F3500" s="852"/>
      <c r="G3500" s="852"/>
      <c r="H3500" s="1227" t="s">
        <v>4182</v>
      </c>
      <c r="I3500" s="852"/>
      <c r="J3500" s="852"/>
      <c r="K3500" s="852">
        <f>SUM(K3494:K3499)</f>
        <v>11340.399999999998</v>
      </c>
      <c r="L3500" s="852">
        <f>K3500-L3502</f>
        <v>13</v>
      </c>
      <c r="M3500" s="852"/>
      <c r="N3500" s="852"/>
      <c r="O3500" s="1227" t="s">
        <v>4182</v>
      </c>
      <c r="P3500" s="852"/>
      <c r="Q3500" s="852"/>
      <c r="R3500" s="852">
        <f>SUM(R3494:R3499)</f>
        <v>9089.9</v>
      </c>
    </row>
    <row r="3501" spans="5:20" ht="24.95" customHeight="1">
      <c r="E3501" s="852"/>
      <c r="F3501" s="852"/>
      <c r="G3501" s="852"/>
      <c r="H3501" s="1229" t="s">
        <v>3970</v>
      </c>
      <c r="I3501" s="852"/>
      <c r="J3501" s="852"/>
      <c r="K3501" s="1230">
        <f>K3500/90</f>
        <v>126.00444444444442</v>
      </c>
      <c r="L3501" s="852">
        <f>K3501-110</f>
        <v>16.004444444444417</v>
      </c>
      <c r="M3501" s="852"/>
      <c r="N3501" s="852"/>
      <c r="O3501" s="1229" t="s">
        <v>3970</v>
      </c>
      <c r="P3501" s="852"/>
      <c r="Q3501" s="852"/>
      <c r="R3501" s="1230">
        <f>R3500/90</f>
        <v>100.99888888888889</v>
      </c>
      <c r="S3501" s="794">
        <f>86.5*90</f>
        <v>7785</v>
      </c>
      <c r="T3501" s="794">
        <f>S3501-R3500</f>
        <v>-1304.8999999999996</v>
      </c>
    </row>
    <row r="3502" spans="5:20">
      <c r="E3502" s="852"/>
      <c r="F3502" s="852"/>
      <c r="G3502" s="852"/>
      <c r="H3502" s="1228" t="s">
        <v>4081</v>
      </c>
      <c r="I3502" s="852"/>
      <c r="J3502" s="852"/>
      <c r="K3502" s="852"/>
      <c r="L3502" s="852">
        <f>K3500-13</f>
        <v>11327.399999999998</v>
      </c>
      <c r="M3502" s="852"/>
      <c r="N3502" s="852"/>
      <c r="O3502" s="1228" t="s">
        <v>4081</v>
      </c>
      <c r="P3502" s="852"/>
      <c r="Q3502" s="852"/>
      <c r="R3502" s="852"/>
    </row>
    <row r="3503" spans="5:20">
      <c r="E3503" s="852"/>
      <c r="F3503" s="852">
        <v>1</v>
      </c>
      <c r="G3503" s="852" t="s">
        <v>164</v>
      </c>
      <c r="H3503" s="1241" t="s">
        <v>4183</v>
      </c>
      <c r="I3503" s="852">
        <f>I2866</f>
        <v>730</v>
      </c>
      <c r="J3503" s="852" t="s">
        <v>164</v>
      </c>
      <c r="K3503" s="852">
        <f>F3503*I3503</f>
        <v>730</v>
      </c>
      <c r="L3503" s="852"/>
      <c r="M3503" s="852">
        <v>1</v>
      </c>
      <c r="N3503" s="852" t="s">
        <v>164</v>
      </c>
      <c r="O3503" s="1241" t="s">
        <v>4183</v>
      </c>
      <c r="P3503" s="852">
        <f>I3503</f>
        <v>730</v>
      </c>
      <c r="Q3503" s="852" t="s">
        <v>164</v>
      </c>
      <c r="R3503" s="852">
        <f>M3503*P3503</f>
        <v>730</v>
      </c>
    </row>
    <row r="3504" spans="5:20">
      <c r="E3504" s="852"/>
      <c r="F3504" s="852">
        <v>2</v>
      </c>
      <c r="G3504" s="852" t="s">
        <v>164</v>
      </c>
      <c r="H3504" s="852" t="s">
        <v>4017</v>
      </c>
      <c r="I3504" s="852">
        <f>I2867</f>
        <v>636</v>
      </c>
      <c r="J3504" s="852" t="s">
        <v>164</v>
      </c>
      <c r="K3504" s="852">
        <f>F3504*I3504</f>
        <v>1272</v>
      </c>
      <c r="L3504" s="852"/>
      <c r="M3504" s="852">
        <v>2</v>
      </c>
      <c r="N3504" s="852" t="s">
        <v>164</v>
      </c>
      <c r="O3504" s="852" t="s">
        <v>4017</v>
      </c>
      <c r="P3504" s="852">
        <f>I3504</f>
        <v>636</v>
      </c>
      <c r="Q3504" s="852" t="s">
        <v>164</v>
      </c>
      <c r="R3504" s="852">
        <f>M3504*P3504</f>
        <v>1272</v>
      </c>
    </row>
    <row r="3505" spans="5:18">
      <c r="E3505" s="852"/>
      <c r="F3505" s="852">
        <v>2</v>
      </c>
      <c r="G3505" s="852" t="s">
        <v>164</v>
      </c>
      <c r="H3505" s="852" t="s">
        <v>4008</v>
      </c>
      <c r="I3505" s="852">
        <f>I2868</f>
        <v>633</v>
      </c>
      <c r="J3505" s="852" t="s">
        <v>164</v>
      </c>
      <c r="K3505" s="852">
        <f>F3505*I3505</f>
        <v>1266</v>
      </c>
      <c r="L3505" s="852"/>
      <c r="M3505" s="852">
        <v>2</v>
      </c>
      <c r="N3505" s="852" t="s">
        <v>164</v>
      </c>
      <c r="O3505" s="852" t="s">
        <v>4008</v>
      </c>
      <c r="P3505" s="852">
        <f>I3505</f>
        <v>633</v>
      </c>
      <c r="Q3505" s="852" t="s">
        <v>164</v>
      </c>
      <c r="R3505" s="852">
        <f>M3505*P3505</f>
        <v>1266</v>
      </c>
    </row>
    <row r="3506" spans="5:18">
      <c r="E3506" s="852"/>
      <c r="F3506" s="852">
        <v>3</v>
      </c>
      <c r="G3506" s="852" t="s">
        <v>164</v>
      </c>
      <c r="H3506" s="852" t="s">
        <v>3710</v>
      </c>
      <c r="I3506" s="852">
        <f>I2869</f>
        <v>497</v>
      </c>
      <c r="J3506" s="852" t="s">
        <v>164</v>
      </c>
      <c r="K3506" s="852">
        <f>F3506*I3506</f>
        <v>1491</v>
      </c>
      <c r="L3506" s="852"/>
      <c r="M3506" s="852">
        <v>3</v>
      </c>
      <c r="N3506" s="852" t="s">
        <v>164</v>
      </c>
      <c r="O3506" s="852" t="s">
        <v>3710</v>
      </c>
      <c r="P3506" s="852">
        <f>I3506</f>
        <v>497</v>
      </c>
      <c r="Q3506" s="852" t="s">
        <v>164</v>
      </c>
      <c r="R3506" s="852">
        <f>M3506*P3506</f>
        <v>1491</v>
      </c>
    </row>
    <row r="3507" spans="5:18" ht="24.95" customHeight="1">
      <c r="E3507" s="852"/>
      <c r="F3507" s="852"/>
      <c r="G3507" s="852"/>
      <c r="H3507" s="852"/>
      <c r="I3507" s="852"/>
      <c r="J3507" s="852"/>
      <c r="K3507" s="1230">
        <f>SUM(K3503:K3506)</f>
        <v>4759</v>
      </c>
      <c r="L3507" s="852"/>
      <c r="M3507" s="852"/>
      <c r="N3507" s="852"/>
      <c r="O3507" s="852"/>
      <c r="P3507" s="852"/>
      <c r="Q3507" s="852"/>
      <c r="R3507" s="1230">
        <f>SUM(R3503:R3506)</f>
        <v>4759</v>
      </c>
    </row>
    <row r="3508" spans="5:18" ht="4.5" customHeight="1">
      <c r="E3508" s="852"/>
      <c r="F3508" s="852"/>
      <c r="G3508" s="852"/>
      <c r="H3508" s="852"/>
      <c r="I3508" s="852"/>
      <c r="J3508" s="852"/>
      <c r="K3508" s="852"/>
      <c r="L3508" s="852"/>
      <c r="M3508" s="852"/>
    </row>
    <row r="3509" spans="5:18" ht="4.5" customHeight="1">
      <c r="E3509" s="852"/>
      <c r="F3509" s="852"/>
      <c r="G3509" s="852"/>
      <c r="H3509" s="1230" t="s">
        <v>4184</v>
      </c>
      <c r="I3509" s="852"/>
      <c r="J3509" s="852"/>
      <c r="K3509" s="852"/>
      <c r="L3509" s="852"/>
      <c r="M3509" s="852"/>
    </row>
    <row r="3510" spans="5:18" ht="29.25" customHeight="1">
      <c r="E3510" s="852"/>
      <c r="F3510" s="852"/>
      <c r="G3510" s="852"/>
      <c r="H3510" s="1218" t="s">
        <v>4185</v>
      </c>
      <c r="I3510" s="852"/>
      <c r="J3510" s="852"/>
      <c r="K3510" s="852"/>
      <c r="L3510" s="852"/>
      <c r="M3510" s="852"/>
    </row>
    <row r="3511" spans="5:18" ht="18" customHeight="1">
      <c r="E3511" s="852"/>
      <c r="F3511" s="852"/>
      <c r="G3511" s="852"/>
      <c r="H3511" s="852"/>
      <c r="I3511" s="852"/>
      <c r="J3511" s="852"/>
      <c r="K3511" s="852"/>
      <c r="L3511" s="852"/>
      <c r="M3511" s="852"/>
    </row>
    <row r="3512" spans="5:18" ht="47.25" customHeight="1">
      <c r="E3512" s="852"/>
      <c r="F3512" s="852"/>
      <c r="G3512" s="852"/>
      <c r="H3512" s="1220" t="s">
        <v>4186</v>
      </c>
      <c r="I3512" s="852"/>
      <c r="J3512" s="852"/>
      <c r="K3512" s="852"/>
      <c r="L3512" s="852"/>
      <c r="M3512" s="852"/>
    </row>
    <row r="3513" spans="5:18">
      <c r="E3513" s="852"/>
      <c r="F3513" s="852">
        <v>1</v>
      </c>
      <c r="G3513" s="852" t="s">
        <v>231</v>
      </c>
      <c r="H3513" s="852" t="s">
        <v>4187</v>
      </c>
      <c r="I3513" s="1222">
        <v>128</v>
      </c>
      <c r="J3513" s="852" t="s">
        <v>231</v>
      </c>
      <c r="K3513" s="1227">
        <f>F3513*I3513</f>
        <v>128</v>
      </c>
      <c r="L3513" s="852"/>
      <c r="M3513" s="852"/>
    </row>
    <row r="3514" spans="5:18">
      <c r="E3514" s="852"/>
      <c r="F3514" s="852"/>
      <c r="G3514" s="852"/>
      <c r="H3514" s="852" t="s">
        <v>236</v>
      </c>
      <c r="I3514" s="852"/>
      <c r="J3514" s="852"/>
      <c r="K3514" s="1227">
        <v>2</v>
      </c>
      <c r="L3514" s="852"/>
      <c r="M3514" s="852"/>
    </row>
    <row r="3515" spans="5:18">
      <c r="E3515" s="852"/>
      <c r="F3515" s="852"/>
      <c r="G3515" s="852"/>
      <c r="H3515" s="1229" t="s">
        <v>4188</v>
      </c>
      <c r="I3515" s="852"/>
      <c r="J3515" s="852"/>
      <c r="K3515" s="1229">
        <f>SUM(K3513:K3514)</f>
        <v>130</v>
      </c>
      <c r="L3515" s="852"/>
      <c r="M3515" s="852">
        <f>K3515-123</f>
        <v>7</v>
      </c>
    </row>
    <row r="3516" spans="5:18" ht="9.75" customHeight="1">
      <c r="E3516" s="852"/>
      <c r="F3516" s="852"/>
      <c r="G3516" s="852"/>
      <c r="H3516" s="852"/>
      <c r="I3516" s="852"/>
      <c r="J3516" s="852"/>
      <c r="K3516" s="852"/>
      <c r="L3516" s="852"/>
      <c r="M3516" s="852"/>
    </row>
    <row r="3517" spans="5:18">
      <c r="E3517" s="852"/>
      <c r="F3517" s="852"/>
      <c r="G3517" s="852"/>
      <c r="H3517" s="1230" t="s">
        <v>4189</v>
      </c>
      <c r="I3517" s="852"/>
      <c r="J3517" s="852"/>
      <c r="K3517" s="852"/>
      <c r="L3517" s="852"/>
      <c r="M3517" s="852"/>
    </row>
    <row r="3518" spans="5:18">
      <c r="E3518" s="852"/>
      <c r="F3518" s="852"/>
      <c r="G3518" s="852"/>
      <c r="H3518" s="1230" t="s">
        <v>4190</v>
      </c>
      <c r="I3518" s="852"/>
      <c r="J3518" s="852"/>
      <c r="K3518" s="852"/>
      <c r="L3518" s="852"/>
      <c r="M3518" s="852"/>
    </row>
    <row r="3519" spans="5:18">
      <c r="E3519" s="852"/>
      <c r="F3519" s="852"/>
      <c r="G3519" s="852"/>
      <c r="H3519" s="852"/>
      <c r="I3519" s="852"/>
      <c r="J3519" s="852"/>
      <c r="K3519" s="852"/>
      <c r="L3519" s="852"/>
      <c r="M3519" s="852"/>
    </row>
    <row r="3520" spans="5:18" ht="49.5" customHeight="1">
      <c r="E3520" s="852"/>
      <c r="F3520" s="852"/>
      <c r="G3520" s="852"/>
      <c r="H3520" s="1246" t="s">
        <v>4191</v>
      </c>
      <c r="I3520" s="852"/>
      <c r="J3520" s="852"/>
      <c r="K3520" s="852"/>
      <c r="L3520" s="852"/>
      <c r="M3520" s="852"/>
    </row>
    <row r="3521" spans="5:13">
      <c r="E3521" s="852"/>
      <c r="F3521" s="852">
        <v>1</v>
      </c>
      <c r="G3521" s="852" t="s">
        <v>231</v>
      </c>
      <c r="H3521" s="852" t="s">
        <v>4192</v>
      </c>
      <c r="I3521" s="1222">
        <v>44.7</v>
      </c>
      <c r="J3521" s="852" t="s">
        <v>1962</v>
      </c>
      <c r="K3521" s="852">
        <f>F3522*I3521</f>
        <v>145.27500000000001</v>
      </c>
      <c r="L3521" s="852"/>
      <c r="M3521" s="852"/>
    </row>
    <row r="3522" spans="5:13">
      <c r="E3522" s="852"/>
      <c r="F3522" s="852">
        <v>3.25</v>
      </c>
      <c r="G3522" s="852" t="s">
        <v>4193</v>
      </c>
      <c r="H3522" s="852"/>
      <c r="I3522" s="852"/>
      <c r="J3522" s="852"/>
      <c r="K3522" s="852"/>
      <c r="L3522" s="852"/>
      <c r="M3522" s="852"/>
    </row>
    <row r="3523" spans="5:13">
      <c r="E3523" s="852"/>
      <c r="F3523" s="852"/>
      <c r="G3523" s="852"/>
      <c r="H3523" s="852" t="s">
        <v>236</v>
      </c>
      <c r="I3523" s="852"/>
      <c r="J3523" s="852"/>
      <c r="K3523" s="1231">
        <v>2.72</v>
      </c>
      <c r="L3523" s="852"/>
      <c r="M3523" s="852"/>
    </row>
    <row r="3524" spans="5:13">
      <c r="E3524" s="852"/>
      <c r="F3524" s="852"/>
      <c r="G3524" s="852"/>
      <c r="H3524" s="1229" t="s">
        <v>4080</v>
      </c>
      <c r="I3524" s="852"/>
      <c r="J3524" s="852"/>
      <c r="K3524" s="1230">
        <f>SUM(K3521:K3523)</f>
        <v>147.995</v>
      </c>
      <c r="L3524" s="852">
        <f>K3524-145</f>
        <v>2.9950000000000045</v>
      </c>
      <c r="M3524" s="852"/>
    </row>
    <row r="3525" spans="5:13">
      <c r="E3525" s="852"/>
      <c r="F3525" s="852"/>
      <c r="G3525" s="852"/>
      <c r="H3525" s="1229"/>
      <c r="I3525" s="852"/>
      <c r="J3525" s="852"/>
      <c r="K3525" s="1230"/>
      <c r="L3525" s="852"/>
      <c r="M3525" s="852"/>
    </row>
    <row r="3526" spans="5:13">
      <c r="E3526" s="852"/>
      <c r="F3526" s="852"/>
      <c r="G3526" s="852"/>
      <c r="H3526" s="1230" t="s">
        <v>4194</v>
      </c>
      <c r="I3526" s="852"/>
      <c r="J3526" s="852"/>
      <c r="K3526" s="852"/>
      <c r="L3526" s="852"/>
      <c r="M3526" s="852"/>
    </row>
    <row r="3527" spans="5:13">
      <c r="E3527" s="852"/>
      <c r="F3527" s="852"/>
      <c r="G3527" s="852"/>
      <c r="H3527" s="852"/>
      <c r="I3527" s="852"/>
      <c r="J3527" s="852"/>
      <c r="K3527" s="852"/>
      <c r="L3527" s="852"/>
      <c r="M3527" s="852"/>
    </row>
    <row r="3528" spans="5:13" ht="45" customHeight="1">
      <c r="E3528" s="852"/>
      <c r="F3528" s="852"/>
      <c r="G3528" s="852"/>
      <c r="H3528" s="1218" t="s">
        <v>4195</v>
      </c>
      <c r="I3528" s="852"/>
      <c r="J3528" s="852"/>
      <c r="K3528" s="852"/>
      <c r="L3528" s="852"/>
      <c r="M3528" s="852"/>
    </row>
    <row r="3529" spans="5:13">
      <c r="E3529" s="852"/>
      <c r="F3529" s="852"/>
      <c r="G3529" s="852"/>
      <c r="H3529" s="852"/>
      <c r="I3529" s="852"/>
      <c r="J3529" s="852"/>
      <c r="K3529" s="852"/>
      <c r="L3529" s="852"/>
      <c r="M3529" s="852"/>
    </row>
    <row r="3530" spans="5:13" ht="135.75" customHeight="1">
      <c r="E3530" s="852"/>
      <c r="F3530" s="852"/>
      <c r="G3530" s="852"/>
      <c r="H3530" s="1246" t="s">
        <v>4196</v>
      </c>
      <c r="I3530" s="852"/>
      <c r="J3530" s="852"/>
      <c r="K3530" s="852"/>
      <c r="L3530" s="852"/>
      <c r="M3530" s="852"/>
    </row>
    <row r="3531" spans="5:13">
      <c r="E3531" s="852"/>
      <c r="F3531" s="852"/>
      <c r="G3531" s="852"/>
      <c r="H3531" s="852"/>
      <c r="I3531" s="852"/>
      <c r="J3531" s="852"/>
      <c r="K3531" s="852"/>
      <c r="L3531" s="852"/>
      <c r="M3531" s="852"/>
    </row>
    <row r="3532" spans="5:13" ht="37.5" customHeight="1">
      <c r="E3532" s="852"/>
      <c r="F3532" s="852">
        <v>360</v>
      </c>
      <c r="G3532" s="852" t="s">
        <v>231</v>
      </c>
      <c r="H3532" s="1220" t="s">
        <v>4197</v>
      </c>
      <c r="I3532" s="1223">
        <f>I3494</f>
        <v>33.299999999999997</v>
      </c>
      <c r="J3532" s="852" t="s">
        <v>231</v>
      </c>
      <c r="K3532" s="852">
        <f>F3532*I3532</f>
        <v>11987.999999999998</v>
      </c>
      <c r="L3532" s="852"/>
      <c r="M3532" s="852"/>
    </row>
    <row r="3533" spans="5:13" ht="15.75" customHeight="1">
      <c r="E3533" s="852"/>
      <c r="F3533" s="852">
        <v>4</v>
      </c>
      <c r="G3533" s="852" t="s">
        <v>148</v>
      </c>
      <c r="H3533" s="852" t="s">
        <v>3739</v>
      </c>
      <c r="I3533" s="1223">
        <f>I3495</f>
        <v>82.6</v>
      </c>
      <c r="J3533" s="852" t="s">
        <v>148</v>
      </c>
      <c r="K3533" s="852">
        <f>F3533*I3533</f>
        <v>330.4</v>
      </c>
      <c r="L3533" s="852"/>
      <c r="M3533" s="852"/>
    </row>
    <row r="3534" spans="5:13">
      <c r="E3534" s="852"/>
      <c r="F3534" s="852">
        <v>360</v>
      </c>
      <c r="G3534" s="852" t="s">
        <v>227</v>
      </c>
      <c r="H3534" s="852" t="s">
        <v>4179</v>
      </c>
      <c r="I3534" s="1223">
        <f>I3496</f>
        <v>0.53</v>
      </c>
      <c r="J3534" s="852" t="s">
        <v>227</v>
      </c>
      <c r="K3534" s="852">
        <f>F3534*I3534</f>
        <v>190.8</v>
      </c>
      <c r="L3534" s="852"/>
      <c r="M3534" s="852"/>
    </row>
    <row r="3535" spans="5:13">
      <c r="E3535" s="852"/>
      <c r="F3535" s="852">
        <v>1.5</v>
      </c>
      <c r="G3535" s="852" t="s">
        <v>148</v>
      </c>
      <c r="H3535" s="852" t="s">
        <v>4180</v>
      </c>
      <c r="I3535" s="1223">
        <f>I3497</f>
        <v>82.6</v>
      </c>
      <c r="J3535" s="852" t="s">
        <v>148</v>
      </c>
      <c r="K3535" s="852">
        <f>F3535*I3535</f>
        <v>123.89999999999999</v>
      </c>
      <c r="L3535" s="852"/>
      <c r="M3535" s="852"/>
    </row>
    <row r="3536" spans="5:13">
      <c r="E3536" s="852"/>
      <c r="F3536" s="852"/>
      <c r="G3536" s="852"/>
      <c r="H3536" s="852" t="s">
        <v>4198</v>
      </c>
      <c r="I3536" s="852"/>
      <c r="J3536" s="852"/>
      <c r="K3536" s="852">
        <f>K3507*1.5</f>
        <v>7138.5</v>
      </c>
      <c r="L3536" s="852"/>
      <c r="M3536" s="852"/>
    </row>
    <row r="3537" spans="5:13">
      <c r="E3537" s="852"/>
      <c r="F3537" s="852"/>
      <c r="G3537" s="852"/>
      <c r="H3537" s="852" t="s">
        <v>4181</v>
      </c>
      <c r="I3537" s="852"/>
      <c r="J3537" s="852"/>
      <c r="K3537" s="1231">
        <v>118</v>
      </c>
      <c r="L3537" s="852"/>
      <c r="M3537" s="852"/>
    </row>
    <row r="3538" spans="5:13">
      <c r="E3538" s="852"/>
      <c r="F3538" s="852"/>
      <c r="G3538" s="852"/>
      <c r="H3538" s="1227" t="s">
        <v>4182</v>
      </c>
      <c r="I3538" s="852"/>
      <c r="J3538" s="852"/>
      <c r="K3538" s="852">
        <f>SUM(K3532:K3537)</f>
        <v>19889.599999999999</v>
      </c>
      <c r="L3538" s="852"/>
      <c r="M3538" s="852"/>
    </row>
    <row r="3539" spans="5:13">
      <c r="E3539" s="852"/>
      <c r="F3539" s="852"/>
      <c r="G3539" s="852"/>
      <c r="H3539" s="1229" t="s">
        <v>3970</v>
      </c>
      <c r="I3539" s="852"/>
      <c r="J3539" s="852"/>
      <c r="K3539" s="1230">
        <f>K3538/90</f>
        <v>220.99555555555554</v>
      </c>
      <c r="L3539" s="852">
        <f>197*90</f>
        <v>17730</v>
      </c>
      <c r="M3539" s="852"/>
    </row>
    <row r="3540" spans="5:13" ht="20.25" customHeight="1">
      <c r="E3540" s="852"/>
      <c r="F3540" s="852"/>
      <c r="G3540" s="852"/>
      <c r="H3540" s="852"/>
      <c r="I3540" s="852"/>
      <c r="J3540" s="852"/>
      <c r="K3540" s="852"/>
      <c r="L3540" s="852">
        <f>L3539-K3538</f>
        <v>-2159.5999999999985</v>
      </c>
      <c r="M3540" s="852"/>
    </row>
    <row r="3541" spans="5:13">
      <c r="E3541" s="852"/>
      <c r="F3541" s="852"/>
      <c r="G3541" s="852"/>
      <c r="H3541" s="1230" t="s">
        <v>4199</v>
      </c>
      <c r="I3541" s="852"/>
      <c r="J3541" s="852"/>
      <c r="K3541" s="852"/>
      <c r="L3541" s="852"/>
      <c r="M3541" s="852"/>
    </row>
    <row r="3542" spans="5:13" ht="32.25" customHeight="1">
      <c r="E3542" s="852"/>
      <c r="F3542" s="852"/>
      <c r="G3542" s="852"/>
      <c r="H3542" s="1218" t="s">
        <v>4200</v>
      </c>
      <c r="I3542" s="852"/>
      <c r="J3542" s="852"/>
      <c r="K3542" s="852"/>
      <c r="L3542" s="852"/>
      <c r="M3542" s="852"/>
    </row>
    <row r="3543" spans="5:13">
      <c r="E3543" s="852"/>
      <c r="F3543" s="852"/>
      <c r="G3543" s="852"/>
      <c r="H3543" s="852"/>
      <c r="I3543" s="852"/>
      <c r="J3543" s="852"/>
      <c r="K3543" s="852"/>
      <c r="L3543" s="852"/>
      <c r="M3543" s="852"/>
    </row>
    <row r="3544" spans="5:13" ht="47.25" customHeight="1">
      <c r="E3544" s="852"/>
      <c r="F3544" s="852"/>
      <c r="G3544" s="852"/>
      <c r="H3544" s="1246" t="s">
        <v>4201</v>
      </c>
      <c r="I3544" s="852"/>
      <c r="J3544" s="852"/>
      <c r="K3544" s="852"/>
      <c r="L3544" s="852"/>
      <c r="M3544" s="852"/>
    </row>
    <row r="3545" spans="5:13">
      <c r="E3545" s="852"/>
      <c r="F3545" s="852">
        <v>1</v>
      </c>
      <c r="G3545" s="852" t="s">
        <v>231</v>
      </c>
      <c r="H3545" s="852" t="s">
        <v>4202</v>
      </c>
      <c r="I3545" s="1223">
        <v>163</v>
      </c>
      <c r="J3545" s="852" t="s">
        <v>231</v>
      </c>
      <c r="K3545" s="1227">
        <f>F3545*I3545</f>
        <v>163</v>
      </c>
      <c r="L3545" s="852"/>
      <c r="M3545" s="852"/>
    </row>
    <row r="3546" spans="5:13">
      <c r="E3546" s="852"/>
      <c r="F3546" s="852"/>
      <c r="G3546" s="852"/>
      <c r="H3546" s="852" t="s">
        <v>236</v>
      </c>
      <c r="I3546" s="852"/>
      <c r="J3546" s="852"/>
      <c r="K3546" s="1277">
        <v>2</v>
      </c>
      <c r="L3546" s="852"/>
      <c r="M3546" s="852"/>
    </row>
    <row r="3547" spans="5:13">
      <c r="E3547" s="852"/>
      <c r="F3547" s="852"/>
      <c r="G3547" s="852"/>
      <c r="H3547" s="1229" t="s">
        <v>4188</v>
      </c>
      <c r="I3547" s="852"/>
      <c r="J3547" s="852"/>
      <c r="K3547" s="1229">
        <f>SUM(K3545:K3546)</f>
        <v>165</v>
      </c>
      <c r="L3547" s="852"/>
      <c r="M3547" s="852">
        <f>K3547-154</f>
        <v>11</v>
      </c>
    </row>
    <row r="3548" spans="5:13" ht="7.5" customHeight="1">
      <c r="E3548" s="852"/>
      <c r="F3548" s="852"/>
      <c r="G3548" s="852"/>
      <c r="H3548" s="852"/>
      <c r="I3548" s="852"/>
      <c r="J3548" s="852"/>
      <c r="K3548" s="852"/>
      <c r="L3548" s="852"/>
      <c r="M3548" s="852"/>
    </row>
    <row r="3549" spans="5:13">
      <c r="E3549" s="852"/>
      <c r="F3549" s="852"/>
      <c r="G3549" s="852"/>
      <c r="H3549" s="1230" t="s">
        <v>4203</v>
      </c>
      <c r="I3549" s="852"/>
      <c r="J3549" s="852"/>
      <c r="K3549" s="852"/>
      <c r="L3549" s="852"/>
      <c r="M3549" s="852"/>
    </row>
    <row r="3550" spans="5:13">
      <c r="E3550" s="852"/>
      <c r="F3550" s="852"/>
      <c r="G3550" s="852"/>
      <c r="H3550" s="1230" t="s">
        <v>4190</v>
      </c>
      <c r="I3550" s="852"/>
      <c r="J3550" s="852"/>
      <c r="K3550" s="852"/>
      <c r="L3550" s="852"/>
      <c r="M3550" s="852"/>
    </row>
    <row r="3551" spans="5:13">
      <c r="E3551" s="852"/>
      <c r="F3551" s="852"/>
      <c r="G3551" s="852"/>
      <c r="H3551" s="852"/>
      <c r="I3551" s="852"/>
      <c r="J3551" s="852"/>
      <c r="K3551" s="852"/>
      <c r="L3551" s="852"/>
      <c r="M3551" s="852"/>
    </row>
    <row r="3552" spans="5:13" ht="47.25">
      <c r="E3552" s="852"/>
      <c r="F3552" s="852"/>
      <c r="G3552" s="852"/>
      <c r="H3552" s="1246" t="s">
        <v>4191</v>
      </c>
      <c r="I3552" s="852"/>
      <c r="J3552" s="852"/>
      <c r="K3552" s="852"/>
      <c r="L3552" s="852"/>
      <c r="M3552" s="852"/>
    </row>
    <row r="3553" spans="5:15">
      <c r="E3553" s="852"/>
      <c r="F3553" s="852">
        <v>1</v>
      </c>
      <c r="G3553" s="852" t="s">
        <v>231</v>
      </c>
      <c r="H3553" s="852" t="str">
        <f>H3521</f>
        <v>40 x 40 x 6 mm MS angle (P-126  part -G)</v>
      </c>
      <c r="I3553" s="852">
        <f>I3521</f>
        <v>44.7</v>
      </c>
      <c r="J3553" s="852" t="s">
        <v>1962</v>
      </c>
      <c r="K3553" s="852">
        <f>F3554*I3553</f>
        <v>145.27500000000001</v>
      </c>
      <c r="L3553" s="852"/>
      <c r="M3553" s="852"/>
    </row>
    <row r="3554" spans="5:15">
      <c r="E3554" s="852"/>
      <c r="F3554" s="852">
        <v>3.25</v>
      </c>
      <c r="G3554" s="852" t="s">
        <v>4193</v>
      </c>
      <c r="H3554" s="852"/>
      <c r="I3554" s="852"/>
      <c r="J3554" s="852"/>
      <c r="K3554" s="852"/>
      <c r="L3554" s="852"/>
      <c r="M3554" s="852"/>
    </row>
    <row r="3555" spans="5:15">
      <c r="E3555" s="852"/>
      <c r="F3555" s="852"/>
      <c r="G3555" s="852"/>
      <c r="H3555" s="852" t="s">
        <v>236</v>
      </c>
      <c r="I3555" s="852"/>
      <c r="J3555" s="852"/>
      <c r="K3555" s="1231">
        <v>2.72</v>
      </c>
      <c r="L3555" s="852"/>
      <c r="M3555" s="852"/>
    </row>
    <row r="3556" spans="5:15">
      <c r="E3556" s="852"/>
      <c r="F3556" s="852"/>
      <c r="G3556" s="852"/>
      <c r="H3556" s="1229" t="s">
        <v>4080</v>
      </c>
      <c r="I3556" s="852"/>
      <c r="J3556" s="852"/>
      <c r="K3556" s="1230">
        <f>SUM(K3553:K3555)</f>
        <v>147.995</v>
      </c>
      <c r="L3556" s="852">
        <f>K3556-146</f>
        <v>1.9950000000000045</v>
      </c>
      <c r="M3556" s="852">
        <f>147.6-148.6</f>
        <v>-1</v>
      </c>
    </row>
    <row r="3557" spans="5:15">
      <c r="E3557" s="852"/>
      <c r="F3557" s="852"/>
      <c r="G3557" s="852"/>
      <c r="H3557" s="852"/>
      <c r="I3557" s="852"/>
      <c r="J3557" s="852"/>
      <c r="K3557" s="852"/>
      <c r="L3557" s="852"/>
      <c r="M3557" s="852"/>
    </row>
    <row r="3558" spans="5:15">
      <c r="E3558" s="852"/>
      <c r="F3558" s="852"/>
      <c r="G3558" s="852"/>
      <c r="H3558" s="1230" t="s">
        <v>4204</v>
      </c>
      <c r="I3558" s="852"/>
      <c r="J3558" s="852"/>
      <c r="K3558" s="852"/>
      <c r="L3558" s="852"/>
      <c r="M3558" s="852"/>
    </row>
    <row r="3559" spans="5:15">
      <c r="E3559" s="852"/>
      <c r="F3559" s="852"/>
      <c r="G3559" s="852"/>
      <c r="H3559" s="852"/>
      <c r="I3559" s="852"/>
      <c r="J3559" s="852"/>
      <c r="K3559" s="852"/>
      <c r="L3559" s="852"/>
      <c r="M3559" s="852"/>
    </row>
    <row r="3560" spans="5:15" ht="80.25" customHeight="1">
      <c r="E3560" s="852"/>
      <c r="F3560" s="852"/>
      <c r="G3560" s="852"/>
      <c r="H3560" s="1246" t="s">
        <v>4205</v>
      </c>
      <c r="I3560" s="852"/>
      <c r="J3560" s="852"/>
      <c r="K3560" s="852"/>
      <c r="L3560" s="852"/>
      <c r="M3560" s="852"/>
    </row>
    <row r="3561" spans="5:15" ht="15.75" customHeight="1">
      <c r="E3561" s="852"/>
      <c r="F3561" s="852">
        <v>30.42</v>
      </c>
      <c r="G3561" s="852" t="s">
        <v>429</v>
      </c>
      <c r="H3561" s="852" t="s">
        <v>4206</v>
      </c>
      <c r="I3561" s="1278">
        <f>N3563</f>
        <v>177.76666666666668</v>
      </c>
      <c r="J3561" s="852" t="s">
        <v>429</v>
      </c>
      <c r="K3561" s="852">
        <f>F3561*I3561</f>
        <v>5407.6620000000003</v>
      </c>
      <c r="L3561" s="852">
        <f>61.1*2</f>
        <v>122.2</v>
      </c>
      <c r="M3561" s="852">
        <f>21.4/3</f>
        <v>7.1333333333333329</v>
      </c>
      <c r="N3561" s="794">
        <f>84+84</f>
        <v>168</v>
      </c>
      <c r="O3561" s="794">
        <f>M3561+N3561</f>
        <v>175.13333333333333</v>
      </c>
    </row>
    <row r="3562" spans="5:15" ht="15.75" customHeight="1">
      <c r="E3562" s="852"/>
      <c r="F3562" s="852">
        <v>6.1</v>
      </c>
      <c r="G3562" s="852" t="s">
        <v>429</v>
      </c>
      <c r="H3562" s="573" t="s">
        <v>4207</v>
      </c>
      <c r="I3562" s="852">
        <f>[2]Data!Y16</f>
        <v>1250</v>
      </c>
      <c r="J3562" s="852" t="s">
        <v>429</v>
      </c>
      <c r="K3562" s="852">
        <f>F3562*I3562</f>
        <v>7625</v>
      </c>
      <c r="L3562" s="852">
        <f>L3561+M3561</f>
        <v>129.33333333333334</v>
      </c>
      <c r="M3562" s="852"/>
      <c r="N3562" s="794">
        <f>29.3/3</f>
        <v>9.7666666666666675</v>
      </c>
    </row>
    <row r="3563" spans="5:15" ht="15.75" customHeight="1">
      <c r="E3563" s="852"/>
      <c r="F3563" s="852">
        <v>750</v>
      </c>
      <c r="G3563" s="852" t="s">
        <v>164</v>
      </c>
      <c r="H3563" s="852" t="s">
        <v>4208</v>
      </c>
      <c r="I3563" s="852">
        <f>[2]Data!Y18</f>
        <v>5438</v>
      </c>
      <c r="J3563" s="852" t="s">
        <v>498</v>
      </c>
      <c r="K3563" s="852">
        <f>F3563*(I3563/1000)</f>
        <v>4078.5</v>
      </c>
      <c r="L3563" s="852"/>
      <c r="M3563" s="852"/>
      <c r="N3563" s="794">
        <f>SUM(N3561:N3562)</f>
        <v>177.76666666666668</v>
      </c>
    </row>
    <row r="3564" spans="5:15" ht="15.75" customHeight="1">
      <c r="E3564" s="852"/>
      <c r="F3564" s="852"/>
      <c r="G3564" s="852"/>
      <c r="H3564" s="852" t="s">
        <v>656</v>
      </c>
      <c r="I3564" s="852"/>
      <c r="J3564" s="852"/>
      <c r="K3564" s="852">
        <f>K3573</f>
        <v>3354</v>
      </c>
      <c r="L3564" s="852"/>
      <c r="M3564" s="852"/>
    </row>
    <row r="3565" spans="5:15" ht="15.75" customHeight="1">
      <c r="E3565" s="852"/>
      <c r="F3565" s="852"/>
      <c r="G3565" s="852"/>
      <c r="H3565" s="852" t="s">
        <v>236</v>
      </c>
      <c r="I3565" s="852"/>
      <c r="J3565" s="852"/>
      <c r="K3565" s="1231">
        <v>138.04</v>
      </c>
      <c r="L3565" s="852">
        <f>K3565+25.84</f>
        <v>163.88</v>
      </c>
      <c r="M3565" s="852"/>
    </row>
    <row r="3566" spans="5:15" ht="15.75" customHeight="1">
      <c r="E3566" s="852"/>
      <c r="F3566" s="852"/>
      <c r="G3566" s="852"/>
      <c r="H3566" s="1227" t="s">
        <v>4182</v>
      </c>
      <c r="I3566" s="852"/>
      <c r="J3566" s="852"/>
      <c r="K3566" s="852">
        <f>SUM(K3561:K3565)</f>
        <v>20603.202000000001</v>
      </c>
      <c r="L3566" s="852">
        <f>L3567-K3566</f>
        <v>-4898.2020000000011</v>
      </c>
      <c r="M3566" s="852"/>
    </row>
    <row r="3567" spans="5:15" ht="37.5" customHeight="1">
      <c r="E3567" s="852"/>
      <c r="F3567" s="852"/>
      <c r="G3567" s="852"/>
      <c r="H3567" s="1229" t="s">
        <v>3970</v>
      </c>
      <c r="I3567" s="852"/>
      <c r="J3567" s="852"/>
      <c r="K3567" s="1230">
        <f>K3566/90</f>
        <v>228.92446666666669</v>
      </c>
      <c r="L3567" s="852">
        <f>174.5*90</f>
        <v>15705</v>
      </c>
      <c r="M3567" s="852">
        <f>128*90</f>
        <v>11520</v>
      </c>
    </row>
    <row r="3568" spans="5:15" ht="25.5" customHeight="1">
      <c r="E3568" s="852"/>
      <c r="F3568" s="852"/>
      <c r="G3568" s="852"/>
      <c r="H3568" s="852"/>
      <c r="I3568" s="852"/>
      <c r="J3568" s="852"/>
      <c r="K3568" s="852"/>
      <c r="L3568" s="852"/>
      <c r="M3568" s="852">
        <f>M3567-K3566</f>
        <v>-9083.2020000000011</v>
      </c>
    </row>
    <row r="3569" spans="5:13" ht="15.75" customHeight="1">
      <c r="E3569" s="852"/>
      <c r="F3569" s="852"/>
      <c r="G3569" s="852"/>
      <c r="H3569" s="1228" t="s">
        <v>2142</v>
      </c>
      <c r="K3569" s="852"/>
      <c r="L3569" s="852"/>
      <c r="M3569" s="852"/>
    </row>
    <row r="3570" spans="5:13" ht="15.75" customHeight="1">
      <c r="E3570" s="852"/>
      <c r="F3570" s="852">
        <v>1</v>
      </c>
      <c r="G3570" s="852" t="s">
        <v>164</v>
      </c>
      <c r="H3570" s="1241" t="s">
        <v>4183</v>
      </c>
      <c r="I3570" s="795">
        <f>I3503</f>
        <v>730</v>
      </c>
      <c r="J3570" s="852" t="s">
        <v>164</v>
      </c>
      <c r="K3570" s="852">
        <f>F3570*I3570</f>
        <v>730</v>
      </c>
      <c r="L3570" s="852"/>
      <c r="M3570" s="852"/>
    </row>
    <row r="3571" spans="5:13" ht="15.75" customHeight="1">
      <c r="E3571" s="852"/>
      <c r="F3571" s="852">
        <v>1</v>
      </c>
      <c r="G3571" s="852" t="s">
        <v>164</v>
      </c>
      <c r="H3571" s="852" t="s">
        <v>4017</v>
      </c>
      <c r="I3571" s="795">
        <f>I3504</f>
        <v>636</v>
      </c>
      <c r="J3571" s="852" t="s">
        <v>164</v>
      </c>
      <c r="K3571" s="852">
        <f>F3571*I3571</f>
        <v>636</v>
      </c>
      <c r="L3571" s="852"/>
      <c r="M3571" s="852"/>
    </row>
    <row r="3572" spans="5:13" ht="15.75" customHeight="1">
      <c r="E3572" s="852"/>
      <c r="F3572" s="852">
        <v>4</v>
      </c>
      <c r="G3572" s="852" t="s">
        <v>164</v>
      </c>
      <c r="H3572" s="852" t="s">
        <v>3710</v>
      </c>
      <c r="I3572" s="852">
        <f>I3506</f>
        <v>497</v>
      </c>
      <c r="J3572" s="852" t="s">
        <v>164</v>
      </c>
      <c r="K3572" s="852">
        <f>F3572*I3572</f>
        <v>1988</v>
      </c>
      <c r="L3572" s="852"/>
      <c r="M3572" s="852"/>
    </row>
    <row r="3573" spans="5:13" ht="15.75" customHeight="1">
      <c r="E3573" s="852"/>
      <c r="F3573" s="852"/>
      <c r="G3573" s="852"/>
      <c r="H3573" s="852"/>
      <c r="I3573" s="852"/>
      <c r="J3573" s="852"/>
      <c r="K3573" s="1230">
        <f>SUM(K3570:K3572)</f>
        <v>3354</v>
      </c>
      <c r="L3573" s="852"/>
      <c r="M3573" s="852"/>
    </row>
    <row r="3574" spans="5:13">
      <c r="E3574" s="852"/>
      <c r="F3574" s="852"/>
      <c r="G3574" s="852"/>
      <c r="H3574" s="1230" t="s">
        <v>4209</v>
      </c>
      <c r="I3574" s="852"/>
      <c r="J3574" s="852"/>
      <c r="K3574" s="852"/>
      <c r="L3574" s="852"/>
      <c r="M3574" s="852"/>
    </row>
    <row r="3575" spans="5:13">
      <c r="E3575" s="852"/>
      <c r="F3575" s="852"/>
      <c r="G3575" s="852"/>
      <c r="H3575" s="852"/>
      <c r="I3575" s="852"/>
      <c r="J3575" s="852"/>
      <c r="K3575" s="852"/>
      <c r="L3575" s="852"/>
      <c r="M3575" s="852"/>
    </row>
    <row r="3576" spans="5:13" ht="29.25" customHeight="1">
      <c r="E3576" s="852"/>
      <c r="F3576" s="852"/>
      <c r="G3576" s="852"/>
      <c r="H3576" s="1230" t="s">
        <v>4210</v>
      </c>
      <c r="I3576" s="852"/>
      <c r="J3576" s="852"/>
      <c r="K3576" s="852"/>
      <c r="L3576" s="852"/>
      <c r="M3576" s="852"/>
    </row>
    <row r="3577" spans="5:13" ht="75" customHeight="1">
      <c r="E3577" s="852"/>
      <c r="F3577" s="852"/>
      <c r="G3577" s="852"/>
      <c r="H3577" s="1246" t="s">
        <v>4211</v>
      </c>
      <c r="I3577" s="852"/>
      <c r="J3577" s="852"/>
      <c r="K3577" s="852"/>
      <c r="L3577" s="852"/>
      <c r="M3577" s="852"/>
    </row>
    <row r="3578" spans="5:13" ht="26.25" customHeight="1">
      <c r="E3578" s="852"/>
      <c r="F3578" s="852">
        <v>1</v>
      </c>
      <c r="G3578" s="852" t="s">
        <v>3857</v>
      </c>
      <c r="H3578" s="852" t="s">
        <v>4212</v>
      </c>
      <c r="I3578" s="1222">
        <v>59.1</v>
      </c>
      <c r="J3578" s="852" t="s">
        <v>3857</v>
      </c>
      <c r="K3578" s="852">
        <f>F3578*I3578</f>
        <v>59.1</v>
      </c>
      <c r="L3578" s="852"/>
      <c r="M3578" s="852"/>
    </row>
    <row r="3579" spans="5:13" ht="26.25" customHeight="1">
      <c r="E3579" s="852"/>
      <c r="F3579" s="852">
        <v>300</v>
      </c>
      <c r="G3579" s="852" t="s">
        <v>164</v>
      </c>
      <c r="H3579" s="852" t="s">
        <v>4213</v>
      </c>
      <c r="I3579" s="1222">
        <v>68.2</v>
      </c>
      <c r="J3579" s="852" t="s">
        <v>3857</v>
      </c>
      <c r="K3579" s="852">
        <f>F3579*(I3579/144)</f>
        <v>142.08333333333334</v>
      </c>
      <c r="L3579" s="852"/>
      <c r="M3579" s="852"/>
    </row>
    <row r="3580" spans="5:13" ht="26.25" customHeight="1">
      <c r="E3580" s="852"/>
      <c r="F3580" s="852">
        <v>300</v>
      </c>
      <c r="G3580" s="852" t="s">
        <v>164</v>
      </c>
      <c r="H3580" s="852" t="s">
        <v>4214</v>
      </c>
      <c r="I3580" s="1222">
        <v>287</v>
      </c>
      <c r="J3580" s="852" t="s">
        <v>498</v>
      </c>
      <c r="K3580" s="852">
        <f>F3580*(I3580/1000)</f>
        <v>86.1</v>
      </c>
      <c r="L3580" s="852"/>
      <c r="M3580" s="852"/>
    </row>
    <row r="3581" spans="5:13" ht="26.25" customHeight="1">
      <c r="E3581" s="852"/>
      <c r="F3581" s="852"/>
      <c r="G3581" s="852"/>
      <c r="H3581" s="852" t="s">
        <v>4215</v>
      </c>
      <c r="I3581" s="852"/>
      <c r="J3581" s="852"/>
      <c r="K3581" s="1231">
        <v>6.72</v>
      </c>
      <c r="L3581" s="852"/>
      <c r="M3581" s="852"/>
    </row>
    <row r="3582" spans="5:13" ht="26.25" customHeight="1">
      <c r="E3582" s="852"/>
      <c r="F3582" s="852"/>
      <c r="G3582" s="852"/>
      <c r="H3582" s="852" t="s">
        <v>656</v>
      </c>
      <c r="I3582" s="852"/>
      <c r="J3582" s="852"/>
      <c r="K3582" s="852">
        <f>K3592</f>
        <v>11856</v>
      </c>
      <c r="L3582" s="852"/>
      <c r="M3582" s="852"/>
    </row>
    <row r="3583" spans="5:13" ht="26.25" customHeight="1">
      <c r="E3583" s="852"/>
      <c r="F3583" s="852"/>
      <c r="G3583" s="852"/>
      <c r="H3583" s="1227" t="s">
        <v>4216</v>
      </c>
      <c r="I3583" s="852"/>
      <c r="J3583" s="852"/>
      <c r="K3583" s="1228">
        <f>SUM(K3578:K3582)</f>
        <v>12150.003333333334</v>
      </c>
      <c r="L3583" s="852"/>
      <c r="M3583" s="852"/>
    </row>
    <row r="3584" spans="5:13" ht="26.25" customHeight="1">
      <c r="E3584" s="852"/>
      <c r="F3584" s="852"/>
      <c r="G3584" s="852"/>
      <c r="H3584" s="1229" t="s">
        <v>4080</v>
      </c>
      <c r="I3584" s="852"/>
      <c r="J3584" s="852"/>
      <c r="K3584" s="1230">
        <f>K3583/90</f>
        <v>135.00003703703703</v>
      </c>
      <c r="L3584" s="852">
        <f>100*90</f>
        <v>9000</v>
      </c>
      <c r="M3584" s="852">
        <f>L3584-K3583</f>
        <v>-3150.003333333334</v>
      </c>
    </row>
    <row r="3585" spans="5:13">
      <c r="E3585" s="852"/>
      <c r="F3585" s="852"/>
      <c r="G3585" s="852"/>
      <c r="H3585" s="852"/>
      <c r="I3585" s="852"/>
      <c r="J3585" s="852"/>
      <c r="K3585" s="852"/>
      <c r="L3585" s="852"/>
      <c r="M3585" s="852"/>
    </row>
    <row r="3586" spans="5:13" ht="24.95" customHeight="1">
      <c r="E3586" s="852"/>
      <c r="F3586" s="852"/>
      <c r="G3586" s="852"/>
      <c r="H3586" s="1228" t="s">
        <v>4081</v>
      </c>
      <c r="I3586" s="852"/>
      <c r="J3586" s="852"/>
      <c r="K3586" s="852"/>
      <c r="L3586" s="852"/>
      <c r="M3586" s="852"/>
    </row>
    <row r="3587" spans="5:13" ht="24.95" customHeight="1">
      <c r="E3587" s="852"/>
      <c r="F3587" s="852">
        <v>1</v>
      </c>
      <c r="G3587" s="852" t="s">
        <v>164</v>
      </c>
      <c r="H3587" s="1241" t="s">
        <v>4217</v>
      </c>
      <c r="I3587" s="852">
        <f>I3354</f>
        <v>769</v>
      </c>
      <c r="J3587" s="852" t="s">
        <v>164</v>
      </c>
      <c r="K3587" s="852">
        <f>F3587*I3587</f>
        <v>769</v>
      </c>
      <c r="L3587" s="852"/>
      <c r="M3587" s="852"/>
    </row>
    <row r="3588" spans="5:13" ht="24.95" customHeight="1">
      <c r="E3588" s="852"/>
      <c r="F3588" s="852">
        <v>2</v>
      </c>
      <c r="G3588" s="852" t="s">
        <v>164</v>
      </c>
      <c r="H3588" s="852" t="s">
        <v>4017</v>
      </c>
      <c r="I3588" s="852">
        <f>I3504</f>
        <v>636</v>
      </c>
      <c r="J3588" s="852" t="s">
        <v>164</v>
      </c>
      <c r="K3588" s="852">
        <f>F3588*I3588</f>
        <v>1272</v>
      </c>
      <c r="L3588" s="852"/>
      <c r="M3588" s="852"/>
    </row>
    <row r="3589" spans="5:13" ht="24.95" customHeight="1">
      <c r="E3589" s="852"/>
      <c r="F3589" s="852">
        <v>3</v>
      </c>
      <c r="G3589" s="852" t="s">
        <v>164</v>
      </c>
      <c r="H3589" s="852" t="s">
        <v>4008</v>
      </c>
      <c r="I3589" s="852">
        <f>I3505</f>
        <v>633</v>
      </c>
      <c r="J3589" s="852" t="s">
        <v>164</v>
      </c>
      <c r="K3589" s="852">
        <f>F3589*I3589</f>
        <v>1899</v>
      </c>
      <c r="L3589" s="852"/>
      <c r="M3589" s="852"/>
    </row>
    <row r="3590" spans="5:13" ht="24.95" customHeight="1">
      <c r="E3590" s="852"/>
      <c r="F3590" s="852">
        <v>4</v>
      </c>
      <c r="G3590" s="852" t="s">
        <v>164</v>
      </c>
      <c r="H3590" s="852" t="s">
        <v>3710</v>
      </c>
      <c r="I3590" s="852">
        <f>I3506</f>
        <v>497</v>
      </c>
      <c r="J3590" s="852" t="s">
        <v>164</v>
      </c>
      <c r="K3590" s="852">
        <f>F3590*I3590</f>
        <v>1988</v>
      </c>
      <c r="L3590" s="852"/>
      <c r="M3590" s="852"/>
    </row>
    <row r="3591" spans="5:13" ht="24.95" customHeight="1">
      <c r="E3591" s="852"/>
      <c r="F3591" s="852"/>
      <c r="G3591" s="852"/>
      <c r="H3591" s="1227" t="s">
        <v>4218</v>
      </c>
      <c r="I3591" s="852"/>
      <c r="J3591" s="852"/>
      <c r="K3591" s="852">
        <f>SUM(K3587:K3590)</f>
        <v>5928</v>
      </c>
      <c r="L3591" s="852"/>
      <c r="M3591" s="852"/>
    </row>
    <row r="3592" spans="5:13" ht="24.95" customHeight="1">
      <c r="E3592" s="852"/>
      <c r="F3592" s="852"/>
      <c r="G3592" s="852"/>
      <c r="H3592" s="1229" t="s">
        <v>4219</v>
      </c>
      <c r="I3592" s="852"/>
      <c r="J3592" s="852"/>
      <c r="K3592" s="1230">
        <f>K3591*2</f>
        <v>11856</v>
      </c>
      <c r="L3592" s="852"/>
      <c r="M3592" s="852"/>
    </row>
    <row r="3593" spans="5:13">
      <c r="E3593" s="852"/>
      <c r="F3593" s="852"/>
      <c r="G3593" s="852"/>
      <c r="H3593" s="852"/>
      <c r="I3593" s="852"/>
      <c r="J3593" s="852"/>
      <c r="K3593" s="852"/>
      <c r="L3593" s="852"/>
      <c r="M3593" s="852"/>
    </row>
    <row r="3594" spans="5:13" ht="21" customHeight="1">
      <c r="E3594" s="852"/>
      <c r="F3594" s="852"/>
      <c r="G3594" s="852"/>
      <c r="H3594" s="1230" t="s">
        <v>4220</v>
      </c>
      <c r="I3594" s="852"/>
      <c r="J3594" s="852"/>
      <c r="K3594" s="852"/>
      <c r="L3594" s="852"/>
      <c r="M3594" s="852"/>
    </row>
    <row r="3595" spans="5:13">
      <c r="E3595" s="852"/>
      <c r="F3595" s="852"/>
      <c r="G3595" s="852"/>
      <c r="H3595" s="852"/>
      <c r="I3595" s="852"/>
      <c r="J3595" s="852"/>
      <c r="K3595" s="852"/>
      <c r="L3595" s="852"/>
      <c r="M3595" s="852"/>
    </row>
    <row r="3596" spans="5:13" ht="27" customHeight="1">
      <c r="E3596" s="852"/>
      <c r="F3596" s="852"/>
      <c r="G3596" s="852"/>
      <c r="H3596" s="1230" t="s">
        <v>4221</v>
      </c>
      <c r="I3596" s="852"/>
      <c r="J3596" s="852"/>
      <c r="K3596" s="852"/>
      <c r="L3596" s="852"/>
      <c r="M3596" s="852"/>
    </row>
    <row r="3597" spans="5:13">
      <c r="E3597" s="852"/>
      <c r="F3597" s="852"/>
      <c r="G3597" s="852"/>
      <c r="H3597" s="852"/>
      <c r="I3597" s="852"/>
      <c r="J3597" s="852"/>
      <c r="K3597" s="852"/>
      <c r="L3597" s="852"/>
      <c r="M3597" s="852"/>
    </row>
    <row r="3598" spans="5:13" ht="182.25" customHeight="1">
      <c r="E3598" s="852"/>
      <c r="F3598" s="852"/>
      <c r="G3598" s="852"/>
      <c r="H3598" s="1246" t="s">
        <v>4222</v>
      </c>
      <c r="I3598" s="852"/>
      <c r="J3598" s="852"/>
      <c r="K3598" s="852"/>
      <c r="L3598" s="852"/>
      <c r="M3598" s="852"/>
    </row>
    <row r="3599" spans="5:13" ht="26.25" customHeight="1">
      <c r="E3599" s="852"/>
      <c r="F3599" s="1241"/>
      <c r="G3599" s="1241"/>
      <c r="H3599" s="1230" t="s">
        <v>4223</v>
      </c>
      <c r="I3599" s="1241"/>
      <c r="J3599" s="1241"/>
      <c r="K3599" s="1241"/>
      <c r="L3599" s="1241"/>
      <c r="M3599" s="852"/>
    </row>
    <row r="3600" spans="5:13">
      <c r="E3600" s="852"/>
      <c r="F3600" s="1241"/>
      <c r="G3600" s="1241"/>
      <c r="H3600" s="1241"/>
      <c r="I3600" s="1241"/>
      <c r="J3600" s="1241"/>
      <c r="K3600" s="1241"/>
      <c r="L3600" s="1241"/>
      <c r="M3600" s="852"/>
    </row>
    <row r="3601" spans="5:19" ht="225" customHeight="1">
      <c r="E3601" s="852"/>
      <c r="F3601" s="1241"/>
      <c r="G3601" s="1241"/>
      <c r="H3601" s="1246" t="s">
        <v>4224</v>
      </c>
      <c r="I3601" s="1241"/>
      <c r="J3601" s="1241"/>
      <c r="K3601" s="1241"/>
      <c r="L3601" s="1241"/>
      <c r="M3601" s="852"/>
    </row>
    <row r="3602" spans="5:19" ht="22.5" customHeight="1">
      <c r="E3602" s="852"/>
      <c r="F3602" s="1241"/>
      <c r="G3602" s="1241"/>
      <c r="H3602" s="1228" t="s">
        <v>4225</v>
      </c>
      <c r="I3602" s="1228" t="s">
        <v>4226</v>
      </c>
      <c r="J3602" s="1228" t="s">
        <v>4227</v>
      </c>
      <c r="K3602" s="1228" t="s">
        <v>4228</v>
      </c>
      <c r="L3602" s="1228" t="s">
        <v>4229</v>
      </c>
      <c r="M3602" s="852"/>
    </row>
    <row r="3603" spans="5:19" ht="22.5" customHeight="1">
      <c r="E3603" s="852"/>
      <c r="F3603" s="1241"/>
      <c r="G3603" s="1241"/>
      <c r="H3603" s="852" t="s">
        <v>4230</v>
      </c>
      <c r="I3603" s="1256">
        <v>3080</v>
      </c>
      <c r="J3603" s="1256">
        <v>2970</v>
      </c>
      <c r="K3603" s="1256">
        <v>2954</v>
      </c>
      <c r="L3603" s="1256">
        <v>2997</v>
      </c>
      <c r="M3603" s="852"/>
    </row>
    <row r="3604" spans="5:19" ht="22.5" customHeight="1">
      <c r="E3604" s="852"/>
      <c r="F3604" s="1241"/>
      <c r="G3604" s="1241"/>
      <c r="H3604" s="1241" t="s">
        <v>4231</v>
      </c>
      <c r="I3604" s="1241">
        <v>172</v>
      </c>
      <c r="J3604" s="1241">
        <v>420</v>
      </c>
      <c r="K3604" s="1241">
        <v>567</v>
      </c>
      <c r="L3604" s="1241">
        <v>662</v>
      </c>
      <c r="M3604" s="852"/>
    </row>
    <row r="3605" spans="5:19" s="1282" customFormat="1" ht="29.25" customHeight="1">
      <c r="E3605" s="1279"/>
      <c r="F3605" s="1279"/>
      <c r="G3605" s="1279"/>
      <c r="H3605" s="1280" t="s">
        <v>4232</v>
      </c>
      <c r="I3605" s="1281">
        <f>SUM(I3603:I3604)</f>
        <v>3252</v>
      </c>
      <c r="J3605" s="1281">
        <f>SUM(J3603:J3604)</f>
        <v>3390</v>
      </c>
      <c r="K3605" s="1281">
        <f>SUM(K3603:K3604)</f>
        <v>3521</v>
      </c>
      <c r="L3605" s="1281">
        <f>SUM(L3603:L3604)</f>
        <v>3659</v>
      </c>
      <c r="M3605" s="1279"/>
    </row>
    <row r="3606" spans="5:19">
      <c r="E3606" s="852"/>
      <c r="F3606" s="852"/>
      <c r="G3606" s="852"/>
      <c r="H3606" s="852"/>
      <c r="I3606" s="852"/>
      <c r="J3606" s="852"/>
      <c r="K3606" s="852"/>
      <c r="L3606" s="852"/>
      <c r="M3606" s="852"/>
    </row>
    <row r="3607" spans="5:19">
      <c r="E3607" s="852"/>
      <c r="F3607" s="852"/>
      <c r="G3607" s="852"/>
      <c r="H3607" s="1230" t="s">
        <v>4233</v>
      </c>
      <c r="I3607" s="852"/>
      <c r="J3607" s="852"/>
      <c r="K3607" s="852"/>
      <c r="L3607" s="852"/>
      <c r="M3607" s="852"/>
    </row>
    <row r="3608" spans="5:19" ht="15.75" customHeight="1">
      <c r="E3608" s="852"/>
      <c r="F3608" s="852"/>
      <c r="G3608" s="852"/>
      <c r="H3608" s="852"/>
      <c r="I3608" s="852"/>
      <c r="J3608" s="852"/>
      <c r="K3608" s="852"/>
      <c r="L3608" s="852"/>
      <c r="M3608" s="852"/>
    </row>
    <row r="3609" spans="5:19">
      <c r="E3609" s="852"/>
      <c r="F3609" s="852"/>
      <c r="G3609" s="852"/>
      <c r="H3609" s="1230" t="s">
        <v>4234</v>
      </c>
      <c r="I3609" s="852"/>
      <c r="J3609" s="852"/>
      <c r="K3609" s="852"/>
      <c r="L3609" s="852"/>
      <c r="M3609" s="852"/>
    </row>
    <row r="3610" spans="5:19" ht="69" customHeight="1">
      <c r="E3610" s="852"/>
      <c r="F3610" s="852"/>
      <c r="G3610" s="852"/>
      <c r="H3610" s="1246" t="s">
        <v>4235</v>
      </c>
      <c r="I3610" s="852"/>
      <c r="J3610" s="852"/>
      <c r="K3610" s="852"/>
      <c r="L3610" s="852"/>
      <c r="M3610" s="1474" t="s">
        <v>4236</v>
      </c>
      <c r="N3610" s="1474"/>
      <c r="O3610" s="1474"/>
      <c r="P3610" s="1474"/>
      <c r="Q3610" s="1474"/>
      <c r="R3610" s="1474"/>
    </row>
    <row r="3611" spans="5:19" ht="15.75" customHeight="1">
      <c r="E3611" s="852"/>
      <c r="F3611" s="852"/>
      <c r="G3611" s="852"/>
      <c r="H3611" s="852"/>
      <c r="I3611" s="852"/>
      <c r="J3611" s="852"/>
      <c r="K3611" s="852"/>
      <c r="L3611" s="852"/>
      <c r="M3611" s="1475" t="s">
        <v>4237</v>
      </c>
      <c r="N3611" s="1475"/>
      <c r="O3611" s="1475"/>
      <c r="P3611" s="1475"/>
      <c r="Q3611" s="1475"/>
      <c r="R3611" s="1475"/>
      <c r="S3611" s="1283"/>
    </row>
    <row r="3612" spans="5:19" ht="26.25" customHeight="1">
      <c r="E3612" s="852"/>
      <c r="F3612" s="852">
        <v>2</v>
      </c>
      <c r="G3612" s="852" t="s">
        <v>231</v>
      </c>
      <c r="H3612" s="852" t="s">
        <v>4238</v>
      </c>
      <c r="I3612" s="1222">
        <v>98.6</v>
      </c>
      <c r="J3612" s="852" t="s">
        <v>231</v>
      </c>
      <c r="K3612" s="852">
        <f>F3612*I3612</f>
        <v>197.2</v>
      </c>
      <c r="L3612" s="852"/>
      <c r="M3612" s="1284"/>
      <c r="N3612" s="1284"/>
      <c r="O3612" s="1284"/>
      <c r="P3612" s="1284"/>
      <c r="Q3612" s="1284"/>
      <c r="R3612" s="1284"/>
      <c r="S3612" s="1283"/>
    </row>
    <row r="3613" spans="5:19" s="1259" customFormat="1" ht="26.25" customHeight="1">
      <c r="E3613" s="1250"/>
      <c r="F3613" s="1250">
        <v>2</v>
      </c>
      <c r="G3613" s="1250" t="s">
        <v>1565</v>
      </c>
      <c r="H3613" s="1250" t="s">
        <v>4239</v>
      </c>
      <c r="I3613" s="1250">
        <v>35</v>
      </c>
      <c r="J3613" s="1250" t="s">
        <v>1565</v>
      </c>
      <c r="K3613" s="1250">
        <f>F3613*I3613</f>
        <v>70</v>
      </c>
      <c r="L3613" s="1250"/>
      <c r="M3613" s="1285">
        <v>1.5</v>
      </c>
      <c r="N3613" s="1284" t="s">
        <v>231</v>
      </c>
      <c r="O3613" s="1284" t="s">
        <v>4240</v>
      </c>
      <c r="P3613" s="1285">
        <f>I3513</f>
        <v>128</v>
      </c>
      <c r="Q3613" s="1284" t="s">
        <v>231</v>
      </c>
      <c r="R3613" s="1285">
        <f>P3613*M3613</f>
        <v>192</v>
      </c>
      <c r="S3613" s="1283"/>
    </row>
    <row r="3614" spans="5:19" s="1249" customFormat="1" ht="26.25" customHeight="1">
      <c r="E3614" s="1231"/>
      <c r="F3614" s="1231">
        <v>1</v>
      </c>
      <c r="G3614" s="1231" t="s">
        <v>164</v>
      </c>
      <c r="H3614" s="1231" t="s">
        <v>4241</v>
      </c>
      <c r="I3614" s="1248">
        <v>47.2</v>
      </c>
      <c r="J3614" s="1231" t="s">
        <v>227</v>
      </c>
      <c r="K3614" s="1231">
        <f>F3614*I3614</f>
        <v>47.2</v>
      </c>
      <c r="L3614" s="1231"/>
      <c r="M3614" s="1285">
        <v>2</v>
      </c>
      <c r="N3614" s="1284" t="s">
        <v>1565</v>
      </c>
      <c r="O3614" s="1284" t="s">
        <v>4239</v>
      </c>
      <c r="P3614" s="1285">
        <f>I3613</f>
        <v>35</v>
      </c>
      <c r="Q3614" s="1284" t="s">
        <v>1565</v>
      </c>
      <c r="R3614" s="1285">
        <f>M3614*P3614</f>
        <v>70</v>
      </c>
      <c r="S3614" s="1283"/>
    </row>
    <row r="3615" spans="5:19" ht="26.25" customHeight="1">
      <c r="E3615" s="852"/>
      <c r="F3615" s="852">
        <v>1</v>
      </c>
      <c r="G3615" s="852" t="s">
        <v>164</v>
      </c>
      <c r="H3615" s="852" t="s">
        <v>4242</v>
      </c>
      <c r="I3615" s="852">
        <f>K3628</f>
        <v>30.472499999999997</v>
      </c>
      <c r="J3615" s="852" t="s">
        <v>227</v>
      </c>
      <c r="K3615" s="852">
        <f>F3615*I3615</f>
        <v>30.472499999999997</v>
      </c>
      <c r="L3615" s="852"/>
      <c r="M3615" s="1285"/>
      <c r="N3615" s="1284"/>
      <c r="O3615" s="1284"/>
      <c r="P3615" s="1285"/>
      <c r="Q3615" s="1284"/>
      <c r="R3615" s="1285"/>
      <c r="S3615" s="1283"/>
    </row>
    <row r="3616" spans="5:19" ht="26.25" customHeight="1">
      <c r="E3616" s="852"/>
      <c r="F3616" s="852">
        <v>8</v>
      </c>
      <c r="G3616" s="852" t="s">
        <v>231</v>
      </c>
      <c r="H3616" s="852" t="s">
        <v>4243</v>
      </c>
      <c r="I3616" s="852">
        <f>I3101</f>
        <v>21</v>
      </c>
      <c r="J3616" s="852" t="s">
        <v>231</v>
      </c>
      <c r="K3616" s="852">
        <f>F3616*I3616</f>
        <v>168</v>
      </c>
      <c r="L3616" s="852"/>
      <c r="M3616" s="1285"/>
      <c r="N3616" s="1284"/>
      <c r="O3616" s="1284"/>
      <c r="P3616" s="1285"/>
      <c r="Q3616" s="1284"/>
      <c r="R3616" s="1285"/>
      <c r="S3616" s="1283"/>
    </row>
    <row r="3617" spans="5:19" ht="49.5" customHeight="1">
      <c r="E3617" s="852"/>
      <c r="F3617" s="852">
        <v>1</v>
      </c>
      <c r="G3617" s="852" t="s">
        <v>164</v>
      </c>
      <c r="H3617" s="1246" t="s">
        <v>4244</v>
      </c>
      <c r="I3617" s="852"/>
      <c r="J3617" s="852"/>
      <c r="K3617" s="852">
        <f>K3627</f>
        <v>1374.3333333333333</v>
      </c>
      <c r="L3617" s="852"/>
      <c r="M3617" s="1285">
        <v>8</v>
      </c>
      <c r="N3617" s="1284" t="s">
        <v>231</v>
      </c>
      <c r="O3617" s="1286" t="s">
        <v>4245</v>
      </c>
      <c r="P3617" s="1285">
        <f>I3616</f>
        <v>21</v>
      </c>
      <c r="Q3617" s="1284" t="s">
        <v>3834</v>
      </c>
      <c r="R3617" s="1285">
        <f>M3617*P3617</f>
        <v>168</v>
      </c>
      <c r="S3617" s="1283"/>
    </row>
    <row r="3618" spans="5:19" ht="49.5" customHeight="1">
      <c r="E3618" s="852"/>
      <c r="F3618" s="852"/>
      <c r="G3618" s="852"/>
      <c r="H3618" s="1246" t="s">
        <v>4246</v>
      </c>
      <c r="I3618" s="852" t="s">
        <v>166</v>
      </c>
      <c r="J3618" s="852"/>
      <c r="K3618" s="1231">
        <v>15.8</v>
      </c>
      <c r="L3618" s="852"/>
      <c r="M3618" s="1285">
        <v>1</v>
      </c>
      <c r="N3618" s="1284" t="s">
        <v>164</v>
      </c>
      <c r="O3618" s="1286" t="s">
        <v>4244</v>
      </c>
      <c r="P3618" s="1285">
        <f>R3628</f>
        <v>1374.3333333333333</v>
      </c>
      <c r="Q3618" s="1284" t="s">
        <v>227</v>
      </c>
      <c r="R3618" s="1285">
        <f>R3628</f>
        <v>1374.3333333333333</v>
      </c>
      <c r="S3618" s="1283"/>
    </row>
    <row r="3619" spans="5:19" ht="29.25" customHeight="1">
      <c r="E3619" s="852"/>
      <c r="F3619" s="852"/>
      <c r="G3619" s="852"/>
      <c r="H3619" s="1229" t="s">
        <v>4152</v>
      </c>
      <c r="I3619" s="852"/>
      <c r="J3619" s="852"/>
      <c r="K3619" s="1230">
        <f>SUM(K3612:K3618)</f>
        <v>1903.0058333333332</v>
      </c>
      <c r="L3619" s="852">
        <f>K3619-1616</f>
        <v>287.00583333333316</v>
      </c>
      <c r="M3619" s="1285"/>
      <c r="N3619" s="1284"/>
      <c r="O3619" s="1286" t="s">
        <v>4246</v>
      </c>
      <c r="P3619" s="1476" t="s">
        <v>166</v>
      </c>
      <c r="Q3619" s="1476"/>
      <c r="R3619" s="1285">
        <v>15.67</v>
      </c>
      <c r="S3619" s="1283"/>
    </row>
    <row r="3620" spans="5:19">
      <c r="E3620" s="852"/>
      <c r="F3620" s="852"/>
      <c r="G3620" s="852"/>
      <c r="H3620" s="852"/>
      <c r="I3620" s="852"/>
      <c r="J3620" s="852"/>
      <c r="K3620" s="852"/>
      <c r="L3620" s="852"/>
      <c r="M3620" s="1285"/>
      <c r="N3620" s="1284"/>
      <c r="O3620" s="1287" t="s">
        <v>4152</v>
      </c>
      <c r="P3620" s="1284"/>
      <c r="Q3620" s="1284"/>
      <c r="R3620" s="1287">
        <f>SUM(R3613:R3619)</f>
        <v>1820.0033333333333</v>
      </c>
      <c r="S3620" s="1283"/>
    </row>
    <row r="3621" spans="5:19">
      <c r="E3621" s="852"/>
      <c r="F3621" s="852"/>
      <c r="G3621" s="852"/>
      <c r="H3621" s="1228" t="s">
        <v>4247</v>
      </c>
      <c r="I3621" s="852"/>
      <c r="J3621" s="852"/>
      <c r="K3621" s="852"/>
      <c r="L3621" s="852"/>
      <c r="M3621" s="1285"/>
      <c r="N3621" s="1284"/>
      <c r="O3621" s="1284"/>
      <c r="P3621" s="1284"/>
      <c r="Q3621" s="1284"/>
      <c r="R3621" s="1284"/>
      <c r="S3621" s="1283"/>
    </row>
    <row r="3622" spans="5:19">
      <c r="E3622" s="852"/>
      <c r="F3622" s="852">
        <v>1</v>
      </c>
      <c r="G3622" s="852" t="s">
        <v>164</v>
      </c>
      <c r="H3622" s="1241" t="s">
        <v>4183</v>
      </c>
      <c r="I3622" s="852">
        <f>I3503</f>
        <v>730</v>
      </c>
      <c r="J3622" s="852" t="s">
        <v>164</v>
      </c>
      <c r="K3622" s="852">
        <f>F3622*I3622</f>
        <v>730</v>
      </c>
      <c r="L3622" s="852"/>
      <c r="M3622" s="1285"/>
      <c r="N3622" s="1284"/>
      <c r="O3622" s="1288" t="s">
        <v>4247</v>
      </c>
      <c r="P3622" s="1284"/>
      <c r="Q3622" s="1284"/>
      <c r="R3622" s="1284"/>
      <c r="S3622" s="1283"/>
    </row>
    <row r="3623" spans="5:19">
      <c r="E3623" s="852"/>
      <c r="F3623" s="852">
        <v>1</v>
      </c>
      <c r="G3623" s="852" t="s">
        <v>164</v>
      </c>
      <c r="H3623" s="852" t="s">
        <v>4017</v>
      </c>
      <c r="I3623" s="852">
        <f>I3504</f>
        <v>636</v>
      </c>
      <c r="J3623" s="852" t="s">
        <v>164</v>
      </c>
      <c r="K3623" s="852">
        <f>F3623*I3623</f>
        <v>636</v>
      </c>
      <c r="L3623" s="852"/>
      <c r="M3623" s="1285">
        <v>1</v>
      </c>
      <c r="N3623" s="1284" t="s">
        <v>164</v>
      </c>
      <c r="O3623" s="1284" t="s">
        <v>4183</v>
      </c>
      <c r="P3623" s="1285">
        <f>I3622</f>
        <v>730</v>
      </c>
      <c r="Q3623" s="1284" t="s">
        <v>164</v>
      </c>
      <c r="R3623" s="1284">
        <f>M3623*P3623</f>
        <v>730</v>
      </c>
      <c r="S3623" s="1283"/>
    </row>
    <row r="3624" spans="5:19">
      <c r="E3624" s="852"/>
      <c r="F3624" s="852">
        <v>2</v>
      </c>
      <c r="G3624" s="852" t="s">
        <v>164</v>
      </c>
      <c r="H3624" s="852" t="s">
        <v>4008</v>
      </c>
      <c r="I3624" s="852">
        <f>I3505</f>
        <v>633</v>
      </c>
      <c r="J3624" s="852" t="s">
        <v>164</v>
      </c>
      <c r="K3624" s="852">
        <f>F3624*I3624</f>
        <v>1266</v>
      </c>
      <c r="L3624" s="852"/>
      <c r="M3624" s="1285">
        <v>1</v>
      </c>
      <c r="N3624" s="1284" t="s">
        <v>164</v>
      </c>
      <c r="O3624" s="1284" t="s">
        <v>4017</v>
      </c>
      <c r="P3624" s="1285">
        <f>I3623</f>
        <v>636</v>
      </c>
      <c r="Q3624" s="1284" t="s">
        <v>164</v>
      </c>
      <c r="R3624" s="1284">
        <f>M3624*P3624</f>
        <v>636</v>
      </c>
      <c r="S3624" s="1283"/>
    </row>
    <row r="3625" spans="5:19">
      <c r="E3625" s="852"/>
      <c r="F3625" s="852">
        <v>3</v>
      </c>
      <c r="G3625" s="852" t="s">
        <v>164</v>
      </c>
      <c r="H3625" s="852" t="s">
        <v>3710</v>
      </c>
      <c r="I3625" s="852">
        <f>I3506</f>
        <v>497</v>
      </c>
      <c r="J3625" s="852" t="s">
        <v>164</v>
      </c>
      <c r="K3625" s="852">
        <f>F3625*I3625</f>
        <v>1491</v>
      </c>
      <c r="L3625" s="852"/>
      <c r="M3625" s="1285">
        <v>2</v>
      </c>
      <c r="N3625" s="1284" t="s">
        <v>164</v>
      </c>
      <c r="O3625" s="1284" t="s">
        <v>4008</v>
      </c>
      <c r="P3625" s="1285">
        <f>I3624</f>
        <v>633</v>
      </c>
      <c r="Q3625" s="1284" t="s">
        <v>164</v>
      </c>
      <c r="R3625" s="1284">
        <f>M3625*P3625</f>
        <v>1266</v>
      </c>
      <c r="S3625" s="1283"/>
    </row>
    <row r="3626" spans="5:19">
      <c r="E3626" s="852"/>
      <c r="F3626" s="852"/>
      <c r="G3626" s="852"/>
      <c r="H3626" s="1227" t="s">
        <v>4171</v>
      </c>
      <c r="I3626" s="852"/>
      <c r="J3626" s="852"/>
      <c r="K3626" s="1228">
        <f>SUM(K3622:K3625)</f>
        <v>4123</v>
      </c>
      <c r="L3626" s="852"/>
      <c r="M3626" s="1285">
        <v>3</v>
      </c>
      <c r="N3626" s="1284" t="s">
        <v>164</v>
      </c>
      <c r="O3626" s="1284" t="s">
        <v>3710</v>
      </c>
      <c r="P3626" s="1285">
        <f>I3625</f>
        <v>497</v>
      </c>
      <c r="Q3626" s="1284" t="s">
        <v>164</v>
      </c>
      <c r="R3626" s="1284">
        <f>M3626*P3626</f>
        <v>1491</v>
      </c>
      <c r="S3626" s="1283"/>
    </row>
    <row r="3627" spans="5:19">
      <c r="E3627" s="852"/>
      <c r="F3627" s="852"/>
      <c r="G3627" s="852"/>
      <c r="H3627" s="1229" t="s">
        <v>3615</v>
      </c>
      <c r="I3627" s="852"/>
      <c r="J3627" s="852"/>
      <c r="K3627" s="1230">
        <f>K3626/3</f>
        <v>1374.3333333333333</v>
      </c>
      <c r="L3627" s="852"/>
      <c r="M3627" s="1284"/>
      <c r="N3627" s="1284"/>
      <c r="O3627" s="1285" t="s">
        <v>4171</v>
      </c>
      <c r="P3627" s="1284"/>
      <c r="Q3627" s="1284"/>
      <c r="R3627" s="1288">
        <f>SUM(R3623:R3626)</f>
        <v>4123</v>
      </c>
      <c r="S3627" s="1283"/>
    </row>
    <row r="3628" spans="5:19">
      <c r="E3628" s="852"/>
      <c r="F3628" s="852"/>
      <c r="G3628" s="852"/>
      <c r="H3628" s="1230" t="s">
        <v>4248</v>
      </c>
      <c r="I3628" s="852">
        <f>I3483</f>
        <v>101575</v>
      </c>
      <c r="J3628" s="1237">
        <v>2.9999999999999997E-4</v>
      </c>
      <c r="K3628" s="1230">
        <f>I3628*J3628</f>
        <v>30.472499999999997</v>
      </c>
      <c r="L3628" s="852"/>
      <c r="M3628" s="1284"/>
      <c r="N3628" s="1284"/>
      <c r="O3628" s="1287" t="s">
        <v>3615</v>
      </c>
      <c r="P3628" s="1284"/>
      <c r="Q3628" s="1284"/>
      <c r="R3628" s="1289">
        <f>R3627/3</f>
        <v>1374.3333333333333</v>
      </c>
      <c r="S3628" s="1283"/>
    </row>
    <row r="3629" spans="5:19">
      <c r="E3629" s="852"/>
      <c r="F3629" s="852"/>
      <c r="G3629" s="852"/>
      <c r="H3629" s="852"/>
      <c r="I3629" s="852"/>
      <c r="J3629" s="852"/>
      <c r="K3629" s="852"/>
      <c r="L3629" s="852"/>
      <c r="M3629" s="1284"/>
      <c r="N3629" s="1284"/>
      <c r="O3629" s="1289"/>
      <c r="P3629" s="1284"/>
      <c r="Q3629" s="1290"/>
      <c r="R3629" s="1289"/>
      <c r="S3629" s="1283"/>
    </row>
    <row r="3630" spans="5:19" ht="23.25" customHeight="1">
      <c r="E3630" s="852"/>
      <c r="F3630" s="852"/>
      <c r="G3630" s="852"/>
      <c r="H3630" s="1230" t="s">
        <v>4154</v>
      </c>
      <c r="I3630" s="852"/>
      <c r="J3630" s="852"/>
      <c r="K3630" s="852"/>
      <c r="L3630" s="852"/>
      <c r="M3630" s="1284"/>
      <c r="N3630" s="1284"/>
      <c r="O3630" s="1284"/>
      <c r="P3630" s="1284"/>
      <c r="Q3630" s="1284"/>
      <c r="R3630" s="1284"/>
      <c r="S3630" s="1283"/>
    </row>
    <row r="3631" spans="5:19" ht="15.75" customHeight="1">
      <c r="E3631" s="852"/>
      <c r="F3631" s="852"/>
      <c r="G3631" s="852"/>
      <c r="H3631" s="852"/>
      <c r="I3631" s="852"/>
      <c r="J3631" s="852"/>
      <c r="K3631" s="852"/>
      <c r="L3631" s="852"/>
      <c r="M3631" s="1284"/>
      <c r="N3631" s="1284"/>
      <c r="O3631" s="1289" t="s">
        <v>4154</v>
      </c>
      <c r="P3631" s="1284"/>
      <c r="Q3631" s="1284"/>
      <c r="R3631" s="1284"/>
      <c r="S3631" s="1283"/>
    </row>
    <row r="3632" spans="5:19" ht="24.95" customHeight="1">
      <c r="E3632" s="852"/>
      <c r="F3632" s="852"/>
      <c r="G3632" s="852"/>
      <c r="H3632" s="1230" t="s">
        <v>4249</v>
      </c>
      <c r="I3632" s="852"/>
      <c r="J3632" s="852"/>
      <c r="K3632" s="852"/>
      <c r="L3632" s="852"/>
      <c r="M3632" s="1284"/>
      <c r="N3632" s="1284"/>
      <c r="O3632" s="1289"/>
      <c r="P3632" s="1284"/>
      <c r="Q3632" s="1284"/>
      <c r="R3632" s="1284"/>
      <c r="S3632" s="1283"/>
    </row>
    <row r="3633" spans="5:19" ht="15.75" customHeight="1">
      <c r="E3633" s="852"/>
      <c r="F3633" s="852"/>
      <c r="G3633" s="852"/>
      <c r="H3633" s="852"/>
      <c r="I3633" s="852"/>
      <c r="J3633" s="852"/>
      <c r="K3633" s="852"/>
      <c r="L3633" s="852"/>
      <c r="M3633" s="1284"/>
      <c r="N3633" s="1284"/>
      <c r="O3633" s="1289" t="s">
        <v>4250</v>
      </c>
      <c r="P3633" s="1284"/>
      <c r="Q3633" s="1284"/>
      <c r="R3633" s="1284"/>
      <c r="S3633" s="1283"/>
    </row>
    <row r="3634" spans="5:19" ht="24.95" customHeight="1">
      <c r="E3634" s="852"/>
      <c r="F3634" s="852">
        <v>1</v>
      </c>
      <c r="G3634" s="852" t="s">
        <v>164</v>
      </c>
      <c r="H3634" s="1220" t="s">
        <v>4251</v>
      </c>
      <c r="I3634" s="1223">
        <v>636</v>
      </c>
      <c r="J3634" s="852" t="s">
        <v>164</v>
      </c>
      <c r="K3634" s="852">
        <f>F3634*I3634</f>
        <v>636</v>
      </c>
      <c r="L3634" s="852"/>
      <c r="M3634" s="1284"/>
      <c r="N3634" s="1284"/>
      <c r="O3634" s="1289"/>
      <c r="P3634" s="1284"/>
      <c r="Q3634" s="1284"/>
      <c r="R3634" s="1284"/>
      <c r="S3634" s="1283"/>
    </row>
    <row r="3635" spans="5:19" ht="45" customHeight="1">
      <c r="E3635" s="852"/>
      <c r="F3635" s="852">
        <v>1</v>
      </c>
      <c r="G3635" s="852" t="s">
        <v>164</v>
      </c>
      <c r="H3635" s="1220" t="s">
        <v>4252</v>
      </c>
      <c r="I3635" s="1223">
        <v>35.6</v>
      </c>
      <c r="J3635" s="852" t="s">
        <v>164</v>
      </c>
      <c r="K3635" s="852">
        <f>F3635*I3635</f>
        <v>35.6</v>
      </c>
      <c r="L3635" s="852"/>
      <c r="M3635" s="1284">
        <v>1</v>
      </c>
      <c r="N3635" s="1284" t="s">
        <v>164</v>
      </c>
      <c r="O3635" s="1286" t="s">
        <v>4253</v>
      </c>
      <c r="P3635" s="1285">
        <v>800</v>
      </c>
      <c r="Q3635" s="1284" t="s">
        <v>164</v>
      </c>
      <c r="R3635" s="1284">
        <f>M3635*P3635</f>
        <v>800</v>
      </c>
      <c r="S3635" s="1283"/>
    </row>
    <row r="3636" spans="5:19" ht="39.75" customHeight="1">
      <c r="E3636" s="852"/>
      <c r="F3636" s="852">
        <v>1</v>
      </c>
      <c r="G3636" s="852" t="s">
        <v>164</v>
      </c>
      <c r="H3636" s="1246" t="s">
        <v>656</v>
      </c>
      <c r="I3636" s="852">
        <f>K3619</f>
        <v>1903.0058333333332</v>
      </c>
      <c r="J3636" s="852" t="s">
        <v>164</v>
      </c>
      <c r="K3636" s="852">
        <f>F3636*I3636</f>
        <v>1903.0058333333332</v>
      </c>
      <c r="L3636" s="852"/>
      <c r="M3636" s="1284">
        <v>1</v>
      </c>
      <c r="N3636" s="1284" t="s">
        <v>164</v>
      </c>
      <c r="O3636" s="1286" t="s">
        <v>656</v>
      </c>
      <c r="P3636" s="1285">
        <f>R3620</f>
        <v>1820.0033333333333</v>
      </c>
      <c r="Q3636" s="1284" t="s">
        <v>164</v>
      </c>
      <c r="R3636" s="1284">
        <f>M3636*P3636</f>
        <v>1820.0033333333333</v>
      </c>
      <c r="S3636" s="1283"/>
    </row>
    <row r="3637" spans="5:19" ht="24.95" customHeight="1">
      <c r="E3637" s="852"/>
      <c r="F3637" s="852"/>
      <c r="G3637" s="852"/>
      <c r="H3637" s="1220" t="s">
        <v>236</v>
      </c>
      <c r="I3637" s="852"/>
      <c r="J3637" s="852"/>
      <c r="K3637" s="1231">
        <v>4.4000000000000004</v>
      </c>
      <c r="L3637" s="852"/>
      <c r="M3637" s="1284"/>
      <c r="N3637" s="1284"/>
      <c r="O3637" s="1286" t="s">
        <v>236</v>
      </c>
      <c r="P3637" s="1284"/>
      <c r="Q3637" s="1284"/>
      <c r="R3637" s="1284"/>
      <c r="S3637" s="1283"/>
    </row>
    <row r="3638" spans="5:19" ht="24.95" customHeight="1">
      <c r="E3638" s="852"/>
      <c r="F3638" s="852"/>
      <c r="G3638" s="852"/>
      <c r="H3638" s="1229" t="s">
        <v>2553</v>
      </c>
      <c r="I3638" s="852"/>
      <c r="J3638" s="852"/>
      <c r="K3638" s="1230">
        <f>SUM(K3634:K3637)</f>
        <v>2579.0058333333332</v>
      </c>
      <c r="L3638" s="852">
        <f>K3638-2268</f>
        <v>311.00583333333316</v>
      </c>
      <c r="M3638" s="1284"/>
      <c r="N3638" s="1284"/>
      <c r="O3638" s="1287" t="s">
        <v>2553</v>
      </c>
      <c r="P3638" s="1284"/>
      <c r="Q3638" s="1284"/>
      <c r="R3638" s="1289">
        <f>SUM(R3635:R3637)</f>
        <v>2620.0033333333331</v>
      </c>
      <c r="S3638" s="1283">
        <f>R3638-2219</f>
        <v>401.0033333333331</v>
      </c>
    </row>
    <row r="3639" spans="5:19">
      <c r="E3639" s="852"/>
      <c r="F3639" s="852"/>
      <c r="G3639" s="852"/>
      <c r="H3639" s="852"/>
      <c r="I3639" s="852"/>
      <c r="J3639" s="852"/>
      <c r="K3639" s="852"/>
      <c r="L3639" s="852"/>
      <c r="M3639" s="1284"/>
      <c r="N3639" s="1284"/>
      <c r="O3639" s="1283"/>
      <c r="P3639" s="1284"/>
      <c r="Q3639" s="1284"/>
      <c r="R3639" s="1289"/>
      <c r="S3639" s="1283"/>
    </row>
    <row r="3640" spans="5:19" ht="24.75" customHeight="1">
      <c r="E3640" s="852"/>
      <c r="F3640" s="852"/>
      <c r="G3640" s="852"/>
      <c r="H3640" s="1230" t="s">
        <v>4254</v>
      </c>
      <c r="I3640" s="852"/>
      <c r="J3640" s="852"/>
      <c r="K3640" s="852"/>
      <c r="L3640" s="852"/>
      <c r="M3640" s="1291"/>
      <c r="N3640" s="1283"/>
      <c r="O3640" s="1283"/>
      <c r="P3640" s="1283"/>
      <c r="Q3640" s="1283"/>
      <c r="R3640" s="1283"/>
      <c r="S3640" s="1283"/>
    </row>
    <row r="3641" spans="5:19" ht="63">
      <c r="E3641" s="852"/>
      <c r="F3641" s="852"/>
      <c r="G3641" s="852"/>
      <c r="H3641" s="1246" t="s">
        <v>4255</v>
      </c>
      <c r="I3641" s="852"/>
      <c r="J3641" s="852"/>
      <c r="K3641" s="852"/>
      <c r="L3641" s="852"/>
      <c r="M3641" s="1477" t="s">
        <v>4256</v>
      </c>
      <c r="N3641" s="1477"/>
      <c r="O3641" s="1477"/>
      <c r="P3641" s="1477"/>
      <c r="Q3641" s="1477"/>
      <c r="R3641" s="1477"/>
      <c r="S3641" s="1283"/>
    </row>
    <row r="3642" spans="5:19">
      <c r="E3642" s="852"/>
      <c r="F3642" s="852"/>
      <c r="G3642" s="852"/>
      <c r="H3642" s="852"/>
      <c r="I3642" s="852"/>
      <c r="J3642" s="852"/>
      <c r="K3642" s="852"/>
      <c r="L3642" s="852"/>
      <c r="M3642" s="1292">
        <v>1</v>
      </c>
      <c r="N3642" s="1292" t="s">
        <v>164</v>
      </c>
      <c r="O3642" s="1292" t="s">
        <v>4257</v>
      </c>
      <c r="P3642" s="1292">
        <v>7000</v>
      </c>
      <c r="Q3642" s="1292" t="s">
        <v>4258</v>
      </c>
      <c r="R3642" s="1292">
        <f>P3642*M3642</f>
        <v>7000</v>
      </c>
      <c r="S3642" s="1283"/>
    </row>
    <row r="3643" spans="5:19" ht="24.75" customHeight="1">
      <c r="E3643" s="852"/>
      <c r="F3643" s="852">
        <v>1.5</v>
      </c>
      <c r="G3643" s="852" t="s">
        <v>231</v>
      </c>
      <c r="H3643" s="852" t="s">
        <v>4259</v>
      </c>
      <c r="I3643" s="1222">
        <v>209</v>
      </c>
      <c r="J3643" s="852" t="s">
        <v>231</v>
      </c>
      <c r="K3643" s="852">
        <f>F3643*I3643</f>
        <v>313.5</v>
      </c>
      <c r="L3643" s="852"/>
      <c r="M3643" s="1285">
        <v>2</v>
      </c>
      <c r="N3643" s="1284" t="s">
        <v>1565</v>
      </c>
      <c r="O3643" s="1284" t="s">
        <v>4239</v>
      </c>
      <c r="P3643" s="1285">
        <f>I3613</f>
        <v>35</v>
      </c>
      <c r="Q3643" s="1284" t="s">
        <v>1565</v>
      </c>
      <c r="R3643" s="1292">
        <f>P3643*M3643</f>
        <v>70</v>
      </c>
      <c r="S3643" s="1283"/>
    </row>
    <row r="3644" spans="5:19" ht="24.75" customHeight="1">
      <c r="E3644" s="852"/>
      <c r="F3644" s="852">
        <v>2</v>
      </c>
      <c r="G3644" s="852" t="s">
        <v>4260</v>
      </c>
      <c r="H3644" s="852" t="s">
        <v>4261</v>
      </c>
      <c r="I3644" s="852">
        <f>I3613</f>
        <v>35</v>
      </c>
      <c r="J3644" s="852" t="s">
        <v>4260</v>
      </c>
      <c r="K3644" s="852">
        <f>F3644*I3644</f>
        <v>70</v>
      </c>
      <c r="L3644" s="852"/>
      <c r="M3644" s="1285">
        <v>1</v>
      </c>
      <c r="N3644" s="1284" t="s">
        <v>164</v>
      </c>
      <c r="O3644" s="1286" t="s">
        <v>4244</v>
      </c>
      <c r="P3644" s="1285">
        <f>R3653</f>
        <v>1374.3333333333333</v>
      </c>
      <c r="Q3644" s="1284" t="s">
        <v>227</v>
      </c>
      <c r="R3644" s="1292">
        <f>P3644*M3644</f>
        <v>1374.3333333333333</v>
      </c>
      <c r="S3644" s="1283"/>
    </row>
    <row r="3645" spans="5:19" ht="24.75" customHeight="1">
      <c r="E3645" s="852"/>
      <c r="F3645" s="852">
        <v>1</v>
      </c>
      <c r="G3645" s="852" t="s">
        <v>164</v>
      </c>
      <c r="H3645" s="852" t="s">
        <v>4262</v>
      </c>
      <c r="I3645" s="1223">
        <f>I3614</f>
        <v>47.2</v>
      </c>
      <c r="J3645" s="852" t="s">
        <v>164</v>
      </c>
      <c r="K3645" s="852">
        <f>F3645*I3645</f>
        <v>47.2</v>
      </c>
      <c r="L3645" s="852"/>
      <c r="M3645" s="1293"/>
      <c r="N3645" s="1293"/>
      <c r="O3645" s="1286" t="s">
        <v>4246</v>
      </c>
      <c r="P3645" s="1476" t="s">
        <v>166</v>
      </c>
      <c r="Q3645" s="1476"/>
      <c r="R3645" s="1285">
        <v>16.670000000000002</v>
      </c>
      <c r="S3645" s="1283"/>
    </row>
    <row r="3646" spans="5:19" ht="24.75" customHeight="1">
      <c r="E3646" s="852"/>
      <c r="F3646" s="852">
        <v>1</v>
      </c>
      <c r="G3646" s="852" t="s">
        <v>164</v>
      </c>
      <c r="H3646" s="852" t="s">
        <v>4263</v>
      </c>
      <c r="I3646" s="852">
        <f>I3615</f>
        <v>30.472499999999997</v>
      </c>
      <c r="J3646" s="852" t="s">
        <v>164</v>
      </c>
      <c r="K3646" s="852">
        <f>F3646*I3646</f>
        <v>30.472499999999997</v>
      </c>
      <c r="L3646" s="852"/>
      <c r="M3646" s="1285"/>
      <c r="N3646" s="1284"/>
      <c r="O3646" s="1289" t="s">
        <v>3615</v>
      </c>
      <c r="P3646" s="1287"/>
      <c r="Q3646" s="1289"/>
      <c r="R3646" s="1287">
        <f>SUM(R3642:R3645)</f>
        <v>8461.003333333334</v>
      </c>
      <c r="S3646" s="1283">
        <f>R3646-8095</f>
        <v>366.00333333333401</v>
      </c>
    </row>
    <row r="3647" spans="5:19" ht="24.75" customHeight="1">
      <c r="E3647" s="852"/>
      <c r="F3647" s="852">
        <v>8</v>
      </c>
      <c r="G3647" s="852" t="s">
        <v>231</v>
      </c>
      <c r="H3647" s="852" t="s">
        <v>4245</v>
      </c>
      <c r="I3647" s="852">
        <f>I3616</f>
        <v>21</v>
      </c>
      <c r="J3647" s="852" t="s">
        <v>3942</v>
      </c>
      <c r="K3647" s="852">
        <f>F3647*I3647</f>
        <v>168</v>
      </c>
      <c r="L3647" s="852"/>
      <c r="M3647" s="1285"/>
      <c r="N3647" s="1284"/>
      <c r="O3647" s="1288" t="s">
        <v>4247</v>
      </c>
      <c r="P3647" s="1284"/>
      <c r="Q3647" s="1284"/>
      <c r="R3647" s="1284"/>
      <c r="S3647" s="1283"/>
    </row>
    <row r="3648" spans="5:19" ht="61.5" customHeight="1">
      <c r="E3648" s="852"/>
      <c r="F3648" s="852"/>
      <c r="G3648" s="852"/>
      <c r="H3648" s="1246" t="s">
        <v>4244</v>
      </c>
      <c r="I3648" s="852"/>
      <c r="J3648" s="852"/>
      <c r="K3648" s="852">
        <f>K3627</f>
        <v>1374.3333333333333</v>
      </c>
      <c r="L3648" s="852"/>
      <c r="M3648" s="1285">
        <v>1</v>
      </c>
      <c r="N3648" s="1284" t="s">
        <v>164</v>
      </c>
      <c r="O3648" s="1284" t="s">
        <v>4183</v>
      </c>
      <c r="P3648" s="1285">
        <f>P3623</f>
        <v>730</v>
      </c>
      <c r="Q3648" s="1284" t="s">
        <v>164</v>
      </c>
      <c r="R3648" s="1284">
        <f>M3648*P3648</f>
        <v>730</v>
      </c>
      <c r="S3648" s="1283"/>
    </row>
    <row r="3649" spans="5:19" ht="52.5" customHeight="1">
      <c r="E3649" s="852"/>
      <c r="F3649" s="852"/>
      <c r="G3649" s="852"/>
      <c r="H3649" s="1246" t="s">
        <v>4246</v>
      </c>
      <c r="I3649" s="852"/>
      <c r="J3649" s="852" t="s">
        <v>166</v>
      </c>
      <c r="K3649" s="1231">
        <v>14.5</v>
      </c>
      <c r="L3649" s="852"/>
      <c r="M3649" s="1285">
        <v>1</v>
      </c>
      <c r="N3649" s="1284" t="s">
        <v>164</v>
      </c>
      <c r="O3649" s="1284" t="s">
        <v>4017</v>
      </c>
      <c r="P3649" s="1285">
        <f>P3624</f>
        <v>636</v>
      </c>
      <c r="Q3649" s="1284" t="s">
        <v>164</v>
      </c>
      <c r="R3649" s="1284">
        <f>M3649*P3649</f>
        <v>636</v>
      </c>
      <c r="S3649" s="1283"/>
    </row>
    <row r="3650" spans="5:19" ht="24" customHeight="1">
      <c r="E3650" s="852"/>
      <c r="F3650" s="852"/>
      <c r="G3650" s="852"/>
      <c r="H3650" s="1229" t="s">
        <v>4152</v>
      </c>
      <c r="I3650" s="852"/>
      <c r="J3650" s="852"/>
      <c r="K3650" s="1230">
        <f>SUM(K3643:K3649)</f>
        <v>2018.0058333333332</v>
      </c>
      <c r="L3650" s="852">
        <f>1625-K3650</f>
        <v>-393.00583333333316</v>
      </c>
      <c r="M3650" s="1285">
        <v>2</v>
      </c>
      <c r="N3650" s="1284" t="s">
        <v>164</v>
      </c>
      <c r="O3650" s="1284" t="s">
        <v>4008</v>
      </c>
      <c r="P3650" s="1285">
        <f>P3625</f>
        <v>633</v>
      </c>
      <c r="Q3650" s="1284" t="s">
        <v>164</v>
      </c>
      <c r="R3650" s="1284">
        <f>M3650*P3650</f>
        <v>1266</v>
      </c>
      <c r="S3650" s="1283"/>
    </row>
    <row r="3651" spans="5:19">
      <c r="E3651" s="852"/>
      <c r="F3651" s="852"/>
      <c r="G3651" s="852"/>
      <c r="H3651" s="852"/>
      <c r="I3651" s="852"/>
      <c r="J3651" s="852"/>
      <c r="K3651" s="852"/>
      <c r="L3651" s="852"/>
      <c r="M3651" s="1285">
        <v>3</v>
      </c>
      <c r="N3651" s="1284" t="s">
        <v>164</v>
      </c>
      <c r="O3651" s="1284" t="s">
        <v>3710</v>
      </c>
      <c r="P3651" s="1285">
        <f>P3626</f>
        <v>497</v>
      </c>
      <c r="Q3651" s="1284" t="s">
        <v>164</v>
      </c>
      <c r="R3651" s="1284">
        <f>M3651*P3651</f>
        <v>1491</v>
      </c>
      <c r="S3651" s="1283"/>
    </row>
    <row r="3652" spans="5:19">
      <c r="E3652" s="852"/>
      <c r="F3652" s="852"/>
      <c r="G3652" s="852"/>
      <c r="H3652" s="852"/>
      <c r="I3652" s="852"/>
      <c r="J3652" s="852"/>
      <c r="K3652" s="852"/>
      <c r="L3652" s="852"/>
      <c r="M3652" s="1284"/>
      <c r="N3652" s="1284"/>
      <c r="O3652" s="1285" t="s">
        <v>4171</v>
      </c>
      <c r="P3652" s="1284"/>
      <c r="Q3652" s="1284"/>
      <c r="R3652" s="1288">
        <f>SUM(R3648:R3651)</f>
        <v>4123</v>
      </c>
      <c r="S3652" s="1283"/>
    </row>
    <row r="3653" spans="5:19">
      <c r="E3653" s="852"/>
      <c r="F3653" s="852"/>
      <c r="G3653" s="852"/>
      <c r="H3653" s="852"/>
      <c r="I3653" s="852"/>
      <c r="J3653" s="852"/>
      <c r="K3653" s="852"/>
      <c r="L3653" s="852"/>
      <c r="M3653" s="1284"/>
      <c r="N3653" s="1284"/>
      <c r="O3653" s="1287" t="s">
        <v>3615</v>
      </c>
      <c r="P3653" s="1284"/>
      <c r="Q3653" s="1284"/>
      <c r="R3653" s="1289">
        <f>R3652/3</f>
        <v>1374.3333333333333</v>
      </c>
      <c r="S3653" s="1283"/>
    </row>
    <row r="3654" spans="5:19">
      <c r="E3654" s="852"/>
      <c r="F3654" s="852"/>
      <c r="G3654" s="852"/>
      <c r="H3654" s="852"/>
      <c r="I3654" s="852"/>
      <c r="J3654" s="852"/>
      <c r="K3654" s="852"/>
      <c r="L3654" s="852"/>
      <c r="M3654" s="1250"/>
      <c r="N3654" s="1259"/>
      <c r="O3654" s="1259"/>
      <c r="P3654" s="1259"/>
      <c r="Q3654" s="1259"/>
      <c r="R3654" s="1259"/>
      <c r="S3654" s="1259"/>
    </row>
    <row r="3655" spans="5:19">
      <c r="E3655" s="852"/>
      <c r="F3655" s="852"/>
      <c r="G3655" s="852"/>
      <c r="H3655" s="1294" t="s">
        <v>4233</v>
      </c>
      <c r="I3655" s="852"/>
      <c r="J3655" s="852"/>
      <c r="K3655" s="852"/>
      <c r="L3655" s="852"/>
      <c r="M3655" s="1250"/>
      <c r="N3655" s="1259"/>
      <c r="O3655" s="1259"/>
      <c r="P3655" s="1259"/>
      <c r="Q3655" s="1259"/>
      <c r="R3655" s="1259"/>
      <c r="S3655" s="1259"/>
    </row>
    <row r="3656" spans="5:19">
      <c r="E3656" s="852"/>
      <c r="F3656" s="852"/>
      <c r="G3656" s="852"/>
      <c r="H3656" s="852"/>
      <c r="I3656" s="852"/>
      <c r="J3656" s="852"/>
      <c r="K3656" s="852"/>
      <c r="L3656" s="852"/>
      <c r="M3656" s="1250"/>
      <c r="N3656" s="1259"/>
      <c r="O3656" s="1259"/>
      <c r="P3656" s="1259"/>
      <c r="Q3656" s="1259"/>
      <c r="R3656" s="1259"/>
      <c r="S3656" s="1259"/>
    </row>
    <row r="3657" spans="5:19">
      <c r="E3657" s="852"/>
      <c r="F3657" s="852"/>
      <c r="G3657" s="852"/>
      <c r="H3657" s="1294" t="s">
        <v>4264</v>
      </c>
      <c r="I3657" s="852"/>
      <c r="J3657" s="852"/>
      <c r="K3657" s="852"/>
      <c r="L3657" s="852"/>
      <c r="M3657" s="1250"/>
      <c r="N3657" s="1259"/>
      <c r="O3657" s="1259"/>
      <c r="P3657" s="1259"/>
      <c r="Q3657" s="1259"/>
      <c r="R3657" s="1259"/>
      <c r="S3657" s="1259"/>
    </row>
    <row r="3658" spans="5:19">
      <c r="E3658" s="852"/>
      <c r="F3658" s="852"/>
      <c r="G3658" s="852"/>
      <c r="H3658" s="852"/>
      <c r="I3658" s="852"/>
      <c r="J3658" s="852"/>
      <c r="K3658" s="852"/>
      <c r="L3658" s="852"/>
      <c r="M3658" s="1250"/>
      <c r="N3658" s="1259"/>
      <c r="O3658" s="1259"/>
      <c r="P3658" s="1259"/>
      <c r="Q3658" s="1259"/>
      <c r="R3658" s="1259"/>
      <c r="S3658" s="1259"/>
    </row>
    <row r="3659" spans="5:19" ht="267.75">
      <c r="E3659" s="852"/>
      <c r="F3659" s="852"/>
      <c r="G3659" s="852"/>
      <c r="H3659" s="1246" t="s">
        <v>4265</v>
      </c>
      <c r="I3659" s="852"/>
      <c r="J3659" s="852"/>
      <c r="K3659" s="852"/>
      <c r="L3659" s="852"/>
      <c r="M3659" s="1250"/>
      <c r="N3659" s="1259"/>
      <c r="O3659" s="1259"/>
      <c r="P3659" s="1259"/>
      <c r="Q3659" s="1259"/>
      <c r="R3659" s="1259"/>
      <c r="S3659" s="1259"/>
    </row>
    <row r="3660" spans="5:19">
      <c r="E3660" s="852"/>
      <c r="F3660" s="852"/>
      <c r="G3660" s="852"/>
      <c r="H3660" s="852"/>
      <c r="I3660" s="852"/>
      <c r="J3660" s="852"/>
      <c r="K3660" s="852"/>
      <c r="L3660" s="852"/>
      <c r="M3660" s="852"/>
    </row>
    <row r="3661" spans="5:19">
      <c r="E3661" s="852"/>
      <c r="F3661" s="852"/>
      <c r="G3661" s="852"/>
      <c r="H3661" s="1230" t="s">
        <v>4266</v>
      </c>
      <c r="I3661" s="852"/>
      <c r="K3661" s="852"/>
      <c r="L3661" s="852"/>
      <c r="M3661" s="852"/>
    </row>
    <row r="3662" spans="5:19" ht="47.25">
      <c r="E3662" s="852"/>
      <c r="F3662" s="852">
        <v>1</v>
      </c>
      <c r="G3662" s="852" t="s">
        <v>164</v>
      </c>
      <c r="H3662" s="1220" t="s">
        <v>4267</v>
      </c>
      <c r="I3662" s="1241">
        <f>I3376</f>
        <v>270</v>
      </c>
      <c r="J3662" s="852" t="s">
        <v>164</v>
      </c>
      <c r="K3662" s="852">
        <f>F3662*I3662</f>
        <v>270</v>
      </c>
      <c r="L3662" s="852"/>
      <c r="M3662" s="852"/>
    </row>
    <row r="3663" spans="5:19" ht="20.100000000000001" customHeight="1">
      <c r="E3663" s="852"/>
      <c r="F3663" s="852">
        <v>1</v>
      </c>
      <c r="G3663" s="852" t="s">
        <v>164</v>
      </c>
      <c r="H3663" s="852" t="s">
        <v>4268</v>
      </c>
      <c r="I3663" s="852">
        <f>K3677</f>
        <v>274.2525</v>
      </c>
      <c r="J3663" s="852" t="s">
        <v>164</v>
      </c>
      <c r="K3663" s="852">
        <f t="shared" ref="K3663:K3673" si="102">F3663*I3663</f>
        <v>274.2525</v>
      </c>
      <c r="L3663" s="852"/>
      <c r="M3663" s="852"/>
    </row>
    <row r="3664" spans="5:19" ht="20.100000000000001" customHeight="1">
      <c r="E3664" s="852"/>
      <c r="F3664" s="852">
        <v>1</v>
      </c>
      <c r="G3664" s="852" t="s">
        <v>164</v>
      </c>
      <c r="H3664" s="852" t="s">
        <v>4269</v>
      </c>
      <c r="I3664" s="1241">
        <f>I3415</f>
        <v>83.6</v>
      </c>
      <c r="J3664" s="852" t="s">
        <v>164</v>
      </c>
      <c r="K3664" s="852">
        <f t="shared" si="102"/>
        <v>83.6</v>
      </c>
      <c r="L3664" s="852"/>
      <c r="M3664" s="852"/>
    </row>
    <row r="3665" spans="4:13" ht="20.100000000000001" customHeight="1">
      <c r="E3665" s="852"/>
      <c r="F3665" s="852">
        <v>1</v>
      </c>
      <c r="G3665" s="852" t="s">
        <v>164</v>
      </c>
      <c r="H3665" s="852" t="s">
        <v>4270</v>
      </c>
      <c r="I3665" s="852">
        <f>I3478</f>
        <v>25</v>
      </c>
      <c r="J3665" s="852" t="s">
        <v>164</v>
      </c>
      <c r="K3665" s="852">
        <f t="shared" si="102"/>
        <v>25</v>
      </c>
      <c r="L3665" s="852"/>
      <c r="M3665" s="852"/>
    </row>
    <row r="3666" spans="4:13" ht="20.100000000000001" customHeight="1">
      <c r="E3666" s="852"/>
      <c r="F3666" s="852">
        <v>5</v>
      </c>
      <c r="G3666" s="852" t="s">
        <v>231</v>
      </c>
      <c r="H3666" s="852" t="s">
        <v>4271</v>
      </c>
      <c r="I3666" s="1222">
        <v>98.6</v>
      </c>
      <c r="J3666" s="852" t="s">
        <v>231</v>
      </c>
      <c r="K3666" s="852">
        <f t="shared" si="102"/>
        <v>493</v>
      </c>
      <c r="L3666" s="852"/>
      <c r="M3666" s="852"/>
    </row>
    <row r="3667" spans="4:13">
      <c r="E3667" s="852"/>
      <c r="F3667" s="852">
        <v>20</v>
      </c>
      <c r="G3667" s="852" t="s">
        <v>231</v>
      </c>
      <c r="H3667" s="1246" t="s">
        <v>4272</v>
      </c>
      <c r="I3667" s="852">
        <f>I3098</f>
        <v>33.299999999999997</v>
      </c>
      <c r="J3667" s="852" t="s">
        <v>231</v>
      </c>
      <c r="K3667" s="852">
        <f t="shared" si="102"/>
        <v>666</v>
      </c>
      <c r="L3667" s="852"/>
      <c r="M3667" s="852"/>
    </row>
    <row r="3668" spans="4:13" ht="20.100000000000001" customHeight="1">
      <c r="E3668" s="852"/>
      <c r="F3668" s="852"/>
      <c r="G3668" s="852"/>
      <c r="H3668" s="1230" t="s">
        <v>4273</v>
      </c>
      <c r="I3668" s="852"/>
      <c r="J3668" s="852"/>
      <c r="K3668" s="852"/>
      <c r="L3668" s="852"/>
      <c r="M3668" s="852"/>
    </row>
    <row r="3669" spans="4:13" ht="56.25" customHeight="1">
      <c r="E3669" s="852"/>
      <c r="F3669" s="852">
        <v>1</v>
      </c>
      <c r="G3669" s="852" t="s">
        <v>164</v>
      </c>
      <c r="H3669" s="1246" t="s">
        <v>4274</v>
      </c>
      <c r="I3669" s="852">
        <f>I3662</f>
        <v>270</v>
      </c>
      <c r="J3669" s="852" t="s">
        <v>164</v>
      </c>
      <c r="K3669" s="852">
        <f t="shared" si="102"/>
        <v>270</v>
      </c>
      <c r="L3669" s="852"/>
      <c r="M3669" s="852"/>
    </row>
    <row r="3670" spans="4:13">
      <c r="E3670" s="852"/>
      <c r="F3670" s="852">
        <v>1</v>
      </c>
      <c r="G3670" s="852" t="s">
        <v>164</v>
      </c>
      <c r="H3670" s="852" t="s">
        <v>4275</v>
      </c>
      <c r="I3670" s="1223">
        <v>761</v>
      </c>
      <c r="J3670" s="852" t="s">
        <v>164</v>
      </c>
      <c r="K3670" s="852">
        <f t="shared" si="102"/>
        <v>761</v>
      </c>
      <c r="L3670" s="852"/>
      <c r="M3670" s="852"/>
    </row>
    <row r="3671" spans="4:13" s="1259" customFormat="1">
      <c r="E3671" s="1250"/>
      <c r="F3671" s="1250">
        <v>1</v>
      </c>
      <c r="G3671" s="1250" t="s">
        <v>164</v>
      </c>
      <c r="H3671" s="1250" t="s">
        <v>4276</v>
      </c>
      <c r="I3671" s="1250">
        <v>93.5</v>
      </c>
      <c r="J3671" s="1250" t="s">
        <v>164</v>
      </c>
      <c r="K3671" s="1250">
        <f t="shared" si="102"/>
        <v>93.5</v>
      </c>
      <c r="L3671" s="1250"/>
      <c r="M3671" s="1250"/>
    </row>
    <row r="3672" spans="4:13" s="1259" customFormat="1">
      <c r="E3672" s="1250"/>
      <c r="F3672" s="1250">
        <v>1</v>
      </c>
      <c r="G3672" s="1250" t="s">
        <v>164</v>
      </c>
      <c r="H3672" s="1250" t="s">
        <v>4277</v>
      </c>
      <c r="I3672" s="1250">
        <v>89.6</v>
      </c>
      <c r="J3672" s="1250" t="s">
        <v>164</v>
      </c>
      <c r="K3672" s="1250">
        <f t="shared" si="102"/>
        <v>89.6</v>
      </c>
      <c r="L3672" s="1250"/>
      <c r="M3672" s="1250"/>
    </row>
    <row r="3673" spans="4:13">
      <c r="E3673" s="852"/>
      <c r="F3673" s="852">
        <v>1</v>
      </c>
      <c r="G3673" s="852" t="s">
        <v>164</v>
      </c>
      <c r="H3673" s="852" t="s">
        <v>4268</v>
      </c>
      <c r="I3673" s="852">
        <f>K3677</f>
        <v>274.2525</v>
      </c>
      <c r="J3673" s="852" t="s">
        <v>164</v>
      </c>
      <c r="K3673" s="852">
        <f t="shared" si="102"/>
        <v>274.2525</v>
      </c>
      <c r="L3673" s="852"/>
      <c r="M3673" s="852"/>
    </row>
    <row r="3674" spans="4:13">
      <c r="D3674" s="1295">
        <f>0.6*0.225*0.02</f>
        <v>2.7000000000000001E-3</v>
      </c>
      <c r="E3674" s="852"/>
      <c r="F3674" s="852"/>
      <c r="G3674" s="852"/>
      <c r="H3674" s="852" t="s">
        <v>4278</v>
      </c>
      <c r="I3674" s="852"/>
      <c r="J3674" s="852"/>
      <c r="K3674" s="852">
        <f>K3627</f>
        <v>1374.3333333333333</v>
      </c>
      <c r="L3674" s="852"/>
      <c r="M3674" s="852"/>
    </row>
    <row r="3675" spans="4:13" ht="41.25" customHeight="1">
      <c r="E3675" s="852"/>
      <c r="F3675" s="852"/>
      <c r="G3675" s="852"/>
      <c r="H3675" s="1246" t="s">
        <v>4279</v>
      </c>
      <c r="I3675" s="852"/>
      <c r="J3675" s="852"/>
      <c r="K3675" s="1231">
        <v>10.47</v>
      </c>
      <c r="L3675" s="852"/>
      <c r="M3675" s="852">
        <f>4685-K3676</f>
        <v>-8.3333333332120674E-3</v>
      </c>
    </row>
    <row r="3676" spans="4:13" ht="24.95" customHeight="1">
      <c r="E3676" s="852"/>
      <c r="F3676" s="852"/>
      <c r="G3676" s="852"/>
      <c r="H3676" s="1227" t="s">
        <v>2553</v>
      </c>
      <c r="I3676" s="852"/>
      <c r="J3676" s="852"/>
      <c r="K3676" s="1230">
        <f>SUM(K3662:K3675)</f>
        <v>4685.0083333333332</v>
      </c>
      <c r="L3676" s="852"/>
      <c r="M3676" s="852">
        <f>K3676-4190</f>
        <v>495.00833333333321</v>
      </c>
    </row>
    <row r="3677" spans="4:13" ht="20.100000000000001" customHeight="1">
      <c r="E3677" s="852"/>
      <c r="F3677" s="852"/>
      <c r="G3677" s="852"/>
      <c r="H3677" s="1230" t="s">
        <v>4280</v>
      </c>
      <c r="I3677" s="852">
        <f>I3628</f>
        <v>101575</v>
      </c>
      <c r="J3677" s="1237">
        <v>2.7000000000000001E-3</v>
      </c>
      <c r="K3677" s="1230">
        <f>I3677*J3677</f>
        <v>274.2525</v>
      </c>
      <c r="L3677" s="852"/>
      <c r="M3677" s="852"/>
    </row>
    <row r="3678" spans="4:13">
      <c r="E3678" s="852"/>
      <c r="F3678" s="852"/>
      <c r="G3678" s="852"/>
      <c r="H3678" s="1230" t="s">
        <v>4281</v>
      </c>
      <c r="I3678" s="852"/>
      <c r="J3678" s="852"/>
      <c r="K3678" s="852"/>
      <c r="L3678" s="852"/>
      <c r="M3678" s="852"/>
    </row>
    <row r="3679" spans="4:13">
      <c r="E3679" s="852"/>
      <c r="F3679" s="852"/>
      <c r="G3679" s="852"/>
      <c r="H3679" s="1230"/>
      <c r="I3679" s="852"/>
      <c r="J3679" s="852"/>
      <c r="K3679" s="852"/>
      <c r="L3679" s="852"/>
      <c r="M3679" s="852"/>
    </row>
    <row r="3680" spans="4:13" ht="31.5">
      <c r="E3680" s="852"/>
      <c r="F3680" s="852"/>
      <c r="G3680" s="852"/>
      <c r="H3680" s="1218" t="s">
        <v>2173</v>
      </c>
      <c r="I3680" s="852"/>
      <c r="J3680" s="852"/>
      <c r="K3680" s="852"/>
      <c r="L3680" s="852"/>
      <c r="M3680" s="852"/>
    </row>
    <row r="3681" spans="5:13">
      <c r="E3681" s="852"/>
      <c r="F3681" s="852"/>
      <c r="G3681" s="852"/>
      <c r="H3681" s="852" t="s">
        <v>2146</v>
      </c>
      <c r="I3681" s="852"/>
      <c r="J3681" s="852"/>
      <c r="K3681" s="852"/>
      <c r="L3681" s="852"/>
      <c r="M3681" s="852"/>
    </row>
    <row r="3682" spans="5:13" ht="19.5" customHeight="1">
      <c r="E3682" s="852"/>
      <c r="F3682" s="852">
        <v>90</v>
      </c>
      <c r="G3682" s="852" t="s">
        <v>2174</v>
      </c>
      <c r="H3682" s="1220" t="s">
        <v>3577</v>
      </c>
      <c r="I3682" s="1241">
        <f>I2996</f>
        <v>17.100000000000001</v>
      </c>
      <c r="J3682" s="852" t="s">
        <v>2174</v>
      </c>
      <c r="K3682" s="852">
        <f>F3682*I3682</f>
        <v>1539.0000000000002</v>
      </c>
      <c r="L3682" s="852"/>
      <c r="M3682" s="852"/>
    </row>
    <row r="3683" spans="5:13">
      <c r="E3683" s="852"/>
      <c r="F3683" s="852">
        <v>0.15</v>
      </c>
      <c r="G3683" s="852" t="s">
        <v>1123</v>
      </c>
      <c r="H3683" s="852" t="s">
        <v>125</v>
      </c>
      <c r="I3683" s="1241">
        <f>[2]Data!Y31</f>
        <v>5800</v>
      </c>
      <c r="J3683" s="852" t="s">
        <v>1123</v>
      </c>
      <c r="K3683" s="852">
        <f>F3683*I3683</f>
        <v>870</v>
      </c>
      <c r="L3683" s="852"/>
      <c r="M3683" s="852"/>
    </row>
    <row r="3684" spans="5:13">
      <c r="E3684" s="852"/>
      <c r="F3684" s="852">
        <v>1</v>
      </c>
      <c r="G3684" s="852" t="s">
        <v>1</v>
      </c>
      <c r="H3684" s="852" t="s">
        <v>2176</v>
      </c>
      <c r="I3684" s="852">
        <f>I3623</f>
        <v>636</v>
      </c>
      <c r="J3684" s="852" t="s">
        <v>1</v>
      </c>
      <c r="K3684" s="852">
        <f>F3684*I3684</f>
        <v>636</v>
      </c>
      <c r="L3684" s="852"/>
      <c r="M3684" s="852"/>
    </row>
    <row r="3685" spans="5:13">
      <c r="E3685" s="852"/>
      <c r="F3685" s="852">
        <v>2</v>
      </c>
      <c r="G3685" s="852" t="s">
        <v>1</v>
      </c>
      <c r="H3685" s="852" t="s">
        <v>145</v>
      </c>
      <c r="I3685" s="1241">
        <f>I2871</f>
        <v>718</v>
      </c>
      <c r="J3685" s="852" t="s">
        <v>1</v>
      </c>
      <c r="K3685" s="852">
        <f>F3685*I3685</f>
        <v>1436</v>
      </c>
      <c r="L3685" s="852"/>
      <c r="M3685" s="852"/>
    </row>
    <row r="3686" spans="5:13">
      <c r="E3686" s="852"/>
      <c r="F3686" s="852">
        <v>4</v>
      </c>
      <c r="G3686" s="852" t="s">
        <v>1</v>
      </c>
      <c r="H3686" s="852" t="s">
        <v>2185</v>
      </c>
      <c r="I3686" s="852">
        <f>I3590</f>
        <v>497</v>
      </c>
      <c r="J3686" s="852" t="s">
        <v>1</v>
      </c>
      <c r="K3686" s="852">
        <f>F3686*I3686</f>
        <v>1988</v>
      </c>
      <c r="L3686" s="852"/>
      <c r="M3686" s="852"/>
    </row>
    <row r="3687" spans="5:13" ht="30" customHeight="1">
      <c r="E3687" s="852"/>
      <c r="F3687" s="852"/>
      <c r="G3687" s="852"/>
      <c r="H3687" s="1220" t="s">
        <v>2177</v>
      </c>
      <c r="I3687" s="852"/>
      <c r="J3687" s="852"/>
      <c r="K3687" s="1231">
        <v>101</v>
      </c>
      <c r="L3687" s="852"/>
      <c r="M3687" s="852"/>
    </row>
    <row r="3688" spans="5:13" ht="18.75" customHeight="1">
      <c r="E3688" s="852"/>
      <c r="F3688" s="852"/>
      <c r="G3688" s="852"/>
      <c r="H3688" s="1227" t="s">
        <v>2178</v>
      </c>
      <c r="I3688" s="852"/>
      <c r="J3688" s="852"/>
      <c r="K3688" s="852">
        <f>SUM(K3682:K3687)</f>
        <v>6570</v>
      </c>
      <c r="L3688" s="852"/>
      <c r="M3688" s="852">
        <f>K3688-M3689</f>
        <v>846</v>
      </c>
    </row>
    <row r="3689" spans="5:13" ht="18.75" customHeight="1">
      <c r="E3689" s="852"/>
      <c r="F3689" s="852"/>
      <c r="G3689" s="852"/>
      <c r="H3689" s="1229" t="s">
        <v>2094</v>
      </c>
      <c r="I3689" s="852"/>
      <c r="J3689" s="852"/>
      <c r="K3689" s="1296">
        <f>K3688/90</f>
        <v>73</v>
      </c>
      <c r="L3689" s="852">
        <f>58.5*90</f>
        <v>5265</v>
      </c>
      <c r="M3689" s="852">
        <f>63.6*90</f>
        <v>5724</v>
      </c>
    </row>
    <row r="3690" spans="5:13">
      <c r="E3690" s="852"/>
      <c r="F3690" s="852"/>
      <c r="G3690" s="852"/>
      <c r="H3690" s="852"/>
      <c r="I3690" s="852"/>
      <c r="J3690" s="852"/>
      <c r="K3690" s="852"/>
      <c r="L3690" s="852">
        <f>L3689-K3688</f>
        <v>-1305</v>
      </c>
      <c r="M3690" s="852"/>
    </row>
    <row r="3691" spans="5:13" ht="20.25" customHeight="1">
      <c r="E3691" s="852"/>
      <c r="F3691" s="852"/>
      <c r="G3691" s="852"/>
      <c r="H3691" s="1230" t="s">
        <v>4282</v>
      </c>
      <c r="I3691" s="852"/>
      <c r="J3691" s="852"/>
      <c r="K3691" s="852"/>
      <c r="L3691" s="852"/>
      <c r="M3691" s="852"/>
    </row>
    <row r="3692" spans="5:13" ht="20.25" customHeight="1">
      <c r="E3692" s="852"/>
      <c r="F3692" s="852"/>
      <c r="G3692" s="852"/>
      <c r="H3692" s="852" t="s">
        <v>4283</v>
      </c>
      <c r="I3692" s="852"/>
      <c r="J3692" s="852"/>
      <c r="K3692" s="852">
        <f>K3689</f>
        <v>73</v>
      </c>
      <c r="L3692" s="852"/>
      <c r="M3692" s="852"/>
    </row>
    <row r="3693" spans="5:13" ht="20.25" customHeight="1">
      <c r="E3693" s="852"/>
      <c r="F3693" s="852">
        <v>1</v>
      </c>
      <c r="G3693" s="852" t="s">
        <v>231</v>
      </c>
      <c r="H3693" s="852" t="s">
        <v>4284</v>
      </c>
      <c r="I3693" s="1223">
        <f>I3682</f>
        <v>17.100000000000001</v>
      </c>
      <c r="J3693" s="852" t="s">
        <v>231</v>
      </c>
      <c r="K3693" s="852">
        <f>F3693*I3693</f>
        <v>17.100000000000001</v>
      </c>
      <c r="L3693" s="852"/>
      <c r="M3693" s="852"/>
    </row>
    <row r="3694" spans="5:13" ht="20.25" customHeight="1">
      <c r="E3694" s="852"/>
      <c r="F3694" s="852">
        <v>1</v>
      </c>
      <c r="G3694" s="852" t="s">
        <v>231</v>
      </c>
      <c r="H3694" s="852" t="s">
        <v>4285</v>
      </c>
      <c r="I3694" s="1223">
        <f>I3113</f>
        <v>25.4</v>
      </c>
      <c r="J3694" s="852" t="s">
        <v>231</v>
      </c>
      <c r="K3694" s="852">
        <f>F3694*I3694</f>
        <v>25.4</v>
      </c>
      <c r="L3694" s="852"/>
      <c r="M3694" s="852"/>
    </row>
    <row r="3695" spans="5:13" ht="20.25" customHeight="1">
      <c r="E3695" s="852"/>
      <c r="F3695" s="852"/>
      <c r="G3695" s="852"/>
      <c r="H3695" s="852"/>
      <c r="I3695" s="852"/>
      <c r="J3695" s="852"/>
      <c r="K3695" s="1230">
        <f>(K3692-K3693)+K3694</f>
        <v>81.3</v>
      </c>
      <c r="L3695" s="852"/>
      <c r="M3695" s="852"/>
    </row>
    <row r="3696" spans="5:13" ht="20.25" customHeight="1">
      <c r="E3696" s="852"/>
      <c r="F3696" s="852"/>
      <c r="G3696" s="852"/>
      <c r="H3696" s="1230" t="s">
        <v>4286</v>
      </c>
      <c r="I3696" s="852"/>
      <c r="J3696" s="852"/>
      <c r="K3696" s="852"/>
      <c r="L3696" s="852"/>
      <c r="M3696" s="852"/>
    </row>
    <row r="3697" spans="5:13">
      <c r="E3697" s="852"/>
      <c r="F3697" s="852"/>
      <c r="G3697" s="852"/>
      <c r="H3697" s="1230"/>
      <c r="I3697" s="852"/>
      <c r="J3697" s="852"/>
      <c r="K3697" s="852"/>
      <c r="L3697" s="852"/>
      <c r="M3697" s="852"/>
    </row>
    <row r="3698" spans="5:13" ht="19.5" customHeight="1">
      <c r="E3698" s="852"/>
      <c r="F3698" s="852"/>
      <c r="G3698" s="852"/>
      <c r="H3698" s="1230" t="s">
        <v>4287</v>
      </c>
      <c r="I3698" s="852"/>
      <c r="J3698" s="852"/>
      <c r="K3698" s="852"/>
      <c r="L3698" s="852"/>
      <c r="M3698" s="852"/>
    </row>
    <row r="3699" spans="5:13" ht="21.75" customHeight="1">
      <c r="E3699" s="852"/>
      <c r="F3699" s="852">
        <v>1</v>
      </c>
      <c r="G3699" s="852" t="s">
        <v>164</v>
      </c>
      <c r="H3699" s="852" t="s">
        <v>4288</v>
      </c>
      <c r="I3699" s="1223">
        <v>37.1</v>
      </c>
      <c r="J3699" s="852" t="s">
        <v>164</v>
      </c>
      <c r="K3699" s="852">
        <f>F3699*I3699</f>
        <v>37.1</v>
      </c>
      <c r="L3699" s="852"/>
      <c r="M3699" s="852"/>
    </row>
    <row r="3700" spans="5:13" ht="21.75" customHeight="1">
      <c r="E3700" s="852"/>
      <c r="F3700" s="1224">
        <v>1.4999999999999999E-2</v>
      </c>
      <c r="G3700" s="852" t="s">
        <v>174</v>
      </c>
      <c r="H3700" s="1246" t="s">
        <v>4289</v>
      </c>
      <c r="I3700" s="1223">
        <f>I3000</f>
        <v>563</v>
      </c>
      <c r="J3700" s="852" t="s">
        <v>174</v>
      </c>
      <c r="K3700" s="852">
        <f>F3700*I3700</f>
        <v>8.4450000000000003</v>
      </c>
      <c r="L3700" s="852"/>
      <c r="M3700" s="852"/>
    </row>
    <row r="3701" spans="5:13" ht="21.75" customHeight="1">
      <c r="E3701" s="852"/>
      <c r="F3701" s="852"/>
      <c r="G3701" s="852"/>
      <c r="H3701" s="852" t="s">
        <v>4290</v>
      </c>
      <c r="I3701" s="852"/>
      <c r="J3701" s="852" t="s">
        <v>166</v>
      </c>
      <c r="K3701" s="852">
        <v>7.45</v>
      </c>
      <c r="L3701" s="852"/>
      <c r="M3701" s="852"/>
    </row>
    <row r="3702" spans="5:13" ht="21.75" customHeight="1">
      <c r="E3702" s="852"/>
      <c r="F3702" s="852"/>
      <c r="G3702" s="852"/>
      <c r="H3702" s="1229" t="s">
        <v>2553</v>
      </c>
      <c r="I3702" s="852"/>
      <c r="J3702" s="852"/>
      <c r="K3702" s="1230">
        <f>SUM(K3699:K3701)</f>
        <v>52.995000000000005</v>
      </c>
      <c r="L3702" s="852">
        <f>K3702-49</f>
        <v>3.9950000000000045</v>
      </c>
      <c r="M3702" s="852"/>
    </row>
    <row r="3703" spans="5:13">
      <c r="E3703" s="852"/>
      <c r="F3703" s="852"/>
      <c r="G3703" s="852"/>
      <c r="H3703" s="852"/>
      <c r="I3703" s="852"/>
      <c r="J3703" s="852"/>
      <c r="K3703" s="852"/>
      <c r="L3703" s="852"/>
      <c r="M3703" s="852"/>
    </row>
    <row r="3704" spans="5:13">
      <c r="E3704" s="852"/>
      <c r="F3704" s="852"/>
      <c r="G3704" s="852"/>
      <c r="H3704" s="1230" t="s">
        <v>4291</v>
      </c>
      <c r="I3704" s="852"/>
      <c r="J3704" s="852"/>
      <c r="K3704" s="852"/>
      <c r="L3704" s="852"/>
      <c r="M3704" s="852"/>
    </row>
    <row r="3705" spans="5:13">
      <c r="E3705" s="852"/>
      <c r="F3705" s="852"/>
      <c r="G3705" s="852"/>
      <c r="H3705" s="852"/>
      <c r="I3705" s="852"/>
      <c r="J3705" s="852"/>
      <c r="K3705" s="852"/>
      <c r="L3705" s="852"/>
      <c r="M3705" s="852"/>
    </row>
    <row r="3706" spans="5:13" ht="57.75" customHeight="1">
      <c r="E3706" s="852"/>
      <c r="F3706" s="852"/>
      <c r="G3706" s="852"/>
      <c r="H3706" s="1246" t="s">
        <v>4292</v>
      </c>
      <c r="I3706" s="852"/>
      <c r="J3706" s="852"/>
      <c r="K3706" s="852"/>
      <c r="L3706" s="852"/>
      <c r="M3706" s="852"/>
    </row>
    <row r="3707" spans="5:13">
      <c r="E3707" s="852"/>
      <c r="F3707" s="852"/>
      <c r="G3707" s="852"/>
      <c r="H3707" s="852"/>
      <c r="I3707" s="852"/>
      <c r="J3707" s="852"/>
      <c r="K3707" s="852"/>
      <c r="L3707" s="852"/>
      <c r="M3707" s="852"/>
    </row>
    <row r="3708" spans="5:13" ht="21.75" customHeight="1">
      <c r="E3708" s="852"/>
      <c r="F3708" s="852">
        <v>1</v>
      </c>
      <c r="G3708" s="852" t="s">
        <v>164</v>
      </c>
      <c r="H3708" s="852" t="s">
        <v>4293</v>
      </c>
      <c r="I3708" s="1222">
        <v>13.8</v>
      </c>
      <c r="J3708" s="852" t="s">
        <v>164</v>
      </c>
      <c r="K3708" s="852">
        <f>F3708*I3708</f>
        <v>13.8</v>
      </c>
      <c r="L3708" s="852"/>
      <c r="M3708" s="852"/>
    </row>
    <row r="3709" spans="5:13" ht="21.75" customHeight="1">
      <c r="E3709" s="852"/>
      <c r="F3709" s="852">
        <v>0.01</v>
      </c>
      <c r="G3709" s="852" t="s">
        <v>4294</v>
      </c>
      <c r="H3709" s="852" t="s">
        <v>4289</v>
      </c>
      <c r="I3709" s="1223">
        <f>I3700</f>
        <v>563</v>
      </c>
      <c r="J3709" s="852" t="s">
        <v>174</v>
      </c>
      <c r="K3709" s="852">
        <f>F3709*I3709</f>
        <v>5.63</v>
      </c>
      <c r="L3709" s="852"/>
      <c r="M3709" s="852"/>
    </row>
    <row r="3710" spans="5:13" ht="21.75" customHeight="1">
      <c r="E3710" s="852"/>
      <c r="F3710" s="852">
        <v>1</v>
      </c>
      <c r="G3710" s="852" t="s">
        <v>164</v>
      </c>
      <c r="H3710" s="852" t="s">
        <v>4295</v>
      </c>
      <c r="I3710" s="1236">
        <v>49.5</v>
      </c>
      <c r="J3710" s="852" t="s">
        <v>164</v>
      </c>
      <c r="K3710" s="852">
        <f>F3710*I3710</f>
        <v>49.5</v>
      </c>
      <c r="L3710" s="852"/>
      <c r="M3710" s="852"/>
    </row>
    <row r="3711" spans="5:13" ht="21.75" customHeight="1">
      <c r="E3711" s="852"/>
      <c r="F3711" s="852"/>
      <c r="G3711" s="852"/>
      <c r="H3711" s="852" t="s">
        <v>4296</v>
      </c>
      <c r="I3711" s="852" t="s">
        <v>166</v>
      </c>
      <c r="J3711" s="852"/>
      <c r="K3711" s="1231">
        <v>7.07</v>
      </c>
      <c r="L3711" s="852"/>
      <c r="M3711" s="852"/>
    </row>
    <row r="3712" spans="5:13" ht="21.75" customHeight="1">
      <c r="E3712" s="852"/>
      <c r="F3712" s="852"/>
      <c r="G3712" s="852"/>
      <c r="H3712" s="1229" t="s">
        <v>4297</v>
      </c>
      <c r="I3712" s="852"/>
      <c r="J3712" s="852"/>
      <c r="K3712" s="1230">
        <f>SUM(K3708:K3711)</f>
        <v>76</v>
      </c>
      <c r="L3712" s="852"/>
      <c r="M3712" s="852">
        <f>K3712-75</f>
        <v>1</v>
      </c>
    </row>
    <row r="3713" spans="5:18">
      <c r="E3713" s="852"/>
      <c r="F3713" s="852"/>
      <c r="G3713" s="852"/>
      <c r="H3713" s="852"/>
      <c r="I3713" s="852"/>
      <c r="J3713" s="852"/>
      <c r="K3713" s="852"/>
      <c r="L3713" s="852"/>
      <c r="M3713" s="852"/>
    </row>
    <row r="3714" spans="5:18">
      <c r="E3714" s="852"/>
      <c r="F3714" s="852"/>
      <c r="G3714" s="852"/>
      <c r="H3714" s="1230" t="s">
        <v>4298</v>
      </c>
      <c r="I3714" s="852"/>
      <c r="J3714" s="852"/>
      <c r="K3714" s="852"/>
      <c r="L3714" s="852"/>
      <c r="M3714" s="852"/>
    </row>
    <row r="3715" spans="5:18">
      <c r="E3715" s="852"/>
      <c r="F3715" s="852"/>
      <c r="G3715" s="852"/>
      <c r="H3715" s="852"/>
      <c r="I3715" s="852"/>
      <c r="J3715" s="852"/>
      <c r="K3715" s="852"/>
      <c r="L3715" s="852"/>
      <c r="M3715" s="852"/>
      <c r="O3715" s="804" t="s">
        <v>4299</v>
      </c>
    </row>
    <row r="3716" spans="5:18" ht="207" customHeight="1">
      <c r="E3716" s="852"/>
      <c r="F3716" s="852"/>
      <c r="G3716" s="852"/>
      <c r="H3716" s="1297" t="s">
        <v>4300</v>
      </c>
      <c r="I3716" s="852"/>
      <c r="J3716" s="852"/>
      <c r="K3716" s="852"/>
      <c r="L3716" s="852"/>
      <c r="M3716" s="1472" t="s">
        <v>4301</v>
      </c>
      <c r="N3716" s="1472"/>
      <c r="O3716" s="1472"/>
      <c r="P3716" s="1472"/>
      <c r="Q3716" s="1472"/>
      <c r="R3716" s="1472"/>
    </row>
    <row r="3717" spans="5:18" ht="19.5">
      <c r="E3717" s="852"/>
      <c r="F3717" s="852"/>
      <c r="G3717" s="852"/>
      <c r="H3717" s="852"/>
      <c r="I3717" s="852"/>
      <c r="J3717" s="852"/>
      <c r="K3717" s="852"/>
      <c r="L3717" s="852"/>
      <c r="M3717" s="1298">
        <v>1</v>
      </c>
      <c r="N3717" s="1298" t="s">
        <v>164</v>
      </c>
      <c r="O3717" s="1299" t="s">
        <v>4302</v>
      </c>
      <c r="P3717" s="1299">
        <v>290</v>
      </c>
      <c r="Q3717" s="1299" t="s">
        <v>227</v>
      </c>
      <c r="R3717" s="1299">
        <f>P3717*M3717</f>
        <v>290</v>
      </c>
    </row>
    <row r="3718" spans="5:18" ht="22.5" customHeight="1">
      <c r="F3718" s="852">
        <v>6</v>
      </c>
      <c r="G3718" s="852" t="s">
        <v>231</v>
      </c>
      <c r="H3718" s="852" t="s">
        <v>4303</v>
      </c>
      <c r="I3718" s="1222">
        <v>244.4</v>
      </c>
      <c r="J3718" s="852" t="s">
        <v>231</v>
      </c>
      <c r="K3718" s="852">
        <f>F3718*I3718</f>
        <v>1466.4</v>
      </c>
      <c r="L3718" s="852"/>
      <c r="M3718" s="1298">
        <v>2</v>
      </c>
      <c r="N3718" s="1298" t="s">
        <v>164</v>
      </c>
      <c r="O3718" s="1300" t="s">
        <v>4304</v>
      </c>
      <c r="P3718" s="1299">
        <v>5.58</v>
      </c>
      <c r="Q3718" s="1299" t="s">
        <v>227</v>
      </c>
      <c r="R3718" s="1299">
        <f>P3718*M3718</f>
        <v>11.16</v>
      </c>
    </row>
    <row r="3719" spans="5:18" ht="22.5" customHeight="1">
      <c r="F3719" s="852">
        <v>2</v>
      </c>
      <c r="G3719" s="852" t="s">
        <v>231</v>
      </c>
      <c r="H3719" s="852" t="str">
        <f>H3666</f>
        <v>20 mm dia 'B' class GI pipe p- 51 it-150 vi</v>
      </c>
      <c r="I3719" s="1223">
        <f>I3666</f>
        <v>98.6</v>
      </c>
      <c r="J3719" s="852" t="s">
        <v>231</v>
      </c>
      <c r="K3719" s="852">
        <f>F3719*I3719</f>
        <v>197.2</v>
      </c>
      <c r="L3719" s="852"/>
      <c r="M3719" s="1298">
        <v>1</v>
      </c>
      <c r="N3719" s="1298" t="s">
        <v>4305</v>
      </c>
      <c r="O3719" s="1299" t="s">
        <v>4306</v>
      </c>
      <c r="P3719" s="1299">
        <v>8.5500000000000007</v>
      </c>
      <c r="Q3719" s="1299" t="s">
        <v>4305</v>
      </c>
      <c r="R3719" s="1299">
        <f>P3719*M3719</f>
        <v>8.5500000000000007</v>
      </c>
    </row>
    <row r="3720" spans="5:18" ht="22.5" customHeight="1">
      <c r="F3720" s="852">
        <v>1</v>
      </c>
      <c r="G3720" s="852" t="s">
        <v>164</v>
      </c>
      <c r="H3720" s="852" t="s">
        <v>4307</v>
      </c>
      <c r="I3720" s="852">
        <v>194.1</v>
      </c>
      <c r="J3720" s="852" t="s">
        <v>164</v>
      </c>
      <c r="K3720" s="852">
        <f>F3720*I3720</f>
        <v>194.1</v>
      </c>
      <c r="L3720" s="852"/>
      <c r="M3720" s="1301"/>
      <c r="N3720" s="1302"/>
      <c r="O3720" s="1300" t="s">
        <v>236</v>
      </c>
      <c r="P3720" s="1302"/>
      <c r="Q3720" s="1302"/>
      <c r="R3720" s="1302">
        <v>3.23</v>
      </c>
    </row>
    <row r="3721" spans="5:18" ht="22.5" customHeight="1">
      <c r="F3721" s="852">
        <v>1</v>
      </c>
      <c r="G3721" s="852" t="s">
        <v>164</v>
      </c>
      <c r="H3721" s="852" t="s">
        <v>4308</v>
      </c>
      <c r="I3721" s="1223">
        <v>89.3</v>
      </c>
      <c r="J3721" s="852" t="s">
        <v>164</v>
      </c>
      <c r="K3721" s="852">
        <f>F3721*I3721</f>
        <v>89.3</v>
      </c>
      <c r="L3721" s="852"/>
      <c r="M3721" s="1301"/>
      <c r="N3721" s="1302"/>
      <c r="O3721" s="1300" t="s">
        <v>4081</v>
      </c>
      <c r="P3721" s="1302"/>
      <c r="Q3721" s="1302"/>
      <c r="R3721" s="1302">
        <f>R3729</f>
        <v>212.0625</v>
      </c>
    </row>
    <row r="3722" spans="5:18" ht="22.5" customHeight="1">
      <c r="F3722" s="1224">
        <v>0.23799999999999999</v>
      </c>
      <c r="G3722" s="852" t="s">
        <v>429</v>
      </c>
      <c r="H3722" s="852" t="s">
        <v>4309</v>
      </c>
      <c r="I3722" s="1223">
        <v>6400</v>
      </c>
      <c r="J3722" s="852" t="s">
        <v>429</v>
      </c>
      <c r="K3722" s="852">
        <f>F3722*I3722</f>
        <v>1523.1999999999998</v>
      </c>
      <c r="L3722" s="852"/>
      <c r="M3722" s="1301"/>
      <c r="N3722" s="1302"/>
      <c r="O3722" s="1303" t="s">
        <v>2553</v>
      </c>
      <c r="P3722" s="1302"/>
      <c r="Q3722" s="1302"/>
      <c r="R3722" s="1304">
        <f>SUM(R3717:R3721)</f>
        <v>525.00250000000005</v>
      </c>
    </row>
    <row r="3723" spans="5:18" ht="43.5" customHeight="1">
      <c r="F3723" s="852"/>
      <c r="G3723" s="852" t="s">
        <v>166</v>
      </c>
      <c r="H3723" s="1246" t="s">
        <v>4310</v>
      </c>
      <c r="I3723" s="852" t="s">
        <v>166</v>
      </c>
      <c r="J3723" s="852"/>
      <c r="K3723" s="852">
        <v>250</v>
      </c>
      <c r="L3723" s="852"/>
      <c r="M3723" s="1301"/>
      <c r="N3723" s="1302"/>
      <c r="O3723" s="1305" t="s">
        <v>4311</v>
      </c>
      <c r="P3723" s="1302"/>
      <c r="Q3723" s="1302"/>
      <c r="R3723" s="1302"/>
    </row>
    <row r="3724" spans="5:18" ht="60.75" customHeight="1">
      <c r="F3724" s="852">
        <v>1</v>
      </c>
      <c r="G3724" s="852" t="s">
        <v>164</v>
      </c>
      <c r="H3724" s="1220" t="s">
        <v>4312</v>
      </c>
      <c r="I3724" s="852" t="s">
        <v>166</v>
      </c>
      <c r="J3724" s="852"/>
      <c r="K3724" s="1231">
        <v>97.7</v>
      </c>
      <c r="L3724" s="852"/>
      <c r="M3724" s="1298">
        <v>1</v>
      </c>
      <c r="N3724" s="1298" t="str">
        <f>N3717</f>
        <v>No</v>
      </c>
      <c r="O3724" s="1299" t="str">
        <f t="shared" ref="O3724:P3726" si="103">H3730</f>
        <v>Wiremen Grade I</v>
      </c>
      <c r="P3724" s="1299">
        <f t="shared" si="103"/>
        <v>636</v>
      </c>
      <c r="Q3724" s="1299" t="s">
        <v>164</v>
      </c>
      <c r="R3724" s="1299">
        <f>P3724*M3724</f>
        <v>636</v>
      </c>
    </row>
    <row r="3725" spans="5:18" ht="37.5" customHeight="1">
      <c r="F3725" s="852">
        <v>8</v>
      </c>
      <c r="G3725" s="852" t="s">
        <v>231</v>
      </c>
      <c r="H3725" s="1246" t="s">
        <v>4313</v>
      </c>
      <c r="I3725" s="852">
        <f>I2843</f>
        <v>13.5</v>
      </c>
      <c r="J3725" s="852"/>
      <c r="K3725" s="852">
        <f>F3725*I3725</f>
        <v>108</v>
      </c>
      <c r="L3725" s="852"/>
      <c r="M3725" s="1298">
        <v>2</v>
      </c>
      <c r="N3725" s="1298" t="str">
        <f>N3718</f>
        <v>No</v>
      </c>
      <c r="O3725" s="1299" t="str">
        <f t="shared" si="103"/>
        <v>Wiremen Grade II</v>
      </c>
      <c r="P3725" s="1299">
        <f t="shared" si="103"/>
        <v>633</v>
      </c>
      <c r="Q3725" s="1299" t="s">
        <v>164</v>
      </c>
      <c r="R3725" s="1299">
        <f>P3725*M3725</f>
        <v>1266</v>
      </c>
    </row>
    <row r="3726" spans="5:18" ht="19.5">
      <c r="E3726" s="852"/>
      <c r="F3726" s="852"/>
      <c r="G3726" s="852"/>
      <c r="H3726" s="852" t="s">
        <v>656</v>
      </c>
      <c r="I3726" s="852"/>
      <c r="J3726" s="852"/>
      <c r="K3726" s="852">
        <f>K3733</f>
        <v>2578</v>
      </c>
      <c r="L3726" s="852"/>
      <c r="M3726" s="1298">
        <v>3</v>
      </c>
      <c r="N3726" s="1298" t="s">
        <v>164</v>
      </c>
      <c r="O3726" s="1299" t="str">
        <f t="shared" si="103"/>
        <v>Helper</v>
      </c>
      <c r="P3726" s="1299">
        <f t="shared" si="103"/>
        <v>497</v>
      </c>
      <c r="Q3726" s="1299" t="s">
        <v>164</v>
      </c>
      <c r="R3726" s="1299">
        <f>P3726*M3726</f>
        <v>1491</v>
      </c>
    </row>
    <row r="3727" spans="5:18" ht="19.5">
      <c r="E3727" s="852"/>
      <c r="F3727" s="852"/>
      <c r="G3727" s="852"/>
      <c r="H3727" s="1229" t="s">
        <v>2553</v>
      </c>
      <c r="I3727" s="852"/>
      <c r="J3727" s="852"/>
      <c r="K3727" s="1230">
        <f>SUM(K3718:K3726)+1.1</f>
        <v>6505</v>
      </c>
      <c r="L3727" s="852">
        <f>K3727-5160</f>
        <v>1345</v>
      </c>
      <c r="M3727" s="1298"/>
      <c r="N3727" s="1298"/>
      <c r="O3727" s="1306" t="s">
        <v>4314</v>
      </c>
      <c r="P3727" s="1302"/>
      <c r="Q3727" s="1302"/>
      <c r="R3727" s="1304">
        <f>SUM(R3724:R3726)</f>
        <v>3393</v>
      </c>
    </row>
    <row r="3728" spans="5:18" ht="3.75" customHeight="1">
      <c r="E3728" s="852"/>
      <c r="F3728" s="852"/>
      <c r="G3728" s="852"/>
      <c r="H3728" s="852"/>
      <c r="I3728" s="852"/>
      <c r="J3728" s="852"/>
      <c r="K3728" s="852"/>
      <c r="L3728" s="852"/>
      <c r="M3728" s="1301"/>
      <c r="N3728" s="1302"/>
      <c r="O3728" s="1302"/>
      <c r="P3728" s="1302"/>
      <c r="Q3728" s="1302"/>
      <c r="R3728" s="1302"/>
    </row>
    <row r="3729" spans="5:18" ht="19.5">
      <c r="E3729" s="852"/>
      <c r="F3729" s="852"/>
      <c r="G3729" s="852"/>
      <c r="H3729" s="1228" t="s">
        <v>2142</v>
      </c>
      <c r="I3729" s="852"/>
      <c r="J3729" s="852"/>
      <c r="K3729" s="852"/>
      <c r="L3729" s="852"/>
      <c r="M3729" s="1301"/>
      <c r="N3729" s="1302"/>
      <c r="O3729" s="1307" t="s">
        <v>2321</v>
      </c>
      <c r="P3729" s="1302"/>
      <c r="Q3729" s="1302"/>
      <c r="R3729" s="1302">
        <f>R3727/16</f>
        <v>212.0625</v>
      </c>
    </row>
    <row r="3730" spans="5:18" ht="19.5">
      <c r="E3730" s="852"/>
      <c r="F3730" s="852">
        <v>0.5</v>
      </c>
      <c r="G3730" s="852" t="s">
        <v>164</v>
      </c>
      <c r="H3730" s="852" t="s">
        <v>4017</v>
      </c>
      <c r="I3730" s="852">
        <f>I3623</f>
        <v>636</v>
      </c>
      <c r="J3730" s="852" t="s">
        <v>164</v>
      </c>
      <c r="K3730" s="852">
        <f>F3730*I3730</f>
        <v>318</v>
      </c>
      <c r="L3730" s="852"/>
      <c r="M3730" s="1301"/>
      <c r="N3730" s="1302"/>
      <c r="O3730" s="1302"/>
      <c r="P3730" s="1302"/>
      <c r="Q3730" s="1302"/>
      <c r="R3730" s="1302"/>
    </row>
    <row r="3731" spans="5:18">
      <c r="E3731" s="852"/>
      <c r="F3731" s="852">
        <v>2</v>
      </c>
      <c r="G3731" s="852" t="s">
        <v>164</v>
      </c>
      <c r="H3731" s="852" t="s">
        <v>4008</v>
      </c>
      <c r="I3731" s="852">
        <f>I3624</f>
        <v>633</v>
      </c>
      <c r="J3731" s="852" t="s">
        <v>164</v>
      </c>
      <c r="K3731" s="852">
        <f>F3731*I3731</f>
        <v>1266</v>
      </c>
      <c r="L3731" s="852"/>
      <c r="M3731" s="852"/>
    </row>
    <row r="3732" spans="5:18">
      <c r="E3732" s="852"/>
      <c r="F3732" s="852">
        <v>2</v>
      </c>
      <c r="G3732" s="852" t="s">
        <v>164</v>
      </c>
      <c r="H3732" s="852" t="s">
        <v>3710</v>
      </c>
      <c r="I3732" s="852">
        <f>I3625</f>
        <v>497</v>
      </c>
      <c r="J3732" s="852" t="s">
        <v>164</v>
      </c>
      <c r="K3732" s="852">
        <f>F3732*I3732</f>
        <v>994</v>
      </c>
      <c r="L3732" s="852"/>
      <c r="M3732" s="852"/>
    </row>
    <row r="3733" spans="5:18">
      <c r="E3733" s="852"/>
      <c r="F3733" s="852"/>
      <c r="G3733" s="852"/>
      <c r="H3733" s="852"/>
      <c r="I3733" s="852"/>
      <c r="J3733" s="852"/>
      <c r="K3733" s="1228">
        <f>SUM(K3730:K3732)</f>
        <v>2578</v>
      </c>
      <c r="L3733" s="852"/>
      <c r="M3733" s="852"/>
    </row>
    <row r="3734" spans="5:18">
      <c r="E3734" s="852"/>
      <c r="F3734" s="852"/>
      <c r="G3734" s="852"/>
      <c r="H3734" s="852"/>
      <c r="I3734" s="852"/>
      <c r="J3734" s="852"/>
      <c r="K3734" s="852"/>
      <c r="L3734" s="852"/>
      <c r="M3734" s="852"/>
    </row>
    <row r="3735" spans="5:18" ht="24.95" customHeight="1">
      <c r="E3735" s="852"/>
      <c r="F3735" s="852"/>
      <c r="G3735" s="852"/>
      <c r="H3735" s="1230" t="s">
        <v>4315</v>
      </c>
      <c r="I3735" s="852"/>
      <c r="J3735" s="852"/>
      <c r="K3735" s="852"/>
      <c r="L3735" s="852"/>
      <c r="M3735" s="852"/>
    </row>
    <row r="3736" spans="5:18">
      <c r="E3736" s="852"/>
      <c r="F3736" s="852"/>
      <c r="G3736" s="852"/>
      <c r="H3736" s="852"/>
      <c r="I3736" s="852"/>
      <c r="J3736" s="852"/>
      <c r="K3736" s="852"/>
      <c r="L3736" s="852"/>
      <c r="M3736" s="852"/>
    </row>
    <row r="3737" spans="5:18" ht="24.95" customHeight="1">
      <c r="E3737" s="852"/>
      <c r="F3737" s="852"/>
      <c r="G3737" s="852"/>
      <c r="H3737" s="1230" t="s">
        <v>4316</v>
      </c>
      <c r="I3737" s="852"/>
      <c r="J3737" s="852"/>
      <c r="K3737" s="852"/>
      <c r="L3737" s="852"/>
      <c r="M3737" s="852"/>
    </row>
    <row r="3738" spans="5:18">
      <c r="E3738" s="852"/>
      <c r="F3738" s="852"/>
      <c r="G3738" s="852"/>
      <c r="H3738" s="852"/>
      <c r="I3738" s="852"/>
      <c r="J3738" s="852"/>
      <c r="K3738" s="852"/>
      <c r="L3738" s="852"/>
      <c r="M3738" s="852"/>
    </row>
    <row r="3739" spans="5:18">
      <c r="E3739" s="852"/>
      <c r="F3739" s="852">
        <v>1</v>
      </c>
      <c r="G3739" s="852" t="s">
        <v>164</v>
      </c>
      <c r="H3739" s="852" t="s">
        <v>4317</v>
      </c>
      <c r="I3739" s="1308">
        <v>1197</v>
      </c>
      <c r="J3739" s="852" t="s">
        <v>164</v>
      </c>
      <c r="K3739" s="852">
        <f>F3739*I3739</f>
        <v>1197</v>
      </c>
      <c r="L3739" s="852"/>
      <c r="M3739" s="852"/>
    </row>
    <row r="3740" spans="5:18" ht="35.25" customHeight="1">
      <c r="E3740" s="852"/>
      <c r="F3740" s="852"/>
      <c r="G3740" s="852"/>
      <c r="H3740" s="1220" t="s">
        <v>4318</v>
      </c>
      <c r="I3740" s="1222">
        <v>274.10000000000002</v>
      </c>
      <c r="J3740" s="852" t="s">
        <v>164</v>
      </c>
      <c r="K3740" s="852">
        <f>I3740</f>
        <v>274.10000000000002</v>
      </c>
      <c r="L3740" s="852"/>
      <c r="M3740" s="852"/>
    </row>
    <row r="3741" spans="5:18" ht="39" customHeight="1">
      <c r="E3741" s="852"/>
      <c r="F3741" s="852"/>
      <c r="G3741" s="852"/>
      <c r="H3741" s="1220" t="s">
        <v>4319</v>
      </c>
      <c r="I3741" s="852"/>
      <c r="J3741" s="852"/>
      <c r="K3741" s="1222">
        <v>25.7</v>
      </c>
      <c r="L3741" s="852"/>
      <c r="M3741" s="852">
        <f>K3739+K3740+K3741</f>
        <v>1496.8</v>
      </c>
    </row>
    <row r="3742" spans="5:18">
      <c r="E3742" s="852"/>
      <c r="F3742" s="852"/>
      <c r="G3742" s="852"/>
      <c r="H3742" s="852" t="s">
        <v>4320</v>
      </c>
      <c r="I3742" s="852"/>
      <c r="J3742" s="1241">
        <f>SUM(K3739:K3741)</f>
        <v>1496.8</v>
      </c>
      <c r="K3742" s="1231">
        <f>J3742*1%-0.27</f>
        <v>14.698</v>
      </c>
      <c r="L3742" s="852"/>
      <c r="M3742" s="852"/>
    </row>
    <row r="3743" spans="5:18">
      <c r="E3743" s="852"/>
      <c r="F3743" s="852"/>
      <c r="G3743" s="852"/>
      <c r="H3743" s="852" t="s">
        <v>4321</v>
      </c>
      <c r="I3743" s="852"/>
      <c r="J3743" s="852"/>
      <c r="K3743" s="852">
        <f>K3750</f>
        <v>407.5</v>
      </c>
      <c r="L3743" s="852"/>
      <c r="M3743" s="852"/>
    </row>
    <row r="3744" spans="5:18" ht="24.95" customHeight="1">
      <c r="E3744" s="852"/>
      <c r="F3744" s="852"/>
      <c r="G3744" s="852"/>
      <c r="H3744" s="1229" t="s">
        <v>4322</v>
      </c>
      <c r="I3744" s="852"/>
      <c r="J3744" s="852"/>
      <c r="K3744" s="1230">
        <f>SUM(K3739:K3743)</f>
        <v>1918.998</v>
      </c>
      <c r="L3744" s="852"/>
      <c r="M3744" s="852">
        <f>1883-K3744</f>
        <v>-35.998000000000047</v>
      </c>
    </row>
    <row r="3745" spans="5:13">
      <c r="E3745" s="852"/>
      <c r="F3745" s="852"/>
      <c r="G3745" s="852"/>
      <c r="H3745" s="852"/>
      <c r="I3745" s="852"/>
      <c r="J3745" s="852"/>
      <c r="K3745" s="852"/>
      <c r="L3745" s="852"/>
      <c r="M3745" s="852"/>
    </row>
    <row r="3746" spans="5:13">
      <c r="E3746" s="852"/>
      <c r="F3746" s="852"/>
      <c r="G3746" s="852"/>
      <c r="H3746" s="1228" t="s">
        <v>656</v>
      </c>
      <c r="I3746" s="852"/>
      <c r="J3746" s="852"/>
      <c r="K3746" s="852"/>
      <c r="L3746" s="852"/>
      <c r="M3746" s="852"/>
    </row>
    <row r="3747" spans="5:13">
      <c r="E3747" s="852"/>
      <c r="F3747" s="852">
        <v>1</v>
      </c>
      <c r="G3747" s="852" t="s">
        <v>164</v>
      </c>
      <c r="H3747" s="852" t="s">
        <v>4017</v>
      </c>
      <c r="I3747" s="852">
        <f>I3730</f>
        <v>636</v>
      </c>
      <c r="J3747" s="852" t="s">
        <v>164</v>
      </c>
      <c r="K3747" s="852">
        <f>F3747*I3747</f>
        <v>636</v>
      </c>
      <c r="L3747" s="852"/>
      <c r="M3747" s="852"/>
    </row>
    <row r="3748" spans="5:13">
      <c r="E3748" s="852"/>
      <c r="F3748" s="852">
        <v>2</v>
      </c>
      <c r="G3748" s="852" t="s">
        <v>164</v>
      </c>
      <c r="H3748" s="852" t="s">
        <v>3710</v>
      </c>
      <c r="I3748" s="852">
        <f>I3732</f>
        <v>497</v>
      </c>
      <c r="J3748" s="852" t="s">
        <v>164</v>
      </c>
      <c r="K3748" s="852">
        <f>F3748*I3748</f>
        <v>994</v>
      </c>
      <c r="L3748" s="852"/>
      <c r="M3748" s="852"/>
    </row>
    <row r="3749" spans="5:13">
      <c r="E3749" s="852"/>
      <c r="F3749" s="852"/>
      <c r="G3749" s="852"/>
      <c r="H3749" s="1227" t="s">
        <v>4323</v>
      </c>
      <c r="I3749" s="852"/>
      <c r="J3749" s="852"/>
      <c r="K3749" s="1228">
        <f>SUM(K3747:K3748)</f>
        <v>1630</v>
      </c>
      <c r="L3749" s="852"/>
      <c r="M3749" s="852"/>
    </row>
    <row r="3750" spans="5:13" ht="24.95" customHeight="1">
      <c r="E3750" s="852"/>
      <c r="F3750" s="852"/>
      <c r="G3750" s="852"/>
      <c r="H3750" s="1229" t="s">
        <v>3615</v>
      </c>
      <c r="I3750" s="852"/>
      <c r="J3750" s="852"/>
      <c r="K3750" s="1230">
        <f>K3749/4</f>
        <v>407.5</v>
      </c>
      <c r="L3750" s="852"/>
      <c r="M3750" s="852"/>
    </row>
    <row r="3751" spans="5:13">
      <c r="E3751" s="852"/>
      <c r="F3751" s="852"/>
      <c r="G3751" s="852"/>
      <c r="H3751" s="852"/>
      <c r="I3751" s="852"/>
      <c r="J3751" s="852"/>
      <c r="K3751" s="852"/>
      <c r="L3751" s="852"/>
      <c r="M3751" s="852"/>
    </row>
    <row r="3752" spans="5:13">
      <c r="E3752" s="852"/>
      <c r="F3752" s="852"/>
      <c r="G3752" s="852"/>
      <c r="H3752" s="852"/>
      <c r="I3752" s="852"/>
      <c r="J3752" s="852"/>
      <c r="K3752" s="852"/>
      <c r="L3752" s="852"/>
      <c r="M3752" s="852"/>
    </row>
    <row r="3753" spans="5:13" ht="24.95" customHeight="1">
      <c r="E3753" s="852"/>
      <c r="F3753" s="852"/>
      <c r="G3753" s="852"/>
      <c r="H3753" s="1230" t="s">
        <v>4324</v>
      </c>
      <c r="I3753" s="852"/>
      <c r="J3753" s="852"/>
      <c r="K3753" s="852"/>
      <c r="L3753" s="852"/>
      <c r="M3753" s="852"/>
    </row>
    <row r="3754" spans="5:13">
      <c r="E3754" s="852"/>
      <c r="F3754" s="852"/>
      <c r="G3754" s="852"/>
      <c r="H3754" s="852"/>
      <c r="I3754" s="852"/>
      <c r="J3754" s="852"/>
      <c r="K3754" s="852"/>
      <c r="L3754" s="852"/>
      <c r="M3754" s="852"/>
    </row>
    <row r="3755" spans="5:13" ht="24.95" customHeight="1">
      <c r="E3755" s="852"/>
      <c r="F3755" s="852"/>
      <c r="G3755" s="852"/>
      <c r="H3755" s="1230" t="s">
        <v>4325</v>
      </c>
      <c r="I3755" s="852"/>
      <c r="J3755" s="852"/>
      <c r="K3755" s="852"/>
      <c r="L3755" s="852"/>
      <c r="M3755" s="852"/>
    </row>
    <row r="3756" spans="5:13">
      <c r="E3756" s="852"/>
      <c r="F3756" s="852"/>
      <c r="G3756" s="852"/>
      <c r="H3756" s="852"/>
      <c r="I3756" s="852"/>
      <c r="J3756" s="852"/>
      <c r="K3756" s="852"/>
      <c r="L3756" s="852"/>
      <c r="M3756" s="852"/>
    </row>
    <row r="3757" spans="5:13">
      <c r="E3757" s="852"/>
      <c r="F3757" s="852"/>
      <c r="G3757" s="852"/>
      <c r="H3757" s="852" t="s">
        <v>4326</v>
      </c>
      <c r="I3757" s="1308">
        <v>1047</v>
      </c>
      <c r="J3757" s="852" t="s">
        <v>164</v>
      </c>
      <c r="K3757" s="852">
        <f>I3757</f>
        <v>1047</v>
      </c>
      <c r="L3757" s="852"/>
      <c r="M3757" s="852"/>
    </row>
    <row r="3758" spans="5:13">
      <c r="E3758" s="852"/>
      <c r="F3758" s="852"/>
      <c r="G3758" s="852"/>
      <c r="H3758" s="852" t="s">
        <v>3806</v>
      </c>
      <c r="I3758" s="852">
        <f>I3740</f>
        <v>274.10000000000002</v>
      </c>
      <c r="J3758" s="852" t="s">
        <v>164</v>
      </c>
      <c r="K3758" s="852">
        <f>I3758</f>
        <v>274.10000000000002</v>
      </c>
      <c r="L3758" s="852"/>
      <c r="M3758" s="852"/>
    </row>
    <row r="3759" spans="5:13" ht="31.5">
      <c r="E3759" s="852"/>
      <c r="F3759" s="852"/>
      <c r="G3759" s="852"/>
      <c r="H3759" s="1246" t="str">
        <f>H3741</f>
        <v>Clamp fixing by cheche screws bolts and nuts including connections ( as per SD-114, Elec Data 2020 - 21)</v>
      </c>
      <c r="I3759" s="852"/>
      <c r="J3759" s="852"/>
      <c r="K3759" s="1223">
        <f>K3741</f>
        <v>25.7</v>
      </c>
      <c r="L3759" s="852">
        <f>K3757+K3758+K3759</f>
        <v>1346.8</v>
      </c>
      <c r="M3759" s="852"/>
    </row>
    <row r="3760" spans="5:13">
      <c r="E3760" s="852"/>
      <c r="F3760" s="852"/>
      <c r="G3760" s="852"/>
      <c r="H3760" s="852" t="s">
        <v>4320</v>
      </c>
      <c r="I3760" s="852"/>
      <c r="J3760" s="852">
        <f>K3757+K3758+K3759</f>
        <v>1346.8</v>
      </c>
      <c r="K3760" s="1231">
        <f>J3760*1%+0.23</f>
        <v>13.698</v>
      </c>
      <c r="L3760" s="852">
        <f>13.7-13.47</f>
        <v>0.22999999999999865</v>
      </c>
      <c r="M3760" s="852"/>
    </row>
    <row r="3761" spans="5:13">
      <c r="E3761" s="852"/>
      <c r="F3761" s="852"/>
      <c r="G3761" s="852"/>
      <c r="H3761" s="852" t="s">
        <v>4321</v>
      </c>
      <c r="I3761" s="852"/>
      <c r="J3761" s="852"/>
      <c r="K3761" s="852">
        <f>K3743</f>
        <v>407.5</v>
      </c>
      <c r="L3761" s="852"/>
      <c r="M3761" s="852"/>
    </row>
    <row r="3762" spans="5:13" ht="24.95" customHeight="1">
      <c r="E3762" s="852"/>
      <c r="F3762" s="852"/>
      <c r="G3762" s="852"/>
      <c r="H3762" s="1229" t="s">
        <v>4322</v>
      </c>
      <c r="I3762" s="852"/>
      <c r="J3762" s="852"/>
      <c r="K3762" s="1230">
        <f>SUM(K3757:K3761)</f>
        <v>1767.998</v>
      </c>
      <c r="L3762" s="852">
        <f>K3762*2</f>
        <v>3535.9960000000001</v>
      </c>
      <c r="M3762" s="852"/>
    </row>
    <row r="3763" spans="5:13">
      <c r="E3763" s="852"/>
      <c r="F3763" s="852"/>
      <c r="G3763" s="852"/>
      <c r="H3763" s="852"/>
      <c r="I3763" s="852"/>
      <c r="J3763" s="852"/>
      <c r="K3763" s="852"/>
      <c r="L3763" s="852"/>
      <c r="M3763" s="852"/>
    </row>
    <row r="3764" spans="5:13" ht="24.95" customHeight="1">
      <c r="E3764" s="852"/>
      <c r="F3764" s="852"/>
      <c r="G3764" s="852"/>
      <c r="H3764" s="1230" t="s">
        <v>4327</v>
      </c>
      <c r="I3764" s="852"/>
      <c r="J3764" s="852"/>
      <c r="K3764" s="852"/>
      <c r="L3764" s="852"/>
      <c r="M3764" s="852"/>
    </row>
    <row r="3765" spans="5:13" ht="24.95" customHeight="1">
      <c r="E3765" s="852"/>
      <c r="F3765" s="852">
        <v>1</v>
      </c>
      <c r="G3765" s="852" t="s">
        <v>164</v>
      </c>
      <c r="H3765" s="852" t="s">
        <v>4328</v>
      </c>
      <c r="I3765" s="1222">
        <v>1130</v>
      </c>
      <c r="J3765" s="852" t="s">
        <v>164</v>
      </c>
      <c r="K3765" s="852">
        <f>F3765*I3765</f>
        <v>1130</v>
      </c>
      <c r="L3765" s="852"/>
      <c r="M3765" s="852"/>
    </row>
    <row r="3766" spans="5:13" ht="24.95" customHeight="1">
      <c r="E3766" s="852"/>
      <c r="F3766" s="852">
        <v>1</v>
      </c>
      <c r="G3766" s="852" t="s">
        <v>164</v>
      </c>
      <c r="H3766" s="852" t="s">
        <v>4329</v>
      </c>
      <c r="I3766" s="1223">
        <v>153.80000000000001</v>
      </c>
      <c r="J3766" s="852" t="s">
        <v>164</v>
      </c>
      <c r="K3766" s="852">
        <f>F3766*I3766</f>
        <v>153.80000000000001</v>
      </c>
      <c r="L3766" s="852"/>
      <c r="M3766" s="852"/>
    </row>
    <row r="3767" spans="5:13" ht="24.95" customHeight="1">
      <c r="E3767" s="852"/>
      <c r="F3767" s="852"/>
      <c r="G3767" s="852"/>
      <c r="H3767" s="1229" t="s">
        <v>4322</v>
      </c>
      <c r="I3767" s="852"/>
      <c r="J3767" s="852"/>
      <c r="K3767" s="1230">
        <f>SUM(K3765:K3766)+0.2</f>
        <v>1284</v>
      </c>
      <c r="L3767" s="852"/>
      <c r="M3767" s="852"/>
    </row>
    <row r="3768" spans="5:13" ht="23.25" customHeight="1">
      <c r="E3768" s="852"/>
      <c r="F3768" s="852"/>
      <c r="G3768" s="852"/>
      <c r="H3768" s="1229"/>
      <c r="I3768" s="852"/>
      <c r="J3768" s="852"/>
      <c r="K3768" s="1230"/>
      <c r="L3768" s="852"/>
      <c r="M3768" s="852"/>
    </row>
    <row r="3769" spans="5:13" ht="24.95" customHeight="1">
      <c r="E3769" s="852"/>
      <c r="F3769" s="852"/>
      <c r="G3769" s="852"/>
      <c r="H3769" s="1309" t="s">
        <v>4330</v>
      </c>
      <c r="I3769" s="852"/>
      <c r="J3769" s="852"/>
      <c r="K3769" s="852"/>
      <c r="L3769" s="852"/>
      <c r="M3769" s="852"/>
    </row>
    <row r="3770" spans="5:13" ht="24.95" customHeight="1">
      <c r="E3770" s="852"/>
      <c r="F3770" s="852">
        <v>1</v>
      </c>
      <c r="G3770" s="852" t="s">
        <v>164</v>
      </c>
      <c r="H3770" s="852" t="s">
        <v>4331</v>
      </c>
      <c r="I3770" s="1223">
        <v>303</v>
      </c>
      <c r="J3770" s="852" t="s">
        <v>164</v>
      </c>
      <c r="K3770" s="852">
        <f>F3770*I3770</f>
        <v>303</v>
      </c>
      <c r="L3770" s="852"/>
      <c r="M3770" s="852"/>
    </row>
    <row r="3771" spans="5:13" ht="24.95" customHeight="1">
      <c r="E3771" s="852"/>
      <c r="F3771" s="852">
        <v>1</v>
      </c>
      <c r="G3771" s="852" t="s">
        <v>164</v>
      </c>
      <c r="H3771" s="852" t="s">
        <v>4332</v>
      </c>
      <c r="I3771" s="1223">
        <v>35.6</v>
      </c>
      <c r="J3771" s="852" t="s">
        <v>164</v>
      </c>
      <c r="K3771" s="852">
        <f>F3771*I3771</f>
        <v>35.6</v>
      </c>
      <c r="L3771" s="852"/>
      <c r="M3771" s="852"/>
    </row>
    <row r="3772" spans="5:13" ht="24.95" customHeight="1">
      <c r="E3772" s="852"/>
      <c r="F3772" s="852"/>
      <c r="G3772" s="852"/>
      <c r="H3772" s="852" t="s">
        <v>4333</v>
      </c>
      <c r="I3772" s="852"/>
      <c r="J3772" s="852"/>
      <c r="K3772" s="852">
        <f>K3243</f>
        <v>212.0625</v>
      </c>
      <c r="L3772" s="852"/>
      <c r="M3772" s="852"/>
    </row>
    <row r="3773" spans="5:13" ht="24.95" customHeight="1">
      <c r="E3773" s="852"/>
      <c r="F3773" s="852"/>
      <c r="G3773" s="852"/>
      <c r="H3773" s="852" t="s">
        <v>236</v>
      </c>
      <c r="I3773" s="852"/>
      <c r="J3773" s="852"/>
      <c r="K3773" s="852">
        <v>3.34</v>
      </c>
      <c r="L3773" s="852"/>
      <c r="M3773" s="852"/>
    </row>
    <row r="3774" spans="5:13" ht="24.95" customHeight="1">
      <c r="E3774" s="852"/>
      <c r="F3774" s="852"/>
      <c r="G3774" s="852"/>
      <c r="H3774" s="1229" t="s">
        <v>4322</v>
      </c>
      <c r="I3774" s="852"/>
      <c r="J3774" s="852"/>
      <c r="K3774" s="1230">
        <f>SUM(K3770:K3773)</f>
        <v>554.00250000000005</v>
      </c>
      <c r="L3774" s="852">
        <f>K3774-697</f>
        <v>-142.99749999999995</v>
      </c>
      <c r="M3774" s="852"/>
    </row>
    <row r="3775" spans="5:13">
      <c r="E3775" s="852"/>
      <c r="F3775" s="852"/>
      <c r="G3775" s="852"/>
      <c r="H3775" s="852"/>
      <c r="I3775" s="852"/>
      <c r="J3775" s="852"/>
      <c r="K3775" s="852"/>
      <c r="L3775" s="852"/>
      <c r="M3775" s="852"/>
    </row>
    <row r="3776" spans="5:13" ht="24.95" customHeight="1">
      <c r="E3776" s="852"/>
      <c r="F3776" s="852"/>
      <c r="G3776" s="852"/>
      <c r="H3776" s="1309" t="s">
        <v>4334</v>
      </c>
      <c r="I3776" s="852"/>
      <c r="J3776" s="852"/>
      <c r="K3776" s="852"/>
      <c r="L3776" s="852"/>
      <c r="M3776" s="852"/>
    </row>
    <row r="3777" spans="5:13" s="1261" customFormat="1" ht="24.95" customHeight="1">
      <c r="E3777" s="1260"/>
      <c r="F3777" s="1260">
        <v>1</v>
      </c>
      <c r="G3777" s="1260" t="s">
        <v>164</v>
      </c>
      <c r="H3777" s="1242" t="s">
        <v>4335</v>
      </c>
      <c r="I3777" s="1310">
        <v>227</v>
      </c>
      <c r="J3777" s="1260" t="s">
        <v>164</v>
      </c>
      <c r="K3777" s="1260">
        <f>F3777*I3777</f>
        <v>227</v>
      </c>
      <c r="L3777" s="1260"/>
      <c r="M3777" s="1260"/>
    </row>
    <row r="3778" spans="5:13" ht="24.95" customHeight="1">
      <c r="E3778" s="852"/>
      <c r="F3778" s="852">
        <v>1</v>
      </c>
      <c r="G3778" s="852" t="s">
        <v>164</v>
      </c>
      <c r="H3778" s="852" t="str">
        <f>H3771</f>
        <v>slim tube light 36 w P-111 4 b</v>
      </c>
      <c r="I3778" s="1223">
        <v>34.799999999999997</v>
      </c>
      <c r="J3778" s="852" t="s">
        <v>164</v>
      </c>
      <c r="K3778" s="852">
        <f>F3778*I3778</f>
        <v>34.799999999999997</v>
      </c>
      <c r="L3778" s="852"/>
      <c r="M3778" s="852"/>
    </row>
    <row r="3779" spans="5:13" ht="24.95" customHeight="1">
      <c r="E3779" s="852"/>
      <c r="F3779" s="852"/>
      <c r="G3779" s="852"/>
      <c r="H3779" s="852" t="s">
        <v>4333</v>
      </c>
      <c r="I3779" s="852"/>
      <c r="J3779" s="852"/>
      <c r="K3779" s="852">
        <f>K3772</f>
        <v>212.0625</v>
      </c>
      <c r="L3779" s="852"/>
      <c r="M3779" s="852"/>
    </row>
    <row r="3780" spans="5:13" ht="24.95" customHeight="1">
      <c r="E3780" s="852"/>
      <c r="F3780" s="852"/>
      <c r="G3780" s="852"/>
      <c r="H3780" s="852" t="s">
        <v>236</v>
      </c>
      <c r="I3780" s="852"/>
      <c r="J3780" s="852"/>
      <c r="K3780" s="852">
        <v>2.14</v>
      </c>
      <c r="L3780" s="852"/>
      <c r="M3780" s="852"/>
    </row>
    <row r="3781" spans="5:13" ht="24.95" customHeight="1">
      <c r="E3781" s="852"/>
      <c r="F3781" s="852"/>
      <c r="G3781" s="852"/>
      <c r="H3781" s="1229" t="s">
        <v>4322</v>
      </c>
      <c r="I3781" s="852"/>
      <c r="J3781" s="852"/>
      <c r="K3781" s="1230">
        <f>SUM(K3777:K3780)</f>
        <v>476.0025</v>
      </c>
      <c r="L3781" s="852">
        <f>K3781-496</f>
        <v>-19.997500000000002</v>
      </c>
      <c r="M3781" s="852"/>
    </row>
    <row r="3782" spans="5:13" ht="19.5">
      <c r="E3782" s="852"/>
      <c r="F3782" s="852"/>
      <c r="G3782" s="852"/>
      <c r="H3782" s="1311" t="s">
        <v>4336</v>
      </c>
      <c r="I3782" s="852"/>
      <c r="J3782" s="852"/>
      <c r="K3782" s="852"/>
      <c r="L3782" s="852"/>
      <c r="M3782" s="852"/>
    </row>
    <row r="3783" spans="5:13">
      <c r="E3783" s="852"/>
      <c r="F3783" s="852">
        <v>1</v>
      </c>
      <c r="G3783" s="852" t="s">
        <v>164</v>
      </c>
      <c r="H3783" s="852" t="s">
        <v>4337</v>
      </c>
      <c r="I3783" s="1236">
        <v>384.3</v>
      </c>
      <c r="J3783" s="852" t="s">
        <v>164</v>
      </c>
      <c r="K3783" s="852">
        <f>F3783*I3783</f>
        <v>384.3</v>
      </c>
      <c r="L3783" s="852"/>
      <c r="M3783" s="852"/>
    </row>
    <row r="3784" spans="5:13">
      <c r="E3784" s="852"/>
      <c r="F3784" s="852"/>
      <c r="G3784" s="852"/>
      <c r="H3784" s="852"/>
      <c r="I3784" s="1223"/>
      <c r="J3784" s="852" t="s">
        <v>164</v>
      </c>
      <c r="K3784" s="852">
        <f>F3784*I3784</f>
        <v>0</v>
      </c>
      <c r="L3784" s="852"/>
      <c r="M3784" s="852"/>
    </row>
    <row r="3785" spans="5:13">
      <c r="E3785" s="852"/>
      <c r="F3785" s="852"/>
      <c r="G3785" s="852"/>
      <c r="H3785" s="852" t="s">
        <v>4338</v>
      </c>
      <c r="I3785" s="852"/>
      <c r="J3785" s="852"/>
      <c r="K3785" s="852">
        <f>K3244</f>
        <v>250.00450000000001</v>
      </c>
      <c r="L3785" s="852"/>
      <c r="M3785" s="852"/>
    </row>
    <row r="3786" spans="5:13">
      <c r="E3786" s="852"/>
      <c r="F3786" s="852"/>
      <c r="G3786" s="852"/>
      <c r="H3786" s="852" t="s">
        <v>236</v>
      </c>
      <c r="I3786" s="852"/>
      <c r="J3786" s="852"/>
      <c r="K3786" s="852">
        <v>0.7</v>
      </c>
      <c r="L3786" s="852"/>
      <c r="M3786" s="852"/>
    </row>
    <row r="3787" spans="5:13">
      <c r="E3787" s="852"/>
      <c r="F3787" s="852"/>
      <c r="G3787" s="852"/>
      <c r="H3787" s="1229" t="s">
        <v>4322</v>
      </c>
      <c r="I3787" s="852"/>
      <c r="J3787" s="852"/>
      <c r="K3787" s="1230">
        <f>SUM(K3783:K3786)</f>
        <v>635.00450000000001</v>
      </c>
      <c r="L3787" s="852"/>
      <c r="M3787" s="852"/>
    </row>
    <row r="3788" spans="5:13">
      <c r="E3788" s="852"/>
      <c r="F3788" s="852"/>
      <c r="G3788" s="852"/>
      <c r="H3788" s="852"/>
      <c r="I3788" s="852"/>
      <c r="J3788" s="852"/>
      <c r="K3788" s="1230"/>
      <c r="L3788" s="852"/>
      <c r="M3788" s="852"/>
    </row>
    <row r="3789" spans="5:13">
      <c r="E3789" s="852"/>
      <c r="F3789" s="852"/>
      <c r="G3789" s="852"/>
      <c r="H3789" s="852"/>
      <c r="I3789" s="852"/>
      <c r="J3789" s="852"/>
      <c r="K3789" s="852"/>
      <c r="L3789" s="852"/>
      <c r="M3789" s="852"/>
    </row>
    <row r="3790" spans="5:13">
      <c r="E3790" s="852"/>
      <c r="H3790" s="804" t="s">
        <v>4339</v>
      </c>
      <c r="L3790" s="852"/>
      <c r="M3790" s="852"/>
    </row>
    <row r="3791" spans="5:13">
      <c r="E3791" s="852"/>
      <c r="L3791" s="852"/>
      <c r="M3791" s="852"/>
    </row>
    <row r="3792" spans="5:13">
      <c r="E3792" s="852"/>
      <c r="H3792" s="804" t="s">
        <v>4340</v>
      </c>
      <c r="L3792" s="852"/>
      <c r="M3792" s="852"/>
    </row>
    <row r="3793" spans="5:13">
      <c r="E3793" s="852"/>
      <c r="L3793" s="852"/>
      <c r="M3793" s="852"/>
    </row>
    <row r="3794" spans="5:13" ht="141.75">
      <c r="E3794" s="852"/>
      <c r="H3794" s="1220" t="s">
        <v>4341</v>
      </c>
      <c r="L3794" s="852"/>
      <c r="M3794" s="852"/>
    </row>
    <row r="3795" spans="5:13">
      <c r="E3795" s="852"/>
      <c r="F3795" s="852">
        <v>90</v>
      </c>
      <c r="G3795" s="852" t="s">
        <v>231</v>
      </c>
      <c r="H3795" s="1140" t="s">
        <v>3838</v>
      </c>
      <c r="I3795" s="852">
        <f>I2843</f>
        <v>13.5</v>
      </c>
      <c r="J3795" s="852" t="s">
        <v>3834</v>
      </c>
      <c r="K3795" s="852">
        <f>F3795*I3795</f>
        <v>1215</v>
      </c>
      <c r="L3795" s="852"/>
      <c r="M3795" s="852"/>
    </row>
    <row r="3796" spans="5:13">
      <c r="E3796" s="852"/>
      <c r="F3796" s="852">
        <v>45</v>
      </c>
      <c r="G3796" s="852" t="s">
        <v>231</v>
      </c>
      <c r="H3796" s="1220" t="s">
        <v>3840</v>
      </c>
      <c r="I3796" s="852">
        <f>I2844</f>
        <v>17.100000000000001</v>
      </c>
      <c r="J3796" s="852" t="s">
        <v>2820</v>
      </c>
      <c r="K3796" s="852">
        <f>F3796*I3796</f>
        <v>769.50000000000011</v>
      </c>
      <c r="L3796" s="852"/>
      <c r="M3796" s="852"/>
    </row>
    <row r="3797" spans="5:13">
      <c r="E3797" s="852"/>
      <c r="F3797" s="852">
        <v>20</v>
      </c>
      <c r="G3797" s="852" t="s">
        <v>164</v>
      </c>
      <c r="H3797" s="852" t="s">
        <v>3844</v>
      </c>
      <c r="I3797" s="852">
        <f>I2845</f>
        <v>2.7</v>
      </c>
      <c r="J3797" s="852" t="s">
        <v>164</v>
      </c>
      <c r="K3797" s="852">
        <f>F3797*I3797</f>
        <v>54</v>
      </c>
      <c r="L3797" s="852"/>
      <c r="M3797" s="852"/>
    </row>
    <row r="3798" spans="5:13">
      <c r="E3798" s="852"/>
      <c r="F3798" s="852">
        <v>150</v>
      </c>
      <c r="G3798" s="852" t="s">
        <v>164</v>
      </c>
      <c r="H3798" s="852" t="s">
        <v>4342</v>
      </c>
      <c r="I3798" s="1222">
        <f>I3934</f>
        <v>287</v>
      </c>
      <c r="J3798" s="852" t="s">
        <v>4343</v>
      </c>
      <c r="K3798" s="852">
        <f>(F3798*I3798)/1000</f>
        <v>43.05</v>
      </c>
      <c r="L3798" s="852"/>
      <c r="M3798" s="852"/>
    </row>
    <row r="3799" spans="5:13">
      <c r="E3799" s="852"/>
      <c r="F3799" s="852">
        <v>10</v>
      </c>
      <c r="G3799" s="852" t="s">
        <v>164</v>
      </c>
      <c r="H3799" s="852" t="s">
        <v>3846</v>
      </c>
      <c r="I3799" s="852">
        <f>I2846</f>
        <v>1.1416666666666666</v>
      </c>
      <c r="J3799" s="852" t="s">
        <v>164</v>
      </c>
      <c r="K3799" s="852">
        <f>F3799*I3799</f>
        <v>11.416666666666666</v>
      </c>
      <c r="L3799" s="852"/>
      <c r="M3799" s="852"/>
    </row>
    <row r="3800" spans="5:13">
      <c r="E3800" s="852"/>
      <c r="F3800" s="852">
        <v>10</v>
      </c>
      <c r="G3800" s="852" t="s">
        <v>164</v>
      </c>
      <c r="H3800" s="852" t="s">
        <v>4344</v>
      </c>
      <c r="I3800" s="1223">
        <v>36.799999999999997</v>
      </c>
      <c r="J3800" s="852" t="s">
        <v>3842</v>
      </c>
      <c r="K3800" s="852">
        <f>(F3800*I3800)/12</f>
        <v>30.666666666666668</v>
      </c>
      <c r="L3800" s="852"/>
      <c r="M3800" s="852"/>
    </row>
    <row r="3801" spans="5:13">
      <c r="E3801" s="852"/>
      <c r="F3801" s="1224">
        <v>1.4999999999999999E-2</v>
      </c>
      <c r="G3801" s="852" t="s">
        <v>174</v>
      </c>
      <c r="H3801" s="852" t="s">
        <v>3938</v>
      </c>
      <c r="I3801" s="852">
        <f>I2849</f>
        <v>563</v>
      </c>
      <c r="J3801" s="852" t="s">
        <v>174</v>
      </c>
      <c r="K3801" s="852">
        <f t="shared" ref="K3801:K3811" si="104">F3801*I3801</f>
        <v>8.4450000000000003</v>
      </c>
      <c r="L3801" s="852"/>
      <c r="M3801" s="852"/>
    </row>
    <row r="3802" spans="5:13">
      <c r="E3802" s="852"/>
      <c r="F3802" s="852">
        <v>10</v>
      </c>
      <c r="G3802" s="852" t="s">
        <v>164</v>
      </c>
      <c r="H3802" s="852" t="s">
        <v>3939</v>
      </c>
      <c r="I3802" s="852">
        <f>I2850</f>
        <v>15.89</v>
      </c>
      <c r="J3802" s="852" t="s">
        <v>164</v>
      </c>
      <c r="K3802" s="852">
        <f>(F3802*I3802)</f>
        <v>158.9</v>
      </c>
      <c r="L3802" s="852"/>
      <c r="M3802" s="852"/>
    </row>
    <row r="3803" spans="5:13">
      <c r="E3803" s="852"/>
      <c r="F3803" s="852">
        <v>10</v>
      </c>
      <c r="G3803" s="852" t="s">
        <v>164</v>
      </c>
      <c r="H3803" s="852" t="s">
        <v>3853</v>
      </c>
      <c r="I3803" s="852">
        <f>I2851</f>
        <v>13.6</v>
      </c>
      <c r="J3803" s="852" t="s">
        <v>164</v>
      </c>
      <c r="K3803" s="852">
        <f t="shared" si="104"/>
        <v>136</v>
      </c>
      <c r="L3803" s="852"/>
      <c r="M3803" s="852"/>
    </row>
    <row r="3804" spans="5:13">
      <c r="E3804" s="852"/>
      <c r="F3804" s="852">
        <v>1</v>
      </c>
      <c r="G3804" s="852" t="s">
        <v>3857</v>
      </c>
      <c r="H3804" s="852" t="s">
        <v>4345</v>
      </c>
      <c r="I3804" s="852">
        <f>I3579</f>
        <v>68.2</v>
      </c>
      <c r="J3804" s="852" t="s">
        <v>3857</v>
      </c>
      <c r="K3804" s="852">
        <f>F3804*I3804</f>
        <v>68.2</v>
      </c>
      <c r="L3804" s="852"/>
      <c r="M3804" s="852"/>
    </row>
    <row r="3805" spans="5:13" s="1261" customFormat="1">
      <c r="E3805" s="1260"/>
      <c r="F3805" s="1260">
        <v>72</v>
      </c>
      <c r="G3805" s="1260" t="s">
        <v>164</v>
      </c>
      <c r="H3805" s="1260" t="s">
        <v>4346</v>
      </c>
      <c r="I3805" s="1310">
        <v>47.7</v>
      </c>
      <c r="J3805" s="1260" t="s">
        <v>3857</v>
      </c>
      <c r="K3805" s="1260">
        <f>(F3805*I3805)/144</f>
        <v>23.85</v>
      </c>
      <c r="L3805" s="1260"/>
      <c r="M3805" s="1260"/>
    </row>
    <row r="3806" spans="5:13">
      <c r="E3806" s="852"/>
      <c r="F3806" s="1226">
        <v>0.16666666666666666</v>
      </c>
      <c r="G3806" s="852" t="s">
        <v>3851</v>
      </c>
      <c r="H3806" s="852" t="s">
        <v>1124</v>
      </c>
      <c r="I3806" s="1238">
        <f>I3100</f>
        <v>290</v>
      </c>
      <c r="J3806" s="852" t="s">
        <v>3851</v>
      </c>
      <c r="K3806" s="852">
        <f t="shared" si="104"/>
        <v>48.333333333333329</v>
      </c>
      <c r="L3806" s="852"/>
      <c r="M3806" s="852"/>
    </row>
    <row r="3807" spans="5:13">
      <c r="E3807" s="852"/>
      <c r="F3807" s="852">
        <v>10</v>
      </c>
      <c r="G3807" s="852" t="s">
        <v>164</v>
      </c>
      <c r="H3807" s="852" t="s">
        <v>4347</v>
      </c>
      <c r="I3807" s="1223">
        <v>13.8</v>
      </c>
      <c r="J3807" s="852" t="s">
        <v>164</v>
      </c>
      <c r="K3807" s="852">
        <f t="shared" si="104"/>
        <v>138</v>
      </c>
      <c r="L3807" s="852"/>
      <c r="M3807" s="852"/>
    </row>
    <row r="3808" spans="5:13">
      <c r="E3808" s="852"/>
      <c r="F3808" s="852">
        <v>1</v>
      </c>
      <c r="G3808" s="852" t="s">
        <v>164</v>
      </c>
      <c r="H3808" s="852" t="s">
        <v>4348</v>
      </c>
      <c r="I3808" s="1223">
        <v>16.5</v>
      </c>
      <c r="J3808" s="852" t="s">
        <v>164</v>
      </c>
      <c r="K3808" s="852">
        <f t="shared" si="104"/>
        <v>16.5</v>
      </c>
      <c r="L3808" s="852"/>
      <c r="M3808" s="852"/>
    </row>
    <row r="3809" spans="5:13">
      <c r="E3809" s="852"/>
      <c r="F3809" s="852">
        <v>0.1</v>
      </c>
      <c r="G3809" s="852" t="s">
        <v>174</v>
      </c>
      <c r="H3809" s="852" t="s">
        <v>4349</v>
      </c>
      <c r="I3809" s="852">
        <f>I2855</f>
        <v>563</v>
      </c>
      <c r="J3809" s="852" t="s">
        <v>174</v>
      </c>
      <c r="K3809" s="852">
        <f t="shared" si="104"/>
        <v>56.300000000000004</v>
      </c>
      <c r="L3809" s="852"/>
      <c r="M3809" s="852"/>
    </row>
    <row r="3810" spans="5:13" ht="31.5">
      <c r="E3810" s="852"/>
      <c r="F3810" s="852">
        <v>45</v>
      </c>
      <c r="G3810" s="852" t="s">
        <v>231</v>
      </c>
      <c r="H3810" s="1140" t="s">
        <v>3861</v>
      </c>
      <c r="I3810" s="852">
        <f>I2856</f>
        <v>13.5</v>
      </c>
      <c r="J3810" s="852" t="s">
        <v>3942</v>
      </c>
      <c r="K3810" s="852">
        <f t="shared" si="104"/>
        <v>607.5</v>
      </c>
      <c r="L3810" s="852"/>
      <c r="M3810" s="852"/>
    </row>
    <row r="3811" spans="5:13">
      <c r="E3811" s="852"/>
      <c r="F3811" s="1226">
        <v>0.5</v>
      </c>
      <c r="G3811" s="852" t="s">
        <v>1213</v>
      </c>
      <c r="H3811" s="1140" t="s">
        <v>4350</v>
      </c>
      <c r="I3811" s="852">
        <f>[2]Data!I3241</f>
        <v>223.2</v>
      </c>
      <c r="J3811" s="852" t="s">
        <v>1213</v>
      </c>
      <c r="K3811" s="852">
        <f t="shared" si="104"/>
        <v>111.6</v>
      </c>
      <c r="L3811" s="852"/>
      <c r="M3811" s="852"/>
    </row>
    <row r="3812" spans="5:13">
      <c r="E3812" s="852"/>
      <c r="F3812" s="852">
        <v>10</v>
      </c>
      <c r="G3812" s="852" t="s">
        <v>3863</v>
      </c>
      <c r="H3812" s="852" t="s">
        <v>656</v>
      </c>
      <c r="I3812" s="852"/>
      <c r="J3812" s="852" t="s">
        <v>166</v>
      </c>
      <c r="K3812" s="852">
        <f>K3831</f>
        <v>3926</v>
      </c>
      <c r="L3812" s="852"/>
      <c r="M3812" s="852"/>
    </row>
    <row r="3813" spans="5:13">
      <c r="E3813" s="852"/>
      <c r="F3813" s="852" t="s">
        <v>166</v>
      </c>
      <c r="G3813" s="852"/>
      <c r="H3813" s="852" t="s">
        <v>4351</v>
      </c>
      <c r="I3813" s="852"/>
      <c r="J3813" s="852" t="s">
        <v>166</v>
      </c>
      <c r="K3813" s="1231">
        <v>26.75</v>
      </c>
      <c r="L3813" s="852"/>
      <c r="M3813" s="852"/>
    </row>
    <row r="3814" spans="5:13">
      <c r="E3814" s="852"/>
      <c r="F3814" s="852"/>
      <c r="G3814" s="852"/>
      <c r="H3814" s="1227" t="s">
        <v>3862</v>
      </c>
      <c r="I3814" s="852"/>
      <c r="J3814" s="852"/>
      <c r="K3814" s="1228">
        <f>SUM(K3795:K3813)</f>
        <v>7450.0116666666672</v>
      </c>
      <c r="L3814" s="852"/>
      <c r="M3814" s="852"/>
    </row>
    <row r="3815" spans="5:13">
      <c r="E3815" s="852"/>
      <c r="F3815" s="852"/>
      <c r="G3815" s="852"/>
      <c r="H3815" s="1229" t="s">
        <v>3864</v>
      </c>
      <c r="I3815" s="852"/>
      <c r="J3815" s="852"/>
      <c r="K3815" s="1230">
        <f>K3814/10</f>
        <v>745.00116666666668</v>
      </c>
      <c r="L3815" s="852">
        <f>628*10</f>
        <v>6280</v>
      </c>
      <c r="M3815" s="852">
        <f>L3815-K3814</f>
        <v>-1170.0116666666672</v>
      </c>
    </row>
    <row r="3816" spans="5:13">
      <c r="E3816" s="852"/>
      <c r="F3816" s="852"/>
      <c r="G3816" s="852"/>
      <c r="H3816" s="852"/>
      <c r="I3816" s="852"/>
      <c r="J3816" s="852"/>
      <c r="K3816" s="852"/>
      <c r="L3816" s="852"/>
      <c r="M3816" s="852"/>
    </row>
    <row r="3817" spans="5:13">
      <c r="E3817" s="852"/>
      <c r="F3817" s="852"/>
      <c r="G3817" s="852"/>
      <c r="H3817" s="852"/>
      <c r="I3817" s="852"/>
      <c r="J3817" s="852"/>
      <c r="K3817" s="852"/>
      <c r="L3817" s="852">
        <f>745*10</f>
        <v>7450</v>
      </c>
      <c r="M3817" s="852">
        <f>L3817-K3814</f>
        <v>-1.166666666722449E-2</v>
      </c>
    </row>
    <row r="3818" spans="5:13">
      <c r="E3818" s="852"/>
      <c r="F3818" s="852"/>
      <c r="G3818" s="852"/>
      <c r="H3818" s="852"/>
      <c r="I3818" s="852"/>
      <c r="J3818" s="852"/>
      <c r="K3818" s="852"/>
      <c r="L3818" s="852"/>
      <c r="M3818" s="852"/>
    </row>
    <row r="3819" spans="5:13">
      <c r="E3819" s="852"/>
      <c r="F3819" s="852"/>
      <c r="G3819" s="852"/>
      <c r="H3819" s="852"/>
      <c r="I3819" s="852"/>
      <c r="J3819" s="852"/>
      <c r="K3819" s="852"/>
      <c r="L3819" s="852"/>
      <c r="M3819" s="852"/>
    </row>
    <row r="3820" spans="5:13">
      <c r="E3820" s="852"/>
      <c r="F3820" s="852"/>
      <c r="G3820" s="1230" t="s">
        <v>3866</v>
      </c>
      <c r="H3820" s="852"/>
      <c r="I3820" s="852"/>
      <c r="J3820" s="852"/>
      <c r="M3820" s="852"/>
    </row>
    <row r="3821" spans="5:13">
      <c r="E3821" s="852"/>
      <c r="F3821" s="852"/>
      <c r="G3821" s="852"/>
      <c r="H3821" s="852"/>
      <c r="I3821" s="852"/>
      <c r="J3821" s="852"/>
      <c r="M3821" s="852"/>
    </row>
    <row r="3822" spans="5:13">
      <c r="E3822" s="852"/>
      <c r="F3822" s="852"/>
      <c r="G3822" s="1230" t="s">
        <v>3658</v>
      </c>
      <c r="H3822" s="852"/>
      <c r="I3822" s="852"/>
      <c r="J3822" s="852"/>
      <c r="M3822" s="852"/>
    </row>
    <row r="3823" spans="5:13">
      <c r="E3823" s="852"/>
      <c r="F3823" s="852"/>
      <c r="G3823" s="852"/>
      <c r="H3823" s="852"/>
      <c r="I3823" s="852"/>
      <c r="J3823" s="852"/>
      <c r="M3823" s="852"/>
    </row>
    <row r="3824" spans="5:13">
      <c r="F3824" s="852">
        <v>1</v>
      </c>
      <c r="G3824" s="852" t="s">
        <v>164</v>
      </c>
      <c r="H3824" s="852" t="s">
        <v>3872</v>
      </c>
      <c r="I3824" s="852">
        <f>I2866</f>
        <v>730</v>
      </c>
      <c r="J3824" s="852" t="s">
        <v>164</v>
      </c>
      <c r="K3824" s="852">
        <f>F3824*I3824</f>
        <v>730</v>
      </c>
      <c r="L3824" s="852"/>
      <c r="M3824" s="852"/>
    </row>
    <row r="3825" spans="5:13">
      <c r="F3825" s="852">
        <v>2</v>
      </c>
      <c r="G3825" s="852" t="s">
        <v>164</v>
      </c>
      <c r="H3825" s="852" t="s">
        <v>3874</v>
      </c>
      <c r="I3825" s="852">
        <f>I2867</f>
        <v>636</v>
      </c>
      <c r="J3825" s="852" t="s">
        <v>164</v>
      </c>
      <c r="K3825" s="852">
        <f>F3825*I3825</f>
        <v>1272</v>
      </c>
      <c r="L3825" s="852"/>
      <c r="M3825" s="852"/>
    </row>
    <row r="3826" spans="5:13">
      <c r="F3826" s="852">
        <v>3</v>
      </c>
      <c r="G3826" s="852" t="s">
        <v>164</v>
      </c>
      <c r="H3826" s="852" t="s">
        <v>3870</v>
      </c>
      <c r="I3826" s="852">
        <f>I2868</f>
        <v>633</v>
      </c>
      <c r="J3826" s="852" t="s">
        <v>164</v>
      </c>
      <c r="K3826" s="852">
        <f>F3826*I3826</f>
        <v>1899</v>
      </c>
      <c r="L3826" s="852"/>
      <c r="M3826" s="852"/>
    </row>
    <row r="3827" spans="5:13">
      <c r="F3827" s="852">
        <v>4</v>
      </c>
      <c r="G3827" s="852" t="s">
        <v>164</v>
      </c>
      <c r="H3827" s="852" t="s">
        <v>3710</v>
      </c>
      <c r="I3827" s="852">
        <f>I2869</f>
        <v>497</v>
      </c>
      <c r="J3827" s="852" t="s">
        <v>164</v>
      </c>
      <c r="K3827" s="852">
        <f>F3827*I3827</f>
        <v>1988</v>
      </c>
      <c r="L3827" s="852"/>
      <c r="M3827" s="852"/>
    </row>
    <row r="3828" spans="5:13">
      <c r="F3828" s="852"/>
      <c r="G3828" s="852"/>
      <c r="H3828" s="852"/>
      <c r="I3828" s="852"/>
      <c r="J3828" s="852"/>
      <c r="K3828" s="852"/>
      <c r="L3828" s="852"/>
      <c r="M3828" s="852"/>
    </row>
    <row r="3829" spans="5:13" ht="51">
      <c r="E3829" s="852"/>
      <c r="F3829" s="852"/>
      <c r="G3829" s="794"/>
      <c r="H3829" s="1233" t="s">
        <v>3876</v>
      </c>
      <c r="J3829" s="794"/>
      <c r="K3829" s="1234">
        <f>SUM(K3824:K3827)</f>
        <v>5889</v>
      </c>
      <c r="L3829" s="1234"/>
      <c r="M3829" s="852"/>
    </row>
    <row r="3830" spans="5:13">
      <c r="E3830" s="852"/>
      <c r="F3830" s="852"/>
      <c r="G3830" s="794"/>
      <c r="J3830" s="794"/>
      <c r="M3830" s="852"/>
    </row>
    <row r="3831" spans="5:13">
      <c r="E3831" s="852"/>
      <c r="F3831" s="852"/>
      <c r="G3831" s="794"/>
      <c r="J3831" s="1235"/>
      <c r="K3831" s="805">
        <f>K3829*2/3</f>
        <v>3926</v>
      </c>
      <c r="L3831" s="805"/>
      <c r="M3831" s="852"/>
    </row>
    <row r="3832" spans="5:13">
      <c r="E3832" s="852"/>
      <c r="F3832" s="852"/>
      <c r="G3832" s="852"/>
      <c r="H3832" s="852"/>
      <c r="I3832" s="852"/>
      <c r="J3832" s="852"/>
      <c r="K3832" s="852"/>
      <c r="L3832" s="852"/>
      <c r="M3832" s="852"/>
    </row>
    <row r="3833" spans="5:13">
      <c r="E3833" s="852"/>
      <c r="F3833" s="852"/>
      <c r="G3833" s="852"/>
      <c r="H3833" s="804" t="s">
        <v>4352</v>
      </c>
      <c r="I3833" s="852"/>
      <c r="J3833" s="852"/>
      <c r="K3833" s="852"/>
      <c r="L3833" s="852"/>
      <c r="M3833" s="852"/>
    </row>
    <row r="3834" spans="5:13">
      <c r="E3834" s="852"/>
      <c r="F3834" s="852"/>
      <c r="G3834" s="852"/>
      <c r="H3834" s="852"/>
      <c r="I3834" s="852"/>
      <c r="J3834" s="852"/>
      <c r="K3834" s="852"/>
      <c r="L3834" s="852"/>
      <c r="M3834" s="852"/>
    </row>
    <row r="3835" spans="5:13" ht="141.75">
      <c r="E3835" s="852"/>
      <c r="F3835" s="852"/>
      <c r="G3835" s="852"/>
      <c r="H3835" s="1220" t="s">
        <v>4353</v>
      </c>
      <c r="I3835" s="852"/>
      <c r="J3835" s="852"/>
      <c r="K3835" s="852"/>
      <c r="L3835" s="852"/>
      <c r="M3835" s="852"/>
    </row>
    <row r="3836" spans="5:13">
      <c r="E3836" s="852"/>
      <c r="F3836" s="852"/>
      <c r="G3836" s="852"/>
      <c r="H3836" s="852" t="s">
        <v>3881</v>
      </c>
      <c r="I3836" s="852"/>
      <c r="J3836" s="852"/>
      <c r="K3836" s="852">
        <f>K3814-K3813</f>
        <v>7423.2616666666672</v>
      </c>
      <c r="L3836" s="852"/>
      <c r="M3836" s="852"/>
    </row>
    <row r="3837" spans="5:13">
      <c r="E3837" s="852"/>
      <c r="F3837" s="852"/>
      <c r="G3837" s="852"/>
      <c r="H3837" s="852" t="s">
        <v>3882</v>
      </c>
      <c r="I3837" s="852"/>
      <c r="J3837" s="1227" t="s">
        <v>4354</v>
      </c>
      <c r="K3837" s="852">
        <f>K3803</f>
        <v>136</v>
      </c>
      <c r="L3837" s="852"/>
      <c r="M3837" s="852"/>
    </row>
    <row r="3838" spans="5:13" ht="31.5">
      <c r="E3838" s="852"/>
      <c r="F3838" s="852"/>
      <c r="G3838" s="852"/>
      <c r="H3838" s="1220" t="str">
        <f>H2881</f>
        <v>Add cost of Bakelite battern type holders 10 Nos @ Rs 16.35 / Each p-115,  it-24</v>
      </c>
      <c r="I3838" s="852"/>
      <c r="J3838" s="852"/>
      <c r="K3838" s="852">
        <f>K2881</f>
        <v>163.5</v>
      </c>
      <c r="L3838" s="852"/>
      <c r="M3838" s="852"/>
    </row>
    <row r="3839" spans="5:13">
      <c r="E3839" s="852"/>
      <c r="F3839" s="852"/>
      <c r="G3839" s="852"/>
      <c r="H3839" s="852" t="s">
        <v>236</v>
      </c>
      <c r="I3839" s="852"/>
      <c r="J3839" s="852"/>
      <c r="K3839" s="1231">
        <v>29.25</v>
      </c>
      <c r="L3839" s="852"/>
      <c r="M3839" s="852"/>
    </row>
    <row r="3840" spans="5:13">
      <c r="E3840" s="852"/>
      <c r="F3840" s="852"/>
      <c r="G3840" s="852"/>
      <c r="H3840" s="1227" t="s">
        <v>3885</v>
      </c>
      <c r="I3840" s="852"/>
      <c r="J3840" s="852"/>
      <c r="K3840" s="1228">
        <f>K3836-K3837+K3838+K3839</f>
        <v>7480.0116666666672</v>
      </c>
      <c r="L3840" s="852">
        <f>L3841-K3840</f>
        <v>-1180.0116666666672</v>
      </c>
      <c r="M3840" s="852"/>
    </row>
    <row r="3841" spans="5:14">
      <c r="E3841" s="852"/>
      <c r="F3841" s="852"/>
      <c r="G3841" s="852"/>
      <c r="H3841" s="1229" t="s">
        <v>3886</v>
      </c>
      <c r="I3841" s="852"/>
      <c r="J3841" s="852"/>
      <c r="K3841" s="1230">
        <f>K3840/10</f>
        <v>748.00116666666668</v>
      </c>
      <c r="L3841" s="852">
        <f>630*10</f>
        <v>6300</v>
      </c>
      <c r="M3841" s="852"/>
    </row>
    <row r="3842" spans="5:14">
      <c r="E3842" s="852"/>
      <c r="F3842" s="852"/>
      <c r="G3842" s="852"/>
      <c r="H3842" s="852"/>
      <c r="I3842" s="852"/>
      <c r="J3842" s="852"/>
      <c r="K3842" s="852"/>
      <c r="L3842" s="852">
        <f>L3841-K3840</f>
        <v>-1180.0116666666672</v>
      </c>
      <c r="M3842" s="852"/>
    </row>
    <row r="3843" spans="5:14">
      <c r="E3843" s="852"/>
      <c r="F3843" s="852"/>
      <c r="G3843" s="852"/>
      <c r="H3843" s="852"/>
      <c r="I3843" s="852"/>
      <c r="J3843" s="852"/>
      <c r="K3843" s="852"/>
      <c r="L3843" s="852">
        <f>750*10</f>
        <v>7500</v>
      </c>
      <c r="M3843" s="852"/>
    </row>
    <row r="3844" spans="5:14">
      <c r="E3844" s="852"/>
      <c r="F3844" s="852"/>
      <c r="G3844" s="852"/>
      <c r="H3844" s="852"/>
      <c r="I3844" s="852"/>
      <c r="J3844" s="852"/>
      <c r="K3844" s="852"/>
      <c r="L3844" s="852">
        <f>L3843-K3840</f>
        <v>19.988333333332776</v>
      </c>
      <c r="M3844" s="852"/>
    </row>
    <row r="3845" spans="5:14" ht="47.25">
      <c r="E3845" s="852"/>
      <c r="F3845" s="852"/>
      <c r="G3845" s="852"/>
      <c r="H3845" s="1218" t="s">
        <v>4355</v>
      </c>
      <c r="I3845" s="852"/>
      <c r="J3845" s="852"/>
      <c r="K3845" s="852"/>
      <c r="L3845" s="852"/>
      <c r="M3845" s="852"/>
    </row>
    <row r="3846" spans="5:14">
      <c r="E3846" s="852"/>
      <c r="F3846" s="852"/>
      <c r="G3846" s="852"/>
      <c r="H3846" s="852"/>
      <c r="I3846" s="852"/>
      <c r="J3846" s="852"/>
      <c r="K3846" s="852"/>
      <c r="L3846" s="852"/>
      <c r="M3846" s="852"/>
    </row>
    <row r="3847" spans="5:14" ht="157.5">
      <c r="E3847" s="852"/>
      <c r="F3847" s="852"/>
      <c r="G3847" s="852"/>
      <c r="H3847" s="1220" t="s">
        <v>4356</v>
      </c>
      <c r="I3847" s="852"/>
      <c r="J3847" s="852"/>
      <c r="K3847" s="852"/>
      <c r="L3847" s="852"/>
      <c r="M3847" s="852"/>
    </row>
    <row r="3848" spans="5:14">
      <c r="E3848" s="852"/>
      <c r="F3848" s="852"/>
      <c r="G3848" s="852"/>
      <c r="H3848" s="852" t="s">
        <v>3891</v>
      </c>
      <c r="I3848" s="852"/>
      <c r="J3848" s="852"/>
      <c r="K3848" s="852">
        <f>K3836</f>
        <v>7423.2616666666672</v>
      </c>
      <c r="L3848" s="852"/>
      <c r="M3848" s="852"/>
    </row>
    <row r="3849" spans="5:14">
      <c r="E3849" s="852"/>
      <c r="F3849" s="852"/>
      <c r="G3849" s="852"/>
      <c r="H3849" s="852" t="s">
        <v>3892</v>
      </c>
      <c r="I3849" s="852"/>
      <c r="J3849" s="852"/>
      <c r="K3849" s="852">
        <f>K3837</f>
        <v>136</v>
      </c>
      <c r="L3849" s="852"/>
      <c r="M3849" s="852"/>
    </row>
    <row r="3850" spans="5:14">
      <c r="E3850" s="852"/>
      <c r="F3850" s="852"/>
      <c r="G3850" s="852"/>
      <c r="H3850" s="852" t="s">
        <v>3893</v>
      </c>
      <c r="I3850" s="852"/>
      <c r="J3850" s="852"/>
      <c r="K3850" s="852">
        <f>K3800</f>
        <v>30.666666666666668</v>
      </c>
      <c r="L3850" s="852"/>
      <c r="M3850" s="852"/>
    </row>
    <row r="3851" spans="5:14">
      <c r="E3851" s="852"/>
      <c r="F3851" s="852"/>
      <c r="G3851" s="852"/>
      <c r="H3851" s="852" t="s">
        <v>3894</v>
      </c>
      <c r="I3851" s="852"/>
      <c r="J3851" s="852" t="s">
        <v>4354</v>
      </c>
      <c r="K3851" s="852">
        <f>K2893</f>
        <v>158.9</v>
      </c>
      <c r="L3851" s="852"/>
      <c r="M3851" s="852"/>
    </row>
    <row r="3852" spans="5:14">
      <c r="E3852" s="852"/>
      <c r="F3852" s="852"/>
      <c r="G3852" s="852"/>
      <c r="H3852" s="852" t="s">
        <v>4357</v>
      </c>
      <c r="I3852" s="852"/>
      <c r="J3852" s="852"/>
      <c r="K3852" s="1223">
        <f>K2894</f>
        <v>409</v>
      </c>
      <c r="L3852" s="852"/>
      <c r="M3852" s="852"/>
      <c r="N3852" s="794">
        <f>190.7/12</f>
        <v>15.891666666666666</v>
      </c>
    </row>
    <row r="3853" spans="5:14" ht="31.5">
      <c r="E3853" s="852"/>
      <c r="F3853" s="852"/>
      <c r="H3853" s="1220" t="s">
        <v>4358</v>
      </c>
      <c r="I3853" s="852"/>
      <c r="J3853" s="852"/>
      <c r="K3853" s="1223">
        <f>10*15.74</f>
        <v>157.4</v>
      </c>
      <c r="L3853" s="852"/>
      <c r="M3853" s="852"/>
    </row>
    <row r="3854" spans="5:14">
      <c r="E3854" s="852"/>
      <c r="F3854" s="852"/>
      <c r="G3854" s="852"/>
      <c r="H3854" s="852" t="s">
        <v>4359</v>
      </c>
      <c r="I3854" s="852"/>
      <c r="J3854" s="852"/>
      <c r="K3854" s="1223">
        <f>16.4*10</f>
        <v>164</v>
      </c>
      <c r="L3854" s="852"/>
      <c r="M3854" s="852"/>
      <c r="N3854" s="794">
        <v>16.5</v>
      </c>
    </row>
    <row r="3855" spans="5:14">
      <c r="E3855" s="852"/>
      <c r="F3855" s="852"/>
      <c r="G3855" s="852"/>
      <c r="H3855" s="852" t="s">
        <v>236</v>
      </c>
      <c r="I3855" s="852"/>
      <c r="J3855" s="852"/>
      <c r="K3855" s="1231">
        <v>31.92</v>
      </c>
      <c r="L3855" s="852"/>
      <c r="M3855" s="852"/>
    </row>
    <row r="3856" spans="5:14">
      <c r="E3856" s="852"/>
      <c r="F3856" s="852"/>
      <c r="G3856" s="852"/>
      <c r="H3856" s="1227" t="s">
        <v>3885</v>
      </c>
      <c r="I3856" s="852"/>
      <c r="J3856" s="852"/>
      <c r="K3856" s="1228">
        <f>(K3848-K3849-K3850-K3851)+(K3852+K3853+K3854+K3855)</f>
        <v>7860.0150000000003</v>
      </c>
      <c r="L3856" s="852"/>
      <c r="M3856" s="852"/>
    </row>
    <row r="3857" spans="5:13">
      <c r="E3857" s="852"/>
      <c r="F3857" s="852"/>
      <c r="G3857" s="852"/>
      <c r="H3857" s="1229" t="s">
        <v>3899</v>
      </c>
      <c r="I3857" s="852"/>
      <c r="J3857" s="852"/>
      <c r="K3857" s="1230">
        <f>K3856/10</f>
        <v>786.00150000000008</v>
      </c>
      <c r="L3857" s="852">
        <f>669*10</f>
        <v>6690</v>
      </c>
      <c r="M3857" s="852">
        <f>L3857-K3856</f>
        <v>-1170.0150000000003</v>
      </c>
    </row>
    <row r="3858" spans="5:13">
      <c r="E3858" s="852"/>
      <c r="F3858" s="852"/>
      <c r="G3858" s="852"/>
      <c r="H3858" s="852"/>
      <c r="I3858" s="852"/>
      <c r="J3858" s="852"/>
      <c r="K3858" s="852"/>
      <c r="L3858" s="852">
        <f>790*10</f>
        <v>7900</v>
      </c>
      <c r="M3858" s="852"/>
    </row>
    <row r="3859" spans="5:13">
      <c r="E3859" s="852"/>
      <c r="F3859" s="852"/>
      <c r="G3859" s="852"/>
      <c r="H3859" s="852"/>
      <c r="I3859" s="852"/>
      <c r="J3859" s="852"/>
      <c r="K3859" s="852"/>
      <c r="L3859" s="852">
        <f>L3858-K3856</f>
        <v>39.984999999999673</v>
      </c>
      <c r="M3859" s="852"/>
    </row>
    <row r="3860" spans="5:13">
      <c r="E3860" s="852"/>
      <c r="F3860" s="852"/>
      <c r="G3860" s="852"/>
      <c r="H3860" s="852"/>
      <c r="I3860" s="852"/>
      <c r="J3860" s="852"/>
      <c r="K3860" s="852"/>
      <c r="L3860" s="852"/>
      <c r="M3860" s="852"/>
    </row>
    <row r="3861" spans="5:13">
      <c r="E3861" s="852"/>
      <c r="F3861" s="852"/>
      <c r="G3861" s="852"/>
      <c r="H3861" s="852"/>
      <c r="I3861" s="852"/>
      <c r="J3861" s="852"/>
      <c r="K3861" s="852"/>
      <c r="L3861" s="852"/>
      <c r="M3861" s="852"/>
    </row>
    <row r="3862" spans="5:13">
      <c r="E3862" s="852"/>
      <c r="F3862" s="852"/>
      <c r="G3862" s="852"/>
      <c r="H3862" s="852"/>
      <c r="I3862" s="852"/>
      <c r="J3862" s="852"/>
      <c r="K3862" s="852"/>
      <c r="L3862" s="852"/>
      <c r="M3862" s="852"/>
    </row>
    <row r="3863" spans="5:13" ht="31.5">
      <c r="E3863" s="852"/>
      <c r="F3863" s="852"/>
      <c r="G3863" s="852"/>
      <c r="H3863" s="1218" t="s">
        <v>4360</v>
      </c>
      <c r="I3863" s="852"/>
      <c r="J3863" s="852"/>
      <c r="K3863" s="852"/>
      <c r="L3863" s="852"/>
      <c r="M3863" s="852"/>
    </row>
    <row r="3864" spans="5:13">
      <c r="E3864" s="852"/>
      <c r="F3864" s="852"/>
      <c r="G3864" s="852"/>
      <c r="I3864" s="852"/>
      <c r="J3864" s="852"/>
      <c r="K3864" s="852"/>
      <c r="L3864" s="852"/>
      <c r="M3864" s="852"/>
    </row>
    <row r="3865" spans="5:13">
      <c r="E3865" s="852"/>
      <c r="F3865" s="852"/>
      <c r="G3865" s="852"/>
      <c r="I3865" s="852"/>
      <c r="J3865" s="852"/>
      <c r="K3865" s="852"/>
      <c r="L3865" s="852"/>
      <c r="M3865" s="852"/>
    </row>
    <row r="3866" spans="5:13">
      <c r="E3866" s="852"/>
      <c r="F3866" s="852"/>
      <c r="G3866" s="852"/>
      <c r="I3866" s="852"/>
      <c r="J3866" s="852"/>
      <c r="K3866" s="852"/>
      <c r="L3866" s="852"/>
      <c r="M3866" s="852"/>
    </row>
    <row r="3867" spans="5:13">
      <c r="E3867" s="852"/>
      <c r="F3867" s="852"/>
      <c r="G3867" s="852"/>
      <c r="I3867" s="852"/>
      <c r="J3867" s="852"/>
      <c r="K3867" s="852"/>
      <c r="L3867" s="852"/>
      <c r="M3867" s="852"/>
    </row>
    <row r="3868" spans="5:13" ht="141">
      <c r="E3868" s="852"/>
      <c r="F3868" s="852"/>
      <c r="G3868" s="852"/>
      <c r="H3868" s="1220" t="s">
        <v>3832</v>
      </c>
      <c r="I3868" s="852"/>
      <c r="J3868" s="852"/>
      <c r="K3868" s="852"/>
      <c r="L3868" s="852"/>
      <c r="M3868" s="852"/>
    </row>
    <row r="3869" spans="5:13">
      <c r="E3869" s="852"/>
      <c r="F3869" s="852"/>
      <c r="G3869" s="852"/>
      <c r="H3869" s="852"/>
      <c r="I3869" s="852"/>
      <c r="J3869" s="852"/>
      <c r="K3869" s="852"/>
      <c r="L3869" s="852"/>
      <c r="M3869" s="852"/>
    </row>
    <row r="3870" spans="5:13">
      <c r="E3870" s="852"/>
      <c r="F3870" s="852"/>
      <c r="G3870" s="852"/>
      <c r="H3870" s="852"/>
      <c r="I3870" s="852"/>
      <c r="J3870" s="852"/>
      <c r="K3870" s="852"/>
      <c r="L3870" s="852"/>
      <c r="M3870" s="852"/>
    </row>
    <row r="3871" spans="5:13">
      <c r="E3871" s="852"/>
      <c r="F3871" s="852"/>
      <c r="G3871" s="852"/>
      <c r="H3871" s="852"/>
      <c r="I3871" s="852"/>
      <c r="J3871" s="852"/>
      <c r="K3871" s="852"/>
      <c r="L3871" s="852"/>
      <c r="M3871" s="852"/>
    </row>
    <row r="3872" spans="5:13">
      <c r="E3872" s="852"/>
      <c r="F3872" s="852"/>
      <c r="G3872" s="852"/>
      <c r="H3872" s="852" t="s">
        <v>3881</v>
      </c>
      <c r="I3872" s="852"/>
      <c r="J3872" s="852"/>
      <c r="K3872" s="852">
        <f>K3848</f>
        <v>7423.2616666666672</v>
      </c>
      <c r="L3872" s="852"/>
      <c r="M3872" s="852"/>
    </row>
    <row r="3873" spans="5:13">
      <c r="E3873" s="852"/>
      <c r="F3873" s="852"/>
      <c r="G3873" s="852"/>
      <c r="H3873" s="852" t="s">
        <v>4361</v>
      </c>
      <c r="I3873" s="852"/>
      <c r="J3873" s="852" t="s">
        <v>4354</v>
      </c>
      <c r="K3873" s="852">
        <f>K3807</f>
        <v>138</v>
      </c>
      <c r="L3873" s="852"/>
      <c r="M3873" s="852"/>
    </row>
    <row r="3874" spans="5:13">
      <c r="E3874" s="852"/>
      <c r="F3874" s="852"/>
      <c r="G3874" s="852"/>
      <c r="H3874" s="852" t="s">
        <v>4362</v>
      </c>
      <c r="I3874" s="852"/>
      <c r="J3874" s="852" t="s">
        <v>4354</v>
      </c>
      <c r="K3874" s="852">
        <f>K3809</f>
        <v>56.300000000000004</v>
      </c>
      <c r="L3874" s="852"/>
      <c r="M3874" s="852"/>
    </row>
    <row r="3875" spans="5:13" ht="33.75" customHeight="1">
      <c r="E3875" s="852"/>
      <c r="F3875" s="852"/>
      <c r="G3875" s="852"/>
      <c r="H3875" s="1220" t="s">
        <v>4363</v>
      </c>
      <c r="I3875" s="852"/>
      <c r="J3875" s="852"/>
      <c r="K3875" s="1223">
        <f>M3875*10</f>
        <v>699</v>
      </c>
      <c r="L3875" s="852"/>
      <c r="M3875" s="852">
        <v>69.900000000000006</v>
      </c>
    </row>
    <row r="3876" spans="5:13">
      <c r="E3876" s="852"/>
      <c r="F3876" s="852"/>
      <c r="G3876" s="852"/>
      <c r="H3876" s="852" t="s">
        <v>4364</v>
      </c>
      <c r="I3876" s="852"/>
      <c r="J3876" s="852"/>
      <c r="K3876" s="1223">
        <f>0.6*563</f>
        <v>337.8</v>
      </c>
      <c r="L3876" s="852"/>
      <c r="M3876" s="852">
        <v>563</v>
      </c>
    </row>
    <row r="3877" spans="5:13">
      <c r="E3877" s="852"/>
      <c r="F3877" s="852"/>
      <c r="G3877" s="852"/>
      <c r="H3877" s="852" t="s">
        <v>4365</v>
      </c>
      <c r="I3877" s="852"/>
      <c r="J3877" s="852"/>
      <c r="K3877" s="1231">
        <v>24.25</v>
      </c>
      <c r="L3877" s="852"/>
      <c r="M3877" s="852"/>
    </row>
    <row r="3878" spans="5:13">
      <c r="E3878" s="852"/>
      <c r="F3878" s="852"/>
      <c r="G3878" s="852"/>
      <c r="H3878" s="1227" t="s">
        <v>3885</v>
      </c>
      <c r="I3878" s="852"/>
      <c r="J3878" s="852"/>
      <c r="K3878" s="1228">
        <f>K3872-K3873-K3874+K3875+K3876+K3877</f>
        <v>8290.0116666666672</v>
      </c>
      <c r="L3878" s="852"/>
      <c r="M3878" s="852"/>
    </row>
    <row r="3879" spans="5:13">
      <c r="E3879" s="852"/>
      <c r="F3879" s="852"/>
      <c r="G3879" s="852"/>
      <c r="H3879" s="1229" t="s">
        <v>3886</v>
      </c>
      <c r="I3879" s="852"/>
      <c r="J3879" s="852"/>
      <c r="K3879" s="1230">
        <f>K3878/10</f>
        <v>829.00116666666668</v>
      </c>
      <c r="L3879" s="852">
        <f>670*10</f>
        <v>6700</v>
      </c>
      <c r="M3879" s="852"/>
    </row>
    <row r="3880" spans="5:13">
      <c r="E3880" s="852"/>
      <c r="F3880" s="852"/>
      <c r="G3880" s="852"/>
      <c r="H3880" s="852"/>
      <c r="I3880" s="852"/>
      <c r="J3880" s="852"/>
      <c r="K3880" s="852"/>
      <c r="L3880" s="852">
        <f>L3879-K3878</f>
        <v>-1590.0116666666672</v>
      </c>
      <c r="M3880" s="852"/>
    </row>
    <row r="3881" spans="5:13">
      <c r="E3881" s="852"/>
      <c r="F3881" s="852"/>
      <c r="G3881" s="852"/>
      <c r="H3881" s="852"/>
      <c r="I3881" s="852"/>
      <c r="J3881" s="852"/>
      <c r="K3881" s="852">
        <f>K3879*6</f>
        <v>4974.0069999999996</v>
      </c>
      <c r="L3881" s="852"/>
      <c r="M3881" s="852"/>
    </row>
    <row r="3882" spans="5:13">
      <c r="E3882" s="852"/>
      <c r="F3882" s="852"/>
      <c r="G3882" s="852"/>
      <c r="H3882" s="852"/>
      <c r="I3882" s="852"/>
      <c r="J3882" s="852"/>
      <c r="K3882" s="852"/>
      <c r="L3882" s="852"/>
      <c r="M3882" s="852"/>
    </row>
    <row r="3883" spans="5:13" ht="31.5">
      <c r="E3883" s="852"/>
      <c r="F3883" s="852"/>
      <c r="G3883" s="852"/>
      <c r="H3883" s="1218" t="s">
        <v>4366</v>
      </c>
      <c r="I3883" s="852"/>
      <c r="J3883" s="852"/>
      <c r="K3883" s="852"/>
      <c r="L3883" s="852"/>
      <c r="M3883" s="852"/>
    </row>
    <row r="3884" spans="5:13" ht="189" customHeight="1">
      <c r="E3884" s="852"/>
      <c r="F3884" s="852"/>
      <c r="G3884" s="852"/>
      <c r="H3884" s="1220" t="s">
        <v>4367</v>
      </c>
      <c r="I3884" s="852"/>
      <c r="J3884" s="852"/>
      <c r="K3884" s="852"/>
      <c r="L3884" s="852"/>
      <c r="M3884" s="852"/>
    </row>
    <row r="3885" spans="5:13">
      <c r="E3885" s="852"/>
      <c r="F3885" s="852">
        <v>90</v>
      </c>
      <c r="G3885" s="852" t="s">
        <v>231</v>
      </c>
      <c r="H3885" s="1140" t="s">
        <v>3838</v>
      </c>
      <c r="I3885" s="852">
        <f>I3049</f>
        <v>13.5</v>
      </c>
      <c r="J3885" s="852" t="s">
        <v>3834</v>
      </c>
      <c r="K3885" s="852">
        <f>F3885*I3885</f>
        <v>1215</v>
      </c>
      <c r="L3885" s="852"/>
      <c r="M3885" s="852"/>
    </row>
    <row r="3886" spans="5:13">
      <c r="E3886" s="852"/>
      <c r="F3886" s="852">
        <v>30</v>
      </c>
      <c r="G3886" s="852" t="s">
        <v>231</v>
      </c>
      <c r="H3886" s="1220" t="s">
        <v>3840</v>
      </c>
      <c r="I3886" s="852">
        <f>I3050</f>
        <v>17.100000000000001</v>
      </c>
      <c r="J3886" s="852" t="s">
        <v>231</v>
      </c>
      <c r="K3886" s="852">
        <f t="shared" ref="K3886:K3895" si="105">F3886*I3886</f>
        <v>513</v>
      </c>
      <c r="L3886" s="852"/>
      <c r="M3886" s="852"/>
    </row>
    <row r="3887" spans="5:13">
      <c r="E3887" s="852"/>
      <c r="F3887" s="852">
        <v>10</v>
      </c>
      <c r="G3887" s="852" t="s">
        <v>164</v>
      </c>
      <c r="H3887" s="852" t="s">
        <v>3844</v>
      </c>
      <c r="I3887" s="852">
        <f>I3051</f>
        <v>2.7</v>
      </c>
      <c r="J3887" s="852" t="s">
        <v>164</v>
      </c>
      <c r="K3887" s="852">
        <f t="shared" si="105"/>
        <v>27</v>
      </c>
      <c r="L3887" s="852"/>
      <c r="M3887" s="852"/>
    </row>
    <row r="3888" spans="5:13">
      <c r="E3888" s="852"/>
      <c r="F3888" s="852">
        <v>5</v>
      </c>
      <c r="G3888" s="852" t="s">
        <v>164</v>
      </c>
      <c r="H3888" s="852" t="s">
        <v>3846</v>
      </c>
      <c r="I3888" s="852">
        <f>I3052</f>
        <v>1.1416666666666666</v>
      </c>
      <c r="J3888" s="852" t="s">
        <v>164</v>
      </c>
      <c r="K3888" s="852">
        <f t="shared" si="105"/>
        <v>5.708333333333333</v>
      </c>
      <c r="L3888" s="852"/>
      <c r="M3888" s="852"/>
    </row>
    <row r="3889" spans="5:13">
      <c r="E3889" s="852"/>
      <c r="F3889" s="852">
        <v>10</v>
      </c>
      <c r="G3889" s="852" t="s">
        <v>164</v>
      </c>
      <c r="H3889" s="852" t="s">
        <v>3958</v>
      </c>
      <c r="I3889" s="852">
        <f>I3053</f>
        <v>19.75</v>
      </c>
      <c r="J3889" s="852" t="s">
        <v>164</v>
      </c>
      <c r="K3889" s="852">
        <f t="shared" si="105"/>
        <v>197.5</v>
      </c>
      <c r="L3889" s="852"/>
      <c r="M3889" s="852"/>
    </row>
    <row r="3890" spans="5:13">
      <c r="E3890" s="852"/>
      <c r="F3890" s="852">
        <v>5</v>
      </c>
      <c r="G3890" s="852" t="s">
        <v>164</v>
      </c>
      <c r="H3890" s="852" t="s">
        <v>4368</v>
      </c>
      <c r="I3890" s="1223">
        <v>5.58</v>
      </c>
      <c r="J3890" s="852" t="s">
        <v>227</v>
      </c>
      <c r="K3890" s="852">
        <f t="shared" si="105"/>
        <v>27.9</v>
      </c>
      <c r="L3890" s="852"/>
      <c r="M3890" s="852"/>
    </row>
    <row r="3891" spans="5:13">
      <c r="E3891" s="852"/>
      <c r="F3891" s="852">
        <v>5</v>
      </c>
      <c r="G3891" s="852" t="s">
        <v>164</v>
      </c>
      <c r="H3891" s="852" t="s">
        <v>3853</v>
      </c>
      <c r="I3891" s="852">
        <f>I3054</f>
        <v>13.6</v>
      </c>
      <c r="J3891" s="852" t="s">
        <v>164</v>
      </c>
      <c r="K3891" s="852">
        <f t="shared" si="105"/>
        <v>68</v>
      </c>
      <c r="L3891" s="852"/>
      <c r="M3891" s="852"/>
    </row>
    <row r="3892" spans="5:13">
      <c r="E3892" s="852"/>
      <c r="F3892" s="1224">
        <v>0.09</v>
      </c>
      <c r="G3892" s="852" t="s">
        <v>174</v>
      </c>
      <c r="H3892" s="852" t="s">
        <v>3915</v>
      </c>
      <c r="I3892" s="852">
        <f>I3057</f>
        <v>563</v>
      </c>
      <c r="J3892" s="852" t="s">
        <v>174</v>
      </c>
      <c r="K3892" s="852">
        <f t="shared" si="105"/>
        <v>50.669999999999995</v>
      </c>
      <c r="L3892" s="852"/>
      <c r="M3892" s="852"/>
    </row>
    <row r="3893" spans="5:13">
      <c r="E3893" s="852"/>
      <c r="F3893" s="852">
        <v>1</v>
      </c>
      <c r="G3893" s="852" t="s">
        <v>3851</v>
      </c>
      <c r="H3893" s="852" t="s">
        <v>1124</v>
      </c>
      <c r="I3893" s="852">
        <f>[2]Data!Y31/20</f>
        <v>290</v>
      </c>
      <c r="J3893" s="852" t="s">
        <v>3851</v>
      </c>
      <c r="K3893" s="852">
        <f t="shared" si="105"/>
        <v>290</v>
      </c>
      <c r="L3893" s="852"/>
      <c r="M3893" s="852"/>
    </row>
    <row r="3894" spans="5:13">
      <c r="E3894" s="852"/>
      <c r="F3894" s="852">
        <v>6</v>
      </c>
      <c r="G3894" s="852" t="s">
        <v>164</v>
      </c>
      <c r="H3894" s="852" t="s">
        <v>4369</v>
      </c>
      <c r="I3894" s="852">
        <f>I3808</f>
        <v>16.5</v>
      </c>
      <c r="J3894" s="852" t="s">
        <v>227</v>
      </c>
      <c r="K3894" s="852">
        <f t="shared" si="105"/>
        <v>99</v>
      </c>
      <c r="L3894" s="852"/>
      <c r="M3894" s="852"/>
    </row>
    <row r="3895" spans="5:13" ht="31.5">
      <c r="E3895" s="852"/>
      <c r="F3895" s="852">
        <v>30</v>
      </c>
      <c r="G3895" s="852" t="s">
        <v>231</v>
      </c>
      <c r="H3895" s="1140" t="s">
        <v>3861</v>
      </c>
      <c r="I3895" s="852">
        <f>I3885</f>
        <v>13.5</v>
      </c>
      <c r="J3895" s="852" t="s">
        <v>3834</v>
      </c>
      <c r="K3895" s="852">
        <f t="shared" si="105"/>
        <v>405</v>
      </c>
      <c r="L3895" s="852"/>
      <c r="M3895" s="852"/>
    </row>
    <row r="3896" spans="5:13">
      <c r="E3896" s="852"/>
      <c r="F3896" s="852"/>
      <c r="G3896" s="852"/>
      <c r="H3896" s="852" t="s">
        <v>656</v>
      </c>
      <c r="I3896" s="852"/>
      <c r="J3896" s="852"/>
      <c r="K3896" s="852">
        <f>K3829</f>
        <v>5889</v>
      </c>
      <c r="L3896" s="852"/>
      <c r="M3896" s="852"/>
    </row>
    <row r="3897" spans="5:13">
      <c r="E3897" s="852"/>
      <c r="F3897" s="852"/>
      <c r="G3897" s="852"/>
      <c r="H3897" s="852" t="s">
        <v>236</v>
      </c>
      <c r="I3897" s="852"/>
      <c r="J3897" s="852"/>
      <c r="K3897" s="1231">
        <v>12.25</v>
      </c>
      <c r="L3897" s="852"/>
      <c r="M3897" s="852"/>
    </row>
    <row r="3898" spans="5:13">
      <c r="E3898" s="852"/>
      <c r="F3898" s="852"/>
      <c r="G3898" s="852"/>
      <c r="H3898" s="1227" t="s">
        <v>3916</v>
      </c>
      <c r="I3898" s="852"/>
      <c r="J3898" s="852"/>
      <c r="K3898" s="1228">
        <f>SUM(K3885:K3897)</f>
        <v>8800.0283333333336</v>
      </c>
      <c r="L3898" s="852"/>
      <c r="M3898" s="852"/>
    </row>
    <row r="3899" spans="5:13">
      <c r="E3899" s="852"/>
      <c r="F3899" s="852"/>
      <c r="G3899" s="852"/>
      <c r="H3899" s="1229" t="s">
        <v>3899</v>
      </c>
      <c r="I3899" s="852"/>
      <c r="J3899" s="852"/>
      <c r="K3899" s="1230">
        <f>K3898/5</f>
        <v>1760.0056666666667</v>
      </c>
      <c r="L3899" s="852">
        <f>1425*5</f>
        <v>7125</v>
      </c>
      <c r="M3899" s="852">
        <f>K3898/5</f>
        <v>1760.0056666666667</v>
      </c>
    </row>
    <row r="3900" spans="5:13">
      <c r="E3900" s="852"/>
      <c r="F3900" s="852"/>
      <c r="G3900" s="852"/>
      <c r="H3900" s="1230"/>
      <c r="I3900" s="852"/>
      <c r="J3900" s="852"/>
      <c r="K3900" s="852"/>
      <c r="L3900" s="852">
        <f>L3899-K3898</f>
        <v>-1675.0283333333336</v>
      </c>
      <c r="M3900" s="852"/>
    </row>
    <row r="3901" spans="5:13">
      <c r="E3901" s="852"/>
      <c r="F3901" s="852"/>
      <c r="G3901" s="852"/>
      <c r="H3901" s="1230" t="s">
        <v>4370</v>
      </c>
      <c r="I3901" s="852"/>
      <c r="J3901" s="852"/>
      <c r="K3901" s="852"/>
      <c r="L3901" s="852"/>
      <c r="M3901" s="852"/>
    </row>
    <row r="3902" spans="5:13">
      <c r="E3902" s="852"/>
      <c r="F3902" s="852"/>
      <c r="G3902" s="852"/>
      <c r="H3902" s="852"/>
      <c r="I3902" s="852"/>
      <c r="J3902" s="852"/>
      <c r="K3902" s="852"/>
      <c r="L3902" s="852"/>
      <c r="M3902" s="852"/>
    </row>
    <row r="3903" spans="5:13" ht="141.75">
      <c r="E3903" s="852"/>
      <c r="F3903" s="852"/>
      <c r="G3903" s="852"/>
      <c r="H3903" s="1220" t="s">
        <v>3919</v>
      </c>
      <c r="I3903" s="852"/>
      <c r="J3903" s="852"/>
      <c r="K3903" s="852"/>
      <c r="L3903" s="852"/>
      <c r="M3903" s="852"/>
    </row>
    <row r="3904" spans="5:13">
      <c r="E3904" s="852"/>
      <c r="F3904" s="852">
        <v>90</v>
      </c>
      <c r="G3904" s="852" t="s">
        <v>231</v>
      </c>
      <c r="H3904" s="1140" t="s">
        <v>3838</v>
      </c>
      <c r="I3904" s="852">
        <f>I2951</f>
        <v>13.5</v>
      </c>
      <c r="J3904" s="852" t="s">
        <v>3942</v>
      </c>
      <c r="K3904" s="852">
        <f>F3904*I3904</f>
        <v>1215</v>
      </c>
      <c r="L3904" s="852"/>
      <c r="M3904" s="852"/>
    </row>
    <row r="3905" spans="5:13">
      <c r="E3905" s="852"/>
      <c r="F3905" s="852">
        <v>45</v>
      </c>
      <c r="G3905" s="852" t="s">
        <v>231</v>
      </c>
      <c r="H3905" s="1220" t="s">
        <v>3840</v>
      </c>
      <c r="I3905" s="852">
        <f t="shared" ref="I3905:I3914" si="106">I2952</f>
        <v>17.100000000000001</v>
      </c>
      <c r="J3905" s="852" t="s">
        <v>231</v>
      </c>
      <c r="K3905" s="852">
        <f t="shared" ref="K3905:K3914" si="107">F3905*I3905</f>
        <v>769.50000000000011</v>
      </c>
      <c r="L3905" s="852"/>
      <c r="M3905" s="852"/>
    </row>
    <row r="3906" spans="5:13">
      <c r="E3906" s="852"/>
      <c r="F3906" s="852">
        <v>20</v>
      </c>
      <c r="G3906" s="852" t="s">
        <v>164</v>
      </c>
      <c r="H3906" s="852" t="s">
        <v>3844</v>
      </c>
      <c r="I3906" s="852">
        <f t="shared" si="106"/>
        <v>2.7</v>
      </c>
      <c r="J3906" s="852" t="s">
        <v>3842</v>
      </c>
      <c r="K3906" s="852">
        <f t="shared" si="107"/>
        <v>54</v>
      </c>
      <c r="L3906" s="852"/>
      <c r="M3906" s="852"/>
    </row>
    <row r="3907" spans="5:13">
      <c r="E3907" s="852"/>
      <c r="F3907" s="852">
        <v>10</v>
      </c>
      <c r="G3907" s="852" t="s">
        <v>164</v>
      </c>
      <c r="H3907" s="852" t="s">
        <v>3846</v>
      </c>
      <c r="I3907" s="852">
        <f t="shared" si="106"/>
        <v>1.1416666666666666</v>
      </c>
      <c r="J3907" s="852" t="s">
        <v>3842</v>
      </c>
      <c r="K3907" s="852">
        <f t="shared" si="107"/>
        <v>11.416666666666666</v>
      </c>
      <c r="L3907" s="852"/>
      <c r="M3907" s="852"/>
    </row>
    <row r="3908" spans="5:13">
      <c r="E3908" s="852"/>
      <c r="F3908" s="852">
        <v>1</v>
      </c>
      <c r="G3908" s="852" t="s">
        <v>164</v>
      </c>
      <c r="H3908" s="852" t="s">
        <v>3914</v>
      </c>
      <c r="I3908" s="852">
        <f t="shared" si="106"/>
        <v>54.9</v>
      </c>
      <c r="J3908" s="852" t="s">
        <v>164</v>
      </c>
      <c r="K3908" s="852">
        <f t="shared" si="107"/>
        <v>54.9</v>
      </c>
      <c r="L3908" s="852"/>
      <c r="M3908" s="852"/>
    </row>
    <row r="3909" spans="5:13">
      <c r="E3909" s="852"/>
      <c r="F3909" s="1224">
        <v>1.4999999999999999E-2</v>
      </c>
      <c r="G3909" s="852" t="s">
        <v>174</v>
      </c>
      <c r="H3909" s="852" t="s">
        <v>3915</v>
      </c>
      <c r="I3909" s="852">
        <f t="shared" si="106"/>
        <v>563</v>
      </c>
      <c r="J3909" s="852" t="s">
        <v>174</v>
      </c>
      <c r="K3909" s="852">
        <f t="shared" si="107"/>
        <v>8.4450000000000003</v>
      </c>
      <c r="L3909" s="852"/>
      <c r="M3909" s="852"/>
    </row>
    <row r="3910" spans="5:13">
      <c r="E3910" s="852"/>
      <c r="F3910" s="852">
        <v>15</v>
      </c>
      <c r="G3910" s="852" t="s">
        <v>164</v>
      </c>
      <c r="H3910" s="852" t="s">
        <v>4371</v>
      </c>
      <c r="I3910" s="852">
        <f t="shared" si="106"/>
        <v>39.591666666666669</v>
      </c>
      <c r="J3910" s="852" t="s">
        <v>164</v>
      </c>
      <c r="K3910" s="852">
        <f t="shared" si="107"/>
        <v>593.875</v>
      </c>
      <c r="L3910" s="852"/>
      <c r="M3910" s="852"/>
    </row>
    <row r="3911" spans="5:13">
      <c r="E3911" s="852"/>
      <c r="F3911" s="852">
        <v>15</v>
      </c>
      <c r="G3911" s="852" t="s">
        <v>164</v>
      </c>
      <c r="H3911" s="852" t="s">
        <v>3914</v>
      </c>
      <c r="I3911" s="852">
        <f t="shared" si="106"/>
        <v>54.9</v>
      </c>
      <c r="J3911" s="852" t="s">
        <v>164</v>
      </c>
      <c r="K3911" s="852">
        <f t="shared" si="107"/>
        <v>823.5</v>
      </c>
      <c r="L3911" s="852"/>
      <c r="M3911" s="852"/>
    </row>
    <row r="3912" spans="5:13">
      <c r="E3912" s="852"/>
      <c r="F3912" s="1224">
        <v>0.22500000000000001</v>
      </c>
      <c r="G3912" s="852" t="s">
        <v>174</v>
      </c>
      <c r="H3912" s="852" t="s">
        <v>3915</v>
      </c>
      <c r="I3912" s="852">
        <f t="shared" si="106"/>
        <v>563</v>
      </c>
      <c r="J3912" s="852" t="s">
        <v>3921</v>
      </c>
      <c r="K3912" s="852">
        <f t="shared" si="107"/>
        <v>126.675</v>
      </c>
      <c r="L3912" s="852"/>
      <c r="M3912" s="852"/>
    </row>
    <row r="3913" spans="5:13">
      <c r="E3913" s="852"/>
      <c r="F3913" s="852">
        <v>1.25</v>
      </c>
      <c r="G3913" s="852" t="s">
        <v>3851</v>
      </c>
      <c r="H3913" s="852" t="s">
        <v>1124</v>
      </c>
      <c r="I3913" s="852">
        <f t="shared" si="106"/>
        <v>290</v>
      </c>
      <c r="J3913" s="852" t="s">
        <v>3851</v>
      </c>
      <c r="K3913" s="852">
        <f t="shared" si="107"/>
        <v>362.5</v>
      </c>
      <c r="L3913" s="852"/>
      <c r="M3913" s="852"/>
    </row>
    <row r="3914" spans="5:13" ht="31.5">
      <c r="E3914" s="852"/>
      <c r="F3914" s="852">
        <v>45</v>
      </c>
      <c r="G3914" s="852" t="s">
        <v>174</v>
      </c>
      <c r="H3914" s="1140" t="s">
        <v>3861</v>
      </c>
      <c r="I3914" s="852">
        <f t="shared" si="106"/>
        <v>13.5</v>
      </c>
      <c r="J3914" s="852" t="s">
        <v>3942</v>
      </c>
      <c r="K3914" s="852">
        <f t="shared" si="107"/>
        <v>607.5</v>
      </c>
      <c r="L3914" s="852"/>
      <c r="M3914" s="852"/>
    </row>
    <row r="3915" spans="5:13">
      <c r="E3915" s="852"/>
      <c r="F3915" s="852"/>
      <c r="G3915" s="852"/>
      <c r="H3915" s="852" t="s">
        <v>656</v>
      </c>
      <c r="I3915" s="852"/>
      <c r="J3915" s="852"/>
      <c r="K3915" s="852">
        <f>K3831</f>
        <v>3926</v>
      </c>
      <c r="L3915" s="852"/>
      <c r="M3915" s="852"/>
    </row>
    <row r="3916" spans="5:13">
      <c r="E3916" s="852"/>
      <c r="F3916" s="852"/>
      <c r="G3916" s="852"/>
      <c r="H3916" s="852" t="s">
        <v>236</v>
      </c>
      <c r="I3916" s="852"/>
      <c r="J3916" s="852"/>
      <c r="K3916" s="852">
        <v>26.7</v>
      </c>
      <c r="L3916" s="852"/>
      <c r="M3916" s="852"/>
    </row>
    <row r="3917" spans="5:13">
      <c r="E3917" s="852"/>
      <c r="F3917" s="852"/>
      <c r="G3917" s="852"/>
      <c r="H3917" s="1227" t="s">
        <v>3922</v>
      </c>
      <c r="I3917" s="852"/>
      <c r="J3917" s="852"/>
      <c r="K3917" s="1228">
        <f>SUM(K3904:K3916)</f>
        <v>8580.0116666666672</v>
      </c>
      <c r="L3917" s="852"/>
      <c r="M3917" s="852"/>
    </row>
    <row r="3918" spans="5:13">
      <c r="E3918" s="852"/>
      <c r="F3918" s="852"/>
      <c r="G3918" s="852"/>
      <c r="H3918" s="1229" t="s">
        <v>3899</v>
      </c>
      <c r="I3918" s="852"/>
      <c r="J3918" s="852"/>
      <c r="K3918" s="1230">
        <f>K3917/15</f>
        <v>572.00077777777778</v>
      </c>
      <c r="L3918" s="852">
        <f>K3918-492</f>
        <v>80.000777777777785</v>
      </c>
      <c r="M3918" s="852">
        <f>L3918-K3917</f>
        <v>-8500.0108888888899</v>
      </c>
    </row>
    <row r="3919" spans="5:13">
      <c r="E3919" s="852"/>
      <c r="F3919" s="852"/>
      <c r="G3919" s="852"/>
      <c r="H3919" s="1230" t="s">
        <v>656</v>
      </c>
      <c r="I3919" s="852"/>
      <c r="J3919" s="852"/>
      <c r="K3919" s="1230"/>
      <c r="L3919" s="852">
        <f>L3918*15</f>
        <v>1200.0116666666668</v>
      </c>
      <c r="M3919" s="852"/>
    </row>
    <row r="3920" spans="5:13">
      <c r="E3920" s="852"/>
      <c r="F3920" s="852">
        <v>1</v>
      </c>
      <c r="G3920" s="852" t="s">
        <v>164</v>
      </c>
      <c r="H3920" s="852" t="s">
        <v>3872</v>
      </c>
      <c r="I3920" s="852">
        <f>I2866</f>
        <v>730</v>
      </c>
      <c r="J3920" s="852" t="s">
        <v>164</v>
      </c>
      <c r="K3920" s="852">
        <f>F3920*I3920</f>
        <v>730</v>
      </c>
      <c r="L3920" s="852"/>
      <c r="M3920" s="852"/>
    </row>
    <row r="3921" spans="5:13">
      <c r="E3921" s="852"/>
      <c r="F3921" s="852">
        <v>2</v>
      </c>
      <c r="G3921" s="852" t="s">
        <v>164</v>
      </c>
      <c r="H3921" s="852" t="s">
        <v>3874</v>
      </c>
      <c r="I3921" s="852">
        <f>I2867</f>
        <v>636</v>
      </c>
      <c r="J3921" s="852" t="s">
        <v>164</v>
      </c>
      <c r="K3921" s="852">
        <f>F3921*I3921</f>
        <v>1272</v>
      </c>
      <c r="L3921" s="852"/>
      <c r="M3921" s="852"/>
    </row>
    <row r="3922" spans="5:13">
      <c r="E3922" s="852"/>
      <c r="F3922" s="852">
        <v>3</v>
      </c>
      <c r="G3922" s="852" t="s">
        <v>164</v>
      </c>
      <c r="H3922" s="852" t="s">
        <v>3870</v>
      </c>
      <c r="I3922" s="852">
        <f>I2868</f>
        <v>633</v>
      </c>
      <c r="J3922" s="852" t="s">
        <v>164</v>
      </c>
      <c r="K3922" s="852">
        <f>F3922*I3922</f>
        <v>1899</v>
      </c>
      <c r="L3922" s="852"/>
      <c r="M3922" s="852"/>
    </row>
    <row r="3923" spans="5:13">
      <c r="E3923" s="852"/>
      <c r="F3923" s="852">
        <v>4</v>
      </c>
      <c r="G3923" s="852" t="s">
        <v>164</v>
      </c>
      <c r="H3923" s="852" t="s">
        <v>3710</v>
      </c>
      <c r="I3923" s="852">
        <f>I2869</f>
        <v>497</v>
      </c>
      <c r="J3923" s="852" t="s">
        <v>164</v>
      </c>
      <c r="K3923" s="852">
        <f>F3923*I3923</f>
        <v>1988</v>
      </c>
      <c r="L3923" s="852"/>
      <c r="M3923" s="852"/>
    </row>
    <row r="3924" spans="5:13">
      <c r="E3924" s="852"/>
      <c r="F3924" s="852"/>
      <c r="G3924" s="852"/>
      <c r="H3924" s="1229"/>
      <c r="I3924" s="852"/>
      <c r="J3924" s="852"/>
      <c r="K3924" s="1230">
        <f>SUM(K3920:K3923)</f>
        <v>5889</v>
      </c>
      <c r="L3924" s="852"/>
      <c r="M3924" s="852"/>
    </row>
    <row r="3925" spans="5:13">
      <c r="E3925" s="852"/>
      <c r="F3925" s="852"/>
      <c r="G3925" s="852"/>
      <c r="H3925" s="1229"/>
      <c r="I3925" s="852"/>
      <c r="J3925" s="852"/>
      <c r="K3925" s="1230"/>
      <c r="L3925" s="852"/>
      <c r="M3925" s="852"/>
    </row>
    <row r="3926" spans="5:13">
      <c r="E3926" s="852"/>
      <c r="F3926" s="852"/>
      <c r="G3926" s="852"/>
      <c r="H3926" s="1229"/>
      <c r="I3926" s="852"/>
      <c r="J3926" s="852"/>
      <c r="K3926" s="1230"/>
      <c r="L3926" s="852"/>
      <c r="M3926" s="852"/>
    </row>
    <row r="3927" spans="5:13">
      <c r="E3927" s="852"/>
      <c r="F3927" s="852"/>
      <c r="G3927" s="852"/>
      <c r="H3927" s="1230" t="s">
        <v>3963</v>
      </c>
      <c r="I3927" s="852"/>
      <c r="J3927" s="852"/>
      <c r="K3927" s="852"/>
      <c r="L3927" s="852"/>
      <c r="M3927" s="852"/>
    </row>
    <row r="3928" spans="5:13">
      <c r="E3928" s="852"/>
      <c r="F3928" s="852"/>
      <c r="G3928" s="852"/>
      <c r="H3928" s="852"/>
      <c r="I3928" s="852"/>
      <c r="J3928" s="852"/>
      <c r="K3928" s="852"/>
      <c r="L3928" s="852"/>
      <c r="M3928" s="852"/>
    </row>
    <row r="3929" spans="5:13" ht="94.5">
      <c r="E3929" s="852"/>
      <c r="F3929" s="852"/>
      <c r="G3929" s="852"/>
      <c r="H3929" s="1220" t="s">
        <v>4372</v>
      </c>
      <c r="I3929" s="852"/>
      <c r="J3929" s="852"/>
      <c r="K3929" s="852"/>
      <c r="L3929" s="852"/>
      <c r="M3929" s="852"/>
    </row>
    <row r="3930" spans="5:13">
      <c r="E3930" s="852"/>
      <c r="F3930" s="852"/>
      <c r="G3930" s="852"/>
      <c r="H3930" s="852"/>
      <c r="I3930" s="852"/>
      <c r="J3930" s="852"/>
      <c r="K3930" s="852"/>
      <c r="L3930" s="852"/>
      <c r="M3930" s="852"/>
    </row>
    <row r="3931" spans="5:13">
      <c r="E3931" s="852"/>
      <c r="F3931" s="852">
        <v>180</v>
      </c>
      <c r="G3931" s="852" t="s">
        <v>231</v>
      </c>
      <c r="H3931" s="1140" t="s">
        <v>3838</v>
      </c>
      <c r="I3931" s="852">
        <f>I3072</f>
        <v>13.5</v>
      </c>
      <c r="J3931" s="852" t="s">
        <v>231</v>
      </c>
      <c r="K3931" s="852">
        <f>I3931*F3931</f>
        <v>2430</v>
      </c>
      <c r="L3931" s="852"/>
      <c r="M3931" s="852"/>
    </row>
    <row r="3932" spans="5:13">
      <c r="E3932" s="852"/>
      <c r="F3932" s="852">
        <v>90</v>
      </c>
      <c r="G3932" s="852" t="s">
        <v>231</v>
      </c>
      <c r="H3932" s="1220" t="s">
        <v>3840</v>
      </c>
      <c r="I3932" s="852">
        <f>I3073</f>
        <v>17.100000000000001</v>
      </c>
      <c r="J3932" s="852" t="s">
        <v>231</v>
      </c>
      <c r="K3932" s="852">
        <f t="shared" ref="K3932:K3937" si="108">I3932*F3932</f>
        <v>1539.0000000000002</v>
      </c>
      <c r="L3932" s="852"/>
      <c r="M3932" s="852"/>
    </row>
    <row r="3933" spans="5:13">
      <c r="E3933" s="852"/>
      <c r="F3933" s="852">
        <v>1</v>
      </c>
      <c r="G3933" s="852" t="s">
        <v>4373</v>
      </c>
      <c r="H3933" s="1220" t="s">
        <v>4374</v>
      </c>
      <c r="I3933" s="1223">
        <v>38.700000000000003</v>
      </c>
      <c r="J3933" s="852" t="s">
        <v>4373</v>
      </c>
      <c r="K3933" s="852">
        <f t="shared" si="108"/>
        <v>38.700000000000003</v>
      </c>
      <c r="L3933" s="852"/>
      <c r="M3933" s="852"/>
    </row>
    <row r="3934" spans="5:13">
      <c r="E3934" s="852"/>
      <c r="F3934" s="852">
        <v>300</v>
      </c>
      <c r="G3934" s="852" t="s">
        <v>240</v>
      </c>
      <c r="H3934" s="1220" t="s">
        <v>4375</v>
      </c>
      <c r="I3934" s="852">
        <f>I3580</f>
        <v>287</v>
      </c>
      <c r="J3934" s="852" t="s">
        <v>4376</v>
      </c>
      <c r="K3934" s="852">
        <f>(I3934*F3934)/1000</f>
        <v>86.1</v>
      </c>
      <c r="L3934" s="852"/>
      <c r="M3934" s="852"/>
    </row>
    <row r="3935" spans="5:13">
      <c r="E3935" s="852"/>
      <c r="F3935" s="852">
        <v>2</v>
      </c>
      <c r="G3935" s="852" t="s">
        <v>3857</v>
      </c>
      <c r="H3935" s="1220" t="s">
        <v>4377</v>
      </c>
      <c r="I3935" s="852">
        <f>I3804</f>
        <v>68.2</v>
      </c>
      <c r="J3935" s="852" t="s">
        <v>4373</v>
      </c>
      <c r="K3935" s="852">
        <f t="shared" si="108"/>
        <v>136.4</v>
      </c>
      <c r="L3935" s="852"/>
      <c r="M3935" s="852"/>
    </row>
    <row r="3936" spans="5:13">
      <c r="E3936" s="852"/>
      <c r="F3936" s="852">
        <v>0.33</v>
      </c>
      <c r="G3936" s="852" t="s">
        <v>3851</v>
      </c>
      <c r="H3936" s="852" t="s">
        <v>1124</v>
      </c>
      <c r="I3936" s="852">
        <f>I3074</f>
        <v>290</v>
      </c>
      <c r="J3936" s="852" t="s">
        <v>3851</v>
      </c>
      <c r="K3936" s="852">
        <f t="shared" si="108"/>
        <v>95.7</v>
      </c>
      <c r="L3936" s="852"/>
      <c r="M3936" s="852"/>
    </row>
    <row r="3937" spans="5:13" ht="31.5">
      <c r="E3937" s="852"/>
      <c r="F3937" s="852">
        <v>90</v>
      </c>
      <c r="G3937" s="852" t="s">
        <v>231</v>
      </c>
      <c r="H3937" s="1140" t="s">
        <v>3861</v>
      </c>
      <c r="I3937" s="852">
        <f>I3075</f>
        <v>13.5</v>
      </c>
      <c r="J3937" s="852" t="s">
        <v>3834</v>
      </c>
      <c r="K3937" s="852">
        <f t="shared" si="108"/>
        <v>1215</v>
      </c>
      <c r="L3937" s="852"/>
      <c r="M3937" s="852"/>
    </row>
    <row r="3938" spans="5:13">
      <c r="E3938" s="852"/>
      <c r="F3938" s="1312" t="s">
        <v>4378</v>
      </c>
      <c r="G3938" s="852"/>
      <c r="H3938" s="852" t="s">
        <v>656</v>
      </c>
      <c r="I3938" s="852">
        <f>K3924</f>
        <v>5889</v>
      </c>
      <c r="J3938" s="852"/>
      <c r="K3938" s="852">
        <f>2/3*I3938</f>
        <v>3926</v>
      </c>
      <c r="L3938" s="852"/>
      <c r="M3938" s="852"/>
    </row>
    <row r="3939" spans="5:13">
      <c r="E3939" s="852"/>
      <c r="F3939" s="852"/>
      <c r="G3939" s="852"/>
      <c r="H3939" s="852"/>
      <c r="I3939" s="852"/>
      <c r="J3939" s="852"/>
      <c r="K3939" s="852">
        <f>SUM(K3931:K3938)</f>
        <v>9466.9</v>
      </c>
      <c r="L3939" s="852"/>
      <c r="M3939" s="852"/>
    </row>
    <row r="3940" spans="5:13">
      <c r="E3940" s="852"/>
      <c r="F3940" s="852"/>
      <c r="G3940" s="852"/>
      <c r="H3940" s="852" t="s">
        <v>236</v>
      </c>
      <c r="I3940" s="852"/>
      <c r="J3940" s="852"/>
      <c r="K3940" s="852">
        <v>73</v>
      </c>
      <c r="L3940" s="852"/>
      <c r="M3940" s="852"/>
    </row>
    <row r="3941" spans="5:13">
      <c r="E3941" s="852"/>
      <c r="F3941" s="852"/>
      <c r="G3941" s="852"/>
      <c r="H3941" s="1227" t="s">
        <v>3969</v>
      </c>
      <c r="I3941" s="852"/>
      <c r="J3941" s="852"/>
      <c r="K3941" s="1228">
        <f>SUM(K3939:K3940)</f>
        <v>9539.9</v>
      </c>
      <c r="L3941" s="852">
        <f>93*90</f>
        <v>8370</v>
      </c>
      <c r="M3941" s="852">
        <f>L3941-K3941</f>
        <v>-1169.8999999999996</v>
      </c>
    </row>
    <row r="3942" spans="5:13">
      <c r="E3942" s="852"/>
      <c r="F3942" s="852"/>
      <c r="G3942" s="852"/>
      <c r="H3942" s="1229" t="s">
        <v>3970</v>
      </c>
      <c r="I3942" s="852"/>
      <c r="J3942" s="852"/>
      <c r="K3942" s="1230">
        <f>K3941/90</f>
        <v>105.99888888888889</v>
      </c>
      <c r="L3942" s="852">
        <f>93*90</f>
        <v>8370</v>
      </c>
      <c r="M3942" s="852"/>
    </row>
    <row r="3943" spans="5:13">
      <c r="E3943" s="852"/>
      <c r="F3943" s="852"/>
      <c r="G3943" s="852"/>
      <c r="H3943" s="852"/>
      <c r="I3943" s="852"/>
      <c r="J3943" s="852"/>
      <c r="K3943" s="852"/>
      <c r="L3943" s="852">
        <f>L3942-K3941</f>
        <v>-1169.8999999999996</v>
      </c>
      <c r="M3943" s="852"/>
    </row>
    <row r="3944" spans="5:13">
      <c r="E3944" s="852"/>
      <c r="F3944" s="852"/>
      <c r="G3944" s="852"/>
      <c r="H3944" s="1230" t="s">
        <v>4379</v>
      </c>
      <c r="I3944" s="852"/>
      <c r="J3944" s="852"/>
      <c r="K3944" s="852"/>
      <c r="L3944" s="852"/>
      <c r="M3944" s="852"/>
    </row>
    <row r="3945" spans="5:13">
      <c r="E3945" s="852"/>
      <c r="F3945" s="852"/>
      <c r="G3945" s="852"/>
      <c r="H3945" s="852"/>
      <c r="I3945" s="852"/>
      <c r="J3945" s="852"/>
      <c r="K3945" s="852"/>
      <c r="L3945" s="852"/>
      <c r="M3945" s="852"/>
    </row>
    <row r="3946" spans="5:13" ht="94.5">
      <c r="E3946" s="852"/>
      <c r="F3946" s="852"/>
      <c r="G3946" s="852"/>
      <c r="H3946" s="1220" t="s">
        <v>3974</v>
      </c>
      <c r="I3946" s="852"/>
      <c r="J3946" s="852"/>
      <c r="K3946" s="852"/>
      <c r="L3946" s="852"/>
      <c r="M3946" s="852"/>
    </row>
    <row r="3947" spans="5:13">
      <c r="E3947" s="852"/>
      <c r="F3947" s="852"/>
      <c r="G3947" s="852"/>
      <c r="H3947" s="852"/>
      <c r="I3947" s="852"/>
      <c r="J3947" s="852"/>
      <c r="K3947" s="852"/>
      <c r="L3947" s="852"/>
      <c r="M3947" s="852"/>
    </row>
    <row r="3948" spans="5:13">
      <c r="E3948" s="852"/>
      <c r="F3948" s="852"/>
      <c r="G3948" s="852"/>
      <c r="H3948" s="852" t="s">
        <v>4380</v>
      </c>
      <c r="I3948" s="852"/>
      <c r="J3948" s="852"/>
      <c r="K3948" s="852">
        <f>K3941</f>
        <v>9539.9</v>
      </c>
      <c r="L3948" s="852"/>
      <c r="M3948" s="852"/>
    </row>
    <row r="3949" spans="5:13" ht="31.5">
      <c r="E3949" s="852"/>
      <c r="F3949" s="852">
        <v>180</v>
      </c>
      <c r="G3949" s="852" t="s">
        <v>231</v>
      </c>
      <c r="H3949" s="1220" t="s">
        <v>4381</v>
      </c>
      <c r="I3949" s="852">
        <f>I3088</f>
        <v>21</v>
      </c>
      <c r="J3949" s="852" t="s">
        <v>231</v>
      </c>
      <c r="K3949" s="852">
        <f>F3949*I3949</f>
        <v>3780</v>
      </c>
      <c r="L3949" s="852"/>
      <c r="M3949" s="852"/>
    </row>
    <row r="3950" spans="5:13">
      <c r="E3950" s="852"/>
      <c r="F3950" s="852">
        <v>180</v>
      </c>
      <c r="G3950" s="852" t="s">
        <v>231</v>
      </c>
      <c r="H3950" s="1220" t="s">
        <v>3977</v>
      </c>
      <c r="I3950" s="852">
        <f>I3931</f>
        <v>13.5</v>
      </c>
      <c r="J3950" s="852" t="s">
        <v>3834</v>
      </c>
      <c r="K3950" s="852">
        <f>F3950*I3950</f>
        <v>2430</v>
      </c>
      <c r="L3950" s="852"/>
      <c r="M3950" s="852"/>
    </row>
    <row r="3951" spans="5:13">
      <c r="E3951" s="852"/>
      <c r="F3951" s="852"/>
      <c r="G3951" s="852"/>
      <c r="H3951" s="852" t="s">
        <v>236</v>
      </c>
      <c r="I3951" s="852"/>
      <c r="J3951" s="852"/>
      <c r="K3951" s="1231"/>
      <c r="L3951" s="852"/>
      <c r="M3951" s="852"/>
    </row>
    <row r="3952" spans="5:13">
      <c r="E3952" s="852"/>
      <c r="F3952" s="852"/>
      <c r="G3952" s="852"/>
      <c r="H3952" s="1227" t="s">
        <v>3978</v>
      </c>
      <c r="I3952" s="852"/>
      <c r="J3952" s="852"/>
      <c r="K3952" s="1228">
        <f>K3948+K3949-K3950+K3951</f>
        <v>10889.9</v>
      </c>
      <c r="L3952" s="852"/>
      <c r="M3952" s="852"/>
    </row>
    <row r="3953" spans="5:13">
      <c r="E3953" s="852"/>
      <c r="F3953" s="852"/>
      <c r="G3953" s="852"/>
      <c r="H3953" s="1229" t="s">
        <v>3970</v>
      </c>
      <c r="I3953" s="852"/>
      <c r="J3953" s="852"/>
      <c r="K3953" s="1230">
        <f>K3952/90</f>
        <v>120.99888888888889</v>
      </c>
      <c r="L3953" s="852">
        <f>K3953*30</f>
        <v>3629.9666666666667</v>
      </c>
      <c r="M3953" s="852"/>
    </row>
    <row r="3954" spans="5:13">
      <c r="E3954" s="852"/>
      <c r="F3954" s="852"/>
      <c r="G3954" s="852"/>
      <c r="H3954" s="852"/>
      <c r="I3954" s="852"/>
      <c r="J3954" s="852"/>
      <c r="K3954" s="852"/>
      <c r="L3954" s="852"/>
      <c r="M3954" s="852"/>
    </row>
    <row r="3955" spans="5:13">
      <c r="E3955" s="852"/>
      <c r="F3955" s="852"/>
      <c r="G3955" s="852"/>
      <c r="H3955" s="852"/>
      <c r="I3955" s="852"/>
      <c r="J3955" s="852"/>
      <c r="K3955" s="852"/>
      <c r="L3955" s="852"/>
      <c r="M3955" s="852"/>
    </row>
    <row r="3956" spans="5:13">
      <c r="E3956" s="852"/>
      <c r="F3956" s="852"/>
      <c r="G3956" s="852"/>
      <c r="H3956" s="1230"/>
      <c r="I3956" s="852"/>
      <c r="J3956" s="852"/>
      <c r="K3956" s="852"/>
      <c r="L3956" s="852"/>
      <c r="M3956" s="852"/>
    </row>
    <row r="3957" spans="5:13">
      <c r="E3957" s="852"/>
      <c r="F3957" s="852"/>
      <c r="G3957" s="852"/>
      <c r="H3957" s="1230" t="s">
        <v>4382</v>
      </c>
      <c r="I3957" s="852"/>
      <c r="J3957" s="852"/>
      <c r="K3957" s="852"/>
      <c r="L3957" s="852"/>
      <c r="M3957" s="852"/>
    </row>
    <row r="3958" spans="5:13">
      <c r="E3958" s="852"/>
      <c r="F3958" s="852"/>
      <c r="G3958" s="852"/>
      <c r="H3958" s="852"/>
      <c r="I3958" s="852"/>
      <c r="J3958" s="852"/>
      <c r="K3958" s="852"/>
      <c r="L3958" s="852"/>
      <c r="M3958" s="852"/>
    </row>
    <row r="3959" spans="5:13" ht="94.5">
      <c r="E3959" s="852"/>
      <c r="F3959" s="852"/>
      <c r="G3959" s="852"/>
      <c r="H3959" s="1220" t="s">
        <v>3974</v>
      </c>
      <c r="I3959" s="852"/>
      <c r="J3959" s="852"/>
      <c r="K3959" s="852"/>
      <c r="L3959" s="852"/>
      <c r="M3959" s="852"/>
    </row>
    <row r="3960" spans="5:13">
      <c r="E3960" s="852"/>
      <c r="F3960" s="852"/>
      <c r="G3960" s="852"/>
      <c r="H3960" s="852"/>
      <c r="I3960" s="852"/>
      <c r="J3960" s="852"/>
      <c r="K3960" s="852"/>
      <c r="L3960" s="852"/>
      <c r="M3960" s="852"/>
    </row>
    <row r="3961" spans="5:13">
      <c r="E3961" s="852"/>
      <c r="F3961" s="852"/>
      <c r="G3961" s="852"/>
      <c r="H3961" s="852" t="s">
        <v>4380</v>
      </c>
      <c r="I3961" s="852"/>
      <c r="J3961" s="852"/>
      <c r="K3961" s="852">
        <f>K3948</f>
        <v>9539.9</v>
      </c>
      <c r="L3961" s="852"/>
      <c r="M3961" s="852"/>
    </row>
    <row r="3962" spans="5:13" ht="31.5">
      <c r="E3962" s="852"/>
      <c r="F3962" s="852">
        <v>180</v>
      </c>
      <c r="G3962" s="852" t="s">
        <v>231</v>
      </c>
      <c r="H3962" s="1220" t="s">
        <v>4383</v>
      </c>
      <c r="I3962" s="852">
        <f>I3532</f>
        <v>33.299999999999997</v>
      </c>
      <c r="J3962" s="852" t="s">
        <v>231</v>
      </c>
      <c r="K3962" s="852">
        <f>F3962*I3962</f>
        <v>5993.9999999999991</v>
      </c>
      <c r="L3962" s="852"/>
      <c r="M3962" s="852"/>
    </row>
    <row r="3963" spans="5:13">
      <c r="E3963" s="852"/>
      <c r="F3963" s="852">
        <v>180</v>
      </c>
      <c r="G3963" s="852" t="s">
        <v>231</v>
      </c>
      <c r="H3963" s="1220" t="s">
        <v>3977</v>
      </c>
      <c r="I3963" s="852">
        <f>I3950</f>
        <v>13.5</v>
      </c>
      <c r="J3963" s="852" t="s">
        <v>3834</v>
      </c>
      <c r="K3963" s="852">
        <f>F3963*I3963</f>
        <v>2430</v>
      </c>
      <c r="L3963" s="852"/>
      <c r="M3963" s="852"/>
    </row>
    <row r="3964" spans="5:13">
      <c r="E3964" s="852"/>
      <c r="F3964" s="852"/>
      <c r="G3964" s="852"/>
      <c r="H3964" s="852" t="s">
        <v>236</v>
      </c>
      <c r="I3964" s="852"/>
      <c r="J3964" s="852"/>
      <c r="K3964" s="1231"/>
      <c r="L3964" s="852"/>
      <c r="M3964" s="852"/>
    </row>
    <row r="3965" spans="5:13">
      <c r="E3965" s="852"/>
      <c r="F3965" s="852"/>
      <c r="G3965" s="852"/>
      <c r="H3965" s="1227" t="s">
        <v>3978</v>
      </c>
      <c r="I3965" s="852"/>
      <c r="J3965" s="852"/>
      <c r="K3965" s="1228">
        <f>K3961+K3962-K3963+K3964</f>
        <v>13103.899999999998</v>
      </c>
      <c r="L3965" s="852"/>
      <c r="M3965" s="852"/>
    </row>
    <row r="3966" spans="5:13">
      <c r="E3966" s="852"/>
      <c r="F3966" s="852"/>
      <c r="G3966" s="852"/>
      <c r="H3966" s="1229" t="s">
        <v>3970</v>
      </c>
      <c r="I3966" s="852"/>
      <c r="J3966" s="852"/>
      <c r="K3966" s="1230">
        <f>K3965/90</f>
        <v>145.59888888888887</v>
      </c>
      <c r="L3966" s="852"/>
      <c r="M3966" s="852"/>
    </row>
    <row r="3967" spans="5:13">
      <c r="E3967" s="852"/>
      <c r="F3967" s="852"/>
      <c r="G3967" s="852"/>
      <c r="H3967" s="852"/>
      <c r="I3967" s="852"/>
      <c r="J3967" s="852"/>
      <c r="K3967" s="852"/>
      <c r="L3967" s="852"/>
      <c r="M3967" s="852"/>
    </row>
    <row r="3968" spans="5:13">
      <c r="E3968" s="852"/>
      <c r="F3968" s="852"/>
      <c r="G3968" s="852"/>
      <c r="H3968" s="1140"/>
      <c r="I3968" s="852"/>
      <c r="J3968" s="852"/>
      <c r="K3968" s="852"/>
      <c r="L3968" s="852"/>
      <c r="M3968" s="852"/>
    </row>
    <row r="3969" spans="5:13">
      <c r="E3969" s="852"/>
      <c r="F3969" s="852"/>
      <c r="G3969" s="852"/>
      <c r="H3969" s="1230" t="s">
        <v>4384</v>
      </c>
      <c r="I3969" s="852"/>
      <c r="J3969" s="852"/>
      <c r="K3969" s="852"/>
      <c r="L3969" s="852"/>
      <c r="M3969" s="852"/>
    </row>
    <row r="3970" spans="5:13">
      <c r="E3970" s="852"/>
      <c r="F3970" s="852"/>
      <c r="G3970" s="852"/>
      <c r="H3970" s="852"/>
      <c r="I3970" s="852"/>
      <c r="J3970" s="852"/>
      <c r="K3970" s="852"/>
      <c r="L3970" s="852"/>
      <c r="M3970" s="852"/>
    </row>
    <row r="3971" spans="5:13" ht="94.5">
      <c r="E3971" s="852"/>
      <c r="F3971" s="852"/>
      <c r="G3971" s="852"/>
      <c r="H3971" s="1220" t="s">
        <v>3974</v>
      </c>
      <c r="I3971" s="852"/>
      <c r="J3971" s="852"/>
      <c r="K3971" s="852"/>
      <c r="L3971" s="852"/>
      <c r="M3971" s="852"/>
    </row>
    <row r="3972" spans="5:13">
      <c r="E3972" s="852"/>
      <c r="F3972" s="852"/>
      <c r="G3972" s="852"/>
      <c r="H3972" s="852"/>
      <c r="I3972" s="852"/>
      <c r="J3972" s="852"/>
      <c r="K3972" s="852"/>
      <c r="L3972" s="852"/>
      <c r="M3972" s="852"/>
    </row>
    <row r="3973" spans="5:13">
      <c r="E3973" s="852"/>
      <c r="F3973" s="852"/>
      <c r="G3973" s="852"/>
      <c r="H3973" s="852" t="s">
        <v>4380</v>
      </c>
      <c r="I3973" s="852"/>
      <c r="J3973" s="852"/>
      <c r="K3973" s="852">
        <f>K3961</f>
        <v>9539.9</v>
      </c>
      <c r="L3973" s="852"/>
      <c r="M3973" s="852"/>
    </row>
    <row r="3974" spans="5:13" ht="43.5" customHeight="1">
      <c r="E3974" s="852"/>
      <c r="F3974" s="852">
        <v>360</v>
      </c>
      <c r="G3974" s="852" t="s">
        <v>231</v>
      </c>
      <c r="H3974" s="1220" t="s">
        <v>4385</v>
      </c>
      <c r="I3974" s="1223">
        <v>74.2</v>
      </c>
      <c r="J3974" s="852" t="s">
        <v>231</v>
      </c>
      <c r="K3974" s="852">
        <f>F3974*I3974</f>
        <v>26712</v>
      </c>
      <c r="L3974" s="852"/>
      <c r="M3974" s="852"/>
    </row>
    <row r="3975" spans="5:13">
      <c r="E3975" s="852"/>
      <c r="F3975" s="852">
        <v>180</v>
      </c>
      <c r="G3975" s="852" t="s">
        <v>231</v>
      </c>
      <c r="H3975" s="1220" t="s">
        <v>3977</v>
      </c>
      <c r="I3975" s="1241">
        <v>13.5</v>
      </c>
      <c r="J3975" s="852" t="s">
        <v>3834</v>
      </c>
      <c r="K3975" s="852">
        <f>F3975*I3975</f>
        <v>2430</v>
      </c>
      <c r="L3975" s="852"/>
      <c r="M3975" s="852"/>
    </row>
    <row r="3976" spans="5:13">
      <c r="E3976" s="852"/>
      <c r="F3976" s="852"/>
      <c r="G3976" s="852"/>
      <c r="H3976" s="852" t="s">
        <v>236</v>
      </c>
      <c r="I3976" s="852"/>
      <c r="J3976" s="852"/>
      <c r="K3976" s="1231"/>
      <c r="L3976" s="852"/>
      <c r="M3976" s="852"/>
    </row>
    <row r="3977" spans="5:13">
      <c r="E3977" s="852"/>
      <c r="F3977" s="852"/>
      <c r="G3977" s="852"/>
      <c r="H3977" s="1227" t="s">
        <v>3978</v>
      </c>
      <c r="I3977" s="852"/>
      <c r="J3977" s="852"/>
      <c r="K3977" s="1228">
        <f>K3973+K3974-K3975+K3976</f>
        <v>33821.9</v>
      </c>
      <c r="L3977" s="852"/>
      <c r="M3977" s="852"/>
    </row>
    <row r="3978" spans="5:13">
      <c r="E3978" s="852"/>
      <c r="F3978" s="852"/>
      <c r="G3978" s="852"/>
      <c r="H3978" s="1229" t="s">
        <v>3970</v>
      </c>
      <c r="I3978" s="852"/>
      <c r="J3978" s="852"/>
      <c r="K3978" s="1230">
        <f>K3977/90</f>
        <v>375.79888888888888</v>
      </c>
      <c r="L3978" s="852">
        <f>K3978-163</f>
        <v>212.79888888888888</v>
      </c>
      <c r="M3978" s="852"/>
    </row>
    <row r="3979" spans="5:13">
      <c r="E3979" s="852"/>
      <c r="F3979" s="852"/>
      <c r="G3979" s="852"/>
      <c r="H3979" s="852"/>
      <c r="I3979" s="852"/>
      <c r="J3979" s="852"/>
      <c r="K3979" s="852"/>
      <c r="L3979" s="852">
        <f>163*90</f>
        <v>14670</v>
      </c>
      <c r="M3979" s="852"/>
    </row>
    <row r="3980" spans="5:13">
      <c r="E3980" s="852"/>
      <c r="F3980" s="852"/>
      <c r="G3980" s="852"/>
      <c r="H3980" s="852"/>
      <c r="I3980" s="852"/>
      <c r="J3980" s="852"/>
      <c r="K3980" s="852"/>
      <c r="L3980" s="852">
        <f>K3977-L3979</f>
        <v>19151.900000000001</v>
      </c>
      <c r="M3980" s="852"/>
    </row>
    <row r="3981" spans="5:13">
      <c r="E3981" s="852"/>
      <c r="F3981" s="852"/>
      <c r="G3981" s="852"/>
      <c r="H3981" s="852"/>
      <c r="I3981" s="852"/>
      <c r="J3981" s="852"/>
      <c r="K3981" s="852"/>
      <c r="L3981" s="852"/>
      <c r="M3981" s="852"/>
    </row>
    <row r="3982" spans="5:13">
      <c r="E3982" s="852"/>
      <c r="F3982" s="852"/>
      <c r="G3982" s="852"/>
      <c r="H3982" s="852"/>
      <c r="I3982" s="852"/>
      <c r="J3982" s="852"/>
      <c r="K3982" s="852"/>
      <c r="L3982" s="852"/>
      <c r="M3982" s="852"/>
    </row>
    <row r="3983" spans="5:13">
      <c r="E3983" s="852"/>
      <c r="F3983" s="852"/>
      <c r="G3983" s="852"/>
      <c r="H3983" s="852"/>
      <c r="I3983" s="852"/>
      <c r="J3983" s="852"/>
      <c r="K3983" s="852"/>
      <c r="L3983" s="852"/>
      <c r="M3983" s="852"/>
    </row>
    <row r="3984" spans="5:13">
      <c r="E3984" s="852"/>
      <c r="F3984" s="852"/>
      <c r="G3984" s="852"/>
      <c r="H3984" s="852"/>
      <c r="I3984" s="852"/>
      <c r="J3984" s="852"/>
      <c r="K3984" s="852"/>
      <c r="L3984" s="852"/>
      <c r="M3984" s="852"/>
    </row>
    <row r="3985" spans="5:13">
      <c r="E3985" s="852"/>
      <c r="F3985" s="852"/>
      <c r="G3985" s="852"/>
      <c r="H3985" s="852"/>
      <c r="I3985" s="852"/>
      <c r="J3985" s="852"/>
      <c r="K3985" s="852"/>
      <c r="L3985" s="852"/>
      <c r="M3985" s="852"/>
    </row>
    <row r="3986" spans="5:13">
      <c r="E3986" s="852"/>
      <c r="F3986" s="852"/>
      <c r="G3986" s="852"/>
      <c r="H3986" s="852"/>
      <c r="I3986" s="852"/>
      <c r="J3986" s="852"/>
      <c r="K3986" s="852"/>
      <c r="L3986" s="852"/>
      <c r="M3986" s="852"/>
    </row>
    <row r="3987" spans="5:13">
      <c r="E3987" s="852"/>
      <c r="F3987" s="852"/>
      <c r="G3987" s="852"/>
      <c r="H3987" s="852"/>
      <c r="I3987" s="852"/>
      <c r="J3987" s="852"/>
      <c r="K3987" s="852"/>
      <c r="L3987" s="852"/>
      <c r="M3987" s="852"/>
    </row>
    <row r="3988" spans="5:13">
      <c r="E3988" s="852"/>
      <c r="F3988" s="852"/>
      <c r="G3988" s="852"/>
      <c r="H3988" s="852"/>
      <c r="I3988" s="852"/>
      <c r="J3988" s="852"/>
      <c r="K3988" s="852"/>
      <c r="L3988" s="852"/>
      <c r="M3988" s="852"/>
    </row>
    <row r="3989" spans="5:13">
      <c r="E3989" s="852"/>
      <c r="F3989" s="852"/>
      <c r="G3989" s="852"/>
      <c r="H3989" s="852"/>
      <c r="I3989" s="852"/>
      <c r="J3989" s="852"/>
      <c r="K3989" s="852"/>
      <c r="L3989" s="852"/>
      <c r="M3989" s="852"/>
    </row>
    <row r="3990" spans="5:13">
      <c r="E3990" s="852"/>
      <c r="F3990" s="852"/>
      <c r="G3990" s="852"/>
      <c r="H3990" s="1230" t="s">
        <v>4386</v>
      </c>
      <c r="I3990" s="852"/>
      <c r="J3990" s="852"/>
      <c r="K3990" s="852"/>
      <c r="L3990" s="852"/>
      <c r="M3990" s="852"/>
    </row>
    <row r="3991" spans="5:13">
      <c r="E3991" s="852"/>
      <c r="F3991" s="852"/>
      <c r="G3991" s="852"/>
      <c r="H3991" s="852"/>
      <c r="I3991" s="852"/>
      <c r="J3991" s="852"/>
      <c r="K3991" s="852"/>
      <c r="L3991" s="852"/>
      <c r="M3991" s="852"/>
    </row>
    <row r="3992" spans="5:13" ht="94.5">
      <c r="E3992" s="852"/>
      <c r="F3992" s="852"/>
      <c r="G3992" s="852"/>
      <c r="H3992" s="1220" t="s">
        <v>3974</v>
      </c>
      <c r="I3992" s="852"/>
      <c r="J3992" s="852"/>
      <c r="K3992" s="852"/>
      <c r="L3992" s="852"/>
      <c r="M3992" s="852"/>
    </row>
    <row r="3993" spans="5:13">
      <c r="E3993" s="852"/>
      <c r="F3993" s="852"/>
      <c r="G3993" s="852"/>
      <c r="H3993" s="852"/>
      <c r="I3993" s="852"/>
      <c r="J3993" s="852"/>
      <c r="K3993" s="852"/>
      <c r="L3993" s="852"/>
      <c r="M3993" s="852"/>
    </row>
    <row r="3994" spans="5:13">
      <c r="E3994" s="852"/>
      <c r="F3994" s="852"/>
      <c r="G3994" s="852"/>
      <c r="H3994" s="852" t="s">
        <v>4380</v>
      </c>
      <c r="I3994" s="852"/>
      <c r="J3994" s="852"/>
      <c r="K3994" s="852">
        <f>K3973</f>
        <v>9539.9</v>
      </c>
      <c r="L3994" s="852"/>
      <c r="M3994" s="852"/>
    </row>
    <row r="3995" spans="5:13" ht="31.5">
      <c r="E3995" s="852"/>
      <c r="F3995" s="852">
        <v>360</v>
      </c>
      <c r="G3995" s="852" t="s">
        <v>231</v>
      </c>
      <c r="H3995" s="1220" t="s">
        <v>4387</v>
      </c>
      <c r="I3995" s="1223">
        <v>49.3</v>
      </c>
      <c r="J3995" s="852" t="s">
        <v>231</v>
      </c>
      <c r="K3995" s="852">
        <f>F3995*I3995</f>
        <v>17748</v>
      </c>
      <c r="L3995" s="852"/>
      <c r="M3995" s="852"/>
    </row>
    <row r="3996" spans="5:13">
      <c r="E3996" s="852"/>
      <c r="F3996" s="852">
        <v>180</v>
      </c>
      <c r="G3996" s="852" t="s">
        <v>231</v>
      </c>
      <c r="H3996" s="1220" t="s">
        <v>3977</v>
      </c>
      <c r="I3996" s="1223">
        <f>I3975</f>
        <v>13.5</v>
      </c>
      <c r="J3996" s="852" t="s">
        <v>3834</v>
      </c>
      <c r="K3996" s="852">
        <f>F3996*I3996</f>
        <v>2430</v>
      </c>
      <c r="L3996" s="852"/>
      <c r="M3996" s="852"/>
    </row>
    <row r="3997" spans="5:13">
      <c r="E3997" s="852"/>
      <c r="F3997" s="852"/>
      <c r="G3997" s="852"/>
      <c r="H3997" s="852" t="s">
        <v>236</v>
      </c>
      <c r="I3997" s="852"/>
      <c r="J3997" s="852"/>
      <c r="K3997" s="852"/>
      <c r="L3997" s="852"/>
      <c r="M3997" s="852"/>
    </row>
    <row r="3998" spans="5:13">
      <c r="E3998" s="852"/>
      <c r="F3998" s="852"/>
      <c r="G3998" s="852"/>
      <c r="H3998" s="1227" t="s">
        <v>3978</v>
      </c>
      <c r="I3998" s="852"/>
      <c r="J3998" s="852"/>
      <c r="K3998" s="1228">
        <f>K3994+K3995-K3996+K3997</f>
        <v>24857.9</v>
      </c>
      <c r="L3998" s="852"/>
      <c r="M3998" s="852"/>
    </row>
    <row r="3999" spans="5:13">
      <c r="E3999" s="852"/>
      <c r="F3999" s="852"/>
      <c r="G3999" s="852"/>
      <c r="H3999" s="1229" t="s">
        <v>3970</v>
      </c>
      <c r="I3999" s="852"/>
      <c r="J3999" s="852"/>
      <c r="K3999" s="1230">
        <f>K3998/90</f>
        <v>276.19888888888892</v>
      </c>
      <c r="L3999" s="852"/>
      <c r="M3999" s="852"/>
    </row>
    <row r="4000" spans="5:13">
      <c r="E4000" s="852"/>
      <c r="F4000" s="852"/>
      <c r="G4000" s="852"/>
      <c r="H4000" s="852"/>
      <c r="I4000" s="852"/>
      <c r="J4000" s="852"/>
      <c r="K4000" s="852"/>
      <c r="L4000" s="852"/>
      <c r="M4000" s="852"/>
    </row>
    <row r="4001" spans="5:13">
      <c r="E4001" s="852"/>
      <c r="F4001" s="852"/>
      <c r="G4001" s="852"/>
      <c r="H4001" s="852"/>
      <c r="I4001" s="852"/>
      <c r="J4001" s="852"/>
      <c r="K4001" s="852"/>
      <c r="L4001" s="852"/>
      <c r="M4001" s="852"/>
    </row>
    <row r="4002" spans="5:13">
      <c r="E4002" s="852"/>
      <c r="F4002" s="852"/>
      <c r="G4002" s="852"/>
      <c r="H4002" s="852"/>
      <c r="I4002" s="852"/>
      <c r="J4002" s="852"/>
      <c r="K4002" s="852"/>
      <c r="L4002" s="852"/>
      <c r="M4002" s="852"/>
    </row>
    <row r="4003" spans="5:13">
      <c r="E4003" s="852"/>
      <c r="F4003" s="852"/>
      <c r="G4003" s="852"/>
      <c r="H4003" s="852"/>
      <c r="I4003" s="852"/>
      <c r="J4003" s="852"/>
      <c r="K4003" s="852"/>
      <c r="L4003" s="852"/>
      <c r="M4003" s="852"/>
    </row>
    <row r="4004" spans="5:13">
      <c r="E4004" s="852"/>
      <c r="F4004" s="852"/>
      <c r="G4004" s="852"/>
      <c r="H4004" s="852"/>
      <c r="I4004" s="852"/>
      <c r="J4004" s="852"/>
      <c r="K4004" s="852"/>
      <c r="L4004" s="852"/>
      <c r="M4004" s="852"/>
    </row>
    <row r="4005" spans="5:13">
      <c r="E4005" s="852"/>
      <c r="F4005" s="852"/>
      <c r="G4005" s="852"/>
      <c r="H4005" s="1230" t="s">
        <v>4388</v>
      </c>
      <c r="I4005" s="852"/>
      <c r="J4005" s="852"/>
      <c r="K4005" s="852"/>
      <c r="L4005" s="852"/>
      <c r="M4005" s="852"/>
    </row>
    <row r="4006" spans="5:13">
      <c r="E4006" s="852"/>
      <c r="F4006" s="852"/>
      <c r="G4006" s="852"/>
      <c r="H4006" s="852"/>
      <c r="I4006" s="852"/>
      <c r="J4006" s="852"/>
      <c r="K4006" s="852"/>
      <c r="L4006" s="852"/>
      <c r="M4006" s="852"/>
    </row>
    <row r="4007" spans="5:13" ht="94.5">
      <c r="E4007" s="852"/>
      <c r="F4007" s="852"/>
      <c r="G4007" s="852"/>
      <c r="H4007" s="1220" t="s">
        <v>3974</v>
      </c>
      <c r="I4007" s="852"/>
      <c r="J4007" s="852"/>
      <c r="K4007" s="852"/>
      <c r="L4007" s="852"/>
      <c r="M4007" s="852"/>
    </row>
    <row r="4008" spans="5:13">
      <c r="E4008" s="852"/>
      <c r="F4008" s="852"/>
      <c r="G4008" s="852"/>
      <c r="H4008" s="852"/>
      <c r="I4008" s="852"/>
      <c r="J4008" s="852"/>
      <c r="K4008" s="852"/>
      <c r="L4008" s="852"/>
      <c r="M4008" s="852"/>
    </row>
    <row r="4009" spans="5:13">
      <c r="E4009" s="852"/>
      <c r="F4009" s="852"/>
      <c r="G4009" s="852"/>
      <c r="H4009" s="852" t="s">
        <v>4380</v>
      </c>
      <c r="I4009" s="852"/>
      <c r="J4009" s="852"/>
      <c r="K4009" s="852">
        <f>K3994</f>
        <v>9539.9</v>
      </c>
      <c r="L4009" s="852"/>
      <c r="M4009" s="852"/>
    </row>
    <row r="4010" spans="5:13" ht="31.5">
      <c r="E4010" s="852"/>
      <c r="F4010" s="852">
        <v>360</v>
      </c>
      <c r="G4010" s="852" t="s">
        <v>231</v>
      </c>
      <c r="H4010" s="1220" t="s">
        <v>4389</v>
      </c>
      <c r="I4010" s="1223">
        <v>33.299999999999997</v>
      </c>
      <c r="J4010" s="852" t="s">
        <v>231</v>
      </c>
      <c r="K4010" s="852">
        <f>F4010*I4010</f>
        <v>11987.999999999998</v>
      </c>
      <c r="L4010" s="852"/>
      <c r="M4010" s="852"/>
    </row>
    <row r="4011" spans="5:13">
      <c r="E4011" s="852"/>
      <c r="F4011" s="852">
        <v>180</v>
      </c>
      <c r="G4011" s="852" t="s">
        <v>231</v>
      </c>
      <c r="H4011" s="1220" t="s">
        <v>3977</v>
      </c>
      <c r="I4011" s="1223">
        <v>13.5</v>
      </c>
      <c r="J4011" s="852" t="s">
        <v>3834</v>
      </c>
      <c r="K4011" s="852">
        <f>F4011*I4011</f>
        <v>2430</v>
      </c>
      <c r="L4011" s="852"/>
      <c r="M4011" s="852"/>
    </row>
    <row r="4012" spans="5:13">
      <c r="E4012" s="852"/>
      <c r="F4012" s="852"/>
      <c r="G4012" s="852"/>
      <c r="H4012" s="852" t="s">
        <v>236</v>
      </c>
      <c r="I4012" s="852"/>
      <c r="J4012" s="852"/>
      <c r="K4012" s="852"/>
      <c r="L4012" s="852"/>
      <c r="M4012" s="852"/>
    </row>
    <row r="4013" spans="5:13">
      <c r="E4013" s="852"/>
      <c r="F4013" s="852"/>
      <c r="G4013" s="852"/>
      <c r="H4013" s="1227" t="s">
        <v>3978</v>
      </c>
      <c r="I4013" s="852"/>
      <c r="J4013" s="852"/>
      <c r="K4013" s="1228">
        <f>K4009+K4010-K4011+K4012</f>
        <v>19097.899999999998</v>
      </c>
      <c r="L4013" s="852"/>
      <c r="M4013" s="852"/>
    </row>
    <row r="4014" spans="5:13">
      <c r="E4014" s="852"/>
      <c r="F4014" s="852"/>
      <c r="G4014" s="852"/>
      <c r="H4014" s="1229" t="s">
        <v>3970</v>
      </c>
      <c r="I4014" s="852"/>
      <c r="J4014" s="852"/>
      <c r="K4014" s="1230">
        <f>K4013/90</f>
        <v>212.19888888888886</v>
      </c>
      <c r="L4014" s="852"/>
      <c r="M4014" s="852"/>
    </row>
    <row r="4015" spans="5:13">
      <c r="E4015" s="852"/>
      <c r="F4015" s="852"/>
      <c r="G4015" s="852"/>
      <c r="H4015" s="852"/>
      <c r="I4015" s="852"/>
      <c r="J4015" s="852"/>
      <c r="K4015" s="852"/>
      <c r="L4015" s="852"/>
      <c r="M4015" s="852"/>
    </row>
    <row r="4016" spans="5:13">
      <c r="E4016" s="852"/>
      <c r="F4016" s="852"/>
      <c r="G4016" s="852"/>
      <c r="H4016" s="852"/>
      <c r="I4016" s="852"/>
      <c r="J4016" s="852"/>
      <c r="K4016" s="852"/>
      <c r="L4016" s="852"/>
      <c r="M4016" s="852"/>
    </row>
    <row r="4017" spans="5:13">
      <c r="E4017" s="852"/>
      <c r="F4017" s="852"/>
      <c r="G4017" s="852"/>
      <c r="H4017" s="852"/>
      <c r="I4017" s="852"/>
      <c r="J4017" s="852"/>
      <c r="K4017" s="852"/>
      <c r="L4017" s="852"/>
      <c r="M4017" s="852"/>
    </row>
    <row r="4018" spans="5:13">
      <c r="E4018" s="852"/>
      <c r="F4018" s="1313"/>
      <c r="G4018" s="1314"/>
      <c r="H4018" s="1315" t="s">
        <v>4390</v>
      </c>
      <c r="I4018" s="1313"/>
      <c r="J4018" s="1316"/>
      <c r="K4018" s="1317"/>
      <c r="L4018" s="852"/>
      <c r="M4018" s="852"/>
    </row>
    <row r="4019" spans="5:13">
      <c r="E4019" s="852"/>
      <c r="F4019" s="1313"/>
      <c r="G4019" s="1314"/>
      <c r="H4019" s="1318" t="s">
        <v>4391</v>
      </c>
      <c r="I4019" s="1313"/>
      <c r="J4019" s="1316"/>
      <c r="K4019" s="1313"/>
      <c r="L4019" s="852"/>
      <c r="M4019" s="852"/>
    </row>
    <row r="4020" spans="5:13">
      <c r="E4020" s="852"/>
      <c r="F4020" s="1313"/>
      <c r="G4020" s="1314"/>
      <c r="H4020" s="1319" t="s">
        <v>4392</v>
      </c>
      <c r="I4020" s="1313"/>
      <c r="J4020" s="1316"/>
      <c r="K4020" s="1313"/>
      <c r="L4020" s="852"/>
      <c r="M4020" s="852"/>
    </row>
    <row r="4021" spans="5:13">
      <c r="E4021" s="852"/>
      <c r="F4021" s="1313"/>
      <c r="G4021" s="1314"/>
      <c r="H4021" s="1318" t="s">
        <v>4393</v>
      </c>
      <c r="I4021" s="1313"/>
      <c r="J4021" s="1316">
        <f>3.3*3.3*2+6.6+6.6+6.6</f>
        <v>41.58</v>
      </c>
      <c r="K4021" s="1313"/>
      <c r="L4021" s="852"/>
      <c r="M4021" s="852"/>
    </row>
    <row r="4022" spans="5:13">
      <c r="E4022" s="852"/>
      <c r="F4022" s="1313"/>
      <c r="G4022" s="1314"/>
      <c r="H4022" s="1318" t="s">
        <v>4394</v>
      </c>
      <c r="I4022" s="1313"/>
      <c r="J4022" s="1316"/>
      <c r="K4022" s="1313"/>
      <c r="L4022" s="852"/>
      <c r="M4022" s="852"/>
    </row>
    <row r="4023" spans="5:13">
      <c r="E4023" s="852"/>
      <c r="F4023" s="1313"/>
      <c r="G4023" s="1314"/>
      <c r="H4023" s="1318" t="s">
        <v>4395</v>
      </c>
      <c r="I4023" s="1313"/>
      <c r="J4023" s="1316"/>
      <c r="K4023" s="1313"/>
      <c r="L4023" s="852"/>
      <c r="M4023" s="852"/>
    </row>
    <row r="4024" spans="5:13">
      <c r="E4024" s="852"/>
      <c r="F4024" s="1313"/>
      <c r="G4024" s="1314"/>
      <c r="H4024" s="1318" t="s">
        <v>4396</v>
      </c>
      <c r="I4024" s="1313"/>
      <c r="J4024" s="1316"/>
      <c r="K4024" s="1313"/>
      <c r="L4024" s="852"/>
      <c r="M4024" s="852"/>
    </row>
    <row r="4025" spans="5:13">
      <c r="E4025" s="852"/>
      <c r="F4025" s="1313"/>
      <c r="G4025" s="1314"/>
      <c r="H4025" s="1318" t="s">
        <v>4397</v>
      </c>
      <c r="I4025" s="1313"/>
      <c r="J4025" s="1316"/>
      <c r="K4025" s="1313"/>
      <c r="L4025" s="852"/>
      <c r="M4025" s="852"/>
    </row>
    <row r="4026" spans="5:13">
      <c r="E4026" s="852"/>
      <c r="F4026" s="1313"/>
      <c r="G4026" s="1314"/>
      <c r="H4026" s="1319"/>
      <c r="I4026" s="1313"/>
      <c r="J4026" s="1316"/>
      <c r="K4026" s="1313"/>
      <c r="L4026" s="852"/>
      <c r="M4026" s="852"/>
    </row>
    <row r="4027" spans="5:13">
      <c r="E4027" s="852"/>
      <c r="F4027" s="1313"/>
      <c r="G4027" s="1314"/>
      <c r="H4027" s="1318" t="s">
        <v>4398</v>
      </c>
      <c r="I4027" s="1313"/>
      <c r="J4027" s="1316"/>
      <c r="K4027" s="1313"/>
      <c r="L4027" s="852"/>
      <c r="M4027" s="852"/>
    </row>
    <row r="4028" spans="5:13">
      <c r="E4028" s="852"/>
      <c r="F4028" s="1320"/>
      <c r="G4028" s="1314"/>
      <c r="H4028" s="1319" t="s">
        <v>4399</v>
      </c>
      <c r="I4028" s="1313"/>
      <c r="J4028" s="1316"/>
      <c r="K4028" s="1313"/>
      <c r="L4028" s="852"/>
      <c r="M4028" s="852"/>
    </row>
    <row r="4029" spans="5:13">
      <c r="E4029" s="852"/>
      <c r="F4029" s="1313"/>
      <c r="G4029" s="1314"/>
      <c r="H4029" s="1318" t="s">
        <v>4400</v>
      </c>
      <c r="I4029" s="1313"/>
      <c r="J4029" s="1316"/>
      <c r="K4029" s="1313"/>
      <c r="L4029" s="852"/>
      <c r="M4029" s="852"/>
    </row>
    <row r="4030" spans="5:13">
      <c r="E4030" s="852"/>
      <c r="F4030" s="1321">
        <v>53.512999999999998</v>
      </c>
      <c r="G4030" s="1314" t="s">
        <v>654</v>
      </c>
      <c r="H4030" s="1318" t="s">
        <v>4401</v>
      </c>
      <c r="I4030" s="1313">
        <v>43.9</v>
      </c>
      <c r="J4030" s="1316" t="s">
        <v>654</v>
      </c>
      <c r="K4030" s="1313">
        <f>I4030*F4030</f>
        <v>2349.2206999999999</v>
      </c>
      <c r="L4030" s="852"/>
      <c r="M4030" s="852"/>
    </row>
    <row r="4031" spans="5:13">
      <c r="E4031" s="852"/>
      <c r="F4031" s="1320"/>
      <c r="G4031" s="1314"/>
      <c r="H4031" s="1319" t="s">
        <v>4402</v>
      </c>
      <c r="I4031" s="1313"/>
      <c r="J4031" s="1316"/>
      <c r="K4031" s="1313"/>
      <c r="L4031" s="852"/>
      <c r="M4031" s="852"/>
    </row>
    <row r="4032" spans="5:13">
      <c r="E4032" s="852"/>
      <c r="F4032" s="1313"/>
      <c r="G4032" s="1314"/>
      <c r="H4032" s="1318" t="s">
        <v>4403</v>
      </c>
      <c r="I4032" s="1313"/>
      <c r="J4032" s="1316"/>
      <c r="K4032" s="1313"/>
      <c r="L4032" s="852"/>
      <c r="M4032" s="852"/>
    </row>
    <row r="4033" spans="5:13">
      <c r="E4033" s="852"/>
      <c r="F4033" s="1313"/>
      <c r="G4033" s="1314"/>
      <c r="H4033" s="1318" t="s">
        <v>4404</v>
      </c>
      <c r="I4033" s="1313"/>
      <c r="J4033" s="1316"/>
      <c r="K4033" s="1313"/>
      <c r="L4033" s="852"/>
      <c r="M4033" s="852"/>
    </row>
    <row r="4034" spans="5:13">
      <c r="E4034" s="852"/>
      <c r="F4034" s="1313"/>
      <c r="G4034" s="1314"/>
      <c r="H4034" s="1318" t="s">
        <v>4405</v>
      </c>
      <c r="I4034" s="1313"/>
      <c r="J4034" s="1316"/>
      <c r="K4034" s="1313"/>
      <c r="L4034" s="852"/>
      <c r="M4034" s="852"/>
    </row>
    <row r="4035" spans="5:13">
      <c r="E4035" s="852"/>
      <c r="F4035" s="1313"/>
      <c r="G4035" s="1314"/>
      <c r="H4035" s="1318" t="s">
        <v>4406</v>
      </c>
      <c r="I4035" s="1313"/>
      <c r="J4035" s="1316"/>
      <c r="K4035" s="1313"/>
      <c r="L4035" s="852"/>
      <c r="M4035" s="852"/>
    </row>
    <row r="4036" spans="5:13" ht="25.5">
      <c r="E4036" s="852"/>
      <c r="F4036" s="1313"/>
      <c r="G4036" s="1314"/>
      <c r="H4036" s="1318" t="s">
        <v>4407</v>
      </c>
      <c r="I4036" s="1313"/>
      <c r="J4036" s="1316"/>
      <c r="K4036" s="1313"/>
      <c r="L4036" s="852"/>
      <c r="M4036" s="852"/>
    </row>
    <row r="4037" spans="5:13">
      <c r="E4037" s="852"/>
      <c r="F4037" s="1313"/>
      <c r="G4037" s="1314"/>
      <c r="H4037" s="1318" t="s">
        <v>4408</v>
      </c>
      <c r="I4037" s="1313"/>
      <c r="J4037" s="1316"/>
      <c r="K4037" s="1313"/>
      <c r="L4037" s="852"/>
      <c r="M4037" s="852"/>
    </row>
    <row r="4038" spans="5:13">
      <c r="E4038" s="852"/>
      <c r="F4038" s="1313"/>
      <c r="G4038" s="1314"/>
      <c r="H4038" s="1318" t="s">
        <v>4409</v>
      </c>
      <c r="I4038" s="1313"/>
      <c r="J4038" s="1316"/>
      <c r="K4038" s="1313"/>
      <c r="L4038" s="852"/>
      <c r="M4038" s="852"/>
    </row>
    <row r="4039" spans="5:13">
      <c r="E4039" s="852"/>
      <c r="F4039" s="1313">
        <v>18.600000000000001</v>
      </c>
      <c r="G4039" s="1314" t="s">
        <v>654</v>
      </c>
      <c r="H4039" s="1318" t="s">
        <v>4410</v>
      </c>
      <c r="I4039" s="1313">
        <f>I4030</f>
        <v>43.9</v>
      </c>
      <c r="J4039" s="1316" t="s">
        <v>654</v>
      </c>
      <c r="K4039" s="1313">
        <f>SUM(F4039*I4039)</f>
        <v>816.54000000000008</v>
      </c>
      <c r="L4039" s="852"/>
      <c r="M4039" s="852"/>
    </row>
    <row r="4040" spans="5:13">
      <c r="E4040" s="852"/>
      <c r="F4040" s="1313"/>
      <c r="G4040" s="1314"/>
      <c r="H4040" s="1319" t="s">
        <v>4411</v>
      </c>
      <c r="I4040" s="1313"/>
      <c r="J4040" s="1316"/>
      <c r="K4040" s="1313"/>
      <c r="L4040" s="852"/>
      <c r="M4040" s="852"/>
    </row>
    <row r="4041" spans="5:13">
      <c r="E4041" s="852"/>
      <c r="F4041" s="1313"/>
      <c r="G4041" s="1314"/>
      <c r="H4041" s="1318" t="s">
        <v>4412</v>
      </c>
      <c r="I4041" s="1313"/>
      <c r="J4041" s="1316"/>
      <c r="K4041" s="1313"/>
      <c r="L4041" s="852"/>
      <c r="M4041" s="852"/>
    </row>
    <row r="4042" spans="5:13">
      <c r="E4042" s="852"/>
      <c r="F4042" s="1313"/>
      <c r="G4042" s="1314"/>
      <c r="H4042" s="1318" t="s">
        <v>4413</v>
      </c>
      <c r="I4042" s="1313"/>
      <c r="J4042" s="1316"/>
      <c r="K4042" s="1313"/>
      <c r="L4042" s="852"/>
      <c r="M4042" s="852"/>
    </row>
    <row r="4043" spans="5:13">
      <c r="E4043" s="852"/>
      <c r="F4043" s="1313"/>
      <c r="G4043" s="1314"/>
      <c r="H4043" s="1318" t="s">
        <v>4414</v>
      </c>
      <c r="I4043" s="1313"/>
      <c r="J4043" s="1316"/>
      <c r="K4043" s="1313"/>
      <c r="L4043" s="852"/>
      <c r="M4043" s="852"/>
    </row>
    <row r="4044" spans="5:13">
      <c r="E4044" s="852"/>
      <c r="F4044" s="1313"/>
      <c r="G4044" s="1314"/>
      <c r="H4044" s="1318" t="s">
        <v>4415</v>
      </c>
      <c r="I4044" s="1313"/>
      <c r="J4044" s="1316"/>
      <c r="K4044" s="1313"/>
      <c r="L4044" s="852"/>
      <c r="M4044" s="852"/>
    </row>
    <row r="4045" spans="5:13">
      <c r="E4045" s="852"/>
      <c r="F4045" s="1313"/>
      <c r="G4045" s="1314"/>
      <c r="H4045" s="1318" t="s">
        <v>4416</v>
      </c>
      <c r="I4045" s="1313"/>
      <c r="J4045" s="1316"/>
      <c r="K4045" s="1313"/>
      <c r="L4045" s="852"/>
      <c r="M4045" s="852"/>
    </row>
    <row r="4046" spans="5:13" ht="25.5">
      <c r="E4046" s="852"/>
      <c r="F4046" s="1313"/>
      <c r="G4046" s="1314"/>
      <c r="H4046" s="1318" t="s">
        <v>4417</v>
      </c>
      <c r="I4046" s="1313"/>
      <c r="J4046" s="1316"/>
      <c r="K4046" s="1313"/>
      <c r="L4046" s="852"/>
      <c r="M4046" s="852"/>
    </row>
    <row r="4047" spans="5:13">
      <c r="E4047" s="852"/>
      <c r="F4047" s="1313"/>
      <c r="G4047" s="1314"/>
      <c r="H4047" s="1318" t="s">
        <v>4418</v>
      </c>
      <c r="I4047" s="1313"/>
      <c r="J4047" s="1316"/>
      <c r="K4047" s="1313"/>
      <c r="L4047" s="852"/>
      <c r="M4047" s="852"/>
    </row>
    <row r="4048" spans="5:13">
      <c r="E4048" s="852"/>
      <c r="F4048" s="1313"/>
      <c r="G4048" s="1314"/>
      <c r="H4048" s="1318" t="s">
        <v>4419</v>
      </c>
      <c r="I4048" s="1313"/>
      <c r="J4048" s="1316"/>
      <c r="K4048" s="1313"/>
      <c r="L4048" s="852"/>
      <c r="M4048" s="852"/>
    </row>
    <row r="4049" spans="5:13" ht="25.5">
      <c r="E4049" s="852"/>
      <c r="F4049" s="1313"/>
      <c r="G4049" s="1314"/>
      <c r="H4049" s="1318" t="s">
        <v>4420</v>
      </c>
      <c r="I4049" s="1313"/>
      <c r="J4049" s="1316"/>
      <c r="K4049" s="1313"/>
      <c r="L4049" s="852"/>
      <c r="M4049" s="852"/>
    </row>
    <row r="4050" spans="5:13">
      <c r="E4050" s="852"/>
      <c r="F4050" s="1313"/>
      <c r="G4050" s="1314"/>
      <c r="H4050" s="1318" t="s">
        <v>4421</v>
      </c>
      <c r="I4050" s="1313"/>
      <c r="J4050" s="1316"/>
      <c r="K4050" s="1313"/>
      <c r="L4050" s="852"/>
      <c r="M4050" s="852"/>
    </row>
    <row r="4051" spans="5:13">
      <c r="E4051" s="852"/>
      <c r="F4051" s="1313"/>
      <c r="G4051" s="1314"/>
      <c r="H4051" s="1318"/>
      <c r="I4051" s="1313"/>
      <c r="J4051" s="1316"/>
      <c r="K4051" s="1313"/>
      <c r="L4051" s="852"/>
      <c r="M4051" s="852"/>
    </row>
    <row r="4052" spans="5:13">
      <c r="E4052" s="852"/>
      <c r="F4052" s="1313"/>
      <c r="G4052" s="1314"/>
      <c r="H4052" s="1318" t="s">
        <v>4422</v>
      </c>
      <c r="I4052" s="1313"/>
      <c r="J4052" s="1316"/>
      <c r="K4052" s="1313"/>
      <c r="L4052" s="852"/>
      <c r="M4052" s="852"/>
    </row>
    <row r="4053" spans="5:13">
      <c r="E4053" s="852"/>
      <c r="F4053" s="1313"/>
      <c r="G4053" s="1314"/>
      <c r="H4053" s="1318"/>
      <c r="I4053" s="1313"/>
      <c r="J4053" s="1316"/>
      <c r="K4053" s="1313"/>
      <c r="L4053" s="852"/>
      <c r="M4053" s="852"/>
    </row>
    <row r="4054" spans="5:13">
      <c r="E4054" s="852"/>
      <c r="F4054" s="1313">
        <v>5.92</v>
      </c>
      <c r="G4054" s="1314" t="s">
        <v>654</v>
      </c>
      <c r="H4054" s="1318" t="s">
        <v>4423</v>
      </c>
      <c r="I4054" s="1313">
        <v>443</v>
      </c>
      <c r="J4054" s="1316" t="s">
        <v>654</v>
      </c>
      <c r="K4054" s="1313">
        <f>SUM(F4054*I4054)</f>
        <v>2622.56</v>
      </c>
      <c r="L4054" s="852"/>
      <c r="M4054" s="852"/>
    </row>
    <row r="4055" spans="5:13">
      <c r="E4055" s="852"/>
      <c r="F4055" s="1313">
        <f>F4054</f>
        <v>5.92</v>
      </c>
      <c r="G4055" s="1314" t="s">
        <v>654</v>
      </c>
      <c r="H4055" s="1318" t="s">
        <v>4424</v>
      </c>
      <c r="I4055" s="1313">
        <v>10</v>
      </c>
      <c r="J4055" s="1316" t="s">
        <v>654</v>
      </c>
      <c r="K4055" s="1313">
        <f>SUM(F4055*I4055)</f>
        <v>59.2</v>
      </c>
      <c r="L4055" s="852"/>
      <c r="M4055" s="852"/>
    </row>
    <row r="4056" spans="5:13">
      <c r="E4056" s="852"/>
      <c r="F4056" s="1313"/>
      <c r="G4056" s="1314"/>
      <c r="H4056" s="1318"/>
      <c r="I4056" s="1313"/>
      <c r="J4056" s="1316"/>
      <c r="K4056" s="1313"/>
      <c r="L4056" s="852"/>
      <c r="M4056" s="852"/>
    </row>
    <row r="4057" spans="5:13">
      <c r="E4057" s="852"/>
      <c r="F4057" s="1313"/>
      <c r="G4057" s="1314"/>
      <c r="H4057" s="1319" t="s">
        <v>4425</v>
      </c>
      <c r="I4057" s="1313"/>
      <c r="J4057" s="1316"/>
      <c r="K4057" s="1313"/>
      <c r="L4057" s="852"/>
      <c r="M4057" s="852"/>
    </row>
    <row r="4058" spans="5:13">
      <c r="E4058" s="852"/>
      <c r="F4058" s="1313"/>
      <c r="G4058" s="1314"/>
      <c r="H4058" s="1318" t="s">
        <v>4426</v>
      </c>
      <c r="I4058" s="1313"/>
      <c r="J4058" s="1316"/>
      <c r="K4058" s="1313"/>
      <c r="L4058" s="852"/>
      <c r="M4058" s="852"/>
    </row>
    <row r="4059" spans="5:13">
      <c r="E4059" s="852"/>
      <c r="F4059" s="1313"/>
      <c r="G4059" s="1314"/>
      <c r="H4059" s="1318" t="s">
        <v>4427</v>
      </c>
      <c r="I4059" s="1313"/>
      <c r="J4059" s="1316"/>
      <c r="K4059" s="1313"/>
      <c r="L4059" s="852"/>
      <c r="M4059" s="852"/>
    </row>
    <row r="4060" spans="5:13">
      <c r="E4060" s="852"/>
      <c r="F4060" s="1313"/>
      <c r="G4060" s="1314"/>
      <c r="H4060" s="1318" t="s">
        <v>4428</v>
      </c>
      <c r="I4060" s="1313"/>
      <c r="J4060" s="1316"/>
      <c r="K4060" s="1313"/>
      <c r="L4060" s="852"/>
      <c r="M4060" s="852"/>
    </row>
    <row r="4061" spans="5:13">
      <c r="E4061" s="852"/>
      <c r="F4061" s="1313">
        <v>3.6</v>
      </c>
      <c r="G4061" s="1314" t="s">
        <v>654</v>
      </c>
      <c r="H4061" s="1318" t="s">
        <v>4429</v>
      </c>
      <c r="I4061" s="1313">
        <v>79.7</v>
      </c>
      <c r="J4061" s="1316" t="s">
        <v>654</v>
      </c>
      <c r="K4061" s="1313">
        <f>I4061*F4061</f>
        <v>286.92</v>
      </c>
      <c r="L4061" s="852"/>
      <c r="M4061" s="852"/>
    </row>
    <row r="4062" spans="5:13">
      <c r="E4062" s="852"/>
      <c r="F4062" s="1313"/>
      <c r="G4062" s="1314"/>
      <c r="H4062" s="1319" t="s">
        <v>4430</v>
      </c>
      <c r="I4062" s="1313"/>
      <c r="J4062" s="1316"/>
      <c r="K4062" s="1313"/>
      <c r="L4062" s="852"/>
      <c r="M4062" s="852"/>
    </row>
    <row r="4063" spans="5:13">
      <c r="E4063" s="852"/>
      <c r="F4063" s="1313">
        <v>3</v>
      </c>
      <c r="G4063" s="1314" t="s">
        <v>1492</v>
      </c>
      <c r="H4063" s="1318" t="s">
        <v>4431</v>
      </c>
      <c r="I4063" s="1313">
        <v>526</v>
      </c>
      <c r="J4063" s="1316" t="s">
        <v>227</v>
      </c>
      <c r="K4063" s="1313">
        <f>I4063*F4063</f>
        <v>1578</v>
      </c>
      <c r="L4063" s="852"/>
      <c r="M4063" s="852"/>
    </row>
    <row r="4064" spans="5:13">
      <c r="E4064" s="852"/>
      <c r="F4064" s="1313">
        <v>1</v>
      </c>
      <c r="G4064" s="1314" t="s">
        <v>1492</v>
      </c>
      <c r="H4064" s="1318" t="s">
        <v>4432</v>
      </c>
      <c r="I4064" s="1313">
        <v>325</v>
      </c>
      <c r="J4064" s="1316" t="s">
        <v>227</v>
      </c>
      <c r="K4064" s="1313">
        <f>I4064*F4064</f>
        <v>325</v>
      </c>
      <c r="L4064" s="852"/>
      <c r="M4064" s="852"/>
    </row>
    <row r="4065" spans="5:13">
      <c r="E4065" s="852"/>
      <c r="F4065" s="1313">
        <v>1</v>
      </c>
      <c r="G4065" s="1314" t="s">
        <v>1492</v>
      </c>
      <c r="H4065" s="1318" t="s">
        <v>4433</v>
      </c>
      <c r="I4065" s="1313">
        <f>I4064</f>
        <v>325</v>
      </c>
      <c r="J4065" s="1316" t="s">
        <v>227</v>
      </c>
      <c r="K4065" s="1313">
        <f>I4065*F4065</f>
        <v>325</v>
      </c>
      <c r="L4065" s="852"/>
      <c r="M4065" s="852"/>
    </row>
    <row r="4066" spans="5:13">
      <c r="E4066" s="852"/>
      <c r="F4066" s="1322">
        <v>800</v>
      </c>
      <c r="G4066" s="1316" t="s">
        <v>4434</v>
      </c>
      <c r="H4066" s="1318" t="s">
        <v>4435</v>
      </c>
      <c r="I4066" s="1313">
        <v>1</v>
      </c>
      <c r="J4066" s="1316" t="s">
        <v>4434</v>
      </c>
      <c r="K4066" s="1313">
        <f>SUM(F4066*I4066)</f>
        <v>800</v>
      </c>
      <c r="L4066" s="852"/>
      <c r="M4066" s="852"/>
    </row>
    <row r="4067" spans="5:13">
      <c r="E4067" s="852"/>
      <c r="F4067" s="1313"/>
      <c r="G4067" s="1314"/>
      <c r="H4067" s="1318" t="s">
        <v>4436</v>
      </c>
      <c r="I4067" s="1313"/>
      <c r="J4067" s="1316"/>
      <c r="K4067" s="1313"/>
      <c r="L4067" s="852"/>
      <c r="M4067" s="852"/>
    </row>
    <row r="4068" spans="5:13">
      <c r="E4068" s="852"/>
      <c r="F4068" s="1313"/>
      <c r="G4068" s="1314"/>
      <c r="H4068" s="1318" t="s">
        <v>4437</v>
      </c>
      <c r="I4068" s="1313"/>
      <c r="J4068" s="1316"/>
      <c r="K4068" s="1313"/>
      <c r="L4068" s="852"/>
      <c r="M4068" s="852"/>
    </row>
    <row r="4069" spans="5:13">
      <c r="E4069" s="852"/>
      <c r="F4069" s="1323">
        <v>0.27</v>
      </c>
      <c r="G4069" s="1314" t="s">
        <v>4438</v>
      </c>
      <c r="H4069" s="1318" t="s">
        <v>4439</v>
      </c>
      <c r="I4069" s="1313">
        <v>1074</v>
      </c>
      <c r="J4069" s="1324" t="s">
        <v>4438</v>
      </c>
      <c r="K4069" s="1313">
        <f t="shared" ref="K4069:K4076" si="109">SUM(F4069*I4069)</f>
        <v>289.98</v>
      </c>
      <c r="L4069" s="852"/>
      <c r="M4069" s="852"/>
    </row>
    <row r="4070" spans="5:13">
      <c r="E4070" s="852"/>
      <c r="F4070" s="1313">
        <v>9</v>
      </c>
      <c r="G4070" s="1314" t="s">
        <v>240</v>
      </c>
      <c r="H4070" s="1318" t="s">
        <v>4440</v>
      </c>
      <c r="I4070" s="1313">
        <v>20</v>
      </c>
      <c r="J4070" s="1316" t="s">
        <v>1729</v>
      </c>
      <c r="K4070" s="1313">
        <f t="shared" si="109"/>
        <v>180</v>
      </c>
      <c r="L4070" s="852"/>
      <c r="M4070" s="852"/>
    </row>
    <row r="4071" spans="5:13">
      <c r="E4071" s="852"/>
      <c r="F4071" s="1313">
        <v>2</v>
      </c>
      <c r="G4071" s="1314" t="s">
        <v>2239</v>
      </c>
      <c r="H4071" s="1318" t="s">
        <v>4441</v>
      </c>
      <c r="I4071" s="1313">
        <v>280</v>
      </c>
      <c r="J4071" s="1316" t="s">
        <v>2239</v>
      </c>
      <c r="K4071" s="1313">
        <f t="shared" si="109"/>
        <v>560</v>
      </c>
      <c r="L4071" s="852"/>
      <c r="M4071" s="852"/>
    </row>
    <row r="4072" spans="5:13">
      <c r="E4072" s="852"/>
      <c r="F4072" s="1313">
        <v>5</v>
      </c>
      <c r="G4072" s="1314" t="s">
        <v>2831</v>
      </c>
      <c r="H4072" s="1318" t="s">
        <v>4442</v>
      </c>
      <c r="I4072" s="1313">
        <v>8.3000000000000007</v>
      </c>
      <c r="J4072" s="1324" t="s">
        <v>2831</v>
      </c>
      <c r="K4072" s="1313">
        <f t="shared" si="109"/>
        <v>41.5</v>
      </c>
      <c r="L4072" s="852"/>
      <c r="M4072" s="852"/>
    </row>
    <row r="4073" spans="5:13">
      <c r="E4073" s="852"/>
      <c r="F4073" s="1325">
        <v>53.512999999999998</v>
      </c>
      <c r="G4073" s="1326" t="s">
        <v>654</v>
      </c>
      <c r="H4073" s="1318" t="s">
        <v>4443</v>
      </c>
      <c r="I4073" s="1327">
        <v>31.5</v>
      </c>
      <c r="J4073" s="1328" t="s">
        <v>654</v>
      </c>
      <c r="K4073" s="1327">
        <f t="shared" si="109"/>
        <v>1685.6595</v>
      </c>
      <c r="L4073" s="852"/>
      <c r="M4073" s="852"/>
    </row>
    <row r="4074" spans="5:13">
      <c r="E4074" s="852"/>
      <c r="F4074" s="1325">
        <v>18.600000000000001</v>
      </c>
      <c r="G4074" s="1326" t="s">
        <v>654</v>
      </c>
      <c r="H4074" s="1318" t="s">
        <v>4444</v>
      </c>
      <c r="I4074" s="1327">
        <v>31.5</v>
      </c>
      <c r="J4074" s="1328" t="s">
        <v>654</v>
      </c>
      <c r="K4074" s="1327">
        <f>SUM(F4074*I4074)</f>
        <v>585.90000000000009</v>
      </c>
      <c r="L4074" s="852"/>
      <c r="M4074" s="852"/>
    </row>
    <row r="4075" spans="5:13">
      <c r="E4075" s="852"/>
      <c r="F4075" s="1313">
        <v>12</v>
      </c>
      <c r="G4075" s="1314" t="s">
        <v>240</v>
      </c>
      <c r="H4075" s="1318" t="s">
        <v>4445</v>
      </c>
      <c r="I4075" s="1313">
        <v>1130.22</v>
      </c>
      <c r="J4075" s="1324" t="s">
        <v>227</v>
      </c>
      <c r="K4075" s="1313">
        <f t="shared" si="109"/>
        <v>13562.64</v>
      </c>
      <c r="L4075" s="852"/>
      <c r="M4075" s="852"/>
    </row>
    <row r="4076" spans="5:13">
      <c r="E4076" s="852"/>
      <c r="F4076" s="1313">
        <v>83.16</v>
      </c>
      <c r="G4076" s="1314" t="s">
        <v>4446</v>
      </c>
      <c r="H4076" s="1318" t="s">
        <v>4447</v>
      </c>
      <c r="I4076" s="1313">
        <v>10</v>
      </c>
      <c r="J4076" s="1324" t="s">
        <v>4448</v>
      </c>
      <c r="K4076" s="1313">
        <f t="shared" si="109"/>
        <v>831.59999999999991</v>
      </c>
      <c r="L4076" s="852"/>
      <c r="M4076" s="852"/>
    </row>
    <row r="4077" spans="5:13" ht="25.5">
      <c r="E4077" s="852"/>
      <c r="F4077" s="1320">
        <v>24</v>
      </c>
      <c r="G4077" s="1314" t="s">
        <v>4449</v>
      </c>
      <c r="H4077" s="1329" t="s">
        <v>4450</v>
      </c>
      <c r="I4077" s="1313">
        <v>47.7</v>
      </c>
      <c r="J4077" s="1330" t="s">
        <v>4305</v>
      </c>
      <c r="K4077" s="1313">
        <f>I4077*F4077</f>
        <v>1144.8000000000002</v>
      </c>
      <c r="L4077" s="852"/>
      <c r="M4077" s="852"/>
    </row>
    <row r="4078" spans="5:13">
      <c r="E4078" s="852"/>
      <c r="F4078" s="1313"/>
      <c r="G4078" s="1314"/>
      <c r="H4078" s="1318" t="s">
        <v>4451</v>
      </c>
      <c r="I4078" s="1313"/>
      <c r="J4078" s="1316"/>
      <c r="K4078" s="1313">
        <v>200</v>
      </c>
      <c r="L4078" s="852"/>
      <c r="M4078" s="852"/>
    </row>
    <row r="4079" spans="5:13">
      <c r="E4079" s="852"/>
      <c r="F4079" s="1313"/>
      <c r="G4079" s="1314"/>
      <c r="H4079" s="1318"/>
      <c r="I4079" s="1313" t="s">
        <v>257</v>
      </c>
      <c r="J4079" s="1316"/>
      <c r="K4079" s="1317">
        <f>SUM(K4030:K4078)</f>
        <v>28244.520199999995</v>
      </c>
      <c r="L4079" s="852"/>
      <c r="M4079" s="852"/>
    </row>
    <row r="4080" spans="5:13">
      <c r="E4080" s="852"/>
      <c r="F4080" s="1313"/>
      <c r="G4080" s="1314"/>
      <c r="H4080" s="1318" t="s">
        <v>4452</v>
      </c>
      <c r="I4080" s="1313"/>
      <c r="J4080" s="1316"/>
      <c r="K4080" s="1313">
        <f>K4079*2/100</f>
        <v>564.89040399999988</v>
      </c>
      <c r="L4080" s="852"/>
      <c r="M4080" s="852"/>
    </row>
    <row r="4081" spans="5:13">
      <c r="E4081" s="852"/>
      <c r="F4081" s="1313"/>
      <c r="G4081" s="1314"/>
      <c r="H4081" s="1318"/>
      <c r="I4081" s="1313"/>
      <c r="J4081" s="1316"/>
      <c r="K4081" s="1317">
        <f>SUM(K4079:K4080)</f>
        <v>28809.410603999997</v>
      </c>
      <c r="L4081" s="852"/>
      <c r="M4081" s="852"/>
    </row>
    <row r="4082" spans="5:13">
      <c r="E4082" s="852"/>
      <c r="F4082" s="1313"/>
      <c r="G4082" s="1314"/>
      <c r="H4082" s="1319" t="s">
        <v>4453</v>
      </c>
      <c r="I4082" s="1313"/>
      <c r="J4082" s="1316"/>
      <c r="K4082" s="1313"/>
      <c r="L4082" s="852"/>
      <c r="M4082" s="852"/>
    </row>
    <row r="4083" spans="5:13">
      <c r="E4083" s="852"/>
      <c r="F4083" s="1313"/>
      <c r="G4083" s="1314"/>
      <c r="H4083" s="1318" t="s">
        <v>4454</v>
      </c>
      <c r="I4083" s="1313"/>
      <c r="J4083" s="1316"/>
      <c r="K4083" s="1313">
        <v>1500</v>
      </c>
      <c r="L4083" s="852"/>
      <c r="M4083" s="852"/>
    </row>
    <row r="4084" spans="5:13">
      <c r="E4084" s="852"/>
      <c r="F4084" s="1313"/>
      <c r="G4084" s="1314"/>
      <c r="H4084" s="1318" t="s">
        <v>4455</v>
      </c>
      <c r="I4084" s="1313"/>
      <c r="J4084" s="1316"/>
      <c r="K4084" s="1313">
        <v>4000</v>
      </c>
      <c r="L4084" s="852"/>
      <c r="M4084" s="852"/>
    </row>
    <row r="4085" spans="5:13">
      <c r="E4085" s="852"/>
      <c r="F4085" s="1313"/>
      <c r="G4085" s="1314"/>
      <c r="H4085" s="1318"/>
      <c r="I4085" s="1313"/>
      <c r="J4085" s="1316"/>
      <c r="K4085" s="1317">
        <f>SUM(K4081:K4084)</f>
        <v>34309.410603999997</v>
      </c>
      <c r="L4085" s="852"/>
      <c r="M4085" s="852"/>
    </row>
    <row r="4086" spans="5:13">
      <c r="E4086" s="852"/>
      <c r="F4086" s="1313"/>
      <c r="G4086" s="1314"/>
      <c r="H4086" s="1318"/>
      <c r="I4086" s="1313"/>
      <c r="J4086" s="1316"/>
      <c r="K4086" s="1313" t="s">
        <v>4456</v>
      </c>
      <c r="L4086" s="852"/>
      <c r="M4086" s="852"/>
    </row>
    <row r="4087" spans="5:13">
      <c r="E4087" s="852"/>
      <c r="F4087" s="1313"/>
      <c r="G4087" s="1314"/>
      <c r="H4087" s="1318"/>
      <c r="I4087" s="1313"/>
      <c r="J4087" s="1316"/>
      <c r="K4087" s="1331">
        <v>34310</v>
      </c>
      <c r="L4087" s="852"/>
      <c r="M4087" s="852"/>
    </row>
    <row r="4088" spans="5:13">
      <c r="E4088" s="852"/>
      <c r="F4088" s="852"/>
      <c r="G4088" s="852"/>
      <c r="H4088" s="852"/>
      <c r="I4088" s="852"/>
      <c r="J4088" s="852"/>
      <c r="K4088" s="852"/>
      <c r="L4088" s="852"/>
      <c r="M4088" s="852"/>
    </row>
    <row r="4089" spans="5:13">
      <c r="E4089" s="852"/>
      <c r="F4089" s="852"/>
      <c r="G4089" s="852"/>
      <c r="H4089" s="852"/>
      <c r="I4089" s="852"/>
      <c r="J4089" s="852"/>
      <c r="K4089" s="852"/>
      <c r="L4089" s="852"/>
      <c r="M4089" s="852"/>
    </row>
    <row r="4090" spans="5:13">
      <c r="E4090" s="852"/>
      <c r="F4090" s="852"/>
      <c r="G4090" s="852"/>
      <c r="H4090" s="852"/>
      <c r="I4090" s="852"/>
      <c r="J4090" s="852"/>
      <c r="K4090" s="852"/>
      <c r="L4090" s="852"/>
      <c r="M4090" s="852"/>
    </row>
    <row r="4091" spans="5:13">
      <c r="E4091" s="852"/>
      <c r="F4091" s="852"/>
      <c r="G4091" s="852"/>
      <c r="H4091" s="852"/>
      <c r="I4091" s="852"/>
      <c r="J4091" s="852"/>
      <c r="K4091" s="852"/>
      <c r="L4091" s="852"/>
      <c r="M4091" s="852"/>
    </row>
    <row r="4092" spans="5:13">
      <c r="E4092" s="852"/>
      <c r="F4092" s="852"/>
      <c r="G4092" s="852"/>
      <c r="H4092" s="852"/>
      <c r="I4092" s="852"/>
      <c r="J4092" s="852"/>
      <c r="K4092" s="852"/>
      <c r="L4092" s="852"/>
      <c r="M4092" s="852"/>
    </row>
    <row r="4093" spans="5:13">
      <c r="E4093" s="852"/>
      <c r="F4093" s="852"/>
      <c r="G4093" s="852"/>
      <c r="H4093" s="852"/>
      <c r="I4093" s="852"/>
      <c r="J4093" s="852"/>
      <c r="K4093" s="852"/>
      <c r="L4093" s="852"/>
      <c r="M4093" s="852"/>
    </row>
    <row r="4094" spans="5:13">
      <c r="E4094" s="852"/>
      <c r="F4094" s="852"/>
      <c r="G4094" s="852"/>
      <c r="H4094" s="852"/>
      <c r="I4094" s="852"/>
      <c r="J4094" s="852"/>
      <c r="K4094" s="852"/>
      <c r="L4094" s="852"/>
      <c r="M4094" s="852"/>
    </row>
    <row r="4095" spans="5:13">
      <c r="E4095" s="852"/>
      <c r="F4095" s="852"/>
      <c r="G4095" s="852"/>
      <c r="H4095" s="852"/>
      <c r="I4095" s="852"/>
      <c r="J4095" s="852"/>
      <c r="K4095" s="852"/>
      <c r="L4095" s="852"/>
      <c r="M4095" s="852"/>
    </row>
    <row r="4096" spans="5:13">
      <c r="E4096" s="852"/>
      <c r="F4096" s="852"/>
      <c r="G4096" s="852"/>
      <c r="H4096" s="852"/>
      <c r="I4096" s="852"/>
      <c r="J4096" s="852"/>
      <c r="K4096" s="852"/>
      <c r="L4096" s="852"/>
      <c r="M4096" s="852"/>
    </row>
    <row r="4097" spans="5:13">
      <c r="E4097" s="852"/>
      <c r="F4097" s="852"/>
      <c r="G4097" s="852"/>
      <c r="H4097" s="852"/>
      <c r="I4097" s="852"/>
      <c r="J4097" s="852"/>
      <c r="K4097" s="852"/>
      <c r="L4097" s="852"/>
      <c r="M4097" s="852"/>
    </row>
    <row r="4098" spans="5:13">
      <c r="E4098" s="852"/>
      <c r="F4098" s="852"/>
      <c r="G4098" s="852"/>
      <c r="H4098" s="852"/>
      <c r="I4098" s="852"/>
      <c r="J4098" s="852"/>
      <c r="K4098" s="852"/>
      <c r="L4098" s="852"/>
      <c r="M4098" s="852"/>
    </row>
    <row r="4099" spans="5:13">
      <c r="E4099" s="852"/>
      <c r="F4099" s="852"/>
      <c r="G4099" s="852"/>
      <c r="H4099" s="852"/>
      <c r="I4099" s="852"/>
      <c r="J4099" s="852"/>
      <c r="K4099" s="852"/>
      <c r="L4099" s="852"/>
      <c r="M4099" s="852"/>
    </row>
    <row r="4100" spans="5:13">
      <c r="E4100" s="852"/>
      <c r="F4100" s="852"/>
      <c r="G4100" s="852"/>
      <c r="H4100" s="852"/>
      <c r="I4100" s="852"/>
      <c r="J4100" s="852"/>
      <c r="K4100" s="852"/>
      <c r="L4100" s="852"/>
      <c r="M4100" s="852"/>
    </row>
    <row r="4101" spans="5:13">
      <c r="E4101" s="852"/>
      <c r="F4101" s="852"/>
      <c r="G4101" s="852"/>
      <c r="H4101" s="852"/>
      <c r="I4101" s="852"/>
      <c r="J4101" s="852"/>
      <c r="K4101" s="852"/>
      <c r="L4101" s="852"/>
      <c r="M4101" s="852"/>
    </row>
    <row r="4102" spans="5:13">
      <c r="E4102" s="852"/>
      <c r="F4102" s="852"/>
      <c r="G4102" s="852"/>
      <c r="H4102" s="852"/>
      <c r="I4102" s="852"/>
      <c r="J4102" s="852"/>
      <c r="K4102" s="852"/>
      <c r="L4102" s="852"/>
      <c r="M4102" s="852"/>
    </row>
    <row r="4103" spans="5:13">
      <c r="E4103" s="852"/>
      <c r="F4103" s="852"/>
      <c r="G4103" s="852"/>
      <c r="H4103" s="852"/>
      <c r="I4103" s="852"/>
      <c r="J4103" s="852"/>
      <c r="K4103" s="852"/>
      <c r="L4103" s="852"/>
      <c r="M4103" s="852"/>
    </row>
    <row r="4104" spans="5:13">
      <c r="E4104" s="852"/>
      <c r="F4104" s="852"/>
      <c r="G4104" s="852"/>
      <c r="H4104" s="852"/>
      <c r="I4104" s="852"/>
      <c r="J4104" s="852"/>
      <c r="K4104" s="852"/>
      <c r="L4104" s="852"/>
      <c r="M4104" s="852"/>
    </row>
    <row r="4105" spans="5:13">
      <c r="E4105" s="852"/>
      <c r="F4105" s="852"/>
      <c r="G4105" s="852"/>
      <c r="H4105" s="852"/>
      <c r="I4105" s="852"/>
      <c r="J4105" s="852"/>
      <c r="K4105" s="852"/>
      <c r="L4105" s="852"/>
      <c r="M4105" s="852"/>
    </row>
    <row r="4106" spans="5:13">
      <c r="E4106" s="852"/>
      <c r="F4106" s="852"/>
      <c r="G4106" s="852"/>
      <c r="H4106" s="852"/>
      <c r="I4106" s="852"/>
      <c r="J4106" s="852"/>
      <c r="K4106" s="852"/>
      <c r="L4106" s="852"/>
      <c r="M4106" s="852"/>
    </row>
    <row r="4107" spans="5:13">
      <c r="E4107" s="852"/>
      <c r="F4107" s="852"/>
      <c r="G4107" s="852"/>
      <c r="H4107" s="852"/>
      <c r="I4107" s="852"/>
      <c r="J4107" s="852"/>
      <c r="K4107" s="852"/>
      <c r="L4107" s="852"/>
      <c r="M4107" s="852"/>
    </row>
    <row r="4108" spans="5:13">
      <c r="E4108" s="852"/>
      <c r="F4108" s="852"/>
      <c r="G4108" s="852"/>
      <c r="H4108" s="852"/>
      <c r="I4108" s="852"/>
      <c r="J4108" s="852"/>
      <c r="K4108" s="852"/>
      <c r="L4108" s="852"/>
      <c r="M4108" s="852"/>
    </row>
    <row r="4109" spans="5:13">
      <c r="E4109" s="852"/>
      <c r="F4109" s="852"/>
      <c r="G4109" s="852"/>
      <c r="H4109" s="852"/>
      <c r="I4109" s="852"/>
      <c r="J4109" s="852"/>
      <c r="K4109" s="852"/>
      <c r="L4109" s="852"/>
      <c r="M4109" s="852"/>
    </row>
    <row r="4110" spans="5:13">
      <c r="E4110" s="852"/>
      <c r="F4110" s="852"/>
      <c r="G4110" s="852"/>
      <c r="H4110" s="852"/>
      <c r="I4110" s="852"/>
      <c r="J4110" s="852"/>
      <c r="K4110" s="852"/>
      <c r="L4110" s="852"/>
      <c r="M4110" s="852"/>
    </row>
    <row r="4111" spans="5:13">
      <c r="E4111" s="852"/>
      <c r="F4111" s="852"/>
      <c r="G4111" s="852"/>
      <c r="H4111" s="852"/>
      <c r="I4111" s="852"/>
      <c r="J4111" s="852"/>
      <c r="K4111" s="852"/>
      <c r="L4111" s="852"/>
      <c r="M4111" s="852"/>
    </row>
    <row r="4112" spans="5:13">
      <c r="E4112" s="852"/>
      <c r="F4112" s="852"/>
      <c r="G4112" s="852"/>
      <c r="H4112" s="852"/>
      <c r="I4112" s="852"/>
      <c r="J4112" s="852"/>
      <c r="K4112" s="852"/>
      <c r="L4112" s="852"/>
      <c r="M4112" s="852"/>
    </row>
    <row r="4113" spans="5:13">
      <c r="E4113" s="852"/>
      <c r="F4113" s="852"/>
      <c r="G4113" s="852"/>
      <c r="H4113" s="852"/>
      <c r="I4113" s="852"/>
      <c r="J4113" s="852"/>
      <c r="K4113" s="852"/>
      <c r="L4113" s="852"/>
      <c r="M4113" s="852"/>
    </row>
    <row r="4114" spans="5:13">
      <c r="E4114" s="852"/>
      <c r="F4114" s="852"/>
      <c r="G4114" s="852"/>
      <c r="H4114" s="852"/>
      <c r="I4114" s="852"/>
      <c r="J4114" s="852"/>
      <c r="K4114" s="852"/>
      <c r="L4114" s="852"/>
      <c r="M4114" s="852"/>
    </row>
    <row r="4115" spans="5:13">
      <c r="E4115" s="852"/>
      <c r="F4115" s="852"/>
      <c r="G4115" s="852"/>
      <c r="H4115" s="852"/>
      <c r="I4115" s="852"/>
      <c r="J4115" s="852"/>
      <c r="K4115" s="852"/>
      <c r="L4115" s="852"/>
      <c r="M4115" s="852"/>
    </row>
    <row r="4116" spans="5:13">
      <c r="E4116" s="852"/>
      <c r="F4116" s="852"/>
      <c r="G4116" s="852"/>
      <c r="H4116" s="852"/>
      <c r="I4116" s="852"/>
      <c r="J4116" s="852"/>
      <c r="K4116" s="852"/>
      <c r="L4116" s="852"/>
      <c r="M4116" s="852"/>
    </row>
    <row r="4117" spans="5:13">
      <c r="E4117" s="852"/>
      <c r="F4117" s="852"/>
      <c r="G4117" s="852"/>
      <c r="H4117" s="852"/>
      <c r="I4117" s="852"/>
      <c r="J4117" s="852"/>
      <c r="K4117" s="852"/>
      <c r="L4117" s="852"/>
      <c r="M4117" s="852"/>
    </row>
    <row r="4118" spans="5:13">
      <c r="E4118" s="852"/>
      <c r="F4118" s="852"/>
      <c r="G4118" s="852"/>
      <c r="H4118" s="852"/>
      <c r="I4118" s="852"/>
      <c r="J4118" s="852"/>
      <c r="K4118" s="852"/>
      <c r="L4118" s="852"/>
      <c r="M4118" s="852"/>
    </row>
    <row r="4119" spans="5:13">
      <c r="E4119" s="852"/>
      <c r="F4119" s="852"/>
      <c r="G4119" s="852"/>
      <c r="H4119" s="852"/>
      <c r="I4119" s="852"/>
      <c r="J4119" s="852"/>
      <c r="K4119" s="852"/>
      <c r="L4119" s="852"/>
      <c r="M4119" s="852"/>
    </row>
    <row r="4120" spans="5:13">
      <c r="E4120" s="852"/>
      <c r="F4120" s="852"/>
      <c r="G4120" s="852"/>
      <c r="H4120" s="852"/>
      <c r="I4120" s="852"/>
      <c r="J4120" s="852"/>
      <c r="K4120" s="852"/>
      <c r="L4120" s="852"/>
      <c r="M4120" s="852"/>
    </row>
    <row r="4121" spans="5:13">
      <c r="E4121" s="852"/>
      <c r="F4121" s="852"/>
      <c r="G4121" s="852"/>
      <c r="H4121" s="852"/>
      <c r="I4121" s="852"/>
      <c r="J4121" s="852"/>
      <c r="K4121" s="852"/>
      <c r="L4121" s="852"/>
      <c r="M4121" s="852"/>
    </row>
    <row r="4122" spans="5:13">
      <c r="E4122" s="852"/>
      <c r="F4122" s="852"/>
      <c r="G4122" s="852"/>
      <c r="H4122" s="852"/>
      <c r="I4122" s="852"/>
      <c r="J4122" s="852"/>
      <c r="K4122" s="852"/>
      <c r="L4122" s="852"/>
      <c r="M4122" s="852"/>
    </row>
    <row r="4123" spans="5:13">
      <c r="E4123" s="852"/>
      <c r="F4123" s="852"/>
      <c r="G4123" s="852"/>
      <c r="H4123" s="852"/>
      <c r="I4123" s="852"/>
      <c r="J4123" s="852"/>
      <c r="K4123" s="852"/>
      <c r="L4123" s="852"/>
      <c r="M4123" s="852"/>
    </row>
    <row r="4124" spans="5:13">
      <c r="E4124" s="852"/>
      <c r="F4124" s="852"/>
      <c r="G4124" s="852"/>
      <c r="H4124" s="852"/>
      <c r="I4124" s="852"/>
      <c r="J4124" s="852"/>
      <c r="K4124" s="852"/>
      <c r="L4124" s="852"/>
      <c r="M4124" s="852"/>
    </row>
    <row r="4125" spans="5:13">
      <c r="E4125" s="852"/>
      <c r="F4125" s="852"/>
      <c r="G4125" s="852"/>
      <c r="H4125" s="852"/>
      <c r="I4125" s="852"/>
      <c r="J4125" s="852"/>
      <c r="K4125" s="852"/>
      <c r="L4125" s="852"/>
      <c r="M4125" s="852"/>
    </row>
    <row r="4126" spans="5:13">
      <c r="E4126" s="852"/>
      <c r="F4126" s="852"/>
      <c r="G4126" s="852"/>
      <c r="H4126" s="852"/>
      <c r="I4126" s="852"/>
      <c r="J4126" s="852"/>
      <c r="K4126" s="852"/>
      <c r="L4126" s="852"/>
      <c r="M4126" s="852"/>
    </row>
    <row r="4127" spans="5:13">
      <c r="E4127" s="852"/>
      <c r="F4127" s="852"/>
      <c r="G4127" s="852"/>
      <c r="H4127" s="852"/>
      <c r="I4127" s="852"/>
      <c r="J4127" s="852"/>
      <c r="K4127" s="852"/>
      <c r="L4127" s="852"/>
      <c r="M4127" s="852"/>
    </row>
    <row r="4128" spans="5:13">
      <c r="E4128" s="852"/>
      <c r="F4128" s="852"/>
      <c r="G4128" s="852"/>
      <c r="H4128" s="852"/>
      <c r="I4128" s="852"/>
      <c r="J4128" s="852"/>
      <c r="K4128" s="852"/>
      <c r="L4128" s="852"/>
      <c r="M4128" s="852"/>
    </row>
    <row r="4129" spans="5:13">
      <c r="E4129" s="852"/>
      <c r="F4129" s="852"/>
      <c r="G4129" s="852"/>
      <c r="H4129" s="852"/>
      <c r="I4129" s="852"/>
      <c r="J4129" s="852"/>
      <c r="K4129" s="852"/>
      <c r="L4129" s="852"/>
      <c r="M4129" s="852"/>
    </row>
    <row r="4130" spans="5:13">
      <c r="E4130" s="852"/>
      <c r="F4130" s="852"/>
      <c r="G4130" s="852"/>
      <c r="H4130" s="852"/>
      <c r="I4130" s="852"/>
      <c r="J4130" s="852"/>
      <c r="K4130" s="852"/>
      <c r="L4130" s="852"/>
      <c r="M4130" s="852"/>
    </row>
    <row r="4131" spans="5:13">
      <c r="E4131" s="852"/>
      <c r="F4131" s="852"/>
      <c r="G4131" s="852"/>
      <c r="H4131" s="852"/>
      <c r="I4131" s="852"/>
      <c r="J4131" s="852"/>
      <c r="K4131" s="852"/>
      <c r="L4131" s="852"/>
      <c r="M4131" s="852"/>
    </row>
    <row r="4132" spans="5:13">
      <c r="E4132" s="852"/>
      <c r="F4132" s="852"/>
      <c r="G4132" s="852"/>
      <c r="H4132" s="852"/>
      <c r="I4132" s="852"/>
      <c r="J4132" s="852"/>
      <c r="K4132" s="852"/>
      <c r="L4132" s="852"/>
      <c r="M4132" s="852"/>
    </row>
    <row r="4133" spans="5:13">
      <c r="E4133" s="852"/>
      <c r="F4133" s="852"/>
      <c r="G4133" s="852"/>
      <c r="H4133" s="852"/>
      <c r="I4133" s="852"/>
      <c r="J4133" s="852"/>
      <c r="K4133" s="852"/>
      <c r="L4133" s="852"/>
      <c r="M4133" s="852"/>
    </row>
    <row r="4134" spans="5:13">
      <c r="E4134" s="852"/>
      <c r="F4134" s="852"/>
      <c r="G4134" s="852"/>
      <c r="H4134" s="852"/>
      <c r="I4134" s="852"/>
      <c r="J4134" s="852"/>
      <c r="K4134" s="852"/>
      <c r="L4134" s="852"/>
      <c r="M4134" s="852"/>
    </row>
    <row r="4135" spans="5:13">
      <c r="E4135" s="852"/>
      <c r="F4135" s="852"/>
      <c r="G4135" s="852"/>
      <c r="H4135" s="852"/>
      <c r="I4135" s="852"/>
      <c r="J4135" s="852"/>
      <c r="K4135" s="852"/>
      <c r="L4135" s="852"/>
      <c r="M4135" s="852"/>
    </row>
    <row r="4136" spans="5:13">
      <c r="E4136" s="852"/>
      <c r="F4136" s="852"/>
      <c r="G4136" s="852"/>
      <c r="H4136" s="852"/>
      <c r="I4136" s="852"/>
      <c r="J4136" s="852"/>
      <c r="K4136" s="852"/>
      <c r="L4136" s="852"/>
      <c r="M4136" s="852"/>
    </row>
    <row r="4137" spans="5:13">
      <c r="E4137" s="852"/>
      <c r="F4137" s="852"/>
      <c r="G4137" s="852"/>
      <c r="H4137" s="852"/>
      <c r="I4137" s="852"/>
      <c r="J4137" s="852"/>
      <c r="K4137" s="852"/>
      <c r="L4137" s="852"/>
      <c r="M4137" s="852"/>
    </row>
    <row r="4138" spans="5:13">
      <c r="E4138" s="852"/>
      <c r="F4138" s="852"/>
      <c r="G4138" s="852"/>
      <c r="H4138" s="852"/>
      <c r="I4138" s="852"/>
      <c r="J4138" s="852"/>
      <c r="K4138" s="852"/>
      <c r="L4138" s="852"/>
      <c r="M4138" s="852"/>
    </row>
    <row r="4139" spans="5:13">
      <c r="E4139" s="852"/>
      <c r="F4139" s="852"/>
      <c r="G4139" s="852"/>
      <c r="H4139" s="852"/>
      <c r="I4139" s="852"/>
      <c r="J4139" s="852"/>
      <c r="K4139" s="852"/>
      <c r="L4139" s="852"/>
      <c r="M4139" s="852"/>
    </row>
    <row r="4140" spans="5:13">
      <c r="E4140" s="852"/>
      <c r="F4140" s="852"/>
      <c r="G4140" s="852"/>
      <c r="H4140" s="852"/>
      <c r="I4140" s="852"/>
      <c r="J4140" s="852"/>
      <c r="K4140" s="852"/>
      <c r="L4140" s="852"/>
      <c r="M4140" s="852"/>
    </row>
    <row r="4141" spans="5:13">
      <c r="E4141" s="852"/>
      <c r="F4141" s="852"/>
      <c r="G4141" s="852"/>
      <c r="H4141" s="852"/>
      <c r="I4141" s="852"/>
      <c r="J4141" s="852"/>
      <c r="K4141" s="852"/>
      <c r="L4141" s="852"/>
      <c r="M4141" s="852"/>
    </row>
    <row r="4142" spans="5:13">
      <c r="E4142" s="852"/>
      <c r="F4142" s="852"/>
      <c r="G4142" s="852"/>
      <c r="H4142" s="852"/>
      <c r="I4142" s="852"/>
      <c r="J4142" s="852"/>
      <c r="K4142" s="852"/>
      <c r="L4142" s="852"/>
      <c r="M4142" s="852"/>
    </row>
    <row r="4143" spans="5:13">
      <c r="E4143" s="852"/>
      <c r="F4143" s="852"/>
      <c r="G4143" s="852"/>
      <c r="H4143" s="852"/>
      <c r="I4143" s="852"/>
      <c r="J4143" s="852"/>
      <c r="K4143" s="852"/>
      <c r="L4143" s="852"/>
      <c r="M4143" s="852"/>
    </row>
    <row r="4144" spans="5:13">
      <c r="E4144" s="852"/>
      <c r="F4144" s="852"/>
      <c r="G4144" s="852"/>
      <c r="H4144" s="852"/>
      <c r="I4144" s="852"/>
      <c r="J4144" s="852"/>
      <c r="K4144" s="852"/>
      <c r="L4144" s="852"/>
      <c r="M4144" s="852"/>
    </row>
    <row r="4145" spans="5:13">
      <c r="E4145" s="852"/>
      <c r="F4145" s="852"/>
      <c r="G4145" s="852"/>
      <c r="H4145" s="852"/>
      <c r="I4145" s="852"/>
      <c r="J4145" s="852"/>
      <c r="K4145" s="852"/>
      <c r="L4145" s="852"/>
      <c r="M4145" s="852"/>
    </row>
    <row r="4146" spans="5:13">
      <c r="E4146" s="852"/>
      <c r="F4146" s="852"/>
      <c r="G4146" s="852"/>
      <c r="H4146" s="852"/>
      <c r="I4146" s="852"/>
      <c r="J4146" s="852"/>
      <c r="K4146" s="852"/>
      <c r="L4146" s="852"/>
      <c r="M4146" s="852"/>
    </row>
    <row r="4147" spans="5:13">
      <c r="E4147" s="852"/>
      <c r="F4147" s="852"/>
      <c r="G4147" s="852"/>
      <c r="H4147" s="852"/>
      <c r="I4147" s="852"/>
      <c r="J4147" s="852"/>
      <c r="K4147" s="852"/>
      <c r="L4147" s="852"/>
      <c r="M4147" s="852"/>
    </row>
    <row r="4148" spans="5:13">
      <c r="E4148" s="852"/>
      <c r="F4148" s="852"/>
      <c r="G4148" s="852"/>
      <c r="H4148" s="852"/>
      <c r="I4148" s="852"/>
      <c r="J4148" s="852"/>
      <c r="K4148" s="852"/>
      <c r="L4148" s="852"/>
      <c r="M4148" s="852"/>
    </row>
    <row r="4149" spans="5:13">
      <c r="E4149" s="852"/>
      <c r="F4149" s="852"/>
      <c r="G4149" s="852"/>
      <c r="H4149" s="852"/>
      <c r="I4149" s="852"/>
      <c r="J4149" s="852"/>
      <c r="K4149" s="852"/>
      <c r="L4149" s="852"/>
      <c r="M4149" s="852"/>
    </row>
    <row r="4150" spans="5:13">
      <c r="E4150" s="852"/>
      <c r="F4150" s="852"/>
      <c r="G4150" s="852"/>
      <c r="H4150" s="852"/>
      <c r="I4150" s="852"/>
      <c r="J4150" s="852"/>
      <c r="K4150" s="852"/>
      <c r="L4150" s="852"/>
      <c r="M4150" s="852"/>
    </row>
    <row r="4151" spans="5:13">
      <c r="E4151" s="852"/>
      <c r="F4151" s="852"/>
      <c r="G4151" s="852"/>
      <c r="H4151" s="852"/>
      <c r="I4151" s="852"/>
      <c r="J4151" s="852"/>
      <c r="K4151" s="852"/>
      <c r="L4151" s="852"/>
      <c r="M4151" s="852"/>
    </row>
    <row r="4152" spans="5:13">
      <c r="E4152" s="852"/>
      <c r="F4152" s="852"/>
      <c r="G4152" s="852"/>
      <c r="H4152" s="852"/>
      <c r="I4152" s="852"/>
      <c r="J4152" s="852"/>
      <c r="K4152" s="852"/>
      <c r="L4152" s="852"/>
      <c r="M4152" s="852"/>
    </row>
    <row r="4153" spans="5:13">
      <c r="E4153" s="852"/>
      <c r="F4153" s="852"/>
      <c r="G4153" s="852"/>
      <c r="H4153" s="852"/>
      <c r="I4153" s="852"/>
      <c r="J4153" s="852"/>
      <c r="K4153" s="852"/>
      <c r="L4153" s="852"/>
      <c r="M4153" s="852"/>
    </row>
    <row r="4154" spans="5:13">
      <c r="E4154" s="852"/>
      <c r="F4154" s="852"/>
      <c r="G4154" s="852"/>
      <c r="H4154" s="852"/>
      <c r="I4154" s="852"/>
      <c r="J4154" s="852"/>
      <c r="K4154" s="852"/>
      <c r="L4154" s="852"/>
      <c r="M4154" s="852"/>
    </row>
    <row r="4155" spans="5:13">
      <c r="E4155" s="852"/>
      <c r="F4155" s="852"/>
      <c r="G4155" s="852"/>
      <c r="H4155" s="852"/>
      <c r="I4155" s="852"/>
      <c r="J4155" s="852"/>
      <c r="K4155" s="852"/>
      <c r="L4155" s="852"/>
      <c r="M4155" s="852"/>
    </row>
    <row r="4156" spans="5:13">
      <c r="E4156" s="852"/>
      <c r="F4156" s="852"/>
      <c r="G4156" s="852"/>
      <c r="H4156" s="852"/>
      <c r="I4156" s="852"/>
      <c r="J4156" s="852"/>
      <c r="K4156" s="852"/>
      <c r="L4156" s="852"/>
      <c r="M4156" s="852"/>
    </row>
    <row r="4157" spans="5:13">
      <c r="E4157" s="852"/>
      <c r="F4157" s="852"/>
      <c r="G4157" s="852"/>
      <c r="H4157" s="852"/>
      <c r="I4157" s="852"/>
      <c r="J4157" s="852"/>
      <c r="K4157" s="852"/>
      <c r="L4157" s="852"/>
      <c r="M4157" s="852"/>
    </row>
    <row r="4158" spans="5:13">
      <c r="E4158" s="852"/>
      <c r="F4158" s="852"/>
      <c r="G4158" s="852"/>
      <c r="H4158" s="852"/>
      <c r="I4158" s="852"/>
      <c r="J4158" s="852"/>
      <c r="K4158" s="852"/>
      <c r="L4158" s="852"/>
      <c r="M4158" s="852"/>
    </row>
    <row r="4159" spans="5:13">
      <c r="E4159" s="852"/>
      <c r="F4159" s="852"/>
      <c r="G4159" s="852"/>
      <c r="H4159" s="852"/>
      <c r="I4159" s="852"/>
      <c r="J4159" s="852"/>
      <c r="K4159" s="852"/>
      <c r="L4159" s="852"/>
      <c r="M4159" s="852"/>
    </row>
    <row r="4160" spans="5:13">
      <c r="E4160" s="852"/>
      <c r="F4160" s="852"/>
      <c r="G4160" s="852"/>
      <c r="H4160" s="852"/>
      <c r="I4160" s="852"/>
      <c r="J4160" s="852"/>
      <c r="K4160" s="852"/>
      <c r="L4160" s="852"/>
      <c r="M4160" s="852"/>
    </row>
    <row r="4161" spans="5:13">
      <c r="E4161" s="852"/>
      <c r="F4161" s="852"/>
      <c r="G4161" s="852"/>
      <c r="H4161" s="852"/>
      <c r="I4161" s="852"/>
      <c r="J4161" s="852"/>
      <c r="K4161" s="852"/>
      <c r="L4161" s="852"/>
      <c r="M4161" s="852"/>
    </row>
    <row r="4162" spans="5:13">
      <c r="E4162" s="852"/>
      <c r="F4162" s="852"/>
      <c r="G4162" s="852"/>
      <c r="H4162" s="852"/>
      <c r="I4162" s="852"/>
      <c r="J4162" s="852"/>
      <c r="K4162" s="852"/>
      <c r="L4162" s="852"/>
      <c r="M4162" s="852"/>
    </row>
    <row r="4163" spans="5:13">
      <c r="E4163" s="852"/>
      <c r="F4163" s="852"/>
      <c r="G4163" s="852"/>
      <c r="H4163" s="852"/>
      <c r="I4163" s="852"/>
      <c r="J4163" s="852"/>
      <c r="K4163" s="852"/>
      <c r="L4163" s="852"/>
      <c r="M4163" s="852"/>
    </row>
    <row r="4164" spans="5:13">
      <c r="E4164" s="852"/>
      <c r="F4164" s="852"/>
      <c r="G4164" s="852"/>
      <c r="H4164" s="852"/>
      <c r="I4164" s="852"/>
      <c r="J4164" s="852"/>
      <c r="K4164" s="852"/>
      <c r="L4164" s="852"/>
      <c r="M4164" s="852"/>
    </row>
    <row r="4165" spans="5:13">
      <c r="E4165" s="852"/>
      <c r="F4165" s="852"/>
      <c r="G4165" s="852"/>
      <c r="H4165" s="852"/>
      <c r="I4165" s="852"/>
      <c r="J4165" s="852"/>
      <c r="K4165" s="852"/>
      <c r="L4165" s="852"/>
      <c r="M4165" s="852"/>
    </row>
    <row r="4166" spans="5:13">
      <c r="E4166" s="852"/>
      <c r="F4166" s="852"/>
      <c r="G4166" s="852"/>
      <c r="H4166" s="852"/>
      <c r="I4166" s="852"/>
      <c r="J4166" s="852"/>
      <c r="K4166" s="852"/>
      <c r="L4166" s="852"/>
      <c r="M4166" s="852"/>
    </row>
    <row r="4167" spans="5:13">
      <c r="E4167" s="852"/>
      <c r="F4167" s="852"/>
      <c r="G4167" s="852"/>
      <c r="H4167" s="852"/>
      <c r="I4167" s="852"/>
      <c r="J4167" s="852"/>
      <c r="K4167" s="852"/>
      <c r="L4167" s="852"/>
      <c r="M4167" s="852"/>
    </row>
    <row r="4168" spans="5:13">
      <c r="E4168" s="852"/>
      <c r="F4168" s="852"/>
      <c r="G4168" s="852"/>
      <c r="H4168" s="852"/>
      <c r="I4168" s="852"/>
      <c r="J4168" s="852"/>
      <c r="K4168" s="852"/>
      <c r="L4168" s="852"/>
      <c r="M4168" s="852"/>
    </row>
    <row r="4169" spans="5:13">
      <c r="E4169" s="852"/>
      <c r="F4169" s="852"/>
      <c r="G4169" s="852"/>
      <c r="H4169" s="852"/>
      <c r="I4169" s="852"/>
      <c r="J4169" s="852"/>
      <c r="K4169" s="852"/>
      <c r="L4169" s="852"/>
      <c r="M4169" s="852"/>
    </row>
    <row r="4170" spans="5:13">
      <c r="E4170" s="852"/>
      <c r="F4170" s="852"/>
      <c r="G4170" s="852"/>
      <c r="H4170" s="852"/>
      <c r="I4170" s="852"/>
      <c r="J4170" s="852"/>
      <c r="K4170" s="852"/>
      <c r="L4170" s="852"/>
      <c r="M4170" s="852"/>
    </row>
    <row r="4171" spans="5:13">
      <c r="E4171" s="852"/>
      <c r="F4171" s="852"/>
      <c r="G4171" s="852"/>
      <c r="H4171" s="852"/>
      <c r="I4171" s="852"/>
      <c r="J4171" s="852"/>
      <c r="K4171" s="852"/>
      <c r="L4171" s="852"/>
      <c r="M4171" s="852"/>
    </row>
    <row r="4172" spans="5:13">
      <c r="E4172" s="852"/>
      <c r="F4172" s="852"/>
      <c r="G4172" s="852"/>
      <c r="H4172" s="852"/>
      <c r="I4172" s="852"/>
      <c r="J4172" s="852"/>
      <c r="K4172" s="852"/>
      <c r="L4172" s="852"/>
      <c r="M4172" s="852"/>
    </row>
    <row r="4173" spans="5:13">
      <c r="E4173" s="852"/>
      <c r="F4173" s="852"/>
      <c r="G4173" s="852"/>
      <c r="H4173" s="852"/>
      <c r="I4173" s="852"/>
      <c r="J4173" s="852"/>
      <c r="K4173" s="852"/>
      <c r="L4173" s="852"/>
      <c r="M4173" s="852"/>
    </row>
    <row r="4174" spans="5:13">
      <c r="E4174" s="852"/>
      <c r="F4174" s="852"/>
      <c r="G4174" s="852"/>
      <c r="H4174" s="852"/>
      <c r="I4174" s="852"/>
      <c r="J4174" s="852"/>
      <c r="K4174" s="852"/>
      <c r="L4174" s="852"/>
      <c r="M4174" s="852"/>
    </row>
    <row r="4175" spans="5:13">
      <c r="E4175" s="852"/>
      <c r="F4175" s="852"/>
      <c r="G4175" s="852"/>
      <c r="H4175" s="852"/>
      <c r="I4175" s="852"/>
      <c r="J4175" s="852"/>
      <c r="K4175" s="852"/>
      <c r="L4175" s="852"/>
      <c r="M4175" s="852"/>
    </row>
    <row r="4176" spans="5:13">
      <c r="E4176" s="852"/>
      <c r="F4176" s="852"/>
      <c r="G4176" s="852"/>
      <c r="H4176" s="852"/>
      <c r="I4176" s="852"/>
      <c r="J4176" s="852"/>
      <c r="K4176" s="852"/>
      <c r="L4176" s="852"/>
      <c r="M4176" s="852"/>
    </row>
    <row r="4177" spans="5:13">
      <c r="E4177" s="852"/>
      <c r="F4177" s="852"/>
      <c r="G4177" s="852"/>
      <c r="H4177" s="852"/>
      <c r="I4177" s="852"/>
      <c r="J4177" s="852"/>
      <c r="K4177" s="852"/>
      <c r="L4177" s="852"/>
      <c r="M4177" s="852"/>
    </row>
    <row r="4178" spans="5:13">
      <c r="E4178" s="852"/>
      <c r="F4178" s="852"/>
      <c r="G4178" s="852"/>
      <c r="H4178" s="852"/>
      <c r="I4178" s="852"/>
      <c r="J4178" s="852"/>
      <c r="K4178" s="852"/>
      <c r="L4178" s="852"/>
      <c r="M4178" s="852"/>
    </row>
    <row r="4179" spans="5:13">
      <c r="E4179" s="852"/>
      <c r="F4179" s="852"/>
      <c r="G4179" s="852"/>
      <c r="H4179" s="852"/>
      <c r="I4179" s="852"/>
      <c r="J4179" s="852"/>
      <c r="K4179" s="852"/>
      <c r="L4179" s="852"/>
      <c r="M4179" s="852"/>
    </row>
    <row r="4180" spans="5:13">
      <c r="E4180" s="852"/>
      <c r="F4180" s="852"/>
      <c r="G4180" s="852"/>
      <c r="H4180" s="852"/>
      <c r="I4180" s="852"/>
      <c r="J4180" s="852"/>
      <c r="K4180" s="852"/>
      <c r="L4180" s="852"/>
      <c r="M4180" s="852"/>
    </row>
    <row r="4181" spans="5:13">
      <c r="E4181" s="852"/>
      <c r="F4181" s="852"/>
      <c r="G4181" s="852"/>
      <c r="H4181" s="852"/>
      <c r="I4181" s="852"/>
      <c r="J4181" s="852"/>
      <c r="K4181" s="852"/>
      <c r="L4181" s="852"/>
      <c r="M4181" s="852"/>
    </row>
    <row r="4182" spans="5:13">
      <c r="E4182" s="852"/>
      <c r="F4182" s="852"/>
      <c r="G4182" s="852"/>
      <c r="H4182" s="852"/>
      <c r="I4182" s="852"/>
      <c r="J4182" s="852"/>
      <c r="K4182" s="852"/>
      <c r="L4182" s="852"/>
      <c r="M4182" s="852"/>
    </row>
    <row r="4183" spans="5:13">
      <c r="E4183" s="852"/>
      <c r="F4183" s="852"/>
      <c r="G4183" s="852"/>
      <c r="H4183" s="852"/>
      <c r="I4183" s="852"/>
      <c r="J4183" s="852"/>
      <c r="K4183" s="852"/>
      <c r="L4183" s="852"/>
      <c r="M4183" s="852"/>
    </row>
    <row r="4184" spans="5:13">
      <c r="E4184" s="852"/>
      <c r="F4184" s="852"/>
      <c r="G4184" s="852"/>
      <c r="H4184" s="852"/>
      <c r="I4184" s="852"/>
      <c r="J4184" s="852"/>
      <c r="K4184" s="852"/>
      <c r="L4184" s="852"/>
      <c r="M4184" s="852"/>
    </row>
    <row r="4185" spans="5:13">
      <c r="E4185" s="852"/>
      <c r="F4185" s="852"/>
      <c r="G4185" s="852"/>
      <c r="H4185" s="852"/>
      <c r="I4185" s="852"/>
      <c r="J4185" s="852"/>
      <c r="K4185" s="852"/>
      <c r="L4185" s="852"/>
      <c r="M4185" s="852"/>
    </row>
    <row r="4186" spans="5:13">
      <c r="E4186" s="852"/>
      <c r="F4186" s="852"/>
      <c r="G4186" s="852"/>
      <c r="H4186" s="852"/>
      <c r="I4186" s="852"/>
      <c r="J4186" s="852"/>
      <c r="K4186" s="852"/>
      <c r="L4186" s="852"/>
      <c r="M4186" s="852"/>
    </row>
    <row r="4187" spans="5:13">
      <c r="E4187" s="852"/>
      <c r="F4187" s="852"/>
      <c r="G4187" s="852"/>
      <c r="H4187" s="852"/>
      <c r="I4187" s="852"/>
      <c r="J4187" s="852"/>
      <c r="K4187" s="852"/>
      <c r="L4187" s="852"/>
      <c r="M4187" s="852"/>
    </row>
    <row r="4188" spans="5:13">
      <c r="E4188" s="852"/>
      <c r="F4188" s="852"/>
      <c r="G4188" s="852"/>
      <c r="H4188" s="852"/>
      <c r="I4188" s="852"/>
      <c r="J4188" s="852"/>
      <c r="K4188" s="852"/>
      <c r="L4188" s="852"/>
      <c r="M4188" s="852"/>
    </row>
    <row r="4189" spans="5:13">
      <c r="E4189" s="852"/>
      <c r="F4189" s="852"/>
      <c r="G4189" s="852"/>
      <c r="H4189" s="852"/>
      <c r="I4189" s="852"/>
      <c r="J4189" s="852"/>
      <c r="K4189" s="852"/>
      <c r="L4189" s="852"/>
      <c r="M4189" s="852"/>
    </row>
    <row r="4190" spans="5:13">
      <c r="E4190" s="852"/>
      <c r="F4190" s="852"/>
      <c r="G4190" s="852"/>
      <c r="H4190" s="852"/>
      <c r="I4190" s="852"/>
      <c r="J4190" s="852"/>
      <c r="K4190" s="852"/>
      <c r="L4190" s="852"/>
      <c r="M4190" s="852"/>
    </row>
    <row r="4191" spans="5:13">
      <c r="E4191" s="852"/>
      <c r="F4191" s="852"/>
      <c r="G4191" s="852"/>
      <c r="H4191" s="852"/>
      <c r="I4191" s="852"/>
      <c r="J4191" s="852"/>
      <c r="K4191" s="852"/>
      <c r="L4191" s="852"/>
      <c r="M4191" s="852"/>
    </row>
    <row r="4192" spans="5:13">
      <c r="E4192" s="852"/>
      <c r="F4192" s="852"/>
      <c r="G4192" s="852"/>
      <c r="H4192" s="852"/>
      <c r="I4192" s="852"/>
      <c r="J4192" s="852"/>
      <c r="K4192" s="852"/>
      <c r="L4192" s="852"/>
      <c r="M4192" s="852"/>
    </row>
    <row r="4193" spans="5:13">
      <c r="E4193" s="852"/>
      <c r="F4193" s="852"/>
      <c r="G4193" s="852"/>
      <c r="H4193" s="852"/>
      <c r="I4193" s="852"/>
      <c r="J4193" s="852"/>
      <c r="K4193" s="852"/>
      <c r="L4193" s="852"/>
      <c r="M4193" s="852"/>
    </row>
    <row r="4194" spans="5:13">
      <c r="E4194" s="852"/>
      <c r="F4194" s="852"/>
      <c r="G4194" s="852"/>
      <c r="H4194" s="852"/>
      <c r="I4194" s="852"/>
      <c r="J4194" s="852"/>
      <c r="K4194" s="852"/>
      <c r="L4194" s="852"/>
      <c r="M4194" s="852"/>
    </row>
    <row r="4195" spans="5:13">
      <c r="E4195" s="852"/>
      <c r="F4195" s="852"/>
      <c r="G4195" s="852"/>
      <c r="H4195" s="852"/>
      <c r="I4195" s="852"/>
      <c r="J4195" s="852"/>
      <c r="K4195" s="852"/>
      <c r="L4195" s="852"/>
      <c r="M4195" s="852"/>
    </row>
    <row r="4196" spans="5:13">
      <c r="E4196" s="852"/>
      <c r="F4196" s="852"/>
      <c r="G4196" s="852"/>
      <c r="H4196" s="852"/>
      <c r="I4196" s="852"/>
      <c r="J4196" s="852"/>
      <c r="K4196" s="852"/>
      <c r="L4196" s="852"/>
      <c r="M4196" s="852"/>
    </row>
    <row r="4197" spans="5:13">
      <c r="E4197" s="852"/>
      <c r="F4197" s="852"/>
      <c r="G4197" s="852"/>
      <c r="H4197" s="852"/>
      <c r="I4197" s="852"/>
      <c r="J4197" s="852"/>
      <c r="K4197" s="852"/>
      <c r="L4197" s="852"/>
      <c r="M4197" s="852"/>
    </row>
    <row r="4198" spans="5:13">
      <c r="E4198" s="852"/>
      <c r="F4198" s="852"/>
      <c r="G4198" s="852"/>
      <c r="H4198" s="852"/>
      <c r="I4198" s="852"/>
      <c r="J4198" s="852"/>
      <c r="K4198" s="852"/>
      <c r="L4198" s="852"/>
      <c r="M4198" s="852"/>
    </row>
    <row r="4199" spans="5:13">
      <c r="E4199" s="852"/>
      <c r="F4199" s="852"/>
      <c r="G4199" s="852"/>
      <c r="H4199" s="852"/>
      <c r="I4199" s="852"/>
      <c r="J4199" s="852"/>
      <c r="K4199" s="852"/>
      <c r="L4199" s="852"/>
      <c r="M4199" s="852"/>
    </row>
    <row r="4200" spans="5:13">
      <c r="E4200" s="852"/>
      <c r="F4200" s="852"/>
      <c r="G4200" s="852"/>
      <c r="H4200" s="852"/>
      <c r="I4200" s="852"/>
      <c r="J4200" s="852"/>
      <c r="K4200" s="852"/>
      <c r="L4200" s="852"/>
      <c r="M4200" s="852"/>
    </row>
    <row r="4201" spans="5:13">
      <c r="E4201" s="852"/>
      <c r="F4201" s="852"/>
      <c r="G4201" s="852"/>
      <c r="H4201" s="852"/>
      <c r="I4201" s="852"/>
      <c r="J4201" s="852"/>
      <c r="K4201" s="852"/>
      <c r="L4201" s="852"/>
      <c r="M4201" s="852"/>
    </row>
    <row r="4202" spans="5:13">
      <c r="E4202" s="852"/>
      <c r="F4202" s="852"/>
      <c r="G4202" s="852"/>
      <c r="H4202" s="852"/>
      <c r="I4202" s="852"/>
      <c r="J4202" s="852"/>
      <c r="K4202" s="852"/>
      <c r="L4202" s="852"/>
      <c r="M4202" s="852"/>
    </row>
    <row r="4203" spans="5:13">
      <c r="E4203" s="852"/>
      <c r="F4203" s="852"/>
      <c r="G4203" s="852"/>
      <c r="H4203" s="852"/>
      <c r="I4203" s="852"/>
      <c r="J4203" s="852"/>
      <c r="K4203" s="852"/>
      <c r="L4203" s="852"/>
      <c r="M4203" s="852"/>
    </row>
    <row r="4204" spans="5:13">
      <c r="E4204" s="852"/>
      <c r="F4204" s="852"/>
      <c r="G4204" s="852"/>
      <c r="H4204" s="852"/>
      <c r="I4204" s="852"/>
      <c r="J4204" s="852"/>
      <c r="K4204" s="852"/>
      <c r="L4204" s="852"/>
      <c r="M4204" s="852"/>
    </row>
    <row r="4205" spans="5:13">
      <c r="E4205" s="852"/>
      <c r="F4205" s="852"/>
      <c r="G4205" s="852"/>
      <c r="H4205" s="852"/>
      <c r="I4205" s="852"/>
      <c r="J4205" s="852"/>
      <c r="K4205" s="852"/>
      <c r="L4205" s="852"/>
      <c r="M4205" s="852"/>
    </row>
    <row r="4206" spans="5:13">
      <c r="E4206" s="852"/>
      <c r="F4206" s="852"/>
      <c r="G4206" s="852"/>
      <c r="H4206" s="852"/>
      <c r="I4206" s="852"/>
      <c r="J4206" s="852"/>
      <c r="K4206" s="852"/>
      <c r="L4206" s="852"/>
      <c r="M4206" s="852"/>
    </row>
    <row r="4207" spans="5:13">
      <c r="E4207" s="852"/>
      <c r="F4207" s="852"/>
      <c r="G4207" s="852"/>
      <c r="H4207" s="852"/>
      <c r="I4207" s="852"/>
      <c r="J4207" s="852"/>
      <c r="K4207" s="852"/>
      <c r="L4207" s="852"/>
      <c r="M4207" s="852"/>
    </row>
    <row r="4208" spans="5:13">
      <c r="E4208" s="852"/>
      <c r="F4208" s="852"/>
      <c r="G4208" s="852"/>
      <c r="H4208" s="852"/>
      <c r="I4208" s="852"/>
      <c r="J4208" s="852"/>
      <c r="K4208" s="852"/>
      <c r="L4208" s="852"/>
      <c r="M4208" s="852"/>
    </row>
    <row r="4209" spans="5:13">
      <c r="E4209" s="852"/>
      <c r="F4209" s="852"/>
      <c r="G4209" s="852"/>
      <c r="H4209" s="852"/>
      <c r="I4209" s="852"/>
      <c r="J4209" s="852"/>
      <c r="K4209" s="852"/>
      <c r="L4209" s="852"/>
      <c r="M4209" s="852"/>
    </row>
    <row r="4210" spans="5:13">
      <c r="E4210" s="852"/>
      <c r="F4210" s="852"/>
      <c r="G4210" s="852"/>
      <c r="H4210" s="852"/>
      <c r="I4210" s="852"/>
      <c r="J4210" s="852"/>
      <c r="K4210" s="852"/>
      <c r="L4210" s="852"/>
      <c r="M4210" s="852"/>
    </row>
    <row r="4211" spans="5:13">
      <c r="E4211" s="852"/>
      <c r="F4211" s="852"/>
      <c r="G4211" s="852"/>
      <c r="H4211" s="852"/>
      <c r="I4211" s="852"/>
      <c r="J4211" s="852"/>
      <c r="K4211" s="852"/>
      <c r="L4211" s="852"/>
      <c r="M4211" s="852"/>
    </row>
    <row r="4212" spans="5:13">
      <c r="E4212" s="852"/>
      <c r="F4212" s="852"/>
      <c r="G4212" s="852"/>
      <c r="H4212" s="852"/>
      <c r="I4212" s="852"/>
      <c r="J4212" s="852"/>
      <c r="K4212" s="852"/>
      <c r="L4212" s="852"/>
      <c r="M4212" s="852"/>
    </row>
    <row r="4213" spans="5:13">
      <c r="E4213" s="852"/>
      <c r="F4213" s="852"/>
      <c r="G4213" s="852"/>
      <c r="H4213" s="852"/>
      <c r="I4213" s="852"/>
      <c r="J4213" s="852"/>
      <c r="K4213" s="852"/>
      <c r="L4213" s="852"/>
      <c r="M4213" s="852"/>
    </row>
    <row r="4214" spans="5:13">
      <c r="E4214" s="852"/>
      <c r="F4214" s="852"/>
      <c r="G4214" s="852"/>
      <c r="H4214" s="852"/>
      <c r="I4214" s="852"/>
      <c r="J4214" s="852"/>
      <c r="K4214" s="852"/>
      <c r="L4214" s="852"/>
      <c r="M4214" s="852"/>
    </row>
    <row r="4215" spans="5:13">
      <c r="E4215" s="852"/>
      <c r="F4215" s="852"/>
      <c r="G4215" s="852"/>
      <c r="H4215" s="852"/>
      <c r="I4215" s="852"/>
      <c r="J4215" s="852"/>
      <c r="K4215" s="852"/>
      <c r="L4215" s="852"/>
      <c r="M4215" s="852"/>
    </row>
    <row r="4216" spans="5:13">
      <c r="E4216" s="852"/>
      <c r="F4216" s="852"/>
      <c r="G4216" s="852"/>
      <c r="H4216" s="852"/>
      <c r="I4216" s="852"/>
      <c r="J4216" s="852"/>
      <c r="K4216" s="852"/>
      <c r="L4216" s="852"/>
      <c r="M4216" s="852"/>
    </row>
    <row r="4217" spans="5:13">
      <c r="E4217" s="852"/>
      <c r="F4217" s="852"/>
      <c r="G4217" s="852"/>
      <c r="H4217" s="852"/>
      <c r="I4217" s="852"/>
      <c r="J4217" s="852"/>
      <c r="K4217" s="852"/>
      <c r="L4217" s="852"/>
      <c r="M4217" s="852"/>
    </row>
    <row r="4218" spans="5:13">
      <c r="E4218" s="852"/>
      <c r="F4218" s="852"/>
      <c r="G4218" s="852"/>
      <c r="H4218" s="852"/>
      <c r="I4218" s="852"/>
      <c r="J4218" s="852"/>
      <c r="K4218" s="852"/>
      <c r="L4218" s="852"/>
      <c r="M4218" s="852"/>
    </row>
    <row r="4219" spans="5:13">
      <c r="E4219" s="852"/>
      <c r="F4219" s="852"/>
      <c r="G4219" s="852"/>
      <c r="H4219" s="852"/>
      <c r="I4219" s="852"/>
      <c r="J4219" s="852"/>
      <c r="K4219" s="852"/>
      <c r="L4219" s="852"/>
      <c r="M4219" s="852"/>
    </row>
    <row r="4220" spans="5:13">
      <c r="E4220" s="852"/>
      <c r="F4220" s="852"/>
      <c r="G4220" s="852"/>
      <c r="H4220" s="852"/>
      <c r="I4220" s="852"/>
      <c r="J4220" s="852"/>
      <c r="K4220" s="852"/>
      <c r="L4220" s="852"/>
      <c r="M4220" s="852"/>
    </row>
    <row r="4221" spans="5:13">
      <c r="E4221" s="852"/>
      <c r="F4221" s="852"/>
      <c r="G4221" s="852"/>
      <c r="H4221" s="852"/>
      <c r="I4221" s="852"/>
      <c r="J4221" s="852"/>
      <c r="K4221" s="852"/>
      <c r="L4221" s="852"/>
      <c r="M4221" s="852"/>
    </row>
    <row r="4222" spans="5:13">
      <c r="E4222" s="852"/>
      <c r="F4222" s="852"/>
      <c r="G4222" s="852"/>
      <c r="H4222" s="852"/>
      <c r="I4222" s="852"/>
      <c r="J4222" s="852"/>
      <c r="K4222" s="852"/>
      <c r="L4222" s="852"/>
      <c r="M4222" s="852"/>
    </row>
    <row r="4223" spans="5:13">
      <c r="E4223" s="852"/>
      <c r="F4223" s="852"/>
      <c r="G4223" s="852"/>
      <c r="H4223" s="852"/>
      <c r="I4223" s="852"/>
      <c r="J4223" s="852"/>
      <c r="K4223" s="852"/>
      <c r="L4223" s="852"/>
      <c r="M4223" s="852"/>
    </row>
    <row r="4224" spans="5:13">
      <c r="E4224" s="852"/>
      <c r="F4224" s="852"/>
      <c r="G4224" s="852"/>
      <c r="H4224" s="852"/>
      <c r="I4224" s="852"/>
      <c r="J4224" s="852"/>
      <c r="K4224" s="852"/>
      <c r="L4224" s="852"/>
      <c r="M4224" s="852"/>
    </row>
    <row r="4225" spans="5:13">
      <c r="E4225" s="852"/>
      <c r="F4225" s="852"/>
      <c r="G4225" s="852"/>
      <c r="H4225" s="852"/>
      <c r="I4225" s="852"/>
      <c r="J4225" s="852"/>
      <c r="K4225" s="852"/>
      <c r="L4225" s="852"/>
      <c r="M4225" s="852"/>
    </row>
    <row r="4226" spans="5:13">
      <c r="E4226" s="852"/>
      <c r="F4226" s="852"/>
      <c r="G4226" s="852"/>
      <c r="H4226" s="852"/>
      <c r="I4226" s="852"/>
      <c r="J4226" s="852"/>
      <c r="K4226" s="852"/>
      <c r="L4226" s="852"/>
      <c r="M4226" s="852"/>
    </row>
    <row r="4227" spans="5:13">
      <c r="E4227" s="852"/>
      <c r="F4227" s="852"/>
      <c r="G4227" s="852"/>
      <c r="H4227" s="852"/>
      <c r="I4227" s="852"/>
      <c r="J4227" s="852"/>
      <c r="K4227" s="852"/>
      <c r="L4227" s="852"/>
      <c r="M4227" s="852"/>
    </row>
    <row r="4228" spans="5:13">
      <c r="E4228" s="852"/>
      <c r="F4228" s="852"/>
      <c r="G4228" s="852"/>
      <c r="H4228" s="852"/>
      <c r="I4228" s="852"/>
      <c r="J4228" s="852"/>
      <c r="K4228" s="852"/>
      <c r="L4228" s="852"/>
      <c r="M4228" s="852"/>
    </row>
    <row r="4229" spans="5:13">
      <c r="E4229" s="852"/>
      <c r="F4229" s="852"/>
      <c r="G4229" s="852"/>
      <c r="H4229" s="852"/>
      <c r="I4229" s="852"/>
      <c r="J4229" s="852"/>
      <c r="K4229" s="852"/>
      <c r="L4229" s="852"/>
      <c r="M4229" s="852"/>
    </row>
    <row r="4230" spans="5:13">
      <c r="E4230" s="852"/>
      <c r="F4230" s="852"/>
      <c r="G4230" s="852"/>
      <c r="H4230" s="852"/>
      <c r="I4230" s="852"/>
      <c r="J4230" s="852"/>
      <c r="K4230" s="852"/>
      <c r="L4230" s="852"/>
      <c r="M4230" s="852"/>
    </row>
    <row r="4231" spans="5:13">
      <c r="E4231" s="852"/>
      <c r="F4231" s="852"/>
      <c r="G4231" s="852"/>
      <c r="H4231" s="852"/>
      <c r="I4231" s="852"/>
      <c r="J4231" s="852"/>
      <c r="K4231" s="852"/>
      <c r="L4231" s="852"/>
      <c r="M4231" s="852"/>
    </row>
    <row r="4232" spans="5:13">
      <c r="E4232" s="852"/>
      <c r="F4232" s="852"/>
      <c r="G4232" s="852"/>
      <c r="H4232" s="852"/>
      <c r="I4232" s="852"/>
      <c r="J4232" s="852"/>
      <c r="K4232" s="852"/>
      <c r="L4232" s="852"/>
      <c r="M4232" s="852"/>
    </row>
    <row r="4233" spans="5:13">
      <c r="E4233" s="852"/>
      <c r="F4233" s="852"/>
      <c r="G4233" s="852"/>
      <c r="H4233" s="852"/>
      <c r="I4233" s="852"/>
      <c r="J4233" s="852"/>
      <c r="K4233" s="852"/>
      <c r="L4233" s="852"/>
      <c r="M4233" s="852"/>
    </row>
    <row r="4234" spans="5:13">
      <c r="E4234" s="852"/>
      <c r="F4234" s="852"/>
      <c r="G4234" s="852"/>
      <c r="H4234" s="852"/>
      <c r="I4234" s="852"/>
      <c r="J4234" s="852"/>
      <c r="K4234" s="852"/>
      <c r="L4234" s="852"/>
      <c r="M4234" s="852"/>
    </row>
    <row r="4235" spans="5:13">
      <c r="E4235" s="852"/>
      <c r="F4235" s="852"/>
      <c r="G4235" s="852"/>
      <c r="H4235" s="852"/>
      <c r="I4235" s="852"/>
      <c r="J4235" s="852"/>
      <c r="K4235" s="852"/>
      <c r="L4235" s="852"/>
      <c r="M4235" s="852"/>
    </row>
    <row r="4236" spans="5:13">
      <c r="E4236" s="852"/>
      <c r="F4236" s="852"/>
      <c r="G4236" s="852"/>
      <c r="H4236" s="852"/>
      <c r="I4236" s="852"/>
      <c r="J4236" s="852"/>
      <c r="K4236" s="852"/>
      <c r="L4236" s="852"/>
      <c r="M4236" s="852"/>
    </row>
    <row r="4237" spans="5:13">
      <c r="E4237" s="852"/>
      <c r="F4237" s="852"/>
      <c r="G4237" s="852"/>
      <c r="H4237" s="852"/>
      <c r="I4237" s="852"/>
      <c r="J4237" s="852"/>
      <c r="K4237" s="852"/>
      <c r="L4237" s="852"/>
      <c r="M4237" s="852"/>
    </row>
    <row r="4238" spans="5:13">
      <c r="E4238" s="852"/>
      <c r="F4238" s="852"/>
      <c r="G4238" s="852"/>
      <c r="H4238" s="852"/>
      <c r="I4238" s="852"/>
      <c r="J4238" s="852"/>
      <c r="K4238" s="852"/>
      <c r="L4238" s="852"/>
      <c r="M4238" s="852"/>
    </row>
    <row r="4239" spans="5:13">
      <c r="E4239" s="852"/>
      <c r="F4239" s="852"/>
      <c r="G4239" s="852"/>
      <c r="H4239" s="852"/>
      <c r="I4239" s="852"/>
      <c r="J4239" s="852"/>
      <c r="K4239" s="852"/>
      <c r="L4239" s="852"/>
      <c r="M4239" s="852"/>
    </row>
    <row r="4240" spans="5:13">
      <c r="E4240" s="852"/>
      <c r="F4240" s="852"/>
      <c r="G4240" s="852"/>
      <c r="H4240" s="852"/>
      <c r="I4240" s="852"/>
      <c r="J4240" s="852"/>
      <c r="K4240" s="852"/>
      <c r="L4240" s="852"/>
      <c r="M4240" s="852"/>
    </row>
    <row r="4241" spans="5:13">
      <c r="E4241" s="852"/>
      <c r="F4241" s="852"/>
      <c r="G4241" s="852"/>
      <c r="H4241" s="852"/>
      <c r="I4241" s="852"/>
      <c r="J4241" s="852"/>
      <c r="K4241" s="852"/>
      <c r="L4241" s="852"/>
      <c r="M4241" s="852"/>
    </row>
    <row r="4242" spans="5:13">
      <c r="E4242" s="852"/>
      <c r="F4242" s="852"/>
      <c r="G4242" s="852"/>
      <c r="H4242" s="852"/>
      <c r="I4242" s="852"/>
      <c r="J4242" s="852"/>
      <c r="K4242" s="852"/>
      <c r="L4242" s="852"/>
      <c r="M4242" s="852"/>
    </row>
    <row r="4243" spans="5:13">
      <c r="E4243" s="852"/>
      <c r="F4243" s="852"/>
      <c r="G4243" s="852"/>
      <c r="H4243" s="852"/>
      <c r="I4243" s="852"/>
      <c r="J4243" s="852"/>
      <c r="K4243" s="852"/>
      <c r="L4243" s="852"/>
      <c r="M4243" s="852"/>
    </row>
    <row r="4244" spans="5:13">
      <c r="E4244" s="852"/>
      <c r="F4244" s="852"/>
      <c r="G4244" s="852"/>
      <c r="H4244" s="852"/>
      <c r="I4244" s="852"/>
      <c r="J4244" s="852"/>
      <c r="K4244" s="852"/>
      <c r="L4244" s="852"/>
      <c r="M4244" s="852"/>
    </row>
    <row r="4245" spans="5:13">
      <c r="E4245" s="852"/>
      <c r="F4245" s="852"/>
      <c r="G4245" s="852"/>
      <c r="H4245" s="852"/>
      <c r="I4245" s="852"/>
      <c r="J4245" s="852"/>
      <c r="K4245" s="852"/>
      <c r="L4245" s="852"/>
      <c r="M4245" s="852"/>
    </row>
    <row r="4246" spans="5:13">
      <c r="E4246" s="852"/>
      <c r="F4246" s="852"/>
      <c r="G4246" s="852"/>
      <c r="H4246" s="852"/>
      <c r="I4246" s="852"/>
      <c r="J4246" s="852"/>
      <c r="K4246" s="852"/>
      <c r="L4246" s="852"/>
      <c r="M4246" s="852"/>
    </row>
    <row r="4247" spans="5:13">
      <c r="E4247" s="852"/>
      <c r="F4247" s="852"/>
      <c r="G4247" s="852"/>
      <c r="H4247" s="852"/>
      <c r="I4247" s="852"/>
      <c r="J4247" s="852"/>
      <c r="K4247" s="852"/>
      <c r="L4247" s="852"/>
      <c r="M4247" s="852"/>
    </row>
    <row r="4248" spans="5:13">
      <c r="E4248" s="852"/>
      <c r="F4248" s="852"/>
      <c r="G4248" s="852"/>
      <c r="H4248" s="852"/>
      <c r="I4248" s="852"/>
      <c r="J4248" s="852"/>
      <c r="K4248" s="852"/>
      <c r="L4248" s="852"/>
      <c r="M4248" s="852"/>
    </row>
    <row r="4249" spans="5:13">
      <c r="E4249" s="852"/>
      <c r="F4249" s="852"/>
      <c r="G4249" s="852"/>
      <c r="H4249" s="852"/>
      <c r="I4249" s="852"/>
      <c r="J4249" s="852"/>
      <c r="K4249" s="852"/>
      <c r="L4249" s="852"/>
      <c r="M4249" s="852"/>
    </row>
    <row r="4250" spans="5:13">
      <c r="E4250" s="852"/>
      <c r="F4250" s="852"/>
      <c r="G4250" s="852"/>
      <c r="H4250" s="852"/>
      <c r="I4250" s="852"/>
      <c r="J4250" s="852"/>
      <c r="K4250" s="852"/>
      <c r="L4250" s="852"/>
      <c r="M4250" s="852"/>
    </row>
    <row r="4251" spans="5:13">
      <c r="E4251" s="852"/>
      <c r="F4251" s="852"/>
      <c r="G4251" s="852"/>
      <c r="H4251" s="852"/>
      <c r="I4251" s="852"/>
      <c r="J4251" s="852"/>
      <c r="K4251" s="852"/>
      <c r="L4251" s="852"/>
      <c r="M4251" s="852"/>
    </row>
    <row r="4252" spans="5:13">
      <c r="E4252" s="852"/>
      <c r="F4252" s="852"/>
      <c r="G4252" s="852"/>
      <c r="H4252" s="852"/>
      <c r="I4252" s="852"/>
      <c r="J4252" s="852"/>
      <c r="K4252" s="852"/>
      <c r="L4252" s="852"/>
      <c r="M4252" s="852"/>
    </row>
    <row r="4253" spans="5:13">
      <c r="E4253" s="852"/>
      <c r="F4253" s="852"/>
      <c r="G4253" s="852"/>
      <c r="H4253" s="852"/>
      <c r="I4253" s="852"/>
      <c r="J4253" s="852"/>
      <c r="K4253" s="852"/>
      <c r="L4253" s="852"/>
      <c r="M4253" s="852"/>
    </row>
    <row r="4254" spans="5:13">
      <c r="E4254" s="852"/>
      <c r="F4254" s="852"/>
      <c r="G4254" s="852"/>
      <c r="H4254" s="852"/>
      <c r="I4254" s="852"/>
      <c r="J4254" s="852"/>
      <c r="K4254" s="852"/>
      <c r="L4254" s="852"/>
      <c r="M4254" s="852"/>
    </row>
    <row r="4255" spans="5:13">
      <c r="E4255" s="852"/>
      <c r="F4255" s="852"/>
      <c r="G4255" s="852"/>
      <c r="H4255" s="852"/>
      <c r="I4255" s="852"/>
      <c r="J4255" s="852"/>
      <c r="K4255" s="852"/>
      <c r="L4255" s="852"/>
      <c r="M4255" s="852"/>
    </row>
    <row r="4256" spans="5:13">
      <c r="E4256" s="852"/>
      <c r="F4256" s="852"/>
      <c r="G4256" s="852"/>
      <c r="H4256" s="852"/>
      <c r="I4256" s="852"/>
      <c r="J4256" s="852"/>
      <c r="K4256" s="852"/>
      <c r="L4256" s="852"/>
      <c r="M4256" s="852"/>
    </row>
    <row r="4257" spans="5:13">
      <c r="E4257" s="852"/>
      <c r="F4257" s="852"/>
      <c r="G4257" s="852"/>
      <c r="H4257" s="852"/>
      <c r="I4257" s="852"/>
      <c r="J4257" s="852"/>
      <c r="K4257" s="852"/>
      <c r="L4257" s="852"/>
      <c r="M4257" s="852"/>
    </row>
    <row r="4258" spans="5:13">
      <c r="E4258" s="852"/>
      <c r="F4258" s="852"/>
      <c r="G4258" s="852"/>
      <c r="H4258" s="852"/>
      <c r="I4258" s="852"/>
      <c r="J4258" s="852"/>
      <c r="K4258" s="852"/>
      <c r="L4258" s="852"/>
      <c r="M4258" s="852"/>
    </row>
    <row r="4259" spans="5:13">
      <c r="E4259" s="852"/>
      <c r="F4259" s="852"/>
      <c r="G4259" s="852"/>
      <c r="H4259" s="852"/>
      <c r="I4259" s="852"/>
      <c r="J4259" s="852"/>
      <c r="K4259" s="852"/>
      <c r="L4259" s="852"/>
      <c r="M4259" s="852"/>
    </row>
    <row r="4260" spans="5:13">
      <c r="E4260" s="852"/>
      <c r="F4260" s="852"/>
      <c r="G4260" s="852"/>
      <c r="H4260" s="852"/>
      <c r="I4260" s="852"/>
      <c r="J4260" s="852"/>
      <c r="K4260" s="852"/>
      <c r="L4260" s="852"/>
      <c r="M4260" s="852"/>
    </row>
    <row r="4261" spans="5:13">
      <c r="E4261" s="852"/>
      <c r="F4261" s="852"/>
      <c r="G4261" s="852"/>
      <c r="H4261" s="852"/>
      <c r="I4261" s="852"/>
      <c r="J4261" s="852"/>
      <c r="K4261" s="852"/>
      <c r="L4261" s="852"/>
      <c r="M4261" s="852"/>
    </row>
    <row r="4262" spans="5:13">
      <c r="E4262" s="852"/>
      <c r="F4262" s="852"/>
      <c r="G4262" s="852"/>
      <c r="H4262" s="852"/>
      <c r="I4262" s="852"/>
      <c r="J4262" s="852"/>
      <c r="K4262" s="852"/>
      <c r="L4262" s="852"/>
      <c r="M4262" s="852"/>
    </row>
    <row r="4263" spans="5:13">
      <c r="E4263" s="852"/>
      <c r="F4263" s="852"/>
      <c r="G4263" s="852"/>
      <c r="H4263" s="852"/>
      <c r="I4263" s="852"/>
      <c r="J4263" s="852"/>
      <c r="K4263" s="852"/>
      <c r="L4263" s="852"/>
      <c r="M4263" s="852"/>
    </row>
    <row r="4264" spans="5:13">
      <c r="E4264" s="852"/>
      <c r="F4264" s="852"/>
      <c r="G4264" s="852"/>
      <c r="H4264" s="852"/>
      <c r="I4264" s="852"/>
      <c r="J4264" s="852"/>
      <c r="K4264" s="852"/>
      <c r="L4264" s="852"/>
      <c r="M4264" s="852"/>
    </row>
    <row r="4265" spans="5:13">
      <c r="E4265" s="852"/>
      <c r="F4265" s="852"/>
      <c r="G4265" s="852"/>
      <c r="H4265" s="852"/>
      <c r="I4265" s="852"/>
      <c r="J4265" s="852"/>
      <c r="K4265" s="852"/>
      <c r="L4265" s="852"/>
      <c r="M4265" s="852"/>
    </row>
    <row r="4266" spans="5:13">
      <c r="E4266" s="852"/>
      <c r="F4266" s="852"/>
      <c r="G4266" s="852"/>
      <c r="H4266" s="852"/>
      <c r="I4266" s="852"/>
      <c r="J4266" s="852"/>
      <c r="K4266" s="852"/>
      <c r="L4266" s="852"/>
      <c r="M4266" s="852"/>
    </row>
    <row r="4267" spans="5:13">
      <c r="E4267" s="852"/>
      <c r="F4267" s="852"/>
      <c r="G4267" s="852"/>
      <c r="H4267" s="852"/>
      <c r="I4267" s="852"/>
      <c r="J4267" s="852"/>
      <c r="K4267" s="852"/>
      <c r="L4267" s="852"/>
      <c r="M4267" s="852"/>
    </row>
    <row r="4268" spans="5:13">
      <c r="E4268" s="852"/>
      <c r="F4268" s="852"/>
      <c r="G4268" s="852"/>
      <c r="H4268" s="852"/>
      <c r="I4268" s="852"/>
      <c r="J4268" s="852"/>
      <c r="K4268" s="852"/>
      <c r="L4268" s="852"/>
      <c r="M4268" s="852"/>
    </row>
    <row r="4269" spans="5:13">
      <c r="E4269" s="852"/>
      <c r="F4269" s="852"/>
      <c r="G4269" s="852"/>
      <c r="H4269" s="852"/>
      <c r="I4269" s="852"/>
      <c r="J4269" s="852"/>
      <c r="K4269" s="852"/>
      <c r="L4269" s="852"/>
      <c r="M4269" s="852"/>
    </row>
    <row r="4270" spans="5:13">
      <c r="E4270" s="852"/>
      <c r="F4270" s="852"/>
      <c r="G4270" s="852"/>
      <c r="H4270" s="852"/>
      <c r="I4270" s="852"/>
      <c r="J4270" s="852"/>
      <c r="K4270" s="852"/>
      <c r="L4270" s="852"/>
      <c r="M4270" s="852"/>
    </row>
    <row r="4271" spans="5:13">
      <c r="E4271" s="852"/>
      <c r="F4271" s="852"/>
      <c r="G4271" s="852"/>
      <c r="H4271" s="852"/>
      <c r="I4271" s="852"/>
      <c r="J4271" s="852"/>
      <c r="K4271" s="852"/>
      <c r="L4271" s="852"/>
      <c r="M4271" s="852"/>
    </row>
    <row r="4272" spans="5:13">
      <c r="E4272" s="852"/>
      <c r="F4272" s="852"/>
      <c r="G4272" s="852"/>
      <c r="H4272" s="852"/>
      <c r="I4272" s="852"/>
      <c r="J4272" s="852"/>
      <c r="K4272" s="852"/>
      <c r="L4272" s="852"/>
      <c r="M4272" s="852"/>
    </row>
    <row r="4273" spans="5:13">
      <c r="E4273" s="852"/>
      <c r="F4273" s="852"/>
      <c r="G4273" s="852"/>
      <c r="H4273" s="852"/>
      <c r="I4273" s="852"/>
      <c r="J4273" s="852"/>
      <c r="K4273" s="852"/>
      <c r="L4273" s="852"/>
      <c r="M4273" s="852"/>
    </row>
    <row r="4274" spans="5:13">
      <c r="E4274" s="852"/>
      <c r="F4274" s="852"/>
      <c r="G4274" s="852"/>
      <c r="H4274" s="852"/>
      <c r="I4274" s="852"/>
      <c r="J4274" s="852"/>
      <c r="K4274" s="852"/>
      <c r="L4274" s="852"/>
      <c r="M4274" s="852"/>
    </row>
    <row r="4275" spans="5:13">
      <c r="E4275" s="852"/>
      <c r="F4275" s="852"/>
      <c r="G4275" s="852"/>
      <c r="H4275" s="852"/>
      <c r="I4275" s="852"/>
      <c r="J4275" s="852"/>
      <c r="K4275" s="852"/>
      <c r="L4275" s="852"/>
      <c r="M4275" s="852"/>
    </row>
    <row r="4276" spans="5:13">
      <c r="E4276" s="852"/>
      <c r="F4276" s="852"/>
      <c r="G4276" s="852"/>
      <c r="H4276" s="852"/>
      <c r="I4276" s="852"/>
      <c r="J4276" s="852"/>
      <c r="K4276" s="852"/>
      <c r="L4276" s="852"/>
      <c r="M4276" s="852"/>
    </row>
    <row r="4277" spans="5:13">
      <c r="E4277" s="852"/>
      <c r="F4277" s="852"/>
      <c r="G4277" s="852"/>
      <c r="H4277" s="852"/>
      <c r="I4277" s="852"/>
      <c r="J4277" s="852"/>
      <c r="K4277" s="852"/>
      <c r="L4277" s="852"/>
      <c r="M4277" s="852"/>
    </row>
    <row r="4278" spans="5:13">
      <c r="E4278" s="852"/>
      <c r="F4278" s="852"/>
      <c r="G4278" s="852"/>
      <c r="H4278" s="852"/>
      <c r="I4278" s="852"/>
      <c r="J4278" s="852"/>
      <c r="K4278" s="852"/>
      <c r="L4278" s="852"/>
      <c r="M4278" s="852"/>
    </row>
    <row r="4279" spans="5:13">
      <c r="E4279" s="852"/>
      <c r="F4279" s="852"/>
      <c r="G4279" s="852"/>
      <c r="H4279" s="852"/>
      <c r="I4279" s="852"/>
      <c r="J4279" s="852"/>
      <c r="K4279" s="852"/>
      <c r="L4279" s="852"/>
      <c r="M4279" s="852"/>
    </row>
    <row r="4280" spans="5:13">
      <c r="E4280" s="852"/>
      <c r="F4280" s="852"/>
      <c r="G4280" s="852"/>
      <c r="H4280" s="852"/>
      <c r="I4280" s="852"/>
      <c r="J4280" s="852"/>
      <c r="K4280" s="852"/>
      <c r="L4280" s="852"/>
      <c r="M4280" s="852"/>
    </row>
    <row r="4281" spans="5:13">
      <c r="E4281" s="852"/>
      <c r="F4281" s="852"/>
      <c r="G4281" s="852"/>
      <c r="H4281" s="852"/>
      <c r="I4281" s="852"/>
      <c r="J4281" s="852"/>
      <c r="K4281" s="852"/>
      <c r="L4281" s="852"/>
      <c r="M4281" s="852"/>
    </row>
    <row r="4282" spans="5:13">
      <c r="E4282" s="852"/>
      <c r="F4282" s="852"/>
      <c r="G4282" s="852"/>
      <c r="H4282" s="852"/>
      <c r="I4282" s="852"/>
      <c r="J4282" s="852"/>
      <c r="K4282" s="852"/>
      <c r="L4282" s="852"/>
      <c r="M4282" s="852"/>
    </row>
    <row r="4283" spans="5:13">
      <c r="E4283" s="852"/>
      <c r="F4283" s="852"/>
      <c r="G4283" s="852"/>
      <c r="H4283" s="852"/>
      <c r="I4283" s="852"/>
      <c r="J4283" s="852"/>
      <c r="K4283" s="852"/>
      <c r="L4283" s="852"/>
      <c r="M4283" s="852"/>
    </row>
    <row r="4284" spans="5:13">
      <c r="E4284" s="852"/>
      <c r="F4284" s="852"/>
      <c r="G4284" s="852"/>
      <c r="H4284" s="852"/>
      <c r="I4284" s="852"/>
      <c r="J4284" s="852"/>
      <c r="K4284" s="852"/>
      <c r="L4284" s="852"/>
      <c r="M4284" s="852"/>
    </row>
    <row r="4285" spans="5:13">
      <c r="E4285" s="852"/>
      <c r="F4285" s="852"/>
      <c r="G4285" s="852"/>
      <c r="H4285" s="852"/>
      <c r="I4285" s="852"/>
      <c r="J4285" s="852"/>
      <c r="K4285" s="852"/>
      <c r="L4285" s="852"/>
      <c r="M4285" s="852"/>
    </row>
    <row r="4286" spans="5:13">
      <c r="E4286" s="852"/>
      <c r="F4286" s="852"/>
      <c r="G4286" s="852"/>
      <c r="H4286" s="852"/>
      <c r="I4286" s="852"/>
      <c r="J4286" s="852"/>
      <c r="K4286" s="852"/>
      <c r="L4286" s="852"/>
      <c r="M4286" s="852"/>
    </row>
    <row r="4287" spans="5:13">
      <c r="E4287" s="852"/>
      <c r="F4287" s="852"/>
      <c r="G4287" s="852"/>
      <c r="H4287" s="852"/>
      <c r="I4287" s="852"/>
      <c r="J4287" s="852"/>
      <c r="K4287" s="852"/>
      <c r="L4287" s="852"/>
      <c r="M4287" s="852"/>
    </row>
    <row r="4288" spans="5:13">
      <c r="E4288" s="852"/>
      <c r="F4288" s="852"/>
      <c r="G4288" s="852"/>
      <c r="H4288" s="852"/>
      <c r="I4288" s="852"/>
      <c r="J4288" s="852"/>
      <c r="K4288" s="852"/>
      <c r="L4288" s="852"/>
      <c r="M4288" s="852"/>
    </row>
    <row r="4289" spans="5:13">
      <c r="E4289" s="852"/>
      <c r="F4289" s="852"/>
      <c r="G4289" s="852"/>
      <c r="H4289" s="852"/>
      <c r="I4289" s="852"/>
      <c r="J4289" s="852"/>
      <c r="K4289" s="852"/>
      <c r="L4289" s="852"/>
      <c r="M4289" s="852"/>
    </row>
    <row r="4290" spans="5:13">
      <c r="E4290" s="852"/>
      <c r="F4290" s="852"/>
      <c r="G4290" s="852"/>
      <c r="H4290" s="852"/>
      <c r="I4290" s="852"/>
      <c r="J4290" s="852"/>
      <c r="K4290" s="852"/>
      <c r="L4290" s="852"/>
      <c r="M4290" s="852"/>
    </row>
    <row r="4291" spans="5:13">
      <c r="E4291" s="852"/>
      <c r="F4291" s="852"/>
      <c r="G4291" s="852"/>
      <c r="H4291" s="852"/>
      <c r="I4291" s="852"/>
      <c r="J4291" s="852"/>
      <c r="K4291" s="852"/>
      <c r="L4291" s="852"/>
      <c r="M4291" s="852"/>
    </row>
    <row r="4292" spans="5:13">
      <c r="E4292" s="852"/>
      <c r="F4292" s="852"/>
      <c r="G4292" s="852"/>
      <c r="H4292" s="852"/>
      <c r="I4292" s="852"/>
      <c r="J4292" s="852"/>
      <c r="K4292" s="852"/>
      <c r="L4292" s="852"/>
      <c r="M4292" s="852"/>
    </row>
    <row r="4293" spans="5:13">
      <c r="E4293" s="852"/>
      <c r="F4293" s="852"/>
      <c r="G4293" s="852"/>
      <c r="H4293" s="852"/>
      <c r="I4293" s="852"/>
      <c r="J4293" s="852"/>
      <c r="K4293" s="852"/>
      <c r="L4293" s="852"/>
      <c r="M4293" s="852"/>
    </row>
    <row r="4294" spans="5:13">
      <c r="E4294" s="852"/>
      <c r="F4294" s="852"/>
      <c r="G4294" s="852"/>
      <c r="H4294" s="852"/>
      <c r="I4294" s="852"/>
      <c r="J4294" s="852"/>
      <c r="K4294" s="852"/>
      <c r="L4294" s="852"/>
      <c r="M4294" s="852"/>
    </row>
    <row r="4295" spans="5:13">
      <c r="E4295" s="852"/>
      <c r="F4295" s="852"/>
      <c r="G4295" s="852"/>
      <c r="H4295" s="852"/>
      <c r="I4295" s="852"/>
      <c r="J4295" s="852"/>
      <c r="K4295" s="852"/>
      <c r="L4295" s="852"/>
      <c r="M4295" s="852"/>
    </row>
    <row r="4296" spans="5:13">
      <c r="E4296" s="852"/>
      <c r="F4296" s="852"/>
      <c r="G4296" s="852"/>
      <c r="H4296" s="852"/>
      <c r="I4296" s="852"/>
      <c r="J4296" s="852"/>
      <c r="K4296" s="852"/>
      <c r="L4296" s="852"/>
      <c r="M4296" s="852"/>
    </row>
    <row r="4297" spans="5:13">
      <c r="E4297" s="852"/>
      <c r="F4297" s="852"/>
      <c r="G4297" s="852"/>
      <c r="H4297" s="852"/>
      <c r="I4297" s="852"/>
      <c r="J4297" s="852"/>
      <c r="K4297" s="852"/>
      <c r="L4297" s="852"/>
      <c r="M4297" s="852"/>
    </row>
    <row r="4298" spans="5:13">
      <c r="E4298" s="852"/>
      <c r="F4298" s="852"/>
      <c r="G4298" s="852"/>
      <c r="H4298" s="852"/>
      <c r="I4298" s="852"/>
      <c r="J4298" s="852"/>
      <c r="K4298" s="852"/>
      <c r="L4298" s="852"/>
      <c r="M4298" s="852"/>
    </row>
    <row r="4299" spans="5:13">
      <c r="E4299" s="852"/>
      <c r="F4299" s="852"/>
      <c r="G4299" s="852"/>
      <c r="H4299" s="852"/>
      <c r="I4299" s="852"/>
      <c r="J4299" s="852"/>
      <c r="K4299" s="852"/>
      <c r="L4299" s="852"/>
      <c r="M4299" s="852"/>
    </row>
    <row r="4300" spans="5:13">
      <c r="E4300" s="852"/>
      <c r="F4300" s="852"/>
      <c r="G4300" s="852"/>
      <c r="H4300" s="852"/>
      <c r="I4300" s="852"/>
      <c r="J4300" s="852"/>
      <c r="K4300" s="852"/>
      <c r="L4300" s="852"/>
      <c r="M4300" s="852"/>
    </row>
    <row r="4301" spans="5:13">
      <c r="E4301" s="852"/>
      <c r="F4301" s="852"/>
      <c r="G4301" s="852"/>
      <c r="H4301" s="852"/>
      <c r="I4301" s="852"/>
      <c r="J4301" s="852"/>
      <c r="K4301" s="852"/>
      <c r="L4301" s="852"/>
      <c r="M4301" s="852"/>
    </row>
    <row r="4302" spans="5:13">
      <c r="E4302" s="852"/>
      <c r="F4302" s="852"/>
      <c r="G4302" s="852"/>
      <c r="H4302" s="852"/>
      <c r="I4302" s="852"/>
      <c r="J4302" s="852"/>
      <c r="K4302" s="852"/>
      <c r="L4302" s="852"/>
      <c r="M4302" s="852"/>
    </row>
    <row r="4303" spans="5:13">
      <c r="E4303" s="852"/>
      <c r="F4303" s="852"/>
      <c r="G4303" s="852"/>
      <c r="H4303" s="852"/>
      <c r="I4303" s="852"/>
      <c r="J4303" s="852"/>
      <c r="K4303" s="852"/>
      <c r="L4303" s="852"/>
      <c r="M4303" s="852"/>
    </row>
    <row r="4304" spans="5:13">
      <c r="E4304" s="852"/>
      <c r="F4304" s="852"/>
      <c r="G4304" s="852"/>
      <c r="H4304" s="852"/>
      <c r="I4304" s="852"/>
      <c r="J4304" s="852"/>
      <c r="K4304" s="852"/>
      <c r="L4304" s="852"/>
      <c r="M4304" s="852"/>
    </row>
    <row r="4305" spans="5:13">
      <c r="E4305" s="852"/>
      <c r="F4305" s="852"/>
      <c r="G4305" s="852"/>
      <c r="H4305" s="852"/>
      <c r="I4305" s="852"/>
      <c r="J4305" s="852"/>
      <c r="K4305" s="852"/>
      <c r="L4305" s="852"/>
      <c r="M4305" s="852"/>
    </row>
    <row r="4306" spans="5:13">
      <c r="E4306" s="852"/>
      <c r="F4306" s="852"/>
      <c r="G4306" s="852"/>
      <c r="H4306" s="852"/>
      <c r="I4306" s="852"/>
      <c r="J4306" s="852"/>
      <c r="K4306" s="852"/>
      <c r="L4306" s="852"/>
      <c r="M4306" s="852"/>
    </row>
    <row r="4307" spans="5:13">
      <c r="E4307" s="852"/>
      <c r="F4307" s="852"/>
      <c r="G4307" s="852"/>
      <c r="H4307" s="852"/>
      <c r="I4307" s="852"/>
      <c r="J4307" s="852"/>
      <c r="K4307" s="852"/>
      <c r="L4307" s="852"/>
      <c r="M4307" s="852"/>
    </row>
    <row r="4308" spans="5:13">
      <c r="E4308" s="852"/>
      <c r="F4308" s="852"/>
      <c r="G4308" s="852"/>
      <c r="H4308" s="852"/>
      <c r="I4308" s="852"/>
      <c r="J4308" s="852"/>
      <c r="K4308" s="852"/>
      <c r="L4308" s="852"/>
      <c r="M4308" s="852"/>
    </row>
    <row r="4309" spans="5:13">
      <c r="E4309" s="852"/>
      <c r="F4309" s="852"/>
      <c r="G4309" s="852"/>
      <c r="H4309" s="852"/>
      <c r="I4309" s="852"/>
      <c r="J4309" s="852"/>
      <c r="K4309" s="852"/>
      <c r="L4309" s="852"/>
      <c r="M4309" s="852"/>
    </row>
    <row r="4310" spans="5:13">
      <c r="E4310" s="852"/>
      <c r="F4310" s="852"/>
      <c r="G4310" s="852"/>
      <c r="H4310" s="852"/>
      <c r="I4310" s="852"/>
      <c r="J4310" s="852"/>
      <c r="K4310" s="852"/>
      <c r="L4310" s="852"/>
      <c r="M4310" s="852"/>
    </row>
    <row r="4311" spans="5:13">
      <c r="E4311" s="852"/>
      <c r="F4311" s="852"/>
      <c r="G4311" s="852"/>
      <c r="H4311" s="852"/>
      <c r="I4311" s="852"/>
      <c r="J4311" s="852"/>
      <c r="K4311" s="852"/>
      <c r="L4311" s="852"/>
      <c r="M4311" s="852"/>
    </row>
    <row r="4312" spans="5:13">
      <c r="E4312" s="852"/>
      <c r="F4312" s="852"/>
      <c r="G4312" s="852"/>
      <c r="H4312" s="852"/>
      <c r="I4312" s="852"/>
      <c r="J4312" s="852"/>
      <c r="K4312" s="852"/>
      <c r="L4312" s="852"/>
      <c r="M4312" s="852"/>
    </row>
    <row r="4313" spans="5:13">
      <c r="E4313" s="852"/>
      <c r="F4313" s="852"/>
      <c r="G4313" s="852"/>
      <c r="H4313" s="852"/>
      <c r="I4313" s="852"/>
      <c r="J4313" s="852"/>
      <c r="K4313" s="852"/>
      <c r="L4313" s="852"/>
      <c r="M4313" s="852"/>
    </row>
    <row r="4314" spans="5:13">
      <c r="E4314" s="852"/>
      <c r="F4314" s="852"/>
      <c r="G4314" s="852"/>
      <c r="H4314" s="852"/>
      <c r="I4314" s="852"/>
      <c r="J4314" s="852"/>
      <c r="K4314" s="852"/>
      <c r="L4314" s="852"/>
      <c r="M4314" s="852"/>
    </row>
    <row r="4315" spans="5:13">
      <c r="E4315" s="852"/>
      <c r="F4315" s="852"/>
      <c r="G4315" s="852"/>
      <c r="H4315" s="852"/>
      <c r="I4315" s="852"/>
      <c r="J4315" s="852"/>
      <c r="K4315" s="852"/>
      <c r="L4315" s="852"/>
      <c r="M4315" s="852"/>
    </row>
    <row r="4316" spans="5:13">
      <c r="E4316" s="852"/>
      <c r="F4316" s="852"/>
      <c r="G4316" s="852"/>
      <c r="H4316" s="852"/>
      <c r="I4316" s="852"/>
      <c r="J4316" s="852"/>
      <c r="K4316" s="852"/>
      <c r="L4316" s="852"/>
      <c r="M4316" s="852"/>
    </row>
    <row r="4317" spans="5:13">
      <c r="E4317" s="852"/>
      <c r="F4317" s="852"/>
      <c r="G4317" s="852"/>
      <c r="H4317" s="852"/>
      <c r="I4317" s="852"/>
      <c r="J4317" s="852"/>
      <c r="K4317" s="852"/>
      <c r="L4317" s="852"/>
      <c r="M4317" s="852"/>
    </row>
    <row r="4318" spans="5:13">
      <c r="E4318" s="852"/>
      <c r="F4318" s="852"/>
      <c r="G4318" s="852"/>
      <c r="H4318" s="852"/>
      <c r="I4318" s="852"/>
      <c r="J4318" s="852"/>
      <c r="K4318" s="852"/>
      <c r="L4318" s="852"/>
      <c r="M4318" s="852"/>
    </row>
    <row r="4319" spans="5:13">
      <c r="E4319" s="852"/>
      <c r="F4319" s="852"/>
      <c r="G4319" s="852"/>
      <c r="H4319" s="852"/>
      <c r="I4319" s="852"/>
      <c r="J4319" s="852"/>
      <c r="K4319" s="852"/>
      <c r="L4319" s="852"/>
      <c r="M4319" s="852"/>
    </row>
    <row r="4320" spans="5:13">
      <c r="E4320" s="852"/>
      <c r="F4320" s="852"/>
      <c r="G4320" s="852"/>
      <c r="H4320" s="852"/>
      <c r="I4320" s="852"/>
      <c r="J4320" s="852"/>
      <c r="K4320" s="852"/>
      <c r="L4320" s="852"/>
      <c r="M4320" s="852"/>
    </row>
    <row r="4321" spans="5:13">
      <c r="E4321" s="852"/>
      <c r="F4321" s="852"/>
      <c r="G4321" s="852"/>
      <c r="H4321" s="852"/>
      <c r="I4321" s="852"/>
      <c r="J4321" s="852"/>
      <c r="K4321" s="852"/>
      <c r="L4321" s="852"/>
      <c r="M4321" s="852"/>
    </row>
    <row r="4322" spans="5:13">
      <c r="E4322" s="852"/>
      <c r="F4322" s="852"/>
      <c r="G4322" s="852"/>
      <c r="H4322" s="852"/>
      <c r="I4322" s="852"/>
      <c r="J4322" s="852"/>
      <c r="K4322" s="852"/>
      <c r="L4322" s="852"/>
      <c r="M4322" s="852"/>
    </row>
    <row r="4323" spans="5:13">
      <c r="E4323" s="852"/>
      <c r="F4323" s="852"/>
      <c r="G4323" s="852"/>
      <c r="H4323" s="852"/>
      <c r="I4323" s="852"/>
      <c r="J4323" s="852"/>
      <c r="K4323" s="852"/>
      <c r="L4323" s="852"/>
      <c r="M4323" s="852"/>
    </row>
    <row r="4324" spans="5:13">
      <c r="E4324" s="852"/>
      <c r="F4324" s="852"/>
      <c r="G4324" s="852"/>
      <c r="H4324" s="852"/>
      <c r="I4324" s="852"/>
      <c r="J4324" s="852"/>
      <c r="K4324" s="852"/>
      <c r="L4324" s="852"/>
      <c r="M4324" s="852"/>
    </row>
    <row r="4325" spans="5:13">
      <c r="E4325" s="852"/>
      <c r="F4325" s="852"/>
      <c r="G4325" s="852"/>
      <c r="H4325" s="852"/>
      <c r="I4325" s="852"/>
      <c r="J4325" s="852"/>
      <c r="K4325" s="852"/>
      <c r="L4325" s="852"/>
      <c r="M4325" s="852"/>
    </row>
    <row r="4326" spans="5:13">
      <c r="E4326" s="852"/>
      <c r="F4326" s="852"/>
      <c r="G4326" s="852"/>
      <c r="H4326" s="852"/>
      <c r="I4326" s="852"/>
      <c r="J4326" s="852"/>
      <c r="K4326" s="852"/>
      <c r="L4326" s="852"/>
      <c r="M4326" s="852"/>
    </row>
    <row r="4327" spans="5:13">
      <c r="E4327" s="852"/>
      <c r="F4327" s="852"/>
      <c r="G4327" s="852"/>
      <c r="H4327" s="852"/>
      <c r="I4327" s="852"/>
      <c r="J4327" s="852"/>
      <c r="K4327" s="852"/>
      <c r="L4327" s="852"/>
      <c r="M4327" s="852"/>
    </row>
    <row r="4328" spans="5:13">
      <c r="E4328" s="852"/>
      <c r="F4328" s="852"/>
      <c r="G4328" s="852"/>
      <c r="H4328" s="852"/>
      <c r="I4328" s="852"/>
      <c r="J4328" s="852"/>
      <c r="K4328" s="852"/>
      <c r="L4328" s="852"/>
      <c r="M4328" s="852"/>
    </row>
    <row r="4329" spans="5:13">
      <c r="E4329" s="852"/>
      <c r="F4329" s="852"/>
      <c r="G4329" s="852"/>
      <c r="H4329" s="852"/>
      <c r="I4329" s="852"/>
      <c r="J4329" s="852"/>
      <c r="K4329" s="852"/>
      <c r="L4329" s="852"/>
      <c r="M4329" s="852"/>
    </row>
    <row r="4330" spans="5:13">
      <c r="E4330" s="852"/>
      <c r="F4330" s="852"/>
      <c r="G4330" s="852"/>
      <c r="H4330" s="852"/>
      <c r="I4330" s="852"/>
      <c r="J4330" s="852"/>
      <c r="K4330" s="852"/>
      <c r="L4330" s="852"/>
      <c r="M4330" s="852"/>
    </row>
    <row r="4331" spans="5:13">
      <c r="E4331" s="852"/>
      <c r="F4331" s="852"/>
      <c r="G4331" s="852"/>
      <c r="H4331" s="852"/>
      <c r="I4331" s="852"/>
      <c r="J4331" s="852"/>
      <c r="K4331" s="852"/>
      <c r="L4331" s="852"/>
      <c r="M4331" s="852"/>
    </row>
    <row r="4332" spans="5:13">
      <c r="E4332" s="852"/>
      <c r="F4332" s="852"/>
      <c r="G4332" s="852"/>
      <c r="H4332" s="852"/>
      <c r="I4332" s="852"/>
      <c r="J4332" s="852"/>
      <c r="K4332" s="852"/>
      <c r="L4332" s="852"/>
      <c r="M4332" s="852"/>
    </row>
    <row r="4333" spans="5:13">
      <c r="E4333" s="852"/>
      <c r="F4333" s="852"/>
      <c r="G4333" s="852"/>
      <c r="H4333" s="852"/>
      <c r="I4333" s="852"/>
      <c r="J4333" s="852"/>
      <c r="K4333" s="852"/>
      <c r="L4333" s="852"/>
      <c r="M4333" s="852"/>
    </row>
    <row r="4334" spans="5:13">
      <c r="E4334" s="852"/>
      <c r="F4334" s="852"/>
      <c r="G4334" s="852"/>
      <c r="H4334" s="852"/>
      <c r="I4334" s="852"/>
      <c r="J4334" s="852"/>
      <c r="K4334" s="852"/>
      <c r="L4334" s="852"/>
      <c r="M4334" s="852"/>
    </row>
    <row r="4335" spans="5:13">
      <c r="E4335" s="852"/>
      <c r="F4335" s="852"/>
      <c r="G4335" s="852"/>
      <c r="H4335" s="852"/>
      <c r="I4335" s="852"/>
      <c r="J4335" s="852"/>
      <c r="K4335" s="852"/>
      <c r="L4335" s="852"/>
      <c r="M4335" s="852"/>
    </row>
    <row r="4336" spans="5:13">
      <c r="E4336" s="852"/>
      <c r="F4336" s="852"/>
      <c r="G4336" s="852"/>
      <c r="H4336" s="852"/>
      <c r="I4336" s="852"/>
      <c r="J4336" s="852"/>
      <c r="K4336" s="852"/>
      <c r="L4336" s="852"/>
      <c r="M4336" s="852"/>
    </row>
    <row r="4337" spans="5:13">
      <c r="E4337" s="852"/>
      <c r="F4337" s="852"/>
      <c r="G4337" s="852"/>
      <c r="H4337" s="852"/>
      <c r="I4337" s="852"/>
      <c r="J4337" s="852"/>
      <c r="K4337" s="852"/>
      <c r="L4337" s="852"/>
      <c r="M4337" s="852"/>
    </row>
    <row r="4338" spans="5:13">
      <c r="E4338" s="852"/>
      <c r="F4338" s="852"/>
      <c r="G4338" s="852"/>
      <c r="H4338" s="852"/>
      <c r="I4338" s="852"/>
      <c r="J4338" s="852"/>
      <c r="K4338" s="852"/>
      <c r="L4338" s="852"/>
      <c r="M4338" s="852"/>
    </row>
    <row r="4339" spans="5:13">
      <c r="E4339" s="852"/>
      <c r="F4339" s="852"/>
      <c r="G4339" s="852"/>
      <c r="H4339" s="852"/>
      <c r="I4339" s="852"/>
      <c r="J4339" s="852"/>
      <c r="K4339" s="852"/>
      <c r="L4339" s="852"/>
      <c r="M4339" s="852"/>
    </row>
    <row r="4340" spans="5:13">
      <c r="E4340" s="852"/>
      <c r="F4340" s="852"/>
      <c r="G4340" s="852"/>
      <c r="H4340" s="852"/>
      <c r="I4340" s="852"/>
      <c r="J4340" s="852"/>
      <c r="K4340" s="852"/>
      <c r="L4340" s="852"/>
      <c r="M4340" s="852"/>
    </row>
    <row r="4341" spans="5:13">
      <c r="E4341" s="852"/>
      <c r="F4341" s="852"/>
      <c r="G4341" s="852"/>
      <c r="H4341" s="852"/>
      <c r="I4341" s="852"/>
      <c r="J4341" s="852"/>
      <c r="K4341" s="852"/>
      <c r="L4341" s="852"/>
      <c r="M4341" s="852"/>
    </row>
    <row r="4342" spans="5:13">
      <c r="E4342" s="852"/>
      <c r="F4342" s="852"/>
      <c r="G4342" s="852"/>
      <c r="H4342" s="852"/>
      <c r="I4342" s="852"/>
      <c r="J4342" s="852"/>
      <c r="K4342" s="852"/>
      <c r="L4342" s="852"/>
      <c r="M4342" s="852"/>
    </row>
    <row r="4343" spans="5:13">
      <c r="E4343" s="852"/>
      <c r="F4343" s="852"/>
      <c r="G4343" s="852"/>
      <c r="H4343" s="852"/>
      <c r="I4343" s="852"/>
      <c r="J4343" s="852"/>
      <c r="K4343" s="852"/>
      <c r="L4343" s="852"/>
      <c r="M4343" s="852"/>
    </row>
    <row r="4344" spans="5:13">
      <c r="E4344" s="852"/>
      <c r="F4344" s="852"/>
      <c r="G4344" s="852"/>
      <c r="H4344" s="852"/>
      <c r="I4344" s="852"/>
      <c r="J4344" s="852"/>
      <c r="K4344" s="852"/>
      <c r="L4344" s="852"/>
      <c r="M4344" s="852"/>
    </row>
    <row r="4345" spans="5:13">
      <c r="E4345" s="852"/>
      <c r="F4345" s="852"/>
      <c r="G4345" s="852"/>
      <c r="H4345" s="852"/>
      <c r="I4345" s="852"/>
      <c r="J4345" s="852"/>
      <c r="K4345" s="852"/>
      <c r="L4345" s="852"/>
      <c r="M4345" s="852"/>
    </row>
    <row r="4346" spans="5:13">
      <c r="E4346" s="852"/>
      <c r="F4346" s="852"/>
      <c r="G4346" s="852"/>
      <c r="H4346" s="852"/>
      <c r="I4346" s="852"/>
      <c r="J4346" s="852"/>
      <c r="K4346" s="852"/>
      <c r="L4346" s="852"/>
      <c r="M4346" s="852"/>
    </row>
    <row r="4347" spans="5:13">
      <c r="E4347" s="852"/>
      <c r="F4347" s="852"/>
      <c r="G4347" s="852"/>
      <c r="H4347" s="852"/>
      <c r="I4347" s="852"/>
      <c r="J4347" s="852"/>
      <c r="K4347" s="852"/>
      <c r="L4347" s="852"/>
      <c r="M4347" s="852"/>
    </row>
    <row r="4348" spans="5:13">
      <c r="E4348" s="852"/>
      <c r="F4348" s="852"/>
      <c r="G4348" s="852"/>
      <c r="H4348" s="852"/>
      <c r="I4348" s="852"/>
      <c r="J4348" s="852"/>
      <c r="K4348" s="852"/>
      <c r="L4348" s="852"/>
      <c r="M4348" s="852"/>
    </row>
    <row r="4349" spans="5:13">
      <c r="E4349" s="852"/>
      <c r="F4349" s="852"/>
      <c r="G4349" s="852"/>
      <c r="H4349" s="852"/>
      <c r="I4349" s="852"/>
      <c r="J4349" s="852"/>
      <c r="K4349" s="852"/>
      <c r="L4349" s="852"/>
      <c r="M4349" s="852"/>
    </row>
    <row r="4350" spans="5:13">
      <c r="E4350" s="852"/>
      <c r="F4350" s="852"/>
      <c r="G4350" s="852"/>
      <c r="H4350" s="852"/>
      <c r="I4350" s="852"/>
      <c r="J4350" s="852"/>
      <c r="K4350" s="852"/>
      <c r="L4350" s="852"/>
      <c r="M4350" s="852"/>
    </row>
    <row r="4351" spans="5:13">
      <c r="E4351" s="852"/>
      <c r="F4351" s="852"/>
      <c r="G4351" s="852"/>
      <c r="H4351" s="852"/>
      <c r="I4351" s="852"/>
      <c r="J4351" s="852"/>
      <c r="K4351" s="852"/>
      <c r="L4351" s="852"/>
      <c r="M4351" s="852"/>
    </row>
    <row r="4352" spans="5:13">
      <c r="E4352" s="852"/>
      <c r="F4352" s="852"/>
      <c r="G4352" s="852"/>
      <c r="H4352" s="852"/>
      <c r="I4352" s="852"/>
      <c r="J4352" s="852"/>
      <c r="K4352" s="852"/>
      <c r="L4352" s="852"/>
      <c r="M4352" s="852"/>
    </row>
    <row r="4353" spans="5:13">
      <c r="E4353" s="852"/>
      <c r="F4353" s="852"/>
      <c r="G4353" s="852"/>
      <c r="H4353" s="852"/>
      <c r="I4353" s="852"/>
      <c r="J4353" s="852"/>
      <c r="K4353" s="852"/>
      <c r="L4353" s="852"/>
      <c r="M4353" s="852"/>
    </row>
    <row r="4354" spans="5:13">
      <c r="E4354" s="852"/>
      <c r="F4354" s="852"/>
      <c r="G4354" s="852"/>
      <c r="H4354" s="852"/>
      <c r="I4354" s="852"/>
      <c r="J4354" s="852"/>
      <c r="K4354" s="852"/>
      <c r="L4354" s="852"/>
      <c r="M4354" s="852"/>
    </row>
    <row r="4355" spans="5:13">
      <c r="E4355" s="852"/>
      <c r="F4355" s="852"/>
      <c r="G4355" s="852"/>
      <c r="H4355" s="852"/>
      <c r="I4355" s="852"/>
      <c r="J4355" s="852"/>
      <c r="K4355" s="852"/>
      <c r="L4355" s="852"/>
      <c r="M4355" s="852"/>
    </row>
    <row r="4356" spans="5:13">
      <c r="E4356" s="852"/>
      <c r="F4356" s="852"/>
      <c r="G4356" s="852"/>
      <c r="H4356" s="852"/>
      <c r="I4356" s="852"/>
      <c r="J4356" s="852"/>
      <c r="K4356" s="852"/>
      <c r="L4356" s="852"/>
      <c r="M4356" s="852"/>
    </row>
    <row r="4357" spans="5:13">
      <c r="E4357" s="852"/>
      <c r="F4357" s="852"/>
      <c r="G4357" s="852"/>
      <c r="H4357" s="852"/>
      <c r="I4357" s="852"/>
      <c r="J4357" s="852"/>
      <c r="K4357" s="852"/>
      <c r="L4357" s="852"/>
      <c r="M4357" s="852"/>
    </row>
    <row r="4358" spans="5:13">
      <c r="E4358" s="852"/>
      <c r="F4358" s="852"/>
      <c r="G4358" s="852"/>
      <c r="H4358" s="852"/>
      <c r="I4358" s="852"/>
      <c r="J4358" s="852"/>
      <c r="K4358" s="852"/>
      <c r="L4358" s="852"/>
      <c r="M4358" s="852"/>
    </row>
    <row r="4359" spans="5:13">
      <c r="E4359" s="852"/>
      <c r="F4359" s="852"/>
      <c r="G4359" s="852"/>
      <c r="H4359" s="852"/>
      <c r="I4359" s="852"/>
      <c r="J4359" s="852"/>
      <c r="K4359" s="852"/>
      <c r="L4359" s="852"/>
      <c r="M4359" s="852"/>
    </row>
    <row r="4360" spans="5:13">
      <c r="E4360" s="852"/>
      <c r="F4360" s="852"/>
      <c r="G4360" s="852"/>
      <c r="H4360" s="852"/>
      <c r="I4360" s="852"/>
      <c r="J4360" s="852"/>
      <c r="K4360" s="852"/>
      <c r="L4360" s="852"/>
      <c r="M4360" s="852"/>
    </row>
    <row r="4361" spans="5:13">
      <c r="E4361" s="852"/>
      <c r="F4361" s="852"/>
      <c r="G4361" s="852"/>
      <c r="H4361" s="852"/>
      <c r="I4361" s="852"/>
      <c r="J4361" s="852"/>
      <c r="K4361" s="852"/>
      <c r="L4361" s="852"/>
      <c r="M4361" s="852"/>
    </row>
    <row r="4362" spans="5:13">
      <c r="E4362" s="852"/>
      <c r="F4362" s="852"/>
      <c r="G4362" s="852"/>
      <c r="H4362" s="852"/>
      <c r="I4362" s="852"/>
      <c r="J4362" s="852"/>
      <c r="K4362" s="852"/>
      <c r="L4362" s="852"/>
      <c r="M4362" s="852"/>
    </row>
    <row r="4363" spans="5:13">
      <c r="E4363" s="852"/>
      <c r="F4363" s="852"/>
      <c r="G4363" s="852"/>
      <c r="H4363" s="852"/>
      <c r="I4363" s="852"/>
      <c r="J4363" s="852"/>
      <c r="K4363" s="852"/>
      <c r="L4363" s="852"/>
      <c r="M4363" s="852"/>
    </row>
    <row r="4364" spans="5:13">
      <c r="E4364" s="852"/>
      <c r="F4364" s="852"/>
      <c r="G4364" s="852"/>
      <c r="H4364" s="852"/>
      <c r="I4364" s="852"/>
      <c r="J4364" s="852"/>
      <c r="K4364" s="852"/>
      <c r="L4364" s="852"/>
      <c r="M4364" s="852"/>
    </row>
    <row r="4365" spans="5:13">
      <c r="E4365" s="852"/>
      <c r="F4365" s="852"/>
      <c r="G4365" s="852"/>
      <c r="H4365" s="852"/>
      <c r="I4365" s="852"/>
      <c r="J4365" s="852"/>
      <c r="K4365" s="852"/>
      <c r="L4365" s="852"/>
      <c r="M4365" s="852"/>
    </row>
    <row r="4366" spans="5:13">
      <c r="E4366" s="852"/>
      <c r="F4366" s="852"/>
      <c r="G4366" s="852"/>
      <c r="H4366" s="852"/>
      <c r="I4366" s="852"/>
      <c r="J4366" s="852"/>
      <c r="K4366" s="852"/>
      <c r="L4366" s="852"/>
      <c r="M4366" s="852"/>
    </row>
    <row r="4367" spans="5:13">
      <c r="E4367" s="852"/>
      <c r="F4367" s="852"/>
      <c r="G4367" s="852"/>
      <c r="H4367" s="852"/>
      <c r="I4367" s="852"/>
      <c r="J4367" s="852"/>
      <c r="K4367" s="852"/>
      <c r="L4367" s="852"/>
      <c r="M4367" s="852"/>
    </row>
    <row r="4368" spans="5:13">
      <c r="E4368" s="852"/>
      <c r="F4368" s="852"/>
      <c r="G4368" s="852"/>
      <c r="H4368" s="852"/>
      <c r="I4368" s="852"/>
      <c r="J4368" s="852"/>
      <c r="K4368" s="852"/>
      <c r="L4368" s="852"/>
      <c r="M4368" s="852"/>
    </row>
    <row r="4369" spans="5:13">
      <c r="E4369" s="852"/>
      <c r="F4369" s="852"/>
      <c r="G4369" s="852"/>
      <c r="H4369" s="852"/>
      <c r="I4369" s="852"/>
      <c r="J4369" s="852"/>
      <c r="K4369" s="852"/>
      <c r="L4369" s="852"/>
      <c r="M4369" s="852"/>
    </row>
    <row r="4370" spans="5:13">
      <c r="E4370" s="852"/>
      <c r="F4370" s="852"/>
      <c r="G4370" s="852"/>
      <c r="H4370" s="852"/>
      <c r="I4370" s="852"/>
      <c r="J4370" s="852"/>
      <c r="K4370" s="852"/>
      <c r="L4370" s="852"/>
      <c r="M4370" s="852"/>
    </row>
    <row r="4371" spans="5:13">
      <c r="E4371" s="852"/>
      <c r="F4371" s="852"/>
      <c r="G4371" s="852"/>
      <c r="H4371" s="852"/>
      <c r="I4371" s="852"/>
      <c r="J4371" s="852"/>
      <c r="K4371" s="852"/>
      <c r="L4371" s="852"/>
      <c r="M4371" s="852"/>
    </row>
    <row r="4372" spans="5:13">
      <c r="E4372" s="852"/>
      <c r="F4372" s="852"/>
      <c r="G4372" s="852"/>
      <c r="H4372" s="852"/>
      <c r="I4372" s="852"/>
      <c r="J4372" s="852"/>
      <c r="K4372" s="852"/>
      <c r="L4372" s="852"/>
      <c r="M4372" s="852"/>
    </row>
    <row r="4373" spans="5:13">
      <c r="E4373" s="852"/>
      <c r="F4373" s="852"/>
      <c r="G4373" s="852"/>
      <c r="H4373" s="852"/>
      <c r="I4373" s="852"/>
      <c r="J4373" s="852"/>
      <c r="K4373" s="852"/>
      <c r="L4373" s="852"/>
      <c r="M4373" s="852"/>
    </row>
    <row r="4374" spans="5:13">
      <c r="E4374" s="852"/>
      <c r="F4374" s="852"/>
      <c r="G4374" s="852"/>
      <c r="H4374" s="852"/>
      <c r="I4374" s="852"/>
      <c r="J4374" s="852"/>
      <c r="K4374" s="852"/>
      <c r="L4374" s="852"/>
      <c r="M4374" s="852"/>
    </row>
    <row r="4375" spans="5:13">
      <c r="E4375" s="852"/>
      <c r="F4375" s="852"/>
      <c r="G4375" s="852"/>
      <c r="H4375" s="852"/>
      <c r="I4375" s="852"/>
      <c r="J4375" s="852"/>
      <c r="K4375" s="852"/>
      <c r="L4375" s="852"/>
      <c r="M4375" s="852"/>
    </row>
    <row r="4376" spans="5:13">
      <c r="E4376" s="852"/>
      <c r="F4376" s="852"/>
      <c r="G4376" s="852"/>
      <c r="H4376" s="852"/>
      <c r="I4376" s="852"/>
      <c r="J4376" s="852"/>
      <c r="K4376" s="852"/>
      <c r="L4376" s="852"/>
      <c r="M4376" s="852"/>
    </row>
    <row r="4377" spans="5:13">
      <c r="E4377" s="852"/>
      <c r="F4377" s="852"/>
      <c r="G4377" s="852"/>
      <c r="H4377" s="852"/>
      <c r="I4377" s="852"/>
      <c r="J4377" s="852"/>
      <c r="K4377" s="852"/>
      <c r="L4377" s="852"/>
      <c r="M4377" s="852"/>
    </row>
    <row r="4378" spans="5:13">
      <c r="E4378" s="852"/>
      <c r="F4378" s="852"/>
      <c r="G4378" s="852"/>
      <c r="H4378" s="852"/>
      <c r="I4378" s="852"/>
      <c r="J4378" s="852"/>
      <c r="K4378" s="852"/>
      <c r="L4378" s="852"/>
      <c r="M4378" s="852"/>
    </row>
    <row r="4379" spans="5:13">
      <c r="E4379" s="852"/>
      <c r="F4379" s="852"/>
      <c r="G4379" s="852"/>
      <c r="H4379" s="852"/>
      <c r="I4379" s="852"/>
      <c r="J4379" s="852"/>
      <c r="K4379" s="852"/>
      <c r="L4379" s="852"/>
      <c r="M4379" s="852"/>
    </row>
    <row r="4380" spans="5:13">
      <c r="E4380" s="852"/>
      <c r="F4380" s="852"/>
      <c r="G4380" s="852"/>
      <c r="H4380" s="852"/>
      <c r="I4380" s="852"/>
      <c r="J4380" s="852"/>
      <c r="K4380" s="852"/>
      <c r="L4380" s="852"/>
      <c r="M4380" s="852"/>
    </row>
    <row r="4381" spans="5:13">
      <c r="E4381" s="852"/>
      <c r="F4381" s="852"/>
      <c r="G4381" s="852"/>
      <c r="H4381" s="852"/>
      <c r="I4381" s="852"/>
      <c r="J4381" s="852"/>
      <c r="K4381" s="852"/>
      <c r="L4381" s="852"/>
      <c r="M4381" s="852"/>
    </row>
    <row r="4382" spans="5:13">
      <c r="E4382" s="852"/>
      <c r="F4382" s="852"/>
      <c r="G4382" s="852"/>
      <c r="H4382" s="852"/>
      <c r="I4382" s="852"/>
      <c r="J4382" s="852"/>
      <c r="K4382" s="852"/>
      <c r="L4382" s="852"/>
      <c r="M4382" s="852"/>
    </row>
    <row r="4383" spans="5:13">
      <c r="E4383" s="852"/>
      <c r="F4383" s="852"/>
      <c r="G4383" s="852"/>
      <c r="H4383" s="852"/>
      <c r="I4383" s="852"/>
      <c r="J4383" s="852"/>
      <c r="K4383" s="852"/>
      <c r="L4383" s="852"/>
      <c r="M4383" s="852"/>
    </row>
    <row r="4384" spans="5:13">
      <c r="E4384" s="852"/>
      <c r="F4384" s="852"/>
      <c r="G4384" s="852"/>
      <c r="H4384" s="852"/>
      <c r="I4384" s="852"/>
      <c r="J4384" s="852"/>
      <c r="K4384" s="852"/>
      <c r="L4384" s="852"/>
      <c r="M4384" s="852"/>
    </row>
    <row r="4385" spans="5:13">
      <c r="E4385" s="852"/>
      <c r="F4385" s="852"/>
      <c r="G4385" s="852"/>
      <c r="H4385" s="852"/>
      <c r="I4385" s="852"/>
      <c r="J4385" s="852"/>
      <c r="K4385" s="852"/>
      <c r="L4385" s="852"/>
      <c r="M4385" s="852"/>
    </row>
    <row r="4386" spans="5:13">
      <c r="E4386" s="852"/>
      <c r="F4386" s="852"/>
      <c r="G4386" s="852"/>
      <c r="H4386" s="852"/>
      <c r="I4386" s="852"/>
      <c r="J4386" s="852"/>
      <c r="K4386" s="852"/>
      <c r="L4386" s="852"/>
      <c r="M4386" s="852"/>
    </row>
    <row r="4387" spans="5:13">
      <c r="E4387" s="852"/>
      <c r="F4387" s="852"/>
      <c r="G4387" s="852"/>
      <c r="H4387" s="852"/>
      <c r="I4387" s="852"/>
      <c r="J4387" s="852"/>
      <c r="K4387" s="852"/>
      <c r="L4387" s="852"/>
      <c r="M4387" s="852"/>
    </row>
    <row r="4388" spans="5:13">
      <c r="E4388" s="852"/>
      <c r="F4388" s="852"/>
      <c r="G4388" s="852"/>
      <c r="H4388" s="852"/>
      <c r="I4388" s="852"/>
      <c r="J4388" s="852"/>
      <c r="K4388" s="852"/>
      <c r="L4388" s="852"/>
      <c r="M4388" s="852"/>
    </row>
    <row r="4389" spans="5:13">
      <c r="E4389" s="852"/>
      <c r="F4389" s="852"/>
      <c r="G4389" s="852"/>
      <c r="H4389" s="852"/>
      <c r="I4389" s="852"/>
      <c r="J4389" s="852"/>
      <c r="K4389" s="852"/>
      <c r="L4389" s="852"/>
      <c r="M4389" s="852"/>
    </row>
    <row r="4390" spans="5:13">
      <c r="E4390" s="852"/>
      <c r="F4390" s="852"/>
      <c r="G4390" s="852"/>
      <c r="H4390" s="852"/>
      <c r="I4390" s="852"/>
      <c r="J4390" s="852"/>
      <c r="K4390" s="852"/>
      <c r="L4390" s="852"/>
      <c r="M4390" s="852"/>
    </row>
    <row r="4391" spans="5:13">
      <c r="E4391" s="852"/>
      <c r="F4391" s="852"/>
      <c r="G4391" s="852"/>
      <c r="H4391" s="852"/>
      <c r="I4391" s="852"/>
      <c r="J4391" s="852"/>
      <c r="K4391" s="852"/>
      <c r="L4391" s="852"/>
      <c r="M4391" s="852"/>
    </row>
    <row r="4392" spans="5:13">
      <c r="E4392" s="852"/>
      <c r="F4392" s="852"/>
      <c r="G4392" s="852"/>
      <c r="H4392" s="852"/>
      <c r="I4392" s="852"/>
      <c r="J4392" s="852"/>
      <c r="K4392" s="852"/>
      <c r="L4392" s="852"/>
      <c r="M4392" s="852"/>
    </row>
    <row r="4393" spans="5:13">
      <c r="E4393" s="852"/>
      <c r="F4393" s="852"/>
      <c r="G4393" s="852"/>
      <c r="H4393" s="852"/>
      <c r="I4393" s="852"/>
      <c r="J4393" s="852"/>
      <c r="K4393" s="852"/>
      <c r="L4393" s="852"/>
      <c r="M4393" s="852"/>
    </row>
    <row r="4394" spans="5:13">
      <c r="E4394" s="852"/>
      <c r="F4394" s="852"/>
      <c r="G4394" s="852"/>
      <c r="H4394" s="852"/>
      <c r="I4394" s="852"/>
      <c r="J4394" s="852"/>
      <c r="K4394" s="852"/>
      <c r="L4394" s="852"/>
      <c r="M4394" s="852"/>
    </row>
    <row r="4395" spans="5:13">
      <c r="E4395" s="852"/>
      <c r="F4395" s="852"/>
      <c r="G4395" s="852"/>
      <c r="H4395" s="852"/>
      <c r="I4395" s="852"/>
      <c r="J4395" s="852"/>
      <c r="K4395" s="852"/>
      <c r="L4395" s="852"/>
      <c r="M4395" s="852"/>
    </row>
    <row r="4396" spans="5:13">
      <c r="E4396" s="852"/>
      <c r="F4396" s="852"/>
      <c r="G4396" s="852"/>
      <c r="H4396" s="852"/>
      <c r="I4396" s="852"/>
      <c r="J4396" s="852"/>
      <c r="K4396" s="852"/>
      <c r="L4396" s="852"/>
      <c r="M4396" s="852"/>
    </row>
    <row r="4397" spans="5:13">
      <c r="E4397" s="852"/>
      <c r="F4397" s="852"/>
      <c r="G4397" s="852"/>
      <c r="H4397" s="852"/>
      <c r="I4397" s="852"/>
      <c r="J4397" s="852"/>
      <c r="K4397" s="852"/>
      <c r="L4397" s="852"/>
      <c r="M4397" s="852"/>
    </row>
    <row r="4398" spans="5:13">
      <c r="E4398" s="852"/>
      <c r="F4398" s="852"/>
      <c r="G4398" s="852"/>
      <c r="H4398" s="852"/>
      <c r="I4398" s="852"/>
      <c r="J4398" s="852"/>
      <c r="K4398" s="852"/>
      <c r="L4398" s="852"/>
      <c r="M4398" s="852"/>
    </row>
    <row r="4399" spans="5:13">
      <c r="E4399" s="852"/>
      <c r="F4399" s="852"/>
      <c r="G4399" s="852"/>
      <c r="H4399" s="852"/>
      <c r="I4399" s="852"/>
      <c r="J4399" s="852"/>
      <c r="K4399" s="852"/>
      <c r="L4399" s="852"/>
      <c r="M4399" s="852"/>
    </row>
    <row r="4400" spans="5:13">
      <c r="E4400" s="852"/>
      <c r="F4400" s="852"/>
      <c r="G4400" s="852"/>
      <c r="H4400" s="852"/>
      <c r="I4400" s="852"/>
      <c r="J4400" s="852"/>
      <c r="K4400" s="852"/>
      <c r="L4400" s="852"/>
      <c r="M4400" s="852"/>
    </row>
    <row r="4401" spans="5:13">
      <c r="E4401" s="852"/>
      <c r="F4401" s="852"/>
      <c r="G4401" s="852"/>
      <c r="H4401" s="852"/>
      <c r="I4401" s="852"/>
      <c r="J4401" s="852"/>
      <c r="K4401" s="852"/>
      <c r="L4401" s="852"/>
      <c r="M4401" s="852"/>
    </row>
    <row r="4402" spans="5:13">
      <c r="E4402" s="852"/>
      <c r="F4402" s="852"/>
      <c r="G4402" s="852"/>
      <c r="H4402" s="852"/>
      <c r="I4402" s="852"/>
      <c r="J4402" s="852"/>
      <c r="K4402" s="852"/>
      <c r="L4402" s="852"/>
      <c r="M4402" s="852"/>
    </row>
    <row r="4403" spans="5:13">
      <c r="E4403" s="852"/>
      <c r="F4403" s="852"/>
      <c r="G4403" s="852"/>
      <c r="H4403" s="852"/>
      <c r="I4403" s="852"/>
      <c r="J4403" s="852"/>
      <c r="K4403" s="852"/>
      <c r="L4403" s="852"/>
      <c r="M4403" s="852"/>
    </row>
    <row r="4404" spans="5:13">
      <c r="E4404" s="852"/>
      <c r="F4404" s="852"/>
      <c r="G4404" s="852"/>
      <c r="H4404" s="852"/>
      <c r="I4404" s="852"/>
      <c r="J4404" s="852"/>
      <c r="K4404" s="852"/>
      <c r="L4404" s="852"/>
      <c r="M4404" s="852"/>
    </row>
    <row r="4405" spans="5:13">
      <c r="E4405" s="852"/>
      <c r="F4405" s="852"/>
      <c r="G4405" s="852"/>
      <c r="H4405" s="852"/>
      <c r="I4405" s="852"/>
      <c r="J4405" s="852"/>
      <c r="K4405" s="852"/>
      <c r="L4405" s="852"/>
      <c r="M4405" s="852"/>
    </row>
    <row r="4406" spans="5:13">
      <c r="E4406" s="852"/>
      <c r="F4406" s="852"/>
      <c r="G4406" s="852"/>
      <c r="H4406" s="852"/>
      <c r="I4406" s="852"/>
      <c r="J4406" s="852"/>
      <c r="K4406" s="852"/>
      <c r="L4406" s="852"/>
      <c r="M4406" s="852"/>
    </row>
    <row r="4407" spans="5:13">
      <c r="E4407" s="852"/>
      <c r="F4407" s="852"/>
      <c r="G4407" s="852"/>
      <c r="H4407" s="852"/>
      <c r="I4407" s="852"/>
      <c r="J4407" s="852"/>
      <c r="K4407" s="852"/>
      <c r="L4407" s="852"/>
      <c r="M4407" s="852"/>
    </row>
    <row r="4408" spans="5:13">
      <c r="E4408" s="852"/>
      <c r="F4408" s="852"/>
      <c r="G4408" s="852"/>
      <c r="H4408" s="852"/>
      <c r="I4408" s="852"/>
      <c r="J4408" s="852"/>
      <c r="K4408" s="852"/>
      <c r="L4408" s="852"/>
      <c r="M4408" s="852"/>
    </row>
    <row r="4409" spans="5:13">
      <c r="E4409" s="852"/>
      <c r="F4409" s="852"/>
      <c r="G4409" s="852"/>
      <c r="H4409" s="852"/>
      <c r="I4409" s="852"/>
      <c r="J4409" s="852"/>
      <c r="K4409" s="852"/>
      <c r="L4409" s="852"/>
      <c r="M4409" s="852"/>
    </row>
    <row r="4410" spans="5:13">
      <c r="E4410" s="852"/>
      <c r="F4410" s="852"/>
      <c r="G4410" s="852"/>
      <c r="H4410" s="852"/>
      <c r="I4410" s="852"/>
      <c r="J4410" s="852"/>
      <c r="K4410" s="852"/>
      <c r="L4410" s="852"/>
      <c r="M4410" s="852"/>
    </row>
    <row r="4411" spans="5:13">
      <c r="E4411" s="852"/>
      <c r="F4411" s="852"/>
      <c r="G4411" s="852"/>
      <c r="H4411" s="852"/>
      <c r="I4411" s="852"/>
      <c r="J4411" s="852"/>
      <c r="K4411" s="852"/>
      <c r="L4411" s="852"/>
      <c r="M4411" s="852"/>
    </row>
    <row r="4412" spans="5:13">
      <c r="E4412" s="852"/>
      <c r="F4412" s="852"/>
      <c r="G4412" s="852"/>
      <c r="H4412" s="852"/>
      <c r="I4412" s="852"/>
      <c r="J4412" s="852"/>
      <c r="K4412" s="852"/>
      <c r="L4412" s="852"/>
      <c r="M4412" s="852"/>
    </row>
    <row r="4413" spans="5:13">
      <c r="E4413" s="852"/>
      <c r="F4413" s="852"/>
      <c r="G4413" s="852"/>
      <c r="H4413" s="852"/>
      <c r="I4413" s="852"/>
      <c r="J4413" s="852"/>
      <c r="K4413" s="852"/>
      <c r="L4413" s="852"/>
      <c r="M4413" s="852"/>
    </row>
    <row r="4414" spans="5:13">
      <c r="E4414" s="852"/>
      <c r="F4414" s="852"/>
      <c r="G4414" s="852"/>
      <c r="H4414" s="852"/>
      <c r="I4414" s="852"/>
      <c r="J4414" s="852"/>
      <c r="K4414" s="852"/>
      <c r="L4414" s="852"/>
      <c r="M4414" s="852"/>
    </row>
    <row r="4415" spans="5:13">
      <c r="E4415" s="852"/>
      <c r="F4415" s="852"/>
      <c r="G4415" s="852"/>
      <c r="H4415" s="852"/>
      <c r="I4415" s="852"/>
      <c r="J4415" s="852"/>
      <c r="K4415" s="852"/>
      <c r="L4415" s="852"/>
      <c r="M4415" s="852"/>
    </row>
    <row r="4416" spans="5:13">
      <c r="E4416" s="852"/>
      <c r="F4416" s="852"/>
      <c r="G4416" s="852"/>
      <c r="H4416" s="852"/>
      <c r="I4416" s="852"/>
      <c r="J4416" s="852"/>
      <c r="K4416" s="852"/>
      <c r="L4416" s="852"/>
      <c r="M4416" s="852"/>
    </row>
    <row r="4417" spans="5:13">
      <c r="E4417" s="852"/>
      <c r="F4417" s="852"/>
      <c r="G4417" s="852"/>
      <c r="H4417" s="852"/>
      <c r="I4417" s="852"/>
      <c r="J4417" s="852"/>
      <c r="K4417" s="852"/>
      <c r="L4417" s="852"/>
      <c r="M4417" s="852"/>
    </row>
    <row r="4418" spans="5:13">
      <c r="E4418" s="852"/>
      <c r="F4418" s="852"/>
      <c r="G4418" s="852"/>
      <c r="H4418" s="852"/>
      <c r="I4418" s="852"/>
      <c r="J4418" s="852"/>
      <c r="K4418" s="852"/>
      <c r="L4418" s="852"/>
      <c r="M4418" s="852"/>
    </row>
    <row r="4419" spans="5:13">
      <c r="E4419" s="852"/>
      <c r="F4419" s="852"/>
      <c r="G4419" s="852"/>
      <c r="H4419" s="852"/>
      <c r="I4419" s="852"/>
      <c r="J4419" s="852"/>
      <c r="K4419" s="852"/>
      <c r="L4419" s="852"/>
      <c r="M4419" s="852"/>
    </row>
    <row r="4420" spans="5:13">
      <c r="E4420" s="852"/>
      <c r="F4420" s="852"/>
      <c r="G4420" s="852"/>
      <c r="H4420" s="852"/>
      <c r="I4420" s="852"/>
      <c r="J4420" s="852"/>
      <c r="K4420" s="852"/>
      <c r="L4420" s="852"/>
      <c r="M4420" s="852"/>
    </row>
    <row r="4421" spans="5:13">
      <c r="E4421" s="852"/>
      <c r="F4421" s="852"/>
      <c r="G4421" s="852"/>
      <c r="H4421" s="852"/>
      <c r="I4421" s="852"/>
      <c r="J4421" s="852"/>
      <c r="K4421" s="852"/>
      <c r="L4421" s="852"/>
      <c r="M4421" s="852"/>
    </row>
    <row r="4422" spans="5:13">
      <c r="E4422" s="852"/>
      <c r="F4422" s="852"/>
      <c r="G4422" s="852"/>
      <c r="H4422" s="852"/>
      <c r="I4422" s="852"/>
      <c r="J4422" s="852"/>
      <c r="K4422" s="852"/>
      <c r="L4422" s="852"/>
      <c r="M4422" s="852"/>
    </row>
    <row r="4423" spans="5:13">
      <c r="E4423" s="852"/>
      <c r="F4423" s="852"/>
      <c r="G4423" s="852"/>
      <c r="H4423" s="852"/>
      <c r="I4423" s="852"/>
      <c r="J4423" s="852"/>
      <c r="K4423" s="852"/>
      <c r="L4423" s="852"/>
      <c r="M4423" s="852"/>
    </row>
    <row r="4424" spans="5:13">
      <c r="E4424" s="852"/>
      <c r="F4424" s="852"/>
      <c r="G4424" s="852"/>
      <c r="H4424" s="852"/>
      <c r="I4424" s="852"/>
      <c r="J4424" s="852"/>
      <c r="K4424" s="852"/>
      <c r="L4424" s="852"/>
      <c r="M4424" s="852"/>
    </row>
    <row r="4425" spans="5:13">
      <c r="E4425" s="852"/>
      <c r="F4425" s="852"/>
      <c r="G4425" s="852"/>
      <c r="H4425" s="852"/>
      <c r="I4425" s="852"/>
      <c r="J4425" s="852"/>
      <c r="K4425" s="852"/>
      <c r="L4425" s="852"/>
      <c r="M4425" s="852"/>
    </row>
    <row r="4426" spans="5:13">
      <c r="E4426" s="852"/>
      <c r="F4426" s="852"/>
      <c r="G4426" s="852"/>
      <c r="H4426" s="852"/>
      <c r="I4426" s="852"/>
      <c r="J4426" s="852"/>
      <c r="K4426" s="852"/>
      <c r="L4426" s="852"/>
      <c r="M4426" s="852"/>
    </row>
    <row r="4427" spans="5:13">
      <c r="E4427" s="852"/>
      <c r="F4427" s="852"/>
      <c r="G4427" s="852"/>
      <c r="H4427" s="852"/>
      <c r="I4427" s="852"/>
      <c r="J4427" s="852"/>
      <c r="K4427" s="852"/>
      <c r="L4427" s="852"/>
      <c r="M4427" s="852"/>
    </row>
    <row r="4428" spans="5:13">
      <c r="E4428" s="852"/>
      <c r="F4428" s="852"/>
      <c r="G4428" s="852"/>
      <c r="H4428" s="852"/>
      <c r="I4428" s="852"/>
      <c r="J4428" s="852"/>
      <c r="K4428" s="852"/>
      <c r="L4428" s="852"/>
      <c r="M4428" s="852"/>
    </row>
    <row r="4429" spans="5:13">
      <c r="E4429" s="852"/>
      <c r="F4429" s="852"/>
      <c r="G4429" s="852"/>
      <c r="H4429" s="852"/>
      <c r="I4429" s="852"/>
      <c r="J4429" s="852"/>
      <c r="K4429" s="852"/>
      <c r="L4429" s="852"/>
      <c r="M4429" s="852"/>
    </row>
    <row r="4430" spans="5:13">
      <c r="E4430" s="852"/>
      <c r="F4430" s="852"/>
      <c r="G4430" s="852"/>
      <c r="H4430" s="852"/>
      <c r="I4430" s="852"/>
      <c r="J4430" s="852"/>
      <c r="K4430" s="852"/>
      <c r="L4430" s="852"/>
      <c r="M4430" s="852"/>
    </row>
    <row r="4431" spans="5:13">
      <c r="E4431" s="852"/>
      <c r="F4431" s="852"/>
      <c r="G4431" s="852"/>
      <c r="H4431" s="852"/>
      <c r="I4431" s="852"/>
      <c r="J4431" s="852"/>
      <c r="K4431" s="852"/>
      <c r="L4431" s="852"/>
      <c r="M4431" s="852"/>
    </row>
    <row r="4432" spans="5:13">
      <c r="E4432" s="852"/>
      <c r="F4432" s="852"/>
      <c r="G4432" s="852"/>
      <c r="H4432" s="852"/>
      <c r="I4432" s="852"/>
      <c r="J4432" s="852"/>
      <c r="K4432" s="852"/>
      <c r="L4432" s="852"/>
      <c r="M4432" s="852"/>
    </row>
    <row r="4433" spans="5:13">
      <c r="E4433" s="852"/>
      <c r="F4433" s="852"/>
      <c r="G4433" s="852"/>
      <c r="H4433" s="852"/>
      <c r="I4433" s="852"/>
      <c r="J4433" s="852"/>
      <c r="K4433" s="852"/>
      <c r="L4433" s="852"/>
      <c r="M4433" s="852"/>
    </row>
    <row r="4434" spans="5:13">
      <c r="E4434" s="852"/>
      <c r="F4434" s="852"/>
      <c r="G4434" s="852"/>
      <c r="H4434" s="852"/>
      <c r="I4434" s="852"/>
      <c r="J4434" s="852"/>
      <c r="K4434" s="852"/>
      <c r="L4434" s="852"/>
      <c r="M4434" s="852"/>
    </row>
    <row r="4435" spans="5:13">
      <c r="E4435" s="852"/>
      <c r="F4435" s="852"/>
      <c r="G4435" s="852"/>
      <c r="H4435" s="852"/>
      <c r="I4435" s="852"/>
      <c r="J4435" s="852"/>
      <c r="K4435" s="852"/>
      <c r="L4435" s="852"/>
      <c r="M4435" s="852"/>
    </row>
    <row r="4436" spans="5:13">
      <c r="E4436" s="852"/>
      <c r="F4436" s="852"/>
      <c r="G4436" s="852"/>
      <c r="H4436" s="852"/>
      <c r="I4436" s="852"/>
      <c r="J4436" s="852"/>
      <c r="K4436" s="852"/>
      <c r="L4436" s="852"/>
      <c r="M4436" s="852"/>
    </row>
    <row r="4437" spans="5:13">
      <c r="E4437" s="852"/>
      <c r="F4437" s="852"/>
      <c r="G4437" s="852"/>
      <c r="H4437" s="852"/>
      <c r="I4437" s="852"/>
      <c r="J4437" s="852"/>
      <c r="K4437" s="852"/>
      <c r="L4437" s="852"/>
      <c r="M4437" s="852"/>
    </row>
    <row r="4438" spans="5:13">
      <c r="E4438" s="852"/>
      <c r="F4438" s="852"/>
      <c r="G4438" s="852"/>
      <c r="H4438" s="852"/>
      <c r="I4438" s="852"/>
      <c r="J4438" s="852"/>
      <c r="K4438" s="852"/>
      <c r="L4438" s="852"/>
      <c r="M4438" s="852"/>
    </row>
    <row r="4439" spans="5:13">
      <c r="E4439" s="852"/>
      <c r="F4439" s="852"/>
      <c r="G4439" s="852"/>
      <c r="H4439" s="852"/>
      <c r="I4439" s="852"/>
      <c r="J4439" s="852"/>
      <c r="K4439" s="852"/>
      <c r="L4439" s="852"/>
      <c r="M4439" s="852"/>
    </row>
    <row r="4440" spans="5:13">
      <c r="E4440" s="852"/>
      <c r="F4440" s="852"/>
      <c r="G4440" s="852"/>
      <c r="H4440" s="852"/>
      <c r="I4440" s="852"/>
      <c r="J4440" s="852"/>
      <c r="K4440" s="852"/>
      <c r="L4440" s="852"/>
      <c r="M4440" s="852"/>
    </row>
    <row r="4441" spans="5:13">
      <c r="E4441" s="852"/>
      <c r="F4441" s="852"/>
      <c r="G4441" s="852"/>
      <c r="H4441" s="852"/>
      <c r="I4441" s="852"/>
      <c r="J4441" s="852"/>
      <c r="K4441" s="852"/>
      <c r="L4441" s="852"/>
      <c r="M4441" s="852"/>
    </row>
    <row r="4442" spans="5:13">
      <c r="E4442" s="852"/>
      <c r="F4442" s="852"/>
      <c r="G4442" s="852"/>
      <c r="H4442" s="852"/>
      <c r="I4442" s="852"/>
      <c r="J4442" s="852"/>
      <c r="K4442" s="852"/>
      <c r="L4442" s="852"/>
      <c r="M4442" s="852"/>
    </row>
    <row r="4443" spans="5:13">
      <c r="E4443" s="852"/>
      <c r="F4443" s="852"/>
      <c r="G4443" s="852"/>
      <c r="H4443" s="852"/>
      <c r="I4443" s="852"/>
      <c r="J4443" s="852"/>
      <c r="K4443" s="852"/>
      <c r="L4443" s="852"/>
      <c r="M4443" s="852"/>
    </row>
    <row r="4444" spans="5:13">
      <c r="E4444" s="852"/>
      <c r="F4444" s="852"/>
      <c r="G4444" s="852"/>
      <c r="H4444" s="852"/>
      <c r="I4444" s="852"/>
      <c r="J4444" s="852"/>
      <c r="K4444" s="852"/>
      <c r="L4444" s="852"/>
      <c r="M4444" s="852"/>
    </row>
    <row r="4445" spans="5:13">
      <c r="E4445" s="852"/>
      <c r="F4445" s="852"/>
      <c r="G4445" s="852"/>
      <c r="H4445" s="852"/>
      <c r="I4445" s="852"/>
      <c r="J4445" s="852"/>
      <c r="K4445" s="852"/>
      <c r="L4445" s="852"/>
      <c r="M4445" s="852"/>
    </row>
    <row r="4446" spans="5:13">
      <c r="E4446" s="852"/>
      <c r="F4446" s="852"/>
      <c r="G4446" s="852"/>
      <c r="H4446" s="852"/>
      <c r="I4446" s="852"/>
      <c r="J4446" s="852"/>
      <c r="K4446" s="852"/>
      <c r="L4446" s="852"/>
      <c r="M4446" s="852"/>
    </row>
    <row r="4447" spans="5:13">
      <c r="E4447" s="852"/>
      <c r="F4447" s="852"/>
      <c r="G4447" s="852"/>
      <c r="H4447" s="852"/>
      <c r="I4447" s="852"/>
      <c r="J4447" s="852"/>
      <c r="K4447" s="852"/>
      <c r="L4447" s="852"/>
      <c r="M4447" s="852"/>
    </row>
    <row r="4448" spans="5:13">
      <c r="E4448" s="852"/>
      <c r="F4448" s="852"/>
      <c r="G4448" s="852"/>
      <c r="H4448" s="852"/>
      <c r="I4448" s="852"/>
      <c r="J4448" s="852"/>
      <c r="K4448" s="852"/>
      <c r="L4448" s="852"/>
      <c r="M4448" s="852"/>
    </row>
    <row r="4449" spans="5:13">
      <c r="E4449" s="852"/>
      <c r="F4449" s="852"/>
      <c r="G4449" s="852"/>
      <c r="H4449" s="852"/>
      <c r="I4449" s="852"/>
      <c r="J4449" s="852"/>
      <c r="K4449" s="852"/>
      <c r="L4449" s="852"/>
      <c r="M4449" s="852"/>
    </row>
    <row r="4450" spans="5:13">
      <c r="E4450" s="852"/>
      <c r="F4450" s="852"/>
      <c r="G4450" s="852"/>
      <c r="H4450" s="852"/>
      <c r="I4450" s="852"/>
      <c r="J4450" s="852"/>
      <c r="K4450" s="852"/>
      <c r="L4450" s="852"/>
      <c r="M4450" s="852"/>
    </row>
    <row r="4451" spans="5:13">
      <c r="E4451" s="852"/>
      <c r="F4451" s="852"/>
      <c r="G4451" s="852"/>
      <c r="H4451" s="852"/>
      <c r="I4451" s="852"/>
      <c r="J4451" s="852"/>
      <c r="K4451" s="852"/>
      <c r="L4451" s="852"/>
      <c r="M4451" s="852"/>
    </row>
    <row r="4452" spans="5:13">
      <c r="E4452" s="852"/>
      <c r="F4452" s="852"/>
      <c r="G4452" s="852"/>
      <c r="H4452" s="852"/>
      <c r="I4452" s="852"/>
      <c r="J4452" s="852"/>
      <c r="K4452" s="852"/>
      <c r="L4452" s="852"/>
      <c r="M4452" s="852"/>
    </row>
    <row r="4453" spans="5:13">
      <c r="E4453" s="852"/>
      <c r="F4453" s="852"/>
      <c r="G4453" s="852"/>
      <c r="H4453" s="852"/>
      <c r="I4453" s="852"/>
      <c r="J4453" s="852"/>
      <c r="K4453" s="852"/>
      <c r="L4453" s="852"/>
      <c r="M4453" s="852"/>
    </row>
    <row r="4454" spans="5:13">
      <c r="E4454" s="852"/>
      <c r="F4454" s="852"/>
      <c r="G4454" s="852"/>
      <c r="H4454" s="852"/>
      <c r="I4454" s="852"/>
      <c r="J4454" s="852"/>
      <c r="K4454" s="852"/>
      <c r="L4454" s="852"/>
      <c r="M4454" s="852"/>
    </row>
    <row r="4455" spans="5:13">
      <c r="E4455" s="852"/>
      <c r="F4455" s="852"/>
      <c r="G4455" s="852"/>
      <c r="H4455" s="852"/>
      <c r="I4455" s="852"/>
      <c r="J4455" s="852"/>
      <c r="K4455" s="852"/>
      <c r="L4455" s="852"/>
      <c r="M4455" s="852"/>
    </row>
    <row r="4456" spans="5:13">
      <c r="E4456" s="852"/>
      <c r="F4456" s="852"/>
      <c r="G4456" s="852"/>
      <c r="H4456" s="852"/>
      <c r="I4456" s="852"/>
      <c r="J4456" s="852"/>
      <c r="K4456" s="852"/>
      <c r="L4456" s="852"/>
      <c r="M4456" s="852"/>
    </row>
    <row r="4457" spans="5:13">
      <c r="E4457" s="852"/>
      <c r="F4457" s="852"/>
      <c r="G4457" s="852"/>
      <c r="H4457" s="852"/>
      <c r="I4457" s="852"/>
      <c r="J4457" s="852"/>
      <c r="K4457" s="852"/>
      <c r="L4457" s="852"/>
      <c r="M4457" s="852"/>
    </row>
    <row r="4458" spans="5:13">
      <c r="E4458" s="852"/>
      <c r="F4458" s="852"/>
      <c r="G4458" s="852"/>
      <c r="H4458" s="852"/>
      <c r="I4458" s="852"/>
      <c r="J4458" s="852"/>
      <c r="K4458" s="852"/>
      <c r="L4458" s="852"/>
      <c r="M4458" s="852"/>
    </row>
    <row r="4459" spans="5:13">
      <c r="E4459" s="852"/>
      <c r="F4459" s="852"/>
      <c r="G4459" s="852"/>
      <c r="H4459" s="852"/>
      <c r="I4459" s="852"/>
      <c r="J4459" s="852"/>
      <c r="K4459" s="852"/>
      <c r="L4459" s="852"/>
      <c r="M4459" s="852"/>
    </row>
    <row r="4460" spans="5:13">
      <c r="E4460" s="852"/>
      <c r="F4460" s="852"/>
      <c r="G4460" s="852"/>
      <c r="H4460" s="852"/>
      <c r="I4460" s="852"/>
      <c r="J4460" s="852"/>
      <c r="K4460" s="852"/>
      <c r="L4460" s="852"/>
      <c r="M4460" s="852"/>
    </row>
    <row r="4461" spans="5:13">
      <c r="E4461" s="852"/>
      <c r="F4461" s="852"/>
      <c r="G4461" s="852"/>
      <c r="H4461" s="852"/>
      <c r="I4461" s="852"/>
      <c r="J4461" s="852"/>
      <c r="K4461" s="852"/>
      <c r="L4461" s="852"/>
      <c r="M4461" s="852"/>
    </row>
    <row r="4462" spans="5:13">
      <c r="E4462" s="852"/>
      <c r="F4462" s="852"/>
      <c r="G4462" s="852"/>
      <c r="H4462" s="852"/>
      <c r="I4462" s="852"/>
      <c r="J4462" s="852"/>
      <c r="K4462" s="852"/>
      <c r="L4462" s="852"/>
      <c r="M4462" s="852"/>
    </row>
    <row r="4463" spans="5:13">
      <c r="E4463" s="852"/>
      <c r="F4463" s="852"/>
      <c r="G4463" s="852"/>
      <c r="H4463" s="852"/>
      <c r="I4463" s="852"/>
      <c r="J4463" s="852"/>
      <c r="K4463" s="852"/>
      <c r="L4463" s="852"/>
      <c r="M4463" s="852"/>
    </row>
    <row r="4464" spans="5:13">
      <c r="E4464" s="852"/>
      <c r="F4464" s="852"/>
      <c r="G4464" s="852"/>
      <c r="H4464" s="852"/>
      <c r="I4464" s="852"/>
      <c r="J4464" s="852"/>
      <c r="K4464" s="852"/>
      <c r="L4464" s="852"/>
      <c r="M4464" s="852"/>
    </row>
    <row r="4465" spans="5:13">
      <c r="E4465" s="852"/>
      <c r="F4465" s="852"/>
      <c r="G4465" s="852"/>
      <c r="H4465" s="852"/>
      <c r="I4465" s="852"/>
      <c r="J4465" s="852"/>
      <c r="K4465" s="852"/>
      <c r="L4465" s="852"/>
      <c r="M4465" s="852"/>
    </row>
    <row r="4466" spans="5:13">
      <c r="E4466" s="852"/>
      <c r="F4466" s="852"/>
      <c r="G4466" s="852"/>
      <c r="H4466" s="852"/>
      <c r="I4466" s="852"/>
      <c r="J4466" s="852"/>
      <c r="K4466" s="852"/>
      <c r="L4466" s="852"/>
      <c r="M4466" s="852"/>
    </row>
    <row r="4467" spans="5:13">
      <c r="E4467" s="852"/>
      <c r="F4467" s="852"/>
      <c r="G4467" s="852"/>
      <c r="H4467" s="852"/>
      <c r="I4467" s="852"/>
      <c r="J4467" s="852"/>
      <c r="K4467" s="852"/>
      <c r="L4467" s="852"/>
      <c r="M4467" s="852"/>
    </row>
    <row r="4468" spans="5:13">
      <c r="E4468" s="852"/>
      <c r="F4468" s="852"/>
      <c r="G4468" s="852"/>
      <c r="H4468" s="852"/>
      <c r="I4468" s="852"/>
      <c r="J4468" s="852"/>
      <c r="K4468" s="852"/>
      <c r="L4468" s="852"/>
      <c r="M4468" s="852"/>
    </row>
    <row r="4469" spans="5:13">
      <c r="E4469" s="852"/>
      <c r="F4469" s="852"/>
      <c r="G4469" s="852"/>
      <c r="H4469" s="852"/>
      <c r="I4469" s="852"/>
      <c r="J4469" s="852"/>
      <c r="K4469" s="852"/>
      <c r="L4469" s="852"/>
      <c r="M4469" s="852"/>
    </row>
    <row r="4470" spans="5:13">
      <c r="E4470" s="852"/>
      <c r="F4470" s="852"/>
      <c r="G4470" s="852"/>
      <c r="H4470" s="852"/>
      <c r="I4470" s="852"/>
      <c r="J4470" s="852"/>
      <c r="K4470" s="852"/>
      <c r="L4470" s="852"/>
      <c r="M4470" s="852"/>
    </row>
    <row r="4471" spans="5:13">
      <c r="E4471" s="852"/>
      <c r="F4471" s="852"/>
      <c r="G4471" s="852"/>
      <c r="H4471" s="852"/>
      <c r="I4471" s="852"/>
      <c r="J4471" s="852"/>
      <c r="K4471" s="852"/>
      <c r="L4471" s="852"/>
      <c r="M4471" s="852"/>
    </row>
    <row r="4472" spans="5:13">
      <c r="E4472" s="852"/>
      <c r="F4472" s="852"/>
      <c r="G4472" s="852"/>
      <c r="H4472" s="852"/>
      <c r="I4472" s="852"/>
      <c r="J4472" s="852"/>
      <c r="K4472" s="852"/>
      <c r="L4472" s="852"/>
      <c r="M4472" s="852"/>
    </row>
    <row r="4473" spans="5:13">
      <c r="E4473" s="852"/>
      <c r="F4473" s="852"/>
      <c r="G4473" s="852"/>
      <c r="H4473" s="852"/>
      <c r="I4473" s="852"/>
      <c r="J4473" s="852"/>
      <c r="K4473" s="852"/>
      <c r="L4473" s="852"/>
      <c r="M4473" s="852"/>
    </row>
    <row r="4474" spans="5:13">
      <c r="E4474" s="852"/>
      <c r="F4474" s="852"/>
      <c r="G4474" s="852"/>
      <c r="H4474" s="852"/>
      <c r="I4474" s="852"/>
      <c r="J4474" s="852"/>
      <c r="K4474" s="852"/>
      <c r="L4474" s="852"/>
      <c r="M4474" s="852"/>
    </row>
    <row r="4475" spans="5:13">
      <c r="E4475" s="852"/>
      <c r="F4475" s="852"/>
      <c r="G4475" s="852"/>
      <c r="H4475" s="852"/>
      <c r="I4475" s="852"/>
      <c r="J4475" s="852"/>
      <c r="K4475" s="852"/>
      <c r="L4475" s="852"/>
      <c r="M4475" s="852"/>
    </row>
    <row r="4476" spans="5:13">
      <c r="E4476" s="852"/>
      <c r="F4476" s="852"/>
      <c r="G4476" s="852"/>
      <c r="H4476" s="852"/>
      <c r="I4476" s="852"/>
      <c r="J4476" s="852"/>
      <c r="K4476" s="852"/>
      <c r="L4476" s="852"/>
      <c r="M4476" s="852"/>
    </row>
    <row r="4477" spans="5:13">
      <c r="E4477" s="852"/>
      <c r="F4477" s="852"/>
      <c r="G4477" s="852"/>
      <c r="H4477" s="852"/>
      <c r="I4477" s="852"/>
      <c r="J4477" s="852"/>
      <c r="K4477" s="852"/>
      <c r="L4477" s="852"/>
      <c r="M4477" s="852"/>
    </row>
    <row r="4478" spans="5:13">
      <c r="E4478" s="852"/>
      <c r="F4478" s="852"/>
      <c r="G4478" s="852"/>
      <c r="H4478" s="852"/>
      <c r="I4478" s="852"/>
      <c r="J4478" s="852"/>
      <c r="K4478" s="852"/>
      <c r="L4478" s="852"/>
      <c r="M4478" s="852"/>
    </row>
    <row r="4479" spans="5:13">
      <c r="E4479" s="852"/>
      <c r="F4479" s="852"/>
      <c r="G4479" s="852"/>
      <c r="H4479" s="852"/>
      <c r="I4479" s="852"/>
      <c r="J4479" s="852"/>
      <c r="K4479" s="852"/>
      <c r="L4479" s="852"/>
      <c r="M4479" s="852"/>
    </row>
    <row r="4480" spans="5:13">
      <c r="E4480" s="852"/>
      <c r="F4480" s="852"/>
      <c r="G4480" s="852"/>
      <c r="H4480" s="852"/>
      <c r="I4480" s="852"/>
      <c r="J4480" s="852"/>
      <c r="K4480" s="852"/>
      <c r="L4480" s="852"/>
      <c r="M4480" s="852"/>
    </row>
    <row r="4481" spans="5:13">
      <c r="E4481" s="852"/>
      <c r="F4481" s="852"/>
      <c r="G4481" s="852"/>
      <c r="H4481" s="852"/>
      <c r="I4481" s="852"/>
      <c r="J4481" s="852"/>
      <c r="K4481" s="852"/>
      <c r="L4481" s="852"/>
      <c r="M4481" s="852"/>
    </row>
    <row r="4482" spans="5:13">
      <c r="E4482" s="852"/>
      <c r="F4482" s="852"/>
      <c r="G4482" s="852"/>
      <c r="H4482" s="852"/>
      <c r="I4482" s="852"/>
      <c r="J4482" s="852"/>
      <c r="K4482" s="852"/>
      <c r="L4482" s="852"/>
      <c r="M4482" s="852"/>
    </row>
    <row r="4483" spans="5:13">
      <c r="E4483" s="852"/>
      <c r="F4483" s="852"/>
      <c r="G4483" s="852"/>
      <c r="H4483" s="852"/>
      <c r="I4483" s="852"/>
      <c r="J4483" s="852"/>
      <c r="K4483" s="852"/>
      <c r="L4483" s="852"/>
      <c r="M4483" s="852"/>
    </row>
    <row r="4484" spans="5:13">
      <c r="E4484" s="852"/>
      <c r="F4484" s="852"/>
      <c r="G4484" s="852"/>
      <c r="H4484" s="852"/>
      <c r="I4484" s="852"/>
      <c r="J4484" s="852"/>
      <c r="K4484" s="852"/>
      <c r="L4484" s="852"/>
      <c r="M4484" s="852"/>
    </row>
    <row r="4485" spans="5:13">
      <c r="E4485" s="852"/>
      <c r="F4485" s="852"/>
      <c r="G4485" s="852"/>
      <c r="H4485" s="852"/>
      <c r="I4485" s="852"/>
      <c r="J4485" s="852"/>
      <c r="K4485" s="852"/>
      <c r="L4485" s="852"/>
      <c r="M4485" s="852"/>
    </row>
    <row r="4486" spans="5:13">
      <c r="E4486" s="852"/>
      <c r="F4486" s="852"/>
      <c r="G4486" s="852"/>
      <c r="H4486" s="852"/>
      <c r="I4486" s="852"/>
      <c r="J4486" s="852"/>
      <c r="K4486" s="852"/>
      <c r="L4486" s="852"/>
      <c r="M4486" s="852"/>
    </row>
    <row r="4487" spans="5:13">
      <c r="E4487" s="852"/>
      <c r="F4487" s="852"/>
      <c r="G4487" s="852"/>
      <c r="H4487" s="852"/>
      <c r="I4487" s="852"/>
      <c r="J4487" s="852"/>
      <c r="K4487" s="852"/>
      <c r="L4487" s="852"/>
      <c r="M4487" s="852"/>
    </row>
    <row r="4488" spans="5:13">
      <c r="E4488" s="852"/>
      <c r="F4488" s="852"/>
      <c r="G4488" s="852"/>
      <c r="H4488" s="852"/>
      <c r="I4488" s="852"/>
      <c r="J4488" s="852"/>
      <c r="K4488" s="852"/>
      <c r="L4488" s="852"/>
      <c r="M4488" s="852"/>
    </row>
    <row r="4489" spans="5:13">
      <c r="E4489" s="852"/>
      <c r="F4489" s="852"/>
      <c r="G4489" s="852"/>
      <c r="H4489" s="852"/>
      <c r="I4489" s="852"/>
      <c r="J4489" s="852"/>
      <c r="K4489" s="852"/>
      <c r="L4489" s="852"/>
      <c r="M4489" s="852"/>
    </row>
    <row r="4490" spans="5:13">
      <c r="E4490" s="852"/>
      <c r="F4490" s="852"/>
      <c r="G4490" s="852"/>
      <c r="H4490" s="852"/>
      <c r="I4490" s="852"/>
      <c r="J4490" s="852"/>
      <c r="K4490" s="852"/>
      <c r="L4490" s="852"/>
      <c r="M4490" s="852"/>
    </row>
    <row r="4491" spans="5:13">
      <c r="E4491" s="852"/>
      <c r="F4491" s="852"/>
      <c r="G4491" s="852"/>
      <c r="H4491" s="852"/>
      <c r="I4491" s="852"/>
      <c r="J4491" s="852"/>
      <c r="K4491" s="852"/>
      <c r="L4491" s="852"/>
      <c r="M4491" s="852"/>
    </row>
    <row r="4492" spans="5:13">
      <c r="E4492" s="852"/>
      <c r="F4492" s="852"/>
      <c r="G4492" s="852"/>
      <c r="H4492" s="852"/>
      <c r="I4492" s="852"/>
      <c r="J4492" s="852"/>
      <c r="K4492" s="852"/>
      <c r="L4492" s="852"/>
      <c r="M4492" s="852"/>
    </row>
    <row r="4493" spans="5:13">
      <c r="E4493" s="852"/>
      <c r="F4493" s="852"/>
      <c r="G4493" s="852"/>
      <c r="H4493" s="852"/>
      <c r="I4493" s="852"/>
      <c r="J4493" s="852"/>
      <c r="K4493" s="852"/>
      <c r="L4493" s="852"/>
      <c r="M4493" s="852"/>
    </row>
    <row r="4494" spans="5:13">
      <c r="E4494" s="852"/>
      <c r="F4494" s="852"/>
      <c r="G4494" s="852"/>
      <c r="H4494" s="852"/>
      <c r="I4494" s="852"/>
      <c r="J4494" s="852"/>
      <c r="K4494" s="852"/>
      <c r="L4494" s="852"/>
      <c r="M4494" s="852"/>
    </row>
    <row r="4495" spans="5:13">
      <c r="E4495" s="852"/>
      <c r="F4495" s="852"/>
      <c r="G4495" s="852"/>
      <c r="H4495" s="852"/>
      <c r="I4495" s="852"/>
      <c r="J4495" s="852"/>
      <c r="K4495" s="852"/>
      <c r="L4495" s="852"/>
      <c r="M4495" s="852"/>
    </row>
    <row r="4496" spans="5:13">
      <c r="E4496" s="852"/>
      <c r="F4496" s="852"/>
      <c r="G4496" s="852"/>
      <c r="H4496" s="852"/>
      <c r="I4496" s="852"/>
      <c r="J4496" s="852"/>
      <c r="K4496" s="852"/>
      <c r="L4496" s="852"/>
      <c r="M4496" s="852"/>
    </row>
    <row r="4497" spans="5:13">
      <c r="E4497" s="852"/>
      <c r="F4497" s="852"/>
      <c r="G4497" s="852"/>
      <c r="H4497" s="852"/>
      <c r="I4497" s="852"/>
      <c r="J4497" s="852"/>
      <c r="K4497" s="852"/>
      <c r="L4497" s="852"/>
      <c r="M4497" s="852"/>
    </row>
    <row r="4498" spans="5:13">
      <c r="E4498" s="852"/>
      <c r="F4498" s="852"/>
      <c r="G4498" s="852"/>
      <c r="H4498" s="852"/>
      <c r="I4498" s="852"/>
      <c r="J4498" s="852"/>
      <c r="K4498" s="852"/>
      <c r="L4498" s="852"/>
      <c r="M4498" s="852"/>
    </row>
    <row r="4499" spans="5:13">
      <c r="E4499" s="852"/>
      <c r="F4499" s="852"/>
      <c r="G4499" s="852"/>
      <c r="H4499" s="852"/>
      <c r="I4499" s="852"/>
      <c r="J4499" s="852"/>
      <c r="K4499" s="852"/>
      <c r="L4499" s="852"/>
      <c r="M4499" s="852"/>
    </row>
    <row r="4500" spans="5:13">
      <c r="E4500" s="852"/>
      <c r="F4500" s="852"/>
      <c r="G4500" s="852"/>
      <c r="H4500" s="852"/>
      <c r="I4500" s="852"/>
      <c r="J4500" s="852"/>
      <c r="K4500" s="852"/>
      <c r="L4500" s="852"/>
      <c r="M4500" s="852"/>
    </row>
    <row r="4501" spans="5:13">
      <c r="E4501" s="852"/>
      <c r="F4501" s="852"/>
      <c r="G4501" s="852"/>
      <c r="H4501" s="852"/>
      <c r="I4501" s="852"/>
      <c r="J4501" s="852"/>
      <c r="K4501" s="852"/>
      <c r="L4501" s="852"/>
      <c r="M4501" s="852"/>
    </row>
    <row r="4502" spans="5:13">
      <c r="E4502" s="852"/>
      <c r="F4502" s="852"/>
      <c r="G4502" s="852"/>
      <c r="H4502" s="852"/>
      <c r="I4502" s="852"/>
      <c r="J4502" s="852"/>
      <c r="K4502" s="852"/>
      <c r="L4502" s="852"/>
      <c r="M4502" s="852"/>
    </row>
    <row r="4503" spans="5:13">
      <c r="E4503" s="852"/>
      <c r="F4503" s="852"/>
      <c r="G4503" s="852"/>
      <c r="H4503" s="852"/>
      <c r="I4503" s="852"/>
      <c r="J4503" s="852"/>
      <c r="K4503" s="852"/>
      <c r="L4503" s="852"/>
      <c r="M4503" s="852"/>
    </row>
    <row r="4504" spans="5:13">
      <c r="E4504" s="852"/>
      <c r="F4504" s="852"/>
      <c r="G4504" s="852"/>
      <c r="H4504" s="852"/>
      <c r="I4504" s="852"/>
      <c r="J4504" s="852"/>
      <c r="K4504" s="852"/>
      <c r="L4504" s="852"/>
      <c r="M4504" s="852"/>
    </row>
    <row r="4505" spans="5:13">
      <c r="E4505" s="852"/>
      <c r="F4505" s="852"/>
      <c r="G4505" s="852"/>
      <c r="H4505" s="852"/>
      <c r="I4505" s="852"/>
      <c r="J4505" s="852"/>
      <c r="K4505" s="852"/>
      <c r="L4505" s="852"/>
      <c r="M4505" s="852"/>
    </row>
    <row r="4506" spans="5:13">
      <c r="E4506" s="852"/>
      <c r="F4506" s="852"/>
      <c r="G4506" s="852"/>
      <c r="H4506" s="852"/>
      <c r="I4506" s="852"/>
      <c r="J4506" s="852"/>
      <c r="K4506" s="852"/>
      <c r="L4506" s="852"/>
      <c r="M4506" s="852"/>
    </row>
    <row r="4507" spans="5:13">
      <c r="E4507" s="852"/>
      <c r="F4507" s="852"/>
      <c r="G4507" s="852"/>
      <c r="H4507" s="852"/>
      <c r="I4507" s="852"/>
      <c r="J4507" s="852"/>
      <c r="K4507" s="852"/>
      <c r="L4507" s="852"/>
      <c r="M4507" s="852"/>
    </row>
    <row r="4508" spans="5:13">
      <c r="E4508" s="852"/>
      <c r="F4508" s="852"/>
      <c r="G4508" s="852"/>
      <c r="H4508" s="852"/>
      <c r="I4508" s="852"/>
      <c r="J4508" s="852"/>
      <c r="K4508" s="852"/>
      <c r="L4508" s="852"/>
      <c r="M4508" s="852"/>
    </row>
    <row r="4509" spans="5:13">
      <c r="E4509" s="852"/>
      <c r="F4509" s="852"/>
      <c r="G4509" s="852"/>
      <c r="H4509" s="852"/>
      <c r="I4509" s="852"/>
      <c r="J4509" s="852"/>
      <c r="K4509" s="852"/>
      <c r="L4509" s="852"/>
      <c r="M4509" s="852"/>
    </row>
    <row r="4510" spans="5:13">
      <c r="E4510" s="852"/>
      <c r="F4510" s="852"/>
      <c r="G4510" s="852"/>
      <c r="H4510" s="852"/>
      <c r="I4510" s="852"/>
      <c r="J4510" s="852"/>
      <c r="K4510" s="852"/>
      <c r="L4510" s="852"/>
      <c r="M4510" s="852"/>
    </row>
    <row r="4511" spans="5:13">
      <c r="E4511" s="852"/>
      <c r="F4511" s="852"/>
      <c r="G4511" s="852"/>
      <c r="H4511" s="852"/>
      <c r="I4511" s="852"/>
      <c r="J4511" s="852"/>
      <c r="K4511" s="852"/>
      <c r="L4511" s="852"/>
      <c r="M4511" s="852"/>
    </row>
    <row r="4512" spans="5:13">
      <c r="E4512" s="852"/>
      <c r="F4512" s="852"/>
      <c r="G4512" s="852"/>
      <c r="H4512" s="852"/>
      <c r="I4512" s="852"/>
      <c r="J4512" s="852"/>
      <c r="K4512" s="852"/>
      <c r="L4512" s="852"/>
      <c r="M4512" s="852"/>
    </row>
    <row r="4513" spans="5:13">
      <c r="E4513" s="852"/>
      <c r="F4513" s="852"/>
      <c r="G4513" s="852"/>
      <c r="H4513" s="852"/>
      <c r="I4513" s="852"/>
      <c r="J4513" s="852"/>
      <c r="K4513" s="852"/>
      <c r="L4513" s="852"/>
      <c r="M4513" s="852"/>
    </row>
    <row r="4514" spans="5:13">
      <c r="E4514" s="852"/>
      <c r="F4514" s="852"/>
      <c r="G4514" s="852"/>
      <c r="H4514" s="852"/>
      <c r="I4514" s="852"/>
      <c r="J4514" s="852"/>
      <c r="K4514" s="852"/>
      <c r="L4514" s="852"/>
      <c r="M4514" s="852"/>
    </row>
    <row r="4515" spans="5:13">
      <c r="E4515" s="852"/>
      <c r="F4515" s="852"/>
      <c r="G4515" s="852"/>
      <c r="H4515" s="852"/>
      <c r="I4515" s="852"/>
      <c r="J4515" s="852"/>
      <c r="K4515" s="852"/>
      <c r="L4515" s="852"/>
      <c r="M4515" s="852"/>
    </row>
    <row r="4516" spans="5:13">
      <c r="E4516" s="852"/>
      <c r="F4516" s="852"/>
      <c r="G4516" s="852"/>
      <c r="H4516" s="852"/>
      <c r="I4516" s="852"/>
      <c r="J4516" s="852"/>
      <c r="K4516" s="852"/>
      <c r="L4516" s="852"/>
      <c r="M4516" s="852"/>
    </row>
    <row r="4517" spans="5:13">
      <c r="E4517" s="852"/>
      <c r="F4517" s="852"/>
      <c r="G4517" s="852"/>
      <c r="H4517" s="852"/>
      <c r="I4517" s="852"/>
      <c r="J4517" s="852"/>
      <c r="K4517" s="852"/>
      <c r="L4517" s="852"/>
      <c r="M4517" s="852"/>
    </row>
    <row r="4518" spans="5:13">
      <c r="E4518" s="852"/>
      <c r="F4518" s="852"/>
      <c r="G4518" s="852"/>
      <c r="H4518" s="852"/>
      <c r="I4518" s="852"/>
      <c r="J4518" s="852"/>
      <c r="K4518" s="852"/>
      <c r="L4518" s="852"/>
      <c r="M4518" s="852"/>
    </row>
    <row r="4519" spans="5:13">
      <c r="E4519" s="852"/>
      <c r="F4519" s="852"/>
      <c r="G4519" s="852"/>
      <c r="H4519" s="852"/>
      <c r="I4519" s="852"/>
      <c r="J4519" s="852"/>
      <c r="K4519" s="852"/>
      <c r="L4519" s="852"/>
      <c r="M4519" s="852"/>
    </row>
    <row r="4520" spans="5:13">
      <c r="E4520" s="852"/>
      <c r="F4520" s="852"/>
      <c r="G4520" s="852"/>
      <c r="H4520" s="852"/>
      <c r="I4520" s="852"/>
      <c r="J4520" s="852"/>
      <c r="K4520" s="852"/>
      <c r="L4520" s="852"/>
      <c r="M4520" s="852"/>
    </row>
    <row r="4521" spans="5:13">
      <c r="E4521" s="852"/>
      <c r="F4521" s="852"/>
      <c r="G4521" s="852"/>
      <c r="H4521" s="852"/>
      <c r="I4521" s="852"/>
      <c r="J4521" s="852"/>
      <c r="K4521" s="852"/>
      <c r="L4521" s="852"/>
      <c r="M4521" s="852"/>
    </row>
    <row r="4522" spans="5:13">
      <c r="E4522" s="852"/>
      <c r="F4522" s="852"/>
      <c r="G4522" s="852"/>
      <c r="H4522" s="852"/>
      <c r="I4522" s="852"/>
      <c r="J4522" s="852"/>
      <c r="K4522" s="852"/>
      <c r="L4522" s="852"/>
      <c r="M4522" s="852"/>
    </row>
    <row r="4523" spans="5:13">
      <c r="E4523" s="852"/>
      <c r="F4523" s="852"/>
      <c r="G4523" s="852"/>
      <c r="H4523" s="852"/>
      <c r="I4523" s="852"/>
      <c r="J4523" s="852"/>
      <c r="K4523" s="852"/>
      <c r="L4523" s="852"/>
      <c r="M4523" s="852"/>
    </row>
    <row r="4524" spans="5:13">
      <c r="E4524" s="852"/>
      <c r="F4524" s="852"/>
      <c r="G4524" s="852"/>
      <c r="H4524" s="852"/>
      <c r="I4524" s="852"/>
      <c r="J4524" s="852"/>
      <c r="K4524" s="852"/>
      <c r="L4524" s="852"/>
      <c r="M4524" s="852"/>
    </row>
    <row r="4525" spans="5:13">
      <c r="E4525" s="852"/>
      <c r="F4525" s="852"/>
      <c r="G4525" s="852"/>
      <c r="H4525" s="852"/>
      <c r="I4525" s="852"/>
      <c r="J4525" s="852"/>
      <c r="K4525" s="852"/>
      <c r="L4525" s="852"/>
      <c r="M4525" s="852"/>
    </row>
    <row r="4526" spans="5:13">
      <c r="E4526" s="852"/>
      <c r="F4526" s="852"/>
      <c r="G4526" s="852"/>
      <c r="H4526" s="852"/>
      <c r="I4526" s="852"/>
      <c r="J4526" s="852"/>
      <c r="K4526" s="852"/>
      <c r="L4526" s="852"/>
      <c r="M4526" s="852"/>
    </row>
    <row r="4527" spans="5:13">
      <c r="E4527" s="852"/>
      <c r="F4527" s="852"/>
      <c r="G4527" s="852"/>
      <c r="H4527" s="852"/>
      <c r="I4527" s="852"/>
      <c r="J4527" s="852"/>
      <c r="K4527" s="852"/>
      <c r="L4527" s="852"/>
      <c r="M4527" s="852"/>
    </row>
    <row r="4528" spans="5:13">
      <c r="E4528" s="852"/>
      <c r="F4528" s="852"/>
      <c r="G4528" s="852"/>
      <c r="H4528" s="852"/>
      <c r="I4528" s="852"/>
      <c r="J4528" s="852"/>
      <c r="K4528" s="852"/>
      <c r="L4528" s="852"/>
      <c r="M4528" s="852"/>
    </row>
    <row r="4529" spans="5:13">
      <c r="E4529" s="852"/>
      <c r="F4529" s="852"/>
      <c r="G4529" s="852"/>
      <c r="H4529" s="852"/>
      <c r="I4529" s="852"/>
      <c r="J4529" s="852"/>
      <c r="K4529" s="852"/>
      <c r="L4529" s="852"/>
      <c r="M4529" s="852"/>
    </row>
    <row r="4530" spans="5:13">
      <c r="E4530" s="852"/>
      <c r="F4530" s="852"/>
      <c r="G4530" s="852"/>
      <c r="H4530" s="852"/>
      <c r="I4530" s="852"/>
      <c r="J4530" s="852"/>
      <c r="K4530" s="852"/>
      <c r="L4530" s="852"/>
      <c r="M4530" s="852"/>
    </row>
    <row r="4531" spans="5:13">
      <c r="E4531" s="852"/>
      <c r="F4531" s="852"/>
      <c r="G4531" s="852"/>
      <c r="H4531" s="852"/>
      <c r="I4531" s="852"/>
      <c r="J4531" s="852"/>
      <c r="K4531" s="852"/>
      <c r="L4531" s="852"/>
      <c r="M4531" s="852"/>
    </row>
    <row r="4532" spans="5:13">
      <c r="E4532" s="852"/>
      <c r="F4532" s="852"/>
      <c r="G4532" s="852"/>
      <c r="H4532" s="852"/>
      <c r="I4532" s="852"/>
      <c r="J4532" s="852"/>
      <c r="K4532" s="852"/>
      <c r="L4532" s="852"/>
      <c r="M4532" s="852"/>
    </row>
    <row r="4533" spans="5:13">
      <c r="E4533" s="852"/>
      <c r="F4533" s="852"/>
      <c r="G4533" s="852"/>
      <c r="H4533" s="852"/>
      <c r="I4533" s="852"/>
      <c r="J4533" s="852"/>
      <c r="K4533" s="852"/>
      <c r="L4533" s="852"/>
      <c r="M4533" s="852"/>
    </row>
    <row r="4534" spans="5:13">
      <c r="E4534" s="852"/>
      <c r="F4534" s="852"/>
      <c r="G4534" s="852"/>
      <c r="H4534" s="852"/>
      <c r="I4534" s="852"/>
      <c r="J4534" s="852"/>
      <c r="K4534" s="852"/>
      <c r="L4534" s="852"/>
      <c r="M4534" s="852"/>
    </row>
    <row r="4535" spans="5:13">
      <c r="E4535" s="852"/>
      <c r="F4535" s="852"/>
      <c r="G4535" s="852"/>
      <c r="H4535" s="852"/>
      <c r="I4535" s="852"/>
      <c r="J4535" s="852"/>
      <c r="K4535" s="852"/>
      <c r="L4535" s="852"/>
      <c r="M4535" s="852"/>
    </row>
    <row r="4536" spans="5:13">
      <c r="E4536" s="852"/>
      <c r="F4536" s="852"/>
      <c r="G4536" s="852"/>
      <c r="H4536" s="852"/>
      <c r="I4536" s="852"/>
      <c r="J4536" s="852"/>
      <c r="K4536" s="852"/>
      <c r="L4536" s="852"/>
      <c r="M4536" s="852"/>
    </row>
    <row r="4537" spans="5:13">
      <c r="E4537" s="852"/>
      <c r="F4537" s="852"/>
      <c r="G4537" s="852"/>
      <c r="H4537" s="852"/>
      <c r="I4537" s="852"/>
      <c r="J4537" s="852"/>
      <c r="K4537" s="852"/>
      <c r="L4537" s="852"/>
      <c r="M4537" s="852"/>
    </row>
    <row r="4538" spans="5:13">
      <c r="E4538" s="852"/>
      <c r="F4538" s="852"/>
      <c r="G4538" s="852"/>
      <c r="H4538" s="852"/>
      <c r="I4538" s="852"/>
      <c r="J4538" s="852"/>
      <c r="K4538" s="852"/>
      <c r="L4538" s="852"/>
      <c r="M4538" s="852"/>
    </row>
    <row r="4539" spans="5:13">
      <c r="E4539" s="852"/>
      <c r="F4539" s="852"/>
      <c r="G4539" s="852"/>
      <c r="H4539" s="852"/>
      <c r="I4539" s="852"/>
      <c r="J4539" s="852"/>
      <c r="K4539" s="852"/>
      <c r="L4539" s="852"/>
      <c r="M4539" s="852"/>
    </row>
    <row r="4540" spans="5:13">
      <c r="E4540" s="852"/>
      <c r="F4540" s="852"/>
      <c r="G4540" s="852"/>
      <c r="H4540" s="852"/>
      <c r="I4540" s="852"/>
      <c r="J4540" s="852"/>
      <c r="K4540" s="852"/>
      <c r="L4540" s="852"/>
      <c r="M4540" s="852"/>
    </row>
    <row r="4541" spans="5:13">
      <c r="E4541" s="852"/>
      <c r="F4541" s="852"/>
      <c r="G4541" s="852"/>
      <c r="H4541" s="852"/>
      <c r="I4541" s="852"/>
      <c r="J4541" s="852"/>
      <c r="K4541" s="852"/>
      <c r="L4541" s="852"/>
      <c r="M4541" s="852"/>
    </row>
    <row r="4542" spans="5:13">
      <c r="E4542" s="852"/>
      <c r="F4542" s="852"/>
      <c r="G4542" s="852"/>
      <c r="H4542" s="852"/>
      <c r="I4542" s="852"/>
      <c r="J4542" s="852"/>
      <c r="K4542" s="852"/>
      <c r="L4542" s="852"/>
      <c r="M4542" s="852"/>
    </row>
    <row r="4543" spans="5:13">
      <c r="E4543" s="852"/>
      <c r="F4543" s="852"/>
      <c r="G4543" s="852"/>
      <c r="H4543" s="852"/>
      <c r="I4543" s="852"/>
      <c r="J4543" s="852"/>
      <c r="K4543" s="852"/>
      <c r="L4543" s="852"/>
      <c r="M4543" s="852"/>
    </row>
    <row r="4544" spans="5:13">
      <c r="E4544" s="852"/>
      <c r="F4544" s="852"/>
      <c r="G4544" s="852"/>
      <c r="H4544" s="852"/>
      <c r="I4544" s="852"/>
      <c r="J4544" s="852"/>
      <c r="K4544" s="852"/>
      <c r="L4544" s="852"/>
      <c r="M4544" s="852"/>
    </row>
    <row r="4545" spans="5:13">
      <c r="E4545" s="852"/>
      <c r="F4545" s="852"/>
      <c r="G4545" s="852"/>
      <c r="H4545" s="852"/>
      <c r="I4545" s="852"/>
      <c r="J4545" s="852"/>
      <c r="K4545" s="852"/>
      <c r="L4545" s="852"/>
      <c r="M4545" s="852"/>
    </row>
    <row r="4546" spans="5:13">
      <c r="E4546" s="852"/>
      <c r="F4546" s="852"/>
      <c r="G4546" s="852"/>
      <c r="H4546" s="852"/>
      <c r="I4546" s="852"/>
      <c r="J4546" s="852"/>
      <c r="K4546" s="852"/>
      <c r="L4546" s="852"/>
      <c r="M4546" s="852"/>
    </row>
    <row r="4547" spans="5:13">
      <c r="E4547" s="852"/>
      <c r="F4547" s="852"/>
      <c r="G4547" s="852"/>
      <c r="H4547" s="852"/>
      <c r="I4547" s="852"/>
      <c r="J4547" s="852"/>
      <c r="K4547" s="852"/>
      <c r="L4547" s="852"/>
      <c r="M4547" s="852"/>
    </row>
    <row r="4548" spans="5:13">
      <c r="E4548" s="852"/>
      <c r="F4548" s="852"/>
      <c r="G4548" s="852"/>
      <c r="H4548" s="852"/>
      <c r="I4548" s="852"/>
      <c r="J4548" s="852"/>
      <c r="K4548" s="852"/>
      <c r="L4548" s="852"/>
      <c r="M4548" s="852"/>
    </row>
    <row r="4549" spans="5:13">
      <c r="E4549" s="852"/>
      <c r="F4549" s="852"/>
      <c r="G4549" s="852"/>
      <c r="H4549" s="852"/>
      <c r="I4549" s="852"/>
      <c r="J4549" s="852"/>
      <c r="K4549" s="852"/>
      <c r="L4549" s="852"/>
      <c r="M4549" s="852"/>
    </row>
    <row r="4550" spans="5:13">
      <c r="E4550" s="852"/>
      <c r="F4550" s="852"/>
      <c r="G4550" s="852"/>
      <c r="H4550" s="852"/>
      <c r="I4550" s="852"/>
      <c r="J4550" s="852"/>
      <c r="K4550" s="852"/>
      <c r="L4550" s="852"/>
      <c r="M4550" s="852"/>
    </row>
    <row r="4551" spans="5:13">
      <c r="E4551" s="852"/>
      <c r="F4551" s="852"/>
      <c r="G4551" s="852"/>
      <c r="H4551" s="852"/>
      <c r="I4551" s="852"/>
      <c r="J4551" s="852"/>
      <c r="K4551" s="852"/>
      <c r="L4551" s="852"/>
      <c r="M4551" s="852"/>
    </row>
    <row r="4552" spans="5:13">
      <c r="E4552" s="852"/>
      <c r="F4552" s="852"/>
      <c r="G4552" s="852"/>
      <c r="H4552" s="852"/>
      <c r="I4552" s="852"/>
      <c r="J4552" s="852"/>
      <c r="K4552" s="852"/>
      <c r="L4552" s="852"/>
      <c r="M4552" s="852"/>
    </row>
    <row r="4553" spans="5:13">
      <c r="E4553" s="852"/>
      <c r="F4553" s="852"/>
      <c r="G4553" s="852"/>
      <c r="H4553" s="852"/>
      <c r="I4553" s="852"/>
      <c r="J4553" s="852"/>
      <c r="K4553" s="852"/>
      <c r="L4553" s="852"/>
      <c r="M4553" s="852"/>
    </row>
    <row r="4554" spans="5:13">
      <c r="E4554" s="852"/>
      <c r="F4554" s="852"/>
      <c r="G4554" s="852"/>
      <c r="H4554" s="852"/>
      <c r="I4554" s="852"/>
      <c r="J4554" s="852"/>
      <c r="K4554" s="852"/>
      <c r="L4554" s="852"/>
      <c r="M4554" s="852"/>
    </row>
    <row r="4555" spans="5:13">
      <c r="E4555" s="852"/>
      <c r="F4555" s="852"/>
      <c r="G4555" s="852"/>
      <c r="H4555" s="852"/>
      <c r="I4555" s="852"/>
      <c r="J4555" s="852"/>
      <c r="K4555" s="852"/>
      <c r="L4555" s="852"/>
      <c r="M4555" s="852"/>
    </row>
    <row r="4556" spans="5:13">
      <c r="E4556" s="852"/>
      <c r="F4556" s="852"/>
      <c r="G4556" s="852"/>
      <c r="H4556" s="852"/>
      <c r="I4556" s="852"/>
      <c r="J4556" s="852"/>
      <c r="K4556" s="852"/>
      <c r="L4556" s="852"/>
      <c r="M4556" s="852"/>
    </row>
    <row r="4557" spans="5:13">
      <c r="E4557" s="852"/>
      <c r="F4557" s="852"/>
      <c r="G4557" s="852"/>
      <c r="H4557" s="852"/>
      <c r="I4557" s="852"/>
      <c r="J4557" s="852"/>
      <c r="K4557" s="852"/>
      <c r="L4557" s="852"/>
      <c r="M4557" s="852"/>
    </row>
    <row r="4558" spans="5:13">
      <c r="E4558" s="852"/>
      <c r="F4558" s="852"/>
      <c r="G4558" s="852"/>
      <c r="H4558" s="852"/>
      <c r="I4558" s="852"/>
      <c r="J4558" s="852"/>
      <c r="K4558" s="852"/>
      <c r="L4558" s="852"/>
      <c r="M4558" s="852"/>
    </row>
    <row r="4559" spans="5:13">
      <c r="E4559" s="852"/>
      <c r="F4559" s="852"/>
      <c r="G4559" s="852"/>
      <c r="H4559" s="852"/>
      <c r="I4559" s="852"/>
      <c r="J4559" s="852"/>
      <c r="K4559" s="852"/>
      <c r="L4559" s="852"/>
      <c r="M4559" s="852"/>
    </row>
    <row r="4560" spans="5:13">
      <c r="E4560" s="852"/>
      <c r="F4560" s="852"/>
      <c r="G4560" s="852"/>
      <c r="H4560" s="852"/>
      <c r="I4560" s="852"/>
      <c r="J4560" s="852"/>
      <c r="K4560" s="852"/>
      <c r="L4560" s="852"/>
      <c r="M4560" s="852"/>
    </row>
    <row r="4561" spans="5:13">
      <c r="E4561" s="852"/>
      <c r="F4561" s="852"/>
      <c r="G4561" s="852"/>
      <c r="H4561" s="852"/>
      <c r="I4561" s="852"/>
      <c r="J4561" s="852"/>
      <c r="K4561" s="852"/>
      <c r="L4561" s="852"/>
      <c r="M4561" s="852"/>
    </row>
    <row r="4562" spans="5:13">
      <c r="E4562" s="852"/>
      <c r="F4562" s="852"/>
      <c r="G4562" s="852"/>
      <c r="H4562" s="852"/>
      <c r="I4562" s="852"/>
      <c r="J4562" s="852"/>
      <c r="K4562" s="852"/>
      <c r="L4562" s="852"/>
      <c r="M4562" s="852"/>
    </row>
    <row r="4563" spans="5:13">
      <c r="E4563" s="852"/>
      <c r="F4563" s="852"/>
      <c r="G4563" s="852"/>
      <c r="H4563" s="852"/>
      <c r="I4563" s="852"/>
      <c r="J4563" s="852"/>
      <c r="K4563" s="852"/>
      <c r="L4563" s="852"/>
      <c r="M4563" s="852"/>
    </row>
    <row r="4564" spans="5:13">
      <c r="E4564" s="852"/>
      <c r="F4564" s="852"/>
      <c r="G4564" s="852"/>
      <c r="H4564" s="852"/>
      <c r="I4564" s="852"/>
      <c r="J4564" s="852"/>
      <c r="K4564" s="852"/>
      <c r="L4564" s="852"/>
      <c r="M4564" s="852"/>
    </row>
    <row r="4565" spans="5:13">
      <c r="E4565" s="852"/>
      <c r="F4565" s="852"/>
      <c r="G4565" s="852"/>
      <c r="H4565" s="852"/>
      <c r="I4565" s="852"/>
      <c r="J4565" s="852"/>
      <c r="K4565" s="852"/>
      <c r="L4565" s="852"/>
      <c r="M4565" s="852"/>
    </row>
    <row r="4566" spans="5:13">
      <c r="E4566" s="852"/>
      <c r="F4566" s="852"/>
      <c r="G4566" s="852"/>
      <c r="H4566" s="852"/>
      <c r="I4566" s="852"/>
      <c r="J4566" s="852"/>
      <c r="K4566" s="852"/>
      <c r="L4566" s="852"/>
      <c r="M4566" s="852"/>
    </row>
    <row r="4567" spans="5:13">
      <c r="E4567" s="852"/>
      <c r="F4567" s="852"/>
      <c r="G4567" s="852"/>
      <c r="H4567" s="852"/>
      <c r="I4567" s="852"/>
      <c r="J4567" s="852"/>
      <c r="K4567" s="852"/>
      <c r="L4567" s="852"/>
      <c r="M4567" s="852"/>
    </row>
    <row r="4568" spans="5:13">
      <c r="E4568" s="852"/>
      <c r="F4568" s="852"/>
      <c r="G4568" s="852"/>
      <c r="H4568" s="852"/>
      <c r="I4568" s="852"/>
      <c r="J4568" s="852"/>
      <c r="K4568" s="852"/>
      <c r="L4568" s="852"/>
      <c r="M4568" s="852"/>
    </row>
    <row r="4569" spans="5:13">
      <c r="E4569" s="852"/>
      <c r="F4569" s="852"/>
      <c r="G4569" s="852"/>
      <c r="H4569" s="852"/>
      <c r="I4569" s="852"/>
      <c r="J4569" s="852"/>
      <c r="K4569" s="852"/>
      <c r="L4569" s="852"/>
      <c r="M4569" s="852"/>
    </row>
    <row r="4570" spans="5:13">
      <c r="E4570" s="852"/>
      <c r="F4570" s="852"/>
      <c r="G4570" s="852"/>
      <c r="H4570" s="852"/>
      <c r="I4570" s="852"/>
      <c r="J4570" s="852"/>
      <c r="K4570" s="852"/>
      <c r="L4570" s="852"/>
      <c r="M4570" s="852"/>
    </row>
    <row r="4571" spans="5:13">
      <c r="E4571" s="852"/>
      <c r="F4571" s="852"/>
      <c r="G4571" s="852"/>
      <c r="H4571" s="852"/>
      <c r="I4571" s="852"/>
      <c r="J4571" s="852"/>
      <c r="K4571" s="852"/>
      <c r="L4571" s="852"/>
      <c r="M4571" s="852"/>
    </row>
    <row r="4572" spans="5:13">
      <c r="E4572" s="852"/>
      <c r="F4572" s="852"/>
      <c r="G4572" s="852"/>
      <c r="H4572" s="852"/>
      <c r="I4572" s="852"/>
      <c r="J4572" s="852"/>
      <c r="K4572" s="852"/>
      <c r="L4572" s="852"/>
      <c r="M4572" s="852"/>
    </row>
    <row r="4573" spans="5:13">
      <c r="E4573" s="852"/>
      <c r="F4573" s="852"/>
      <c r="G4573" s="852"/>
      <c r="H4573" s="852"/>
      <c r="I4573" s="852"/>
      <c r="J4573" s="852"/>
      <c r="K4573" s="852"/>
      <c r="L4573" s="852"/>
      <c r="M4573" s="852"/>
    </row>
    <row r="4574" spans="5:13">
      <c r="E4574" s="852"/>
      <c r="F4574" s="852"/>
      <c r="G4574" s="852"/>
      <c r="H4574" s="852"/>
      <c r="I4574" s="852"/>
      <c r="J4574" s="852"/>
      <c r="K4574" s="852"/>
      <c r="L4574" s="852"/>
      <c r="M4574" s="852"/>
    </row>
    <row r="4575" spans="5:13">
      <c r="E4575" s="852"/>
      <c r="F4575" s="852"/>
      <c r="G4575" s="852"/>
      <c r="H4575" s="852"/>
      <c r="I4575" s="852"/>
      <c r="J4575" s="852"/>
      <c r="K4575" s="852"/>
      <c r="L4575" s="852"/>
      <c r="M4575" s="852"/>
    </row>
    <row r="4576" spans="5:13">
      <c r="E4576" s="852"/>
      <c r="F4576" s="852"/>
      <c r="G4576" s="852"/>
      <c r="H4576" s="852"/>
      <c r="I4576" s="852"/>
      <c r="J4576" s="852"/>
      <c r="K4576" s="852"/>
      <c r="L4576" s="852"/>
      <c r="M4576" s="852"/>
    </row>
    <row r="4577" spans="5:13">
      <c r="E4577" s="852"/>
      <c r="F4577" s="852"/>
      <c r="G4577" s="852"/>
      <c r="H4577" s="852"/>
      <c r="I4577" s="852"/>
      <c r="J4577" s="852"/>
      <c r="K4577" s="852"/>
      <c r="L4577" s="852"/>
      <c r="M4577" s="852"/>
    </row>
    <row r="4578" spans="5:13">
      <c r="E4578" s="852"/>
      <c r="F4578" s="852"/>
      <c r="G4578" s="852"/>
      <c r="H4578" s="852"/>
      <c r="I4578" s="852"/>
      <c r="J4578" s="852"/>
      <c r="K4578" s="852"/>
      <c r="L4578" s="852"/>
      <c r="M4578" s="852"/>
    </row>
    <row r="4579" spans="5:13">
      <c r="E4579" s="852"/>
      <c r="F4579" s="852"/>
      <c r="G4579" s="852"/>
      <c r="H4579" s="852"/>
      <c r="I4579" s="852"/>
      <c r="J4579" s="852"/>
      <c r="K4579" s="852"/>
      <c r="L4579" s="852"/>
      <c r="M4579" s="852"/>
    </row>
    <row r="4580" spans="5:13">
      <c r="E4580" s="852"/>
      <c r="F4580" s="852"/>
      <c r="G4580" s="852"/>
      <c r="H4580" s="852"/>
      <c r="I4580" s="852"/>
      <c r="J4580" s="852"/>
      <c r="K4580" s="852"/>
      <c r="L4580" s="852"/>
      <c r="M4580" s="852"/>
    </row>
    <row r="4581" spans="5:13">
      <c r="E4581" s="852"/>
      <c r="F4581" s="852"/>
      <c r="G4581" s="852"/>
      <c r="H4581" s="852"/>
      <c r="I4581" s="852"/>
      <c r="J4581" s="852"/>
      <c r="K4581" s="852"/>
      <c r="L4581" s="852"/>
      <c r="M4581" s="852"/>
    </row>
    <row r="4582" spans="5:13">
      <c r="E4582" s="852"/>
      <c r="F4582" s="852"/>
      <c r="G4582" s="852"/>
      <c r="H4582" s="852"/>
      <c r="I4582" s="852"/>
      <c r="J4582" s="852"/>
      <c r="K4582" s="852"/>
      <c r="L4582" s="852"/>
      <c r="M4582" s="852"/>
    </row>
    <row r="4583" spans="5:13">
      <c r="E4583" s="852"/>
      <c r="F4583" s="852"/>
      <c r="G4583" s="852"/>
      <c r="H4583" s="852"/>
      <c r="I4583" s="852"/>
      <c r="J4583" s="852"/>
      <c r="K4583" s="852"/>
      <c r="L4583" s="852"/>
      <c r="M4583" s="852"/>
    </row>
    <row r="4584" spans="5:13">
      <c r="E4584" s="852"/>
      <c r="F4584" s="852"/>
      <c r="G4584" s="852"/>
      <c r="H4584" s="852"/>
      <c r="I4584" s="852"/>
      <c r="J4584" s="852"/>
      <c r="K4584" s="852"/>
      <c r="L4584" s="852"/>
      <c r="M4584" s="852"/>
    </row>
    <row r="4585" spans="5:13">
      <c r="E4585" s="852"/>
      <c r="F4585" s="852"/>
      <c r="G4585" s="852"/>
      <c r="H4585" s="852"/>
      <c r="I4585" s="852"/>
      <c r="J4585" s="852"/>
      <c r="K4585" s="852"/>
      <c r="L4585" s="852"/>
      <c r="M4585" s="852"/>
    </row>
    <row r="4586" spans="5:13">
      <c r="E4586" s="852"/>
      <c r="F4586" s="852"/>
      <c r="G4586" s="852"/>
      <c r="H4586" s="852"/>
      <c r="I4586" s="852"/>
      <c r="J4586" s="852"/>
      <c r="K4586" s="852"/>
      <c r="L4586" s="852"/>
      <c r="M4586" s="852"/>
    </row>
    <row r="4587" spans="5:13">
      <c r="E4587" s="852"/>
      <c r="F4587" s="852"/>
      <c r="G4587" s="852"/>
      <c r="H4587" s="852"/>
      <c r="I4587" s="852"/>
      <c r="J4587" s="852"/>
      <c r="K4587" s="852"/>
      <c r="L4587" s="852"/>
      <c r="M4587" s="852"/>
    </row>
    <row r="4588" spans="5:13">
      <c r="E4588" s="852"/>
      <c r="F4588" s="852"/>
      <c r="G4588" s="852"/>
      <c r="H4588" s="852"/>
      <c r="I4588" s="852"/>
      <c r="J4588" s="852"/>
      <c r="K4588" s="852"/>
      <c r="L4588" s="852"/>
      <c r="M4588" s="852"/>
    </row>
    <row r="4589" spans="5:13">
      <c r="E4589" s="852"/>
      <c r="F4589" s="852"/>
      <c r="G4589" s="852"/>
      <c r="H4589" s="852"/>
      <c r="I4589" s="852"/>
      <c r="J4589" s="852"/>
      <c r="K4589" s="852"/>
      <c r="L4589" s="852"/>
      <c r="M4589" s="852"/>
    </row>
    <row r="4590" spans="5:13">
      <c r="E4590" s="852"/>
      <c r="F4590" s="852"/>
      <c r="G4590" s="852"/>
      <c r="H4590" s="852"/>
      <c r="I4590" s="852"/>
      <c r="J4590" s="852"/>
      <c r="K4590" s="852"/>
      <c r="L4590" s="852"/>
      <c r="M4590" s="852"/>
    </row>
    <row r="4591" spans="5:13">
      <c r="E4591" s="852"/>
      <c r="F4591" s="852"/>
      <c r="G4591" s="852"/>
      <c r="H4591" s="852"/>
      <c r="I4591" s="852"/>
      <c r="J4591" s="852"/>
      <c r="K4591" s="852"/>
      <c r="L4591" s="852"/>
      <c r="M4591" s="852"/>
    </row>
    <row r="4592" spans="5:13">
      <c r="E4592" s="852"/>
      <c r="F4592" s="852"/>
      <c r="G4592" s="852"/>
      <c r="H4592" s="852"/>
      <c r="I4592" s="852"/>
      <c r="J4592" s="852"/>
      <c r="K4592" s="852"/>
      <c r="L4592" s="852"/>
      <c r="M4592" s="852"/>
    </row>
    <row r="4593" spans="5:13">
      <c r="E4593" s="852"/>
      <c r="F4593" s="852"/>
      <c r="G4593" s="852"/>
      <c r="H4593" s="852"/>
      <c r="I4593" s="852"/>
      <c r="J4593" s="852"/>
      <c r="K4593" s="852"/>
      <c r="L4593" s="852"/>
      <c r="M4593" s="852"/>
    </row>
    <row r="4594" spans="5:13">
      <c r="E4594" s="852"/>
      <c r="F4594" s="852"/>
      <c r="G4594" s="852"/>
      <c r="H4594" s="852"/>
      <c r="I4594" s="852"/>
      <c r="J4594" s="852"/>
      <c r="K4594" s="852"/>
      <c r="L4594" s="852"/>
      <c r="M4594" s="852"/>
    </row>
    <row r="4595" spans="5:13">
      <c r="E4595" s="852"/>
      <c r="F4595" s="852"/>
      <c r="G4595" s="852"/>
      <c r="H4595" s="852"/>
      <c r="I4595" s="852"/>
      <c r="J4595" s="852"/>
      <c r="K4595" s="852"/>
      <c r="L4595" s="852"/>
      <c r="M4595" s="852"/>
    </row>
    <row r="4596" spans="5:13">
      <c r="E4596" s="852"/>
      <c r="F4596" s="852"/>
      <c r="G4596" s="852"/>
      <c r="H4596" s="852"/>
      <c r="I4596" s="852"/>
      <c r="J4596" s="852"/>
      <c r="K4596" s="852"/>
      <c r="L4596" s="852"/>
      <c r="M4596" s="852"/>
    </row>
    <row r="4597" spans="5:13">
      <c r="E4597" s="852"/>
      <c r="F4597" s="852"/>
      <c r="G4597" s="852"/>
      <c r="H4597" s="852"/>
      <c r="I4597" s="852"/>
      <c r="J4597" s="852"/>
      <c r="K4597" s="852"/>
      <c r="L4597" s="852"/>
      <c r="M4597" s="852"/>
    </row>
    <row r="4598" spans="5:13">
      <c r="E4598" s="852"/>
      <c r="F4598" s="852"/>
      <c r="G4598" s="852"/>
      <c r="H4598" s="852"/>
      <c r="I4598" s="852"/>
      <c r="J4598" s="852"/>
      <c r="K4598" s="852"/>
      <c r="L4598" s="852"/>
      <c r="M4598" s="852"/>
    </row>
    <row r="4599" spans="5:13">
      <c r="E4599" s="852"/>
      <c r="F4599" s="852"/>
      <c r="G4599" s="852"/>
      <c r="H4599" s="852"/>
      <c r="I4599" s="852"/>
      <c r="J4599" s="852"/>
      <c r="K4599" s="852"/>
      <c r="L4599" s="852"/>
      <c r="M4599" s="852"/>
    </row>
    <row r="4600" spans="5:13">
      <c r="E4600" s="852"/>
      <c r="F4600" s="852"/>
      <c r="G4600" s="852"/>
      <c r="H4600" s="852"/>
      <c r="I4600" s="852"/>
      <c r="J4600" s="852"/>
      <c r="K4600" s="852"/>
      <c r="L4600" s="852"/>
      <c r="M4600" s="852"/>
    </row>
    <row r="4601" spans="5:13">
      <c r="E4601" s="852"/>
      <c r="F4601" s="852"/>
      <c r="G4601" s="852"/>
      <c r="H4601" s="852"/>
      <c r="I4601" s="852"/>
      <c r="J4601" s="852"/>
      <c r="K4601" s="852"/>
      <c r="L4601" s="852"/>
      <c r="M4601" s="852"/>
    </row>
    <row r="4602" spans="5:13">
      <c r="E4602" s="852"/>
      <c r="F4602" s="852"/>
      <c r="G4602" s="852"/>
      <c r="H4602" s="852"/>
      <c r="I4602" s="852"/>
      <c r="J4602" s="852"/>
      <c r="K4602" s="852"/>
      <c r="L4602" s="852"/>
      <c r="M4602" s="852"/>
    </row>
    <row r="4603" spans="5:13">
      <c r="E4603" s="852"/>
      <c r="F4603" s="852"/>
      <c r="G4603" s="852"/>
      <c r="H4603" s="852"/>
      <c r="I4603" s="852"/>
      <c r="J4603" s="852"/>
      <c r="K4603" s="852"/>
      <c r="L4603" s="852"/>
      <c r="M4603" s="852"/>
    </row>
    <row r="4604" spans="5:13">
      <c r="E4604" s="852"/>
      <c r="F4604" s="852"/>
      <c r="G4604" s="852"/>
      <c r="H4604" s="852"/>
      <c r="I4604" s="852"/>
      <c r="J4604" s="852"/>
      <c r="K4604" s="852"/>
      <c r="L4604" s="852"/>
      <c r="M4604" s="852"/>
    </row>
    <row r="4605" spans="5:13">
      <c r="E4605" s="852"/>
      <c r="F4605" s="852"/>
      <c r="G4605" s="852"/>
      <c r="H4605" s="852"/>
      <c r="I4605" s="852"/>
      <c r="J4605" s="852"/>
      <c r="K4605" s="852"/>
      <c r="L4605" s="852"/>
      <c r="M4605" s="852"/>
    </row>
    <row r="4606" spans="5:13">
      <c r="E4606" s="852"/>
      <c r="F4606" s="852"/>
      <c r="G4606" s="852"/>
      <c r="H4606" s="852"/>
      <c r="I4606" s="852"/>
      <c r="J4606" s="852"/>
      <c r="K4606" s="852"/>
      <c r="L4606" s="852"/>
      <c r="M4606" s="852"/>
    </row>
    <row r="4607" spans="5:13">
      <c r="E4607" s="852"/>
      <c r="F4607" s="852"/>
      <c r="G4607" s="852"/>
      <c r="H4607" s="852"/>
      <c r="I4607" s="852"/>
      <c r="J4607" s="852"/>
      <c r="K4607" s="852"/>
      <c r="L4607" s="852"/>
      <c r="M4607" s="852"/>
    </row>
    <row r="4608" spans="5:13">
      <c r="E4608" s="852"/>
      <c r="F4608" s="852"/>
      <c r="G4608" s="852"/>
      <c r="H4608" s="852"/>
      <c r="I4608" s="852"/>
      <c r="J4608" s="852"/>
      <c r="K4608" s="852"/>
      <c r="L4608" s="852"/>
      <c r="M4608" s="852"/>
    </row>
    <row r="4609" spans="5:13">
      <c r="E4609" s="852"/>
      <c r="F4609" s="852"/>
      <c r="G4609" s="852"/>
      <c r="H4609" s="852"/>
      <c r="I4609" s="852"/>
      <c r="J4609" s="852"/>
      <c r="K4609" s="852"/>
      <c r="L4609" s="852"/>
      <c r="M4609" s="852"/>
    </row>
    <row r="4610" spans="5:13">
      <c r="E4610" s="852"/>
      <c r="F4610" s="852"/>
      <c r="G4610" s="852"/>
      <c r="H4610" s="852"/>
      <c r="I4610" s="852"/>
      <c r="J4610" s="852"/>
      <c r="K4610" s="852"/>
      <c r="L4610" s="852"/>
      <c r="M4610" s="852"/>
    </row>
    <row r="4611" spans="5:13">
      <c r="E4611" s="852"/>
      <c r="F4611" s="852"/>
      <c r="G4611" s="852"/>
      <c r="H4611" s="852"/>
      <c r="I4611" s="852"/>
      <c r="J4611" s="852"/>
      <c r="K4611" s="852"/>
      <c r="L4611" s="852"/>
      <c r="M4611" s="852"/>
    </row>
    <row r="4612" spans="5:13">
      <c r="E4612" s="852"/>
      <c r="F4612" s="852"/>
      <c r="G4612" s="852"/>
      <c r="H4612" s="852"/>
      <c r="I4612" s="852"/>
      <c r="J4612" s="852"/>
      <c r="K4612" s="852"/>
      <c r="L4612" s="852"/>
      <c r="M4612" s="852"/>
    </row>
    <row r="4613" spans="5:13">
      <c r="E4613" s="852"/>
      <c r="F4613" s="852"/>
      <c r="G4613" s="852"/>
      <c r="H4613" s="852"/>
      <c r="I4613" s="852"/>
      <c r="J4613" s="852"/>
      <c r="K4613" s="852"/>
      <c r="L4613" s="852"/>
      <c r="M4613" s="852"/>
    </row>
    <row r="4614" spans="5:13">
      <c r="E4614" s="852"/>
      <c r="F4614" s="852"/>
      <c r="G4614" s="852"/>
      <c r="H4614" s="852"/>
      <c r="I4614" s="852"/>
      <c r="J4614" s="852"/>
      <c r="K4614" s="852"/>
      <c r="L4614" s="852"/>
      <c r="M4614" s="852"/>
    </row>
    <row r="4615" spans="5:13">
      <c r="E4615" s="852"/>
      <c r="F4615" s="852"/>
      <c r="G4615" s="852"/>
      <c r="H4615" s="852"/>
      <c r="I4615" s="852"/>
      <c r="J4615" s="852"/>
      <c r="K4615" s="852"/>
      <c r="L4615" s="852"/>
      <c r="M4615" s="852"/>
    </row>
    <row r="4616" spans="5:13">
      <c r="E4616" s="852"/>
      <c r="F4616" s="852"/>
      <c r="G4616" s="852"/>
      <c r="H4616" s="852"/>
      <c r="I4616" s="852"/>
      <c r="J4616" s="852"/>
      <c r="K4616" s="852"/>
      <c r="L4616" s="852"/>
      <c r="M4616" s="852"/>
    </row>
    <row r="4617" spans="5:13">
      <c r="E4617" s="852"/>
      <c r="F4617" s="852"/>
      <c r="G4617" s="852"/>
      <c r="H4617" s="852"/>
      <c r="I4617" s="852"/>
      <c r="J4617" s="852"/>
      <c r="K4617" s="852"/>
      <c r="L4617" s="852"/>
      <c r="M4617" s="852"/>
    </row>
    <row r="4618" spans="5:13">
      <c r="E4618" s="852"/>
      <c r="F4618" s="852"/>
      <c r="G4618" s="852"/>
      <c r="H4618" s="852"/>
      <c r="I4618" s="852"/>
      <c r="J4618" s="852"/>
      <c r="K4618" s="852"/>
      <c r="L4618" s="852"/>
      <c r="M4618" s="852"/>
    </row>
    <row r="4619" spans="5:13">
      <c r="E4619" s="852"/>
      <c r="F4619" s="852"/>
      <c r="G4619" s="852"/>
      <c r="H4619" s="852"/>
      <c r="I4619" s="852"/>
      <c r="J4619" s="852"/>
      <c r="K4619" s="852"/>
      <c r="L4619" s="852"/>
      <c r="M4619" s="852"/>
    </row>
    <row r="4620" spans="5:13">
      <c r="E4620" s="852"/>
      <c r="F4620" s="852"/>
      <c r="G4620" s="852"/>
      <c r="H4620" s="852"/>
      <c r="I4620" s="852"/>
      <c r="J4620" s="852"/>
      <c r="K4620" s="852"/>
      <c r="L4620" s="852"/>
      <c r="M4620" s="852"/>
    </row>
    <row r="4621" spans="5:13">
      <c r="E4621" s="852"/>
      <c r="F4621" s="852"/>
      <c r="G4621" s="852"/>
      <c r="H4621" s="852"/>
      <c r="I4621" s="852"/>
      <c r="J4621" s="852"/>
      <c r="K4621" s="852"/>
      <c r="L4621" s="852"/>
      <c r="M4621" s="852"/>
    </row>
    <row r="4622" spans="5:13">
      <c r="E4622" s="852"/>
      <c r="F4622" s="852"/>
      <c r="G4622" s="852"/>
      <c r="H4622" s="852"/>
      <c r="I4622" s="852"/>
      <c r="J4622" s="852"/>
      <c r="K4622" s="852"/>
      <c r="L4622" s="852"/>
      <c r="M4622" s="852"/>
    </row>
    <row r="4623" spans="5:13">
      <c r="E4623" s="852"/>
      <c r="F4623" s="852"/>
      <c r="G4623" s="852"/>
      <c r="H4623" s="852"/>
      <c r="I4623" s="852"/>
      <c r="J4623" s="852"/>
      <c r="K4623" s="852"/>
      <c r="L4623" s="852"/>
      <c r="M4623" s="852"/>
    </row>
    <row r="4624" spans="5:13">
      <c r="E4624" s="852"/>
      <c r="F4624" s="852"/>
      <c r="G4624" s="852"/>
      <c r="H4624" s="852"/>
      <c r="I4624" s="852"/>
      <c r="J4624" s="852"/>
      <c r="K4624" s="852"/>
      <c r="L4624" s="852"/>
      <c r="M4624" s="852"/>
    </row>
    <row r="4625" spans="5:13">
      <c r="E4625" s="852"/>
      <c r="F4625" s="852"/>
      <c r="G4625" s="852"/>
      <c r="H4625" s="852"/>
      <c r="I4625" s="852"/>
      <c r="J4625" s="852"/>
      <c r="K4625" s="852"/>
      <c r="L4625" s="852"/>
      <c r="M4625" s="852"/>
    </row>
    <row r="4626" spans="5:13">
      <c r="E4626" s="852"/>
      <c r="F4626" s="852"/>
      <c r="G4626" s="852"/>
      <c r="H4626" s="852"/>
      <c r="I4626" s="852"/>
      <c r="J4626" s="852"/>
      <c r="K4626" s="852"/>
      <c r="L4626" s="852"/>
      <c r="M4626" s="852"/>
    </row>
    <row r="4627" spans="5:13">
      <c r="E4627" s="852"/>
      <c r="F4627" s="852"/>
      <c r="G4627" s="852"/>
      <c r="H4627" s="852"/>
      <c r="I4627" s="852"/>
      <c r="J4627" s="852"/>
      <c r="K4627" s="852"/>
      <c r="L4627" s="852"/>
      <c r="M4627" s="852"/>
    </row>
    <row r="4628" spans="5:13">
      <c r="E4628" s="852"/>
      <c r="F4628" s="852"/>
      <c r="G4628" s="852"/>
      <c r="H4628" s="852"/>
      <c r="I4628" s="852"/>
      <c r="J4628" s="852"/>
      <c r="K4628" s="852"/>
      <c r="L4628" s="852"/>
      <c r="M4628" s="852"/>
    </row>
    <row r="4629" spans="5:13">
      <c r="E4629" s="852"/>
      <c r="F4629" s="852"/>
      <c r="G4629" s="852"/>
      <c r="H4629" s="852"/>
      <c r="I4629" s="852"/>
      <c r="J4629" s="852"/>
      <c r="K4629" s="852"/>
      <c r="L4629" s="852"/>
      <c r="M4629" s="852"/>
    </row>
    <row r="4630" spans="5:13">
      <c r="E4630" s="852"/>
      <c r="F4630" s="852"/>
      <c r="G4630" s="852"/>
      <c r="H4630" s="852"/>
      <c r="I4630" s="852"/>
      <c r="J4630" s="852"/>
      <c r="K4630" s="852"/>
      <c r="L4630" s="852"/>
      <c r="M4630" s="852"/>
    </row>
    <row r="4631" spans="5:13">
      <c r="E4631" s="852"/>
      <c r="F4631" s="852"/>
      <c r="G4631" s="852"/>
      <c r="H4631" s="852"/>
      <c r="I4631" s="852"/>
      <c r="J4631" s="852"/>
      <c r="K4631" s="852"/>
      <c r="L4631" s="852"/>
      <c r="M4631" s="852"/>
    </row>
    <row r="4632" spans="5:13">
      <c r="E4632" s="852"/>
      <c r="F4632" s="852"/>
      <c r="G4632" s="852"/>
      <c r="H4632" s="852"/>
      <c r="I4632" s="852"/>
      <c r="J4632" s="852"/>
      <c r="K4632" s="852"/>
      <c r="L4632" s="852"/>
      <c r="M4632" s="852"/>
    </row>
    <row r="4633" spans="5:13">
      <c r="E4633" s="852"/>
      <c r="F4633" s="852"/>
      <c r="G4633" s="852"/>
      <c r="H4633" s="852"/>
      <c r="I4633" s="852"/>
      <c r="J4633" s="852"/>
      <c r="K4633" s="852"/>
      <c r="L4633" s="852"/>
      <c r="M4633" s="852"/>
    </row>
    <row r="4634" spans="5:13">
      <c r="E4634" s="852"/>
      <c r="F4634" s="852"/>
      <c r="G4634" s="852"/>
      <c r="H4634" s="852"/>
      <c r="I4634" s="852"/>
      <c r="J4634" s="852"/>
      <c r="K4634" s="852"/>
      <c r="L4634" s="852"/>
      <c r="M4634" s="852"/>
    </row>
    <row r="4635" spans="5:13">
      <c r="E4635" s="852"/>
      <c r="F4635" s="852"/>
      <c r="G4635" s="852"/>
      <c r="H4635" s="852"/>
      <c r="I4635" s="852"/>
      <c r="J4635" s="852"/>
      <c r="K4635" s="852"/>
      <c r="L4635" s="852"/>
      <c r="M4635" s="852"/>
    </row>
    <row r="4636" spans="5:13">
      <c r="E4636" s="852"/>
      <c r="F4636" s="852"/>
      <c r="G4636" s="852"/>
      <c r="H4636" s="852"/>
      <c r="I4636" s="852"/>
      <c r="J4636" s="852"/>
      <c r="K4636" s="852"/>
      <c r="L4636" s="852"/>
      <c r="M4636" s="852"/>
    </row>
    <row r="4637" spans="5:13">
      <c r="E4637" s="852"/>
      <c r="F4637" s="852"/>
      <c r="G4637" s="852"/>
      <c r="H4637" s="852"/>
      <c r="I4637" s="852"/>
      <c r="J4637" s="852"/>
      <c r="K4637" s="852"/>
      <c r="L4637" s="852"/>
      <c r="M4637" s="852"/>
    </row>
    <row r="4638" spans="5:13">
      <c r="E4638" s="852"/>
      <c r="F4638" s="852"/>
      <c r="G4638" s="852"/>
      <c r="H4638" s="852"/>
      <c r="I4638" s="852"/>
      <c r="J4638" s="852"/>
      <c r="K4638" s="852"/>
      <c r="L4638" s="852"/>
      <c r="M4638" s="852"/>
    </row>
    <row r="4639" spans="5:13">
      <c r="E4639" s="852"/>
      <c r="F4639" s="852"/>
      <c r="G4639" s="852"/>
      <c r="H4639" s="852"/>
      <c r="I4639" s="852"/>
      <c r="J4639" s="852"/>
      <c r="K4639" s="852"/>
      <c r="L4639" s="852"/>
      <c r="M4639" s="852"/>
    </row>
    <row r="4640" spans="5:13">
      <c r="E4640" s="852"/>
      <c r="F4640" s="852"/>
      <c r="G4640" s="852"/>
      <c r="H4640" s="852"/>
      <c r="I4640" s="852"/>
      <c r="J4640" s="852"/>
      <c r="K4640" s="852"/>
      <c r="L4640" s="852"/>
      <c r="M4640" s="852"/>
    </row>
    <row r="4641" spans="5:13">
      <c r="E4641" s="852"/>
      <c r="F4641" s="852"/>
      <c r="G4641" s="852"/>
      <c r="H4641" s="852"/>
      <c r="I4641" s="852"/>
      <c r="J4641" s="852"/>
      <c r="K4641" s="852"/>
      <c r="L4641" s="852"/>
      <c r="M4641" s="852"/>
    </row>
    <row r="4642" spans="5:13">
      <c r="E4642" s="852"/>
      <c r="F4642" s="852"/>
      <c r="G4642" s="852"/>
      <c r="H4642" s="852"/>
      <c r="I4642" s="852"/>
      <c r="J4642" s="852"/>
      <c r="K4642" s="852"/>
      <c r="L4642" s="852"/>
      <c r="M4642" s="852"/>
    </row>
    <row r="4643" spans="5:13">
      <c r="E4643" s="852"/>
      <c r="F4643" s="852"/>
      <c r="G4643" s="852"/>
      <c r="H4643" s="852"/>
      <c r="I4643" s="852"/>
      <c r="J4643" s="852"/>
      <c r="K4643" s="852"/>
      <c r="L4643" s="852"/>
      <c r="M4643" s="852"/>
    </row>
    <row r="4644" spans="5:13">
      <c r="E4644" s="852"/>
      <c r="F4644" s="852"/>
      <c r="G4644" s="852"/>
      <c r="H4644" s="852"/>
      <c r="I4644" s="852"/>
      <c r="J4644" s="852"/>
      <c r="K4644" s="852"/>
      <c r="L4644" s="852"/>
      <c r="M4644" s="852"/>
    </row>
    <row r="4645" spans="5:13">
      <c r="E4645" s="852"/>
      <c r="F4645" s="852"/>
      <c r="G4645" s="852"/>
      <c r="H4645" s="852"/>
      <c r="I4645" s="852"/>
      <c r="J4645" s="852"/>
      <c r="K4645" s="852"/>
      <c r="L4645" s="852"/>
      <c r="M4645" s="852"/>
    </row>
    <row r="4646" spans="5:13">
      <c r="E4646" s="852"/>
      <c r="F4646" s="852"/>
      <c r="G4646" s="852"/>
      <c r="H4646" s="852"/>
      <c r="I4646" s="852"/>
      <c r="J4646" s="852"/>
      <c r="K4646" s="852"/>
      <c r="L4646" s="852"/>
      <c r="M4646" s="852"/>
    </row>
    <row r="4647" spans="5:13">
      <c r="E4647" s="852"/>
      <c r="F4647" s="852"/>
      <c r="G4647" s="852"/>
      <c r="H4647" s="852"/>
      <c r="I4647" s="852"/>
      <c r="J4647" s="852"/>
      <c r="K4647" s="852"/>
      <c r="L4647" s="852"/>
      <c r="M4647" s="852"/>
    </row>
    <row r="4648" spans="5:13">
      <c r="E4648" s="852"/>
      <c r="F4648" s="852"/>
      <c r="G4648" s="852"/>
      <c r="H4648" s="852"/>
      <c r="I4648" s="852"/>
      <c r="J4648" s="852"/>
      <c r="K4648" s="852"/>
      <c r="L4648" s="852"/>
      <c r="M4648" s="852"/>
    </row>
    <row r="4649" spans="5:13">
      <c r="E4649" s="852"/>
      <c r="F4649" s="852"/>
      <c r="G4649" s="852"/>
      <c r="H4649" s="852"/>
      <c r="I4649" s="852"/>
      <c r="J4649" s="852"/>
      <c r="K4649" s="852"/>
      <c r="L4649" s="852"/>
      <c r="M4649" s="852"/>
    </row>
    <row r="4650" spans="5:13">
      <c r="E4650" s="852"/>
      <c r="F4650" s="852"/>
      <c r="G4650" s="852"/>
      <c r="H4650" s="852"/>
      <c r="I4650" s="852"/>
      <c r="J4650" s="852"/>
      <c r="K4650" s="852"/>
      <c r="L4650" s="852"/>
      <c r="M4650" s="852"/>
    </row>
    <row r="4651" spans="5:13">
      <c r="E4651" s="852"/>
      <c r="F4651" s="852"/>
      <c r="G4651" s="852"/>
      <c r="H4651" s="852"/>
      <c r="I4651" s="852"/>
      <c r="J4651" s="852"/>
      <c r="K4651" s="852"/>
      <c r="L4651" s="852"/>
      <c r="M4651" s="852"/>
    </row>
    <row r="4652" spans="5:13">
      <c r="E4652" s="852"/>
      <c r="F4652" s="852"/>
      <c r="G4652" s="852"/>
      <c r="H4652" s="852"/>
      <c r="I4652" s="852"/>
      <c r="J4652" s="852"/>
      <c r="K4652" s="852"/>
      <c r="L4652" s="852"/>
      <c r="M4652" s="852"/>
    </row>
    <row r="4653" spans="5:13">
      <c r="E4653" s="852"/>
      <c r="F4653" s="852"/>
      <c r="G4653" s="852"/>
      <c r="H4653" s="852"/>
      <c r="I4653" s="852"/>
      <c r="J4653" s="852"/>
      <c r="K4653" s="852"/>
      <c r="L4653" s="852"/>
      <c r="M4653" s="852"/>
    </row>
    <row r="4654" spans="5:13">
      <c r="E4654" s="852"/>
      <c r="F4654" s="852"/>
      <c r="G4654" s="852"/>
      <c r="H4654" s="852"/>
      <c r="I4654" s="852"/>
      <c r="J4654" s="852"/>
      <c r="K4654" s="852"/>
      <c r="L4654" s="852"/>
      <c r="M4654" s="852"/>
    </row>
    <row r="4655" spans="5:13">
      <c r="E4655" s="852"/>
      <c r="F4655" s="852"/>
      <c r="G4655" s="852"/>
      <c r="H4655" s="852"/>
      <c r="I4655" s="852"/>
      <c r="J4655" s="852"/>
      <c r="K4655" s="852"/>
      <c r="L4655" s="852"/>
      <c r="M4655" s="852"/>
    </row>
    <row r="4656" spans="5:13">
      <c r="E4656" s="852"/>
      <c r="F4656" s="852"/>
      <c r="G4656" s="852"/>
      <c r="H4656" s="852"/>
      <c r="I4656" s="852"/>
      <c r="J4656" s="852"/>
      <c r="K4656" s="852"/>
      <c r="L4656" s="852"/>
      <c r="M4656" s="852"/>
    </row>
    <row r="4657" spans="5:13">
      <c r="E4657" s="852"/>
      <c r="F4657" s="852"/>
      <c r="G4657" s="852"/>
      <c r="H4657" s="852"/>
      <c r="I4657" s="852"/>
      <c r="J4657" s="852"/>
      <c r="K4657" s="852"/>
      <c r="L4657" s="852"/>
      <c r="M4657" s="852"/>
    </row>
    <row r="4658" spans="5:13">
      <c r="E4658" s="852"/>
      <c r="F4658" s="852"/>
      <c r="G4658" s="852"/>
      <c r="H4658" s="852"/>
      <c r="I4658" s="852"/>
      <c r="J4658" s="852"/>
      <c r="K4658" s="852"/>
      <c r="L4658" s="852"/>
      <c r="M4658" s="852"/>
    </row>
    <row r="4659" spans="5:13">
      <c r="E4659" s="852"/>
      <c r="F4659" s="852"/>
      <c r="G4659" s="852"/>
      <c r="H4659" s="852"/>
      <c r="I4659" s="852"/>
      <c r="J4659" s="852"/>
      <c r="K4659" s="852"/>
      <c r="L4659" s="852"/>
      <c r="M4659" s="852"/>
    </row>
    <row r="4660" spans="5:13">
      <c r="E4660" s="852"/>
      <c r="F4660" s="852"/>
      <c r="G4660" s="852"/>
      <c r="H4660" s="852"/>
      <c r="I4660" s="852"/>
      <c r="J4660" s="852"/>
      <c r="K4660" s="852"/>
      <c r="L4660" s="852"/>
      <c r="M4660" s="852"/>
    </row>
    <row r="4661" spans="5:13">
      <c r="E4661" s="852"/>
      <c r="F4661" s="852"/>
      <c r="G4661" s="852"/>
      <c r="H4661" s="852"/>
      <c r="I4661" s="852"/>
      <c r="J4661" s="852"/>
      <c r="K4661" s="852"/>
      <c r="L4661" s="852"/>
      <c r="M4661" s="852"/>
    </row>
    <row r="4662" spans="5:13">
      <c r="E4662" s="852"/>
      <c r="F4662" s="852"/>
      <c r="G4662" s="852"/>
      <c r="H4662" s="852"/>
      <c r="I4662" s="852"/>
      <c r="J4662" s="852"/>
      <c r="K4662" s="852"/>
      <c r="L4662" s="852"/>
      <c r="M4662" s="852"/>
    </row>
    <row r="4663" spans="5:13">
      <c r="E4663" s="852"/>
      <c r="F4663" s="852"/>
      <c r="G4663" s="852"/>
      <c r="H4663" s="852"/>
      <c r="I4663" s="852"/>
      <c r="J4663" s="852"/>
      <c r="K4663" s="852"/>
      <c r="L4663" s="852"/>
      <c r="M4663" s="852"/>
    </row>
    <row r="4664" spans="5:13">
      <c r="E4664" s="852"/>
      <c r="F4664" s="852"/>
      <c r="G4664" s="852"/>
      <c r="H4664" s="852"/>
      <c r="I4664" s="852"/>
      <c r="J4664" s="852"/>
      <c r="K4664" s="852"/>
      <c r="L4664" s="852"/>
      <c r="M4664" s="852"/>
    </row>
    <row r="4665" spans="5:13">
      <c r="E4665" s="852"/>
      <c r="F4665" s="852"/>
      <c r="G4665" s="852"/>
      <c r="H4665" s="852"/>
      <c r="I4665" s="852"/>
      <c r="J4665" s="852"/>
      <c r="K4665" s="852"/>
      <c r="L4665" s="852"/>
      <c r="M4665" s="852"/>
    </row>
    <row r="4666" spans="5:13">
      <c r="E4666" s="852"/>
      <c r="F4666" s="852"/>
      <c r="G4666" s="852"/>
      <c r="H4666" s="852"/>
      <c r="I4666" s="852"/>
      <c r="J4666" s="852"/>
      <c r="K4666" s="852"/>
      <c r="L4666" s="852"/>
      <c r="M4666" s="852"/>
    </row>
    <row r="4667" spans="5:13">
      <c r="E4667" s="852"/>
      <c r="F4667" s="852"/>
      <c r="G4667" s="852"/>
      <c r="H4667" s="852"/>
      <c r="I4667" s="852"/>
      <c r="J4667" s="852"/>
      <c r="K4667" s="852"/>
      <c r="L4667" s="852"/>
      <c r="M4667" s="852"/>
    </row>
    <row r="4668" spans="5:13">
      <c r="E4668" s="852"/>
      <c r="F4668" s="852"/>
      <c r="G4668" s="852"/>
      <c r="H4668" s="852"/>
      <c r="I4668" s="852"/>
      <c r="J4668" s="852"/>
      <c r="K4668" s="852"/>
      <c r="L4668" s="852"/>
      <c r="M4668" s="852"/>
    </row>
    <row r="4669" spans="5:13">
      <c r="E4669" s="852"/>
      <c r="F4669" s="852"/>
      <c r="G4669" s="852"/>
      <c r="H4669" s="852"/>
      <c r="I4669" s="852"/>
      <c r="J4669" s="852"/>
      <c r="K4669" s="852"/>
      <c r="L4669" s="852"/>
      <c r="M4669" s="852"/>
    </row>
    <row r="4670" spans="5:13">
      <c r="E4670" s="852"/>
      <c r="F4670" s="852"/>
      <c r="G4670" s="852"/>
      <c r="H4670" s="852"/>
      <c r="I4670" s="852"/>
      <c r="J4670" s="852"/>
      <c r="K4670" s="852"/>
      <c r="L4670" s="852"/>
      <c r="M4670" s="852"/>
    </row>
    <row r="4671" spans="5:13">
      <c r="E4671" s="852"/>
      <c r="F4671" s="852"/>
      <c r="G4671" s="852"/>
      <c r="H4671" s="852"/>
      <c r="I4671" s="852"/>
      <c r="J4671" s="852"/>
      <c r="K4671" s="852"/>
      <c r="L4671" s="852"/>
      <c r="M4671" s="852"/>
    </row>
    <row r="4672" spans="5:13">
      <c r="E4672" s="852"/>
      <c r="F4672" s="852"/>
      <c r="G4672" s="852"/>
      <c r="H4672" s="852"/>
      <c r="I4672" s="852"/>
      <c r="J4672" s="852"/>
      <c r="K4672" s="852"/>
      <c r="L4672" s="852"/>
      <c r="M4672" s="852"/>
    </row>
    <row r="4673" spans="5:13">
      <c r="E4673" s="852"/>
      <c r="F4673" s="852"/>
      <c r="G4673" s="852"/>
      <c r="H4673" s="852"/>
      <c r="I4673" s="852"/>
      <c r="J4673" s="852"/>
      <c r="K4673" s="852"/>
      <c r="L4673" s="852"/>
      <c r="M4673" s="852"/>
    </row>
    <row r="4674" spans="5:13">
      <c r="E4674" s="852"/>
      <c r="F4674" s="852"/>
      <c r="G4674" s="852"/>
      <c r="H4674" s="852"/>
      <c r="I4674" s="852"/>
      <c r="J4674" s="852"/>
      <c r="K4674" s="852"/>
      <c r="L4674" s="852"/>
      <c r="M4674" s="852"/>
    </row>
    <row r="4675" spans="5:13">
      <c r="E4675" s="852"/>
      <c r="F4675" s="852"/>
      <c r="G4675" s="852"/>
      <c r="H4675" s="852"/>
      <c r="I4675" s="852"/>
      <c r="J4675" s="852"/>
      <c r="K4675" s="852"/>
      <c r="L4675" s="852"/>
      <c r="M4675" s="852"/>
    </row>
    <row r="4676" spans="5:13">
      <c r="E4676" s="852"/>
      <c r="F4676" s="852"/>
      <c r="G4676" s="852"/>
      <c r="H4676" s="852"/>
      <c r="I4676" s="852"/>
      <c r="J4676" s="852"/>
      <c r="K4676" s="852"/>
      <c r="L4676" s="852"/>
      <c r="M4676" s="852"/>
    </row>
    <row r="4677" spans="5:13">
      <c r="E4677" s="852"/>
      <c r="F4677" s="852"/>
      <c r="G4677" s="852"/>
      <c r="H4677" s="852"/>
      <c r="I4677" s="852"/>
      <c r="J4677" s="852"/>
      <c r="K4677" s="852"/>
      <c r="L4677" s="852"/>
      <c r="M4677" s="852"/>
    </row>
    <row r="4678" spans="5:13">
      <c r="E4678" s="852"/>
      <c r="F4678" s="852"/>
      <c r="G4678" s="852"/>
      <c r="H4678" s="852"/>
      <c r="I4678" s="852"/>
      <c r="J4678" s="852"/>
      <c r="K4678" s="852"/>
      <c r="L4678" s="852"/>
      <c r="M4678" s="852"/>
    </row>
    <row r="4679" spans="5:13">
      <c r="E4679" s="852"/>
      <c r="F4679" s="852"/>
      <c r="G4679" s="852"/>
      <c r="H4679" s="852"/>
      <c r="I4679" s="852"/>
      <c r="J4679" s="852"/>
      <c r="K4679" s="852"/>
      <c r="L4679" s="852"/>
      <c r="M4679" s="852"/>
    </row>
    <row r="4680" spans="5:13">
      <c r="E4680" s="852"/>
      <c r="F4680" s="852"/>
      <c r="G4680" s="852"/>
      <c r="H4680" s="852"/>
      <c r="I4680" s="852"/>
      <c r="J4680" s="852"/>
      <c r="K4680" s="852"/>
      <c r="L4680" s="852"/>
      <c r="M4680" s="852"/>
    </row>
    <row r="4681" spans="5:13">
      <c r="E4681" s="852"/>
      <c r="F4681" s="852"/>
      <c r="G4681" s="852"/>
      <c r="H4681" s="852"/>
      <c r="I4681" s="852"/>
      <c r="J4681" s="852"/>
      <c r="K4681" s="852"/>
      <c r="L4681" s="852"/>
      <c r="M4681" s="852"/>
    </row>
    <row r="4682" spans="5:13">
      <c r="E4682" s="852"/>
      <c r="F4682" s="852"/>
      <c r="G4682" s="852"/>
      <c r="H4682" s="852"/>
      <c r="I4682" s="852"/>
      <c r="J4682" s="852"/>
      <c r="K4682" s="852"/>
      <c r="L4682" s="852"/>
      <c r="M4682" s="852"/>
    </row>
    <row r="4683" spans="5:13">
      <c r="E4683" s="852"/>
      <c r="F4683" s="852"/>
      <c r="G4683" s="852"/>
      <c r="H4683" s="852"/>
      <c r="I4683" s="852"/>
      <c r="J4683" s="852"/>
      <c r="K4683" s="852"/>
      <c r="L4683" s="852"/>
      <c r="M4683" s="852"/>
    </row>
    <row r="4684" spans="5:13">
      <c r="E4684" s="852"/>
      <c r="F4684" s="852"/>
      <c r="G4684" s="852"/>
      <c r="H4684" s="852"/>
      <c r="I4684" s="852"/>
      <c r="J4684" s="852"/>
      <c r="K4684" s="852"/>
      <c r="L4684" s="852"/>
      <c r="M4684" s="852"/>
    </row>
    <row r="4685" spans="5:13">
      <c r="E4685" s="852"/>
      <c r="F4685" s="852"/>
      <c r="G4685" s="852"/>
      <c r="H4685" s="852"/>
      <c r="I4685" s="852"/>
      <c r="J4685" s="852"/>
      <c r="K4685" s="852"/>
      <c r="L4685" s="852"/>
      <c r="M4685" s="852"/>
    </row>
    <row r="4686" spans="5:13">
      <c r="E4686" s="852"/>
      <c r="F4686" s="852"/>
      <c r="G4686" s="852"/>
      <c r="H4686" s="852"/>
      <c r="I4686" s="852"/>
      <c r="J4686" s="852"/>
      <c r="K4686" s="852"/>
      <c r="L4686" s="852"/>
      <c r="M4686" s="852"/>
    </row>
    <row r="4687" spans="5:13">
      <c r="E4687" s="852"/>
      <c r="F4687" s="852"/>
      <c r="G4687" s="852"/>
      <c r="H4687" s="852"/>
      <c r="I4687" s="852"/>
      <c r="J4687" s="852"/>
      <c r="K4687" s="852"/>
      <c r="L4687" s="852"/>
      <c r="M4687" s="852"/>
    </row>
    <row r="4688" spans="5:13">
      <c r="E4688" s="852"/>
      <c r="F4688" s="852"/>
      <c r="G4688" s="852"/>
      <c r="H4688" s="852"/>
      <c r="I4688" s="852"/>
      <c r="J4688" s="852"/>
      <c r="K4688" s="852"/>
      <c r="L4688" s="852"/>
      <c r="M4688" s="852"/>
    </row>
    <row r="4689" spans="5:13">
      <c r="E4689" s="852"/>
      <c r="F4689" s="852"/>
      <c r="G4689" s="852"/>
      <c r="H4689" s="852"/>
      <c r="I4689" s="852"/>
      <c r="J4689" s="852"/>
      <c r="K4689" s="852"/>
      <c r="L4689" s="852"/>
      <c r="M4689" s="852"/>
    </row>
    <row r="4690" spans="5:13">
      <c r="E4690" s="852"/>
      <c r="F4690" s="852"/>
      <c r="G4690" s="852"/>
      <c r="H4690" s="852"/>
      <c r="I4690" s="852"/>
      <c r="J4690" s="852"/>
      <c r="K4690" s="852"/>
      <c r="L4690" s="852"/>
      <c r="M4690" s="852"/>
    </row>
    <row r="4691" spans="5:13">
      <c r="E4691" s="852"/>
      <c r="F4691" s="852"/>
      <c r="G4691" s="852"/>
      <c r="H4691" s="852"/>
      <c r="I4691" s="852"/>
      <c r="J4691" s="852"/>
      <c r="K4691" s="852"/>
      <c r="L4691" s="852"/>
      <c r="M4691" s="852"/>
    </row>
    <row r="4692" spans="5:13">
      <c r="E4692" s="852"/>
      <c r="F4692" s="852"/>
      <c r="G4692" s="852"/>
      <c r="H4692" s="852"/>
      <c r="I4692" s="852"/>
      <c r="J4692" s="852"/>
      <c r="K4692" s="852"/>
      <c r="L4692" s="852"/>
      <c r="M4692" s="852"/>
    </row>
    <row r="4693" spans="5:13">
      <c r="E4693" s="852"/>
      <c r="F4693" s="852"/>
      <c r="G4693" s="852"/>
      <c r="H4693" s="852"/>
      <c r="I4693" s="852"/>
      <c r="J4693" s="852"/>
      <c r="K4693" s="852"/>
      <c r="L4693" s="852"/>
      <c r="M4693" s="852"/>
    </row>
    <row r="4694" spans="5:13">
      <c r="E4694" s="852"/>
      <c r="F4694" s="852"/>
      <c r="G4694" s="852"/>
      <c r="H4694" s="852"/>
      <c r="I4694" s="852"/>
      <c r="J4694" s="852"/>
      <c r="K4694" s="852"/>
      <c r="L4694" s="852"/>
      <c r="M4694" s="852"/>
    </row>
    <row r="4695" spans="5:13">
      <c r="E4695" s="852"/>
      <c r="F4695" s="852"/>
      <c r="G4695" s="852"/>
      <c r="H4695" s="852"/>
      <c r="I4695" s="852"/>
      <c r="J4695" s="852"/>
      <c r="K4695" s="852"/>
      <c r="L4695" s="852"/>
      <c r="M4695" s="852"/>
    </row>
    <row r="4696" spans="5:13">
      <c r="E4696" s="852"/>
      <c r="F4696" s="852"/>
      <c r="G4696" s="852"/>
      <c r="H4696" s="852"/>
      <c r="I4696" s="852"/>
      <c r="J4696" s="852"/>
      <c r="K4696" s="852"/>
      <c r="L4696" s="852"/>
      <c r="M4696" s="852"/>
    </row>
    <row r="4697" spans="5:13">
      <c r="E4697" s="852"/>
      <c r="F4697" s="852"/>
      <c r="G4697" s="852"/>
      <c r="H4697" s="852"/>
      <c r="I4697" s="852"/>
      <c r="J4697" s="852"/>
      <c r="K4697" s="852"/>
      <c r="L4697" s="852"/>
      <c r="M4697" s="852"/>
    </row>
    <row r="4698" spans="5:13">
      <c r="E4698" s="852"/>
      <c r="F4698" s="852"/>
      <c r="G4698" s="852"/>
      <c r="H4698" s="852"/>
      <c r="I4698" s="852"/>
      <c r="J4698" s="852"/>
      <c r="K4698" s="852"/>
      <c r="L4698" s="852"/>
      <c r="M4698" s="852"/>
    </row>
    <row r="4699" spans="5:13">
      <c r="E4699" s="852"/>
      <c r="F4699" s="852"/>
      <c r="G4699" s="852"/>
      <c r="H4699" s="852"/>
      <c r="I4699" s="852"/>
      <c r="J4699" s="852"/>
      <c r="K4699" s="852"/>
      <c r="L4699" s="852"/>
      <c r="M4699" s="852"/>
    </row>
    <row r="4700" spans="5:13">
      <c r="E4700" s="852"/>
      <c r="F4700" s="852"/>
      <c r="G4700" s="852"/>
      <c r="H4700" s="852"/>
      <c r="I4700" s="852"/>
      <c r="J4700" s="852"/>
      <c r="K4700" s="852"/>
      <c r="L4700" s="852"/>
      <c r="M4700" s="852"/>
    </row>
    <row r="4701" spans="5:13">
      <c r="E4701" s="852"/>
      <c r="F4701" s="852"/>
      <c r="G4701" s="852"/>
      <c r="H4701" s="852"/>
      <c r="I4701" s="852"/>
      <c r="J4701" s="852"/>
      <c r="K4701" s="852"/>
      <c r="L4701" s="852"/>
      <c r="M4701" s="852"/>
    </row>
    <row r="4702" spans="5:13">
      <c r="E4702" s="852"/>
      <c r="F4702" s="852"/>
      <c r="G4702" s="852"/>
      <c r="H4702" s="852"/>
      <c r="I4702" s="852"/>
      <c r="J4702" s="852"/>
      <c r="K4702" s="852"/>
      <c r="L4702" s="852"/>
      <c r="M4702" s="852"/>
    </row>
    <row r="4703" spans="5:13">
      <c r="E4703" s="852"/>
      <c r="F4703" s="852"/>
      <c r="G4703" s="852"/>
      <c r="H4703" s="852"/>
      <c r="I4703" s="852"/>
      <c r="J4703" s="852"/>
      <c r="K4703" s="852"/>
      <c r="L4703" s="852"/>
      <c r="M4703" s="852"/>
    </row>
    <row r="4704" spans="5:13">
      <c r="E4704" s="852"/>
      <c r="F4704" s="852"/>
      <c r="G4704" s="852"/>
      <c r="H4704" s="852"/>
      <c r="I4704" s="852"/>
      <c r="J4704" s="852"/>
      <c r="K4704" s="852"/>
      <c r="L4704" s="852"/>
      <c r="M4704" s="852"/>
    </row>
    <row r="4705" spans="5:13">
      <c r="E4705" s="852"/>
      <c r="F4705" s="852"/>
      <c r="G4705" s="852"/>
      <c r="H4705" s="852"/>
      <c r="I4705" s="852"/>
      <c r="J4705" s="852"/>
      <c r="K4705" s="852"/>
      <c r="L4705" s="852"/>
      <c r="M4705" s="852"/>
    </row>
    <row r="4706" spans="5:13">
      <c r="E4706" s="852"/>
      <c r="F4706" s="852"/>
      <c r="G4706" s="852"/>
      <c r="H4706" s="852"/>
      <c r="I4706" s="852"/>
      <c r="J4706" s="852"/>
      <c r="K4706" s="852"/>
      <c r="L4706" s="852"/>
      <c r="M4706" s="852"/>
    </row>
    <row r="4707" spans="5:13">
      <c r="E4707" s="852"/>
      <c r="F4707" s="852"/>
      <c r="G4707" s="852"/>
      <c r="H4707" s="852"/>
      <c r="I4707" s="852"/>
      <c r="J4707" s="852"/>
      <c r="K4707" s="852"/>
      <c r="L4707" s="852"/>
      <c r="M4707" s="852"/>
    </row>
    <row r="4708" spans="5:13">
      <c r="E4708" s="852"/>
      <c r="F4708" s="852"/>
      <c r="G4708" s="852"/>
      <c r="H4708" s="852"/>
      <c r="I4708" s="852"/>
      <c r="J4708" s="852"/>
      <c r="K4708" s="852"/>
      <c r="L4708" s="852"/>
      <c r="M4708" s="852"/>
    </row>
    <row r="4709" spans="5:13">
      <c r="E4709" s="852"/>
      <c r="F4709" s="852"/>
      <c r="G4709" s="852"/>
      <c r="H4709" s="852"/>
      <c r="I4709" s="852"/>
      <c r="J4709" s="852"/>
      <c r="K4709" s="852"/>
      <c r="L4709" s="852"/>
      <c r="M4709" s="852"/>
    </row>
    <row r="4710" spans="5:13">
      <c r="E4710" s="852"/>
      <c r="F4710" s="852"/>
      <c r="G4710" s="852"/>
      <c r="H4710" s="852"/>
      <c r="I4710" s="852"/>
      <c r="J4710" s="852"/>
      <c r="K4710" s="852"/>
      <c r="L4710" s="852"/>
      <c r="M4710" s="852"/>
    </row>
    <row r="4711" spans="5:13">
      <c r="E4711" s="852"/>
      <c r="F4711" s="852"/>
      <c r="G4711" s="852"/>
      <c r="H4711" s="852"/>
      <c r="I4711" s="852"/>
      <c r="J4711" s="852"/>
      <c r="K4711" s="852"/>
      <c r="L4711" s="852"/>
      <c r="M4711" s="852"/>
    </row>
    <row r="4712" spans="5:13">
      <c r="E4712" s="852"/>
      <c r="F4712" s="852"/>
      <c r="G4712" s="852"/>
      <c r="H4712" s="852"/>
      <c r="I4712" s="852"/>
      <c r="J4712" s="852"/>
      <c r="K4712" s="852"/>
      <c r="L4712" s="852"/>
      <c r="M4712" s="852"/>
    </row>
    <row r="4713" spans="5:13">
      <c r="E4713" s="852"/>
      <c r="F4713" s="852"/>
      <c r="G4713" s="852"/>
      <c r="H4713" s="852"/>
      <c r="I4713" s="852"/>
      <c r="J4713" s="852"/>
      <c r="K4713" s="852"/>
      <c r="L4713" s="852"/>
      <c r="M4713" s="852"/>
    </row>
    <row r="4714" spans="5:13">
      <c r="E4714" s="852"/>
      <c r="F4714" s="852"/>
      <c r="G4714" s="852"/>
      <c r="H4714" s="852"/>
      <c r="I4714" s="852"/>
      <c r="J4714" s="852"/>
      <c r="K4714" s="852"/>
      <c r="L4714" s="852"/>
      <c r="M4714" s="852"/>
    </row>
    <row r="4715" spans="5:13">
      <c r="E4715" s="852"/>
      <c r="F4715" s="852"/>
      <c r="G4715" s="852"/>
      <c r="H4715" s="852"/>
      <c r="I4715" s="852"/>
      <c r="J4715" s="852"/>
      <c r="K4715" s="852"/>
      <c r="L4715" s="852"/>
      <c r="M4715" s="852"/>
    </row>
    <row r="4716" spans="5:13">
      <c r="E4716" s="852"/>
      <c r="F4716" s="852"/>
      <c r="G4716" s="852"/>
      <c r="H4716" s="852"/>
      <c r="I4716" s="852"/>
      <c r="J4716" s="852"/>
      <c r="K4716" s="852"/>
      <c r="L4716" s="852"/>
      <c r="M4716" s="852"/>
    </row>
    <row r="4717" spans="5:13">
      <c r="E4717" s="852"/>
      <c r="F4717" s="852"/>
      <c r="G4717" s="852"/>
      <c r="H4717" s="852"/>
      <c r="I4717" s="852"/>
      <c r="J4717" s="852"/>
      <c r="K4717" s="852"/>
      <c r="L4717" s="852"/>
      <c r="M4717" s="852"/>
    </row>
    <row r="4718" spans="5:13">
      <c r="E4718" s="852"/>
      <c r="F4718" s="852"/>
      <c r="G4718" s="852"/>
      <c r="H4718" s="852"/>
      <c r="I4718" s="852"/>
      <c r="J4718" s="852"/>
      <c r="K4718" s="852"/>
      <c r="L4718" s="852"/>
      <c r="M4718" s="852"/>
    </row>
    <row r="4719" spans="5:13">
      <c r="E4719" s="852"/>
      <c r="F4719" s="852"/>
      <c r="G4719" s="852"/>
      <c r="H4719" s="852"/>
      <c r="I4719" s="852"/>
      <c r="J4719" s="852"/>
      <c r="K4719" s="852"/>
      <c r="L4719" s="852"/>
      <c r="M4719" s="852"/>
    </row>
    <row r="4720" spans="5:13">
      <c r="E4720" s="852"/>
      <c r="F4720" s="852"/>
      <c r="G4720" s="852"/>
      <c r="H4720" s="852"/>
      <c r="I4720" s="852"/>
      <c r="J4720" s="852"/>
      <c r="K4720" s="852"/>
      <c r="L4720" s="852"/>
      <c r="M4720" s="852"/>
    </row>
    <row r="4721" spans="5:13">
      <c r="E4721" s="852"/>
      <c r="F4721" s="852"/>
      <c r="G4721" s="852"/>
      <c r="H4721" s="852"/>
      <c r="I4721" s="852"/>
      <c r="J4721" s="852"/>
      <c r="K4721" s="852"/>
      <c r="L4721" s="852"/>
      <c r="M4721" s="852"/>
    </row>
    <row r="4722" spans="5:13">
      <c r="E4722" s="852"/>
      <c r="F4722" s="852"/>
      <c r="G4722" s="852"/>
      <c r="H4722" s="852"/>
      <c r="I4722" s="852"/>
      <c r="J4722" s="852"/>
      <c r="K4722" s="852"/>
      <c r="L4722" s="852"/>
      <c r="M4722" s="852"/>
    </row>
    <row r="4723" spans="5:13">
      <c r="E4723" s="852"/>
      <c r="F4723" s="852"/>
      <c r="G4723" s="852"/>
      <c r="H4723" s="852"/>
      <c r="I4723" s="852"/>
      <c r="J4723" s="852"/>
      <c r="K4723" s="852"/>
      <c r="L4723" s="852"/>
      <c r="M4723" s="852"/>
    </row>
    <row r="4724" spans="5:13">
      <c r="E4724" s="852"/>
      <c r="F4724" s="852"/>
      <c r="G4724" s="852"/>
      <c r="H4724" s="852"/>
      <c r="I4724" s="852"/>
      <c r="J4724" s="852"/>
      <c r="K4724" s="852"/>
      <c r="L4724" s="852"/>
      <c r="M4724" s="852"/>
    </row>
    <row r="4725" spans="5:13">
      <c r="E4725" s="852"/>
      <c r="F4725" s="852"/>
      <c r="G4725" s="852"/>
      <c r="H4725" s="852"/>
      <c r="I4725" s="852"/>
      <c r="J4725" s="852"/>
      <c r="K4725" s="852"/>
      <c r="L4725" s="852"/>
      <c r="M4725" s="852"/>
    </row>
    <row r="4726" spans="5:13">
      <c r="E4726" s="852"/>
      <c r="F4726" s="852"/>
      <c r="G4726" s="852"/>
      <c r="H4726" s="852"/>
      <c r="I4726" s="852"/>
      <c r="J4726" s="852"/>
      <c r="K4726" s="852"/>
      <c r="L4726" s="852"/>
      <c r="M4726" s="852"/>
    </row>
    <row r="4727" spans="5:13">
      <c r="E4727" s="852"/>
      <c r="F4727" s="852"/>
      <c r="G4727" s="852"/>
      <c r="H4727" s="852"/>
      <c r="I4727" s="852"/>
      <c r="J4727" s="852"/>
      <c r="K4727" s="852"/>
      <c r="L4727" s="852"/>
      <c r="M4727" s="852"/>
    </row>
    <row r="4728" spans="5:13">
      <c r="E4728" s="852"/>
      <c r="F4728" s="852"/>
      <c r="G4728" s="852"/>
      <c r="H4728" s="852"/>
      <c r="I4728" s="852"/>
      <c r="J4728" s="852"/>
      <c r="K4728" s="852"/>
      <c r="L4728" s="852"/>
      <c r="M4728" s="852"/>
    </row>
    <row r="4729" spans="5:13">
      <c r="E4729" s="852"/>
      <c r="F4729" s="852"/>
      <c r="G4729" s="852"/>
      <c r="H4729" s="852"/>
      <c r="I4729" s="852"/>
      <c r="J4729" s="852"/>
      <c r="K4729" s="852"/>
      <c r="L4729" s="852"/>
      <c r="M4729" s="852"/>
    </row>
    <row r="4730" spans="5:13">
      <c r="E4730" s="852"/>
      <c r="F4730" s="852"/>
      <c r="G4730" s="852"/>
      <c r="H4730" s="852"/>
      <c r="I4730" s="852"/>
      <c r="J4730" s="852"/>
      <c r="K4730" s="852"/>
      <c r="L4730" s="852"/>
      <c r="M4730" s="852"/>
    </row>
    <row r="4731" spans="5:13">
      <c r="E4731" s="852"/>
      <c r="F4731" s="852"/>
      <c r="G4731" s="852"/>
      <c r="H4731" s="852"/>
      <c r="I4731" s="852"/>
      <c r="J4731" s="852"/>
      <c r="K4731" s="852"/>
      <c r="L4731" s="852"/>
      <c r="M4731" s="852"/>
    </row>
    <row r="4732" spans="5:13">
      <c r="E4732" s="852"/>
      <c r="F4732" s="852"/>
      <c r="G4732" s="852"/>
      <c r="H4732" s="852"/>
      <c r="I4732" s="852"/>
      <c r="J4732" s="852"/>
      <c r="K4732" s="852"/>
      <c r="L4732" s="852"/>
      <c r="M4732" s="852"/>
    </row>
    <row r="4733" spans="5:13">
      <c r="E4733" s="852"/>
      <c r="F4733" s="852"/>
      <c r="G4733" s="852"/>
      <c r="H4733" s="852"/>
      <c r="I4733" s="852"/>
      <c r="J4733" s="852"/>
      <c r="K4733" s="852"/>
      <c r="L4733" s="852"/>
      <c r="M4733" s="852"/>
    </row>
    <row r="4734" spans="5:13">
      <c r="E4734" s="852"/>
      <c r="F4734" s="852"/>
      <c r="G4734" s="852"/>
      <c r="H4734" s="852"/>
      <c r="I4734" s="852"/>
      <c r="J4734" s="852"/>
      <c r="K4734" s="852"/>
      <c r="L4734" s="852"/>
      <c r="M4734" s="852"/>
    </row>
    <row r="4735" spans="5:13">
      <c r="E4735" s="852"/>
      <c r="F4735" s="852"/>
      <c r="G4735" s="852"/>
      <c r="H4735" s="852"/>
      <c r="I4735" s="852"/>
      <c r="J4735" s="852"/>
      <c r="K4735" s="852"/>
      <c r="L4735" s="852"/>
      <c r="M4735" s="852"/>
    </row>
    <row r="4736" spans="5:13">
      <c r="E4736" s="852"/>
      <c r="F4736" s="852"/>
      <c r="G4736" s="852"/>
      <c r="H4736" s="852"/>
      <c r="I4736" s="852"/>
      <c r="J4736" s="852"/>
      <c r="K4736" s="852"/>
      <c r="L4736" s="852"/>
      <c r="M4736" s="852"/>
    </row>
    <row r="4737" spans="5:13">
      <c r="E4737" s="852"/>
      <c r="F4737" s="852"/>
      <c r="G4737" s="852"/>
      <c r="H4737" s="852"/>
      <c r="I4737" s="852"/>
      <c r="J4737" s="852"/>
      <c r="K4737" s="852"/>
      <c r="L4737" s="852"/>
      <c r="M4737" s="852"/>
    </row>
    <row r="4738" spans="5:13">
      <c r="E4738" s="852"/>
      <c r="F4738" s="852"/>
      <c r="G4738" s="852"/>
      <c r="H4738" s="852"/>
      <c r="I4738" s="852"/>
      <c r="J4738" s="852"/>
      <c r="K4738" s="852"/>
      <c r="L4738" s="852"/>
      <c r="M4738" s="852"/>
    </row>
    <row r="4739" spans="5:13">
      <c r="E4739" s="852"/>
      <c r="F4739" s="852"/>
      <c r="G4739" s="852"/>
      <c r="H4739" s="852"/>
      <c r="I4739" s="852"/>
      <c r="J4739" s="852"/>
      <c r="K4739" s="852"/>
      <c r="L4739" s="852"/>
      <c r="M4739" s="852"/>
    </row>
    <row r="4740" spans="5:13">
      <c r="E4740" s="852"/>
      <c r="F4740" s="852"/>
      <c r="G4740" s="852"/>
      <c r="H4740" s="852"/>
      <c r="I4740" s="852"/>
      <c r="J4740" s="852"/>
      <c r="K4740" s="852"/>
      <c r="L4740" s="852"/>
      <c r="M4740" s="852"/>
    </row>
    <row r="4741" spans="5:13">
      <c r="E4741" s="852"/>
      <c r="F4741" s="852"/>
      <c r="G4741" s="852"/>
      <c r="H4741" s="852"/>
      <c r="I4741" s="852"/>
      <c r="J4741" s="852"/>
      <c r="K4741" s="852"/>
      <c r="L4741" s="852"/>
      <c r="M4741" s="852"/>
    </row>
    <row r="4742" spans="5:13">
      <c r="E4742" s="852"/>
      <c r="F4742" s="852"/>
      <c r="G4742" s="852"/>
      <c r="H4742" s="852"/>
      <c r="I4742" s="852"/>
      <c r="J4742" s="852"/>
      <c r="K4742" s="852"/>
      <c r="L4742" s="852"/>
      <c r="M4742" s="852"/>
    </row>
    <row r="4743" spans="5:13">
      <c r="E4743" s="852"/>
      <c r="F4743" s="852"/>
      <c r="G4743" s="852"/>
      <c r="H4743" s="852"/>
      <c r="I4743" s="852"/>
      <c r="J4743" s="852"/>
      <c r="K4743" s="852"/>
      <c r="L4743" s="852"/>
      <c r="M4743" s="852"/>
    </row>
    <row r="4744" spans="5:13">
      <c r="E4744" s="852"/>
      <c r="F4744" s="852"/>
      <c r="G4744" s="852"/>
      <c r="H4744" s="852"/>
      <c r="I4744" s="852"/>
      <c r="J4744" s="852"/>
      <c r="K4744" s="852"/>
      <c r="L4744" s="852"/>
      <c r="M4744" s="852"/>
    </row>
    <row r="4745" spans="5:13">
      <c r="E4745" s="852"/>
      <c r="F4745" s="852"/>
      <c r="G4745" s="852"/>
      <c r="H4745" s="852"/>
      <c r="I4745" s="852"/>
      <c r="J4745" s="852"/>
      <c r="K4745" s="852"/>
      <c r="L4745" s="852"/>
      <c r="M4745" s="852"/>
    </row>
    <row r="4746" spans="5:13">
      <c r="E4746" s="852"/>
      <c r="F4746" s="852"/>
      <c r="G4746" s="852"/>
      <c r="H4746" s="852"/>
      <c r="I4746" s="852"/>
      <c r="J4746" s="852"/>
      <c r="K4746" s="852"/>
      <c r="L4746" s="852"/>
      <c r="M4746" s="852"/>
    </row>
    <row r="4747" spans="5:13">
      <c r="E4747" s="852"/>
      <c r="F4747" s="852"/>
      <c r="G4747" s="852"/>
      <c r="H4747" s="852"/>
      <c r="I4747" s="852"/>
      <c r="J4747" s="852"/>
      <c r="K4747" s="852"/>
      <c r="L4747" s="852"/>
      <c r="M4747" s="852"/>
    </row>
    <row r="4748" spans="5:13">
      <c r="E4748" s="852"/>
      <c r="F4748" s="852"/>
      <c r="G4748" s="852"/>
      <c r="H4748" s="852"/>
      <c r="I4748" s="852"/>
      <c r="J4748" s="852"/>
      <c r="K4748" s="852"/>
      <c r="L4748" s="852"/>
      <c r="M4748" s="852"/>
    </row>
    <row r="4749" spans="5:13">
      <c r="E4749" s="852"/>
      <c r="F4749" s="852"/>
      <c r="G4749" s="852"/>
      <c r="H4749" s="852"/>
      <c r="I4749" s="852"/>
      <c r="J4749" s="852"/>
      <c r="K4749" s="852"/>
      <c r="L4749" s="852"/>
      <c r="M4749" s="852"/>
    </row>
    <row r="4750" spans="5:13">
      <c r="E4750" s="852"/>
      <c r="F4750" s="852"/>
      <c r="G4750" s="852"/>
      <c r="H4750" s="852"/>
      <c r="I4750" s="852"/>
      <c r="J4750" s="852"/>
      <c r="K4750" s="852"/>
      <c r="L4750" s="852"/>
      <c r="M4750" s="852"/>
    </row>
    <row r="4751" spans="5:13">
      <c r="E4751" s="852"/>
      <c r="F4751" s="852"/>
      <c r="G4751" s="852"/>
      <c r="H4751" s="852"/>
      <c r="I4751" s="852"/>
      <c r="J4751" s="852"/>
      <c r="K4751" s="852"/>
      <c r="L4751" s="852"/>
      <c r="M4751" s="852"/>
    </row>
    <row r="4752" spans="5:13">
      <c r="E4752" s="852"/>
      <c r="F4752" s="852"/>
      <c r="G4752" s="852"/>
      <c r="H4752" s="852"/>
      <c r="I4752" s="852"/>
      <c r="J4752" s="852"/>
      <c r="K4752" s="852"/>
      <c r="L4752" s="852"/>
      <c r="M4752" s="852"/>
    </row>
    <row r="4753" spans="5:13">
      <c r="E4753" s="852"/>
      <c r="F4753" s="852"/>
      <c r="G4753" s="852"/>
      <c r="H4753" s="852"/>
      <c r="I4753" s="852"/>
      <c r="J4753" s="852"/>
      <c r="K4753" s="852"/>
      <c r="L4753" s="852"/>
      <c r="M4753" s="852"/>
    </row>
    <row r="4754" spans="5:13">
      <c r="E4754" s="852"/>
      <c r="F4754" s="852"/>
      <c r="G4754" s="852"/>
      <c r="H4754" s="852"/>
      <c r="I4754" s="852"/>
      <c r="J4754" s="852"/>
      <c r="K4754" s="852"/>
      <c r="L4754" s="852"/>
      <c r="M4754" s="852"/>
    </row>
    <row r="4755" spans="5:13">
      <c r="E4755" s="852"/>
      <c r="F4755" s="852"/>
      <c r="G4755" s="852"/>
      <c r="H4755" s="852"/>
      <c r="I4755" s="852"/>
      <c r="J4755" s="852"/>
      <c r="K4755" s="852"/>
      <c r="L4755" s="852"/>
      <c r="M4755" s="852"/>
    </row>
    <row r="4756" spans="5:13">
      <c r="E4756" s="852"/>
      <c r="F4756" s="852"/>
      <c r="G4756" s="852"/>
      <c r="H4756" s="852"/>
      <c r="I4756" s="852"/>
      <c r="J4756" s="852"/>
      <c r="K4756" s="852"/>
      <c r="L4756" s="852"/>
      <c r="M4756" s="852"/>
    </row>
    <row r="4757" spans="5:13">
      <c r="E4757" s="852"/>
      <c r="F4757" s="852"/>
      <c r="G4757" s="852"/>
      <c r="H4757" s="852"/>
      <c r="I4757" s="852"/>
      <c r="J4757" s="852"/>
      <c r="K4757" s="852"/>
      <c r="L4757" s="852"/>
      <c r="M4757" s="852"/>
    </row>
    <row r="4758" spans="5:13">
      <c r="E4758" s="852"/>
      <c r="F4758" s="852"/>
      <c r="G4758" s="852"/>
      <c r="H4758" s="852"/>
      <c r="I4758" s="852"/>
      <c r="J4758" s="852"/>
      <c r="K4758" s="852"/>
      <c r="L4758" s="852"/>
      <c r="M4758" s="852"/>
    </row>
    <row r="4759" spans="5:13">
      <c r="E4759" s="852"/>
      <c r="F4759" s="852"/>
      <c r="G4759" s="852"/>
      <c r="H4759" s="852"/>
      <c r="I4759" s="852"/>
      <c r="J4759" s="852"/>
      <c r="K4759" s="852"/>
      <c r="L4759" s="852"/>
      <c r="M4759" s="852"/>
    </row>
    <row r="4760" spans="5:13">
      <c r="E4760" s="852"/>
      <c r="F4760" s="852"/>
      <c r="G4760" s="852"/>
      <c r="H4760" s="852"/>
      <c r="I4760" s="852"/>
      <c r="J4760" s="852"/>
      <c r="K4760" s="852"/>
      <c r="L4760" s="852"/>
      <c r="M4760" s="852"/>
    </row>
    <row r="4761" spans="5:13">
      <c r="E4761" s="852"/>
      <c r="F4761" s="852"/>
      <c r="G4761" s="852"/>
      <c r="H4761" s="852"/>
      <c r="I4761" s="852"/>
      <c r="J4761" s="852"/>
      <c r="K4761" s="852"/>
      <c r="L4761" s="852"/>
      <c r="M4761" s="852"/>
    </row>
    <row r="4762" spans="5:13">
      <c r="E4762" s="852"/>
      <c r="F4762" s="852"/>
      <c r="G4762" s="852"/>
      <c r="H4762" s="852"/>
      <c r="I4762" s="852"/>
      <c r="J4762" s="852"/>
      <c r="K4762" s="852"/>
      <c r="L4762" s="852"/>
      <c r="M4762" s="852"/>
    </row>
    <row r="4763" spans="5:13">
      <c r="E4763" s="852"/>
      <c r="F4763" s="852"/>
      <c r="G4763" s="852"/>
      <c r="H4763" s="852"/>
      <c r="I4763" s="852"/>
      <c r="J4763" s="852"/>
      <c r="K4763" s="852"/>
      <c r="L4763" s="852"/>
      <c r="M4763" s="852"/>
    </row>
    <row r="4764" spans="5:13">
      <c r="E4764" s="852"/>
      <c r="F4764" s="852"/>
      <c r="G4764" s="852"/>
      <c r="H4764" s="852"/>
      <c r="I4764" s="852"/>
      <c r="J4764" s="852"/>
      <c r="K4764" s="852"/>
      <c r="L4764" s="852"/>
      <c r="M4764" s="852"/>
    </row>
    <row r="4765" spans="5:13">
      <c r="E4765" s="852"/>
      <c r="F4765" s="852"/>
      <c r="G4765" s="852"/>
      <c r="H4765" s="852"/>
      <c r="I4765" s="852"/>
      <c r="J4765" s="852"/>
      <c r="K4765" s="852"/>
      <c r="L4765" s="852"/>
      <c r="M4765" s="852"/>
    </row>
    <row r="4766" spans="5:13">
      <c r="E4766" s="852"/>
      <c r="F4766" s="852"/>
      <c r="G4766" s="852"/>
      <c r="H4766" s="852"/>
      <c r="I4766" s="852"/>
      <c r="J4766" s="852"/>
      <c r="K4766" s="852"/>
      <c r="L4766" s="852"/>
      <c r="M4766" s="852"/>
    </row>
    <row r="4767" spans="5:13">
      <c r="E4767" s="852"/>
      <c r="F4767" s="852"/>
      <c r="G4767" s="852"/>
      <c r="H4767" s="852"/>
      <c r="I4767" s="852"/>
      <c r="J4767" s="852"/>
      <c r="K4767" s="852"/>
      <c r="L4767" s="852"/>
      <c r="M4767" s="852"/>
    </row>
    <row r="4768" spans="5:13">
      <c r="E4768" s="852"/>
      <c r="F4768" s="852"/>
      <c r="G4768" s="852"/>
      <c r="H4768" s="852"/>
      <c r="I4768" s="852"/>
      <c r="J4768" s="852"/>
      <c r="K4768" s="852"/>
      <c r="L4768" s="852"/>
      <c r="M4768" s="852"/>
    </row>
    <row r="4769" spans="5:13">
      <c r="E4769" s="852"/>
      <c r="F4769" s="852"/>
      <c r="G4769" s="852"/>
      <c r="H4769" s="852"/>
      <c r="I4769" s="852"/>
      <c r="J4769" s="852"/>
      <c r="K4769" s="852"/>
      <c r="L4769" s="852"/>
      <c r="M4769" s="852"/>
    </row>
    <row r="4770" spans="5:13">
      <c r="E4770" s="852"/>
      <c r="F4770" s="852"/>
      <c r="G4770" s="852"/>
      <c r="H4770" s="852"/>
      <c r="I4770" s="852"/>
      <c r="J4770" s="852"/>
      <c r="K4770" s="852"/>
      <c r="L4770" s="852"/>
      <c r="M4770" s="852"/>
    </row>
    <row r="4771" spans="5:13">
      <c r="E4771" s="852"/>
      <c r="F4771" s="852"/>
      <c r="G4771" s="852"/>
      <c r="H4771" s="852"/>
      <c r="I4771" s="852"/>
      <c r="J4771" s="852"/>
      <c r="K4771" s="852"/>
      <c r="L4771" s="852"/>
      <c r="M4771" s="852"/>
    </row>
    <row r="4772" spans="5:13">
      <c r="E4772" s="852"/>
      <c r="F4772" s="852"/>
      <c r="G4772" s="852"/>
      <c r="H4772" s="852"/>
      <c r="I4772" s="852"/>
      <c r="J4772" s="852"/>
      <c r="K4772" s="852"/>
      <c r="L4772" s="852"/>
      <c r="M4772" s="852"/>
    </row>
    <row r="4773" spans="5:13">
      <c r="E4773" s="852"/>
      <c r="F4773" s="852"/>
      <c r="G4773" s="852"/>
      <c r="H4773" s="852"/>
      <c r="I4773" s="852"/>
      <c r="J4773" s="852"/>
      <c r="K4773" s="852"/>
      <c r="L4773" s="852"/>
      <c r="M4773" s="852"/>
    </row>
    <row r="4774" spans="5:13">
      <c r="E4774" s="852"/>
      <c r="F4774" s="852"/>
      <c r="G4774" s="852"/>
      <c r="H4774" s="852"/>
      <c r="I4774" s="852"/>
      <c r="J4774" s="852"/>
      <c r="K4774" s="852"/>
      <c r="L4774" s="852"/>
      <c r="M4774" s="852"/>
    </row>
    <row r="4775" spans="5:13">
      <c r="E4775" s="852"/>
      <c r="F4775" s="852"/>
      <c r="G4775" s="852"/>
      <c r="H4775" s="852"/>
      <c r="I4775" s="852"/>
      <c r="J4775" s="852"/>
      <c r="K4775" s="852"/>
      <c r="L4775" s="852"/>
      <c r="M4775" s="852"/>
    </row>
    <row r="4776" spans="5:13">
      <c r="E4776" s="852"/>
      <c r="F4776" s="852"/>
      <c r="G4776" s="852"/>
      <c r="H4776" s="852"/>
      <c r="I4776" s="852"/>
      <c r="J4776" s="852"/>
      <c r="K4776" s="852"/>
      <c r="L4776" s="852"/>
      <c r="M4776" s="852"/>
    </row>
    <row r="4777" spans="5:13">
      <c r="E4777" s="852"/>
      <c r="F4777" s="852"/>
      <c r="G4777" s="852"/>
      <c r="H4777" s="852"/>
      <c r="I4777" s="852"/>
      <c r="J4777" s="852"/>
      <c r="K4777" s="852"/>
      <c r="L4777" s="852"/>
      <c r="M4777" s="852"/>
    </row>
    <row r="4778" spans="5:13">
      <c r="E4778" s="852"/>
      <c r="F4778" s="852"/>
      <c r="G4778" s="852"/>
      <c r="H4778" s="852"/>
      <c r="I4778" s="852"/>
      <c r="J4778" s="852"/>
      <c r="K4778" s="852"/>
      <c r="L4778" s="852"/>
      <c r="M4778" s="852"/>
    </row>
    <row r="4779" spans="5:13">
      <c r="E4779" s="852"/>
      <c r="F4779" s="852"/>
      <c r="G4779" s="852"/>
      <c r="H4779" s="852"/>
      <c r="I4779" s="852"/>
      <c r="J4779" s="852"/>
      <c r="K4779" s="852"/>
      <c r="L4779" s="852"/>
      <c r="M4779" s="852"/>
    </row>
    <row r="4780" spans="5:13">
      <c r="E4780" s="852"/>
      <c r="F4780" s="852"/>
      <c r="G4780" s="852"/>
      <c r="H4780" s="852"/>
      <c r="I4780" s="852"/>
      <c r="J4780" s="852"/>
      <c r="K4780" s="852"/>
      <c r="L4780" s="852"/>
      <c r="M4780" s="852"/>
    </row>
    <row r="4781" spans="5:13">
      <c r="E4781" s="852"/>
      <c r="F4781" s="852"/>
      <c r="G4781" s="852"/>
      <c r="H4781" s="852"/>
      <c r="I4781" s="852"/>
      <c r="J4781" s="852"/>
      <c r="K4781" s="852"/>
      <c r="L4781" s="852"/>
      <c r="M4781" s="852"/>
    </row>
    <row r="4782" spans="5:13">
      <c r="E4782" s="852"/>
      <c r="F4782" s="852"/>
      <c r="G4782" s="852"/>
      <c r="H4782" s="852"/>
      <c r="I4782" s="852"/>
      <c r="J4782" s="852"/>
      <c r="K4782" s="852"/>
      <c r="L4782" s="852"/>
      <c r="M4782" s="852"/>
    </row>
    <row r="4783" spans="5:13">
      <c r="E4783" s="852"/>
      <c r="F4783" s="852"/>
      <c r="G4783" s="852"/>
      <c r="H4783" s="852"/>
      <c r="I4783" s="852"/>
      <c r="J4783" s="852"/>
      <c r="K4783" s="852"/>
      <c r="L4783" s="852"/>
      <c r="M4783" s="852"/>
    </row>
    <row r="4784" spans="5:13">
      <c r="E4784" s="852"/>
      <c r="F4784" s="852"/>
      <c r="G4784" s="852"/>
      <c r="H4784" s="852"/>
      <c r="I4784" s="852"/>
      <c r="J4784" s="852"/>
      <c r="K4784" s="852"/>
      <c r="L4784" s="852"/>
      <c r="M4784" s="852"/>
    </row>
    <row r="4785" spans="5:13">
      <c r="E4785" s="852"/>
      <c r="F4785" s="852"/>
      <c r="G4785" s="852"/>
      <c r="H4785" s="852"/>
      <c r="I4785" s="852"/>
      <c r="J4785" s="852"/>
      <c r="K4785" s="852"/>
      <c r="L4785" s="852"/>
      <c r="M4785" s="852"/>
    </row>
    <row r="4786" spans="5:13">
      <c r="E4786" s="852"/>
      <c r="F4786" s="852"/>
      <c r="G4786" s="852"/>
      <c r="H4786" s="852"/>
      <c r="I4786" s="852"/>
      <c r="J4786" s="852"/>
      <c r="K4786" s="852"/>
      <c r="L4786" s="852"/>
      <c r="M4786" s="852"/>
    </row>
    <row r="4787" spans="5:13">
      <c r="E4787" s="852"/>
      <c r="F4787" s="852"/>
      <c r="G4787" s="852"/>
      <c r="H4787" s="852"/>
      <c r="I4787" s="852"/>
      <c r="J4787" s="852"/>
      <c r="K4787" s="852"/>
      <c r="L4787" s="852"/>
      <c r="M4787" s="852"/>
    </row>
    <row r="4788" spans="5:13">
      <c r="E4788" s="852"/>
      <c r="F4788" s="852"/>
      <c r="G4788" s="852"/>
      <c r="H4788" s="852"/>
      <c r="I4788" s="852"/>
      <c r="J4788" s="852"/>
      <c r="K4788" s="852"/>
      <c r="L4788" s="852"/>
      <c r="M4788" s="852"/>
    </row>
    <row r="4789" spans="5:13">
      <c r="E4789" s="852"/>
      <c r="F4789" s="852"/>
      <c r="G4789" s="852"/>
      <c r="H4789" s="852"/>
      <c r="I4789" s="852"/>
      <c r="J4789" s="852"/>
      <c r="K4789" s="852"/>
      <c r="L4789" s="852"/>
      <c r="M4789" s="852"/>
    </row>
    <row r="4790" spans="5:13">
      <c r="E4790" s="852"/>
      <c r="F4790" s="852"/>
      <c r="G4790" s="852"/>
      <c r="H4790" s="852"/>
      <c r="I4790" s="852"/>
      <c r="J4790" s="852"/>
      <c r="K4790" s="852"/>
      <c r="L4790" s="852"/>
      <c r="M4790" s="852"/>
    </row>
    <row r="4791" spans="5:13">
      <c r="E4791" s="852"/>
      <c r="F4791" s="852"/>
      <c r="G4791" s="852"/>
      <c r="H4791" s="852"/>
      <c r="I4791" s="852"/>
      <c r="J4791" s="852"/>
      <c r="K4791" s="852"/>
      <c r="L4791" s="852"/>
      <c r="M4791" s="852"/>
    </row>
    <row r="4792" spans="5:13">
      <c r="E4792" s="852"/>
      <c r="F4792" s="852"/>
      <c r="G4792" s="852"/>
      <c r="H4792" s="852"/>
      <c r="I4792" s="852"/>
      <c r="J4792" s="852"/>
      <c r="K4792" s="852"/>
      <c r="L4792" s="852"/>
      <c r="M4792" s="852"/>
    </row>
    <row r="4793" spans="5:13">
      <c r="E4793" s="852"/>
      <c r="F4793" s="852"/>
      <c r="G4793" s="852"/>
      <c r="H4793" s="852"/>
      <c r="I4793" s="852"/>
      <c r="J4793" s="852"/>
      <c r="K4793" s="852"/>
      <c r="L4793" s="852"/>
      <c r="M4793" s="852"/>
    </row>
    <row r="4794" spans="5:13">
      <c r="E4794" s="852"/>
      <c r="F4794" s="852"/>
      <c r="G4794" s="852"/>
      <c r="H4794" s="852"/>
      <c r="I4794" s="852"/>
      <c r="J4794" s="852"/>
      <c r="K4794" s="852"/>
      <c r="L4794" s="852"/>
      <c r="M4794" s="852"/>
    </row>
    <row r="4795" spans="5:13">
      <c r="E4795" s="852"/>
      <c r="F4795" s="852"/>
      <c r="G4795" s="852"/>
      <c r="H4795" s="852"/>
      <c r="I4795" s="852"/>
      <c r="J4795" s="852"/>
      <c r="K4795" s="852"/>
      <c r="L4795" s="852"/>
      <c r="M4795" s="852"/>
    </row>
    <row r="4796" spans="5:13">
      <c r="E4796" s="852"/>
      <c r="F4796" s="852"/>
      <c r="G4796" s="852"/>
      <c r="H4796" s="852"/>
      <c r="I4796" s="852"/>
      <c r="J4796" s="852"/>
      <c r="K4796" s="852"/>
      <c r="L4796" s="852"/>
      <c r="M4796" s="852"/>
    </row>
    <row r="4797" spans="5:13">
      <c r="E4797" s="852"/>
      <c r="F4797" s="852"/>
      <c r="G4797" s="852"/>
      <c r="H4797" s="852"/>
      <c r="I4797" s="852"/>
      <c r="J4797" s="852"/>
      <c r="K4797" s="852"/>
      <c r="L4797" s="852"/>
      <c r="M4797" s="852"/>
    </row>
    <row r="4798" spans="5:13">
      <c r="E4798" s="852"/>
      <c r="F4798" s="852"/>
      <c r="G4798" s="852"/>
      <c r="H4798" s="852"/>
      <c r="I4798" s="852"/>
      <c r="J4798" s="852"/>
      <c r="K4798" s="852"/>
      <c r="L4798" s="852"/>
      <c r="M4798" s="852"/>
    </row>
    <row r="4799" spans="5:13">
      <c r="E4799" s="852"/>
      <c r="F4799" s="852"/>
      <c r="G4799" s="852"/>
      <c r="H4799" s="852"/>
      <c r="I4799" s="852"/>
      <c r="J4799" s="852"/>
      <c r="K4799" s="852"/>
      <c r="L4799" s="852"/>
      <c r="M4799" s="852"/>
    </row>
    <row r="4800" spans="5:13">
      <c r="E4800" s="852"/>
      <c r="F4800" s="852"/>
      <c r="G4800" s="852"/>
      <c r="H4800" s="852"/>
      <c r="I4800" s="852"/>
      <c r="J4800" s="852"/>
      <c r="K4800" s="852"/>
      <c r="L4800" s="852"/>
      <c r="M4800" s="852"/>
    </row>
    <row r="4801" spans="5:13">
      <c r="E4801" s="852"/>
      <c r="F4801" s="852"/>
      <c r="G4801" s="852"/>
      <c r="H4801" s="852"/>
      <c r="I4801" s="852"/>
      <c r="J4801" s="852"/>
      <c r="K4801" s="852"/>
      <c r="L4801" s="852"/>
      <c r="M4801" s="852"/>
    </row>
    <row r="4802" spans="5:13">
      <c r="E4802" s="852"/>
      <c r="F4802" s="852"/>
      <c r="G4802" s="852"/>
      <c r="H4802" s="852"/>
      <c r="I4802" s="852"/>
      <c r="J4802" s="852"/>
      <c r="K4802" s="852"/>
      <c r="L4802" s="852"/>
      <c r="M4802" s="852"/>
    </row>
    <row r="4803" spans="5:13">
      <c r="E4803" s="852"/>
      <c r="F4803" s="852"/>
      <c r="G4803" s="852"/>
      <c r="H4803" s="852"/>
      <c r="I4803" s="852"/>
      <c r="J4803" s="852"/>
      <c r="K4803" s="852"/>
      <c r="L4803" s="852"/>
      <c r="M4803" s="852"/>
    </row>
    <row r="4804" spans="5:13">
      <c r="E4804" s="852"/>
      <c r="F4804" s="852"/>
      <c r="G4804" s="852"/>
      <c r="H4804" s="852"/>
      <c r="I4804" s="852"/>
      <c r="J4804" s="852"/>
      <c r="K4804" s="852"/>
      <c r="L4804" s="852"/>
      <c r="M4804" s="852"/>
    </row>
    <row r="4805" spans="5:13">
      <c r="E4805" s="852"/>
      <c r="F4805" s="852"/>
      <c r="G4805" s="852"/>
      <c r="H4805" s="852"/>
      <c r="I4805" s="852"/>
      <c r="J4805" s="852"/>
      <c r="K4805" s="852"/>
      <c r="L4805" s="852"/>
      <c r="M4805" s="852"/>
    </row>
    <row r="4806" spans="5:13">
      <c r="E4806" s="852"/>
      <c r="F4806" s="852"/>
      <c r="G4806" s="852"/>
      <c r="H4806" s="852"/>
      <c r="I4806" s="852"/>
      <c r="J4806" s="852"/>
      <c r="K4806" s="852"/>
      <c r="L4806" s="852"/>
      <c r="M4806" s="852"/>
    </row>
    <row r="4807" spans="5:13">
      <c r="E4807" s="852"/>
      <c r="F4807" s="852"/>
      <c r="G4807" s="852"/>
      <c r="H4807" s="852"/>
      <c r="I4807" s="852"/>
      <c r="J4807" s="852"/>
      <c r="K4807" s="852"/>
      <c r="L4807" s="852"/>
      <c r="M4807" s="852"/>
    </row>
    <row r="4808" spans="5:13">
      <c r="E4808" s="852"/>
      <c r="F4808" s="852"/>
      <c r="G4808" s="852"/>
      <c r="H4808" s="852"/>
      <c r="I4808" s="852"/>
      <c r="J4808" s="852"/>
      <c r="K4808" s="852"/>
      <c r="L4808" s="852"/>
      <c r="M4808" s="852"/>
    </row>
    <row r="4809" spans="5:13">
      <c r="E4809" s="852"/>
      <c r="F4809" s="852"/>
      <c r="G4809" s="852"/>
      <c r="H4809" s="852"/>
      <c r="I4809" s="852"/>
      <c r="J4809" s="852"/>
      <c r="K4809" s="852"/>
      <c r="L4809" s="852"/>
      <c r="M4809" s="852"/>
    </row>
    <row r="4810" spans="5:13">
      <c r="E4810" s="852"/>
      <c r="F4810" s="852"/>
      <c r="G4810" s="852"/>
      <c r="H4810" s="852"/>
      <c r="I4810" s="852"/>
      <c r="J4810" s="852"/>
      <c r="K4810" s="852"/>
      <c r="L4810" s="852"/>
      <c r="M4810" s="852"/>
    </row>
    <row r="4811" spans="5:13">
      <c r="E4811" s="852"/>
      <c r="F4811" s="852"/>
      <c r="G4811" s="852"/>
      <c r="H4811" s="852"/>
      <c r="I4811" s="852"/>
      <c r="J4811" s="852"/>
      <c r="K4811" s="852"/>
      <c r="L4811" s="852"/>
      <c r="M4811" s="852"/>
    </row>
    <row r="4812" spans="5:13">
      <c r="E4812" s="852"/>
      <c r="F4812" s="852"/>
      <c r="G4812" s="852"/>
      <c r="H4812" s="852"/>
      <c r="I4812" s="852"/>
      <c r="J4812" s="852"/>
      <c r="K4812" s="852"/>
      <c r="L4812" s="852"/>
      <c r="M4812" s="852"/>
    </row>
    <row r="4813" spans="5:13">
      <c r="E4813" s="852"/>
      <c r="F4813" s="852"/>
      <c r="G4813" s="852"/>
      <c r="H4813" s="852"/>
      <c r="I4813" s="852"/>
      <c r="J4813" s="852"/>
      <c r="K4813" s="852"/>
      <c r="L4813" s="852"/>
      <c r="M4813" s="852"/>
    </row>
    <row r="4814" spans="5:13">
      <c r="E4814" s="852"/>
      <c r="F4814" s="852"/>
      <c r="G4814" s="852"/>
      <c r="H4814" s="852"/>
      <c r="I4814" s="852"/>
      <c r="J4814" s="852"/>
      <c r="K4814" s="852"/>
      <c r="L4814" s="852"/>
      <c r="M4814" s="852"/>
    </row>
    <row r="4815" spans="5:13">
      <c r="E4815" s="852"/>
      <c r="F4815" s="852"/>
      <c r="G4815" s="852"/>
      <c r="H4815" s="852"/>
      <c r="I4815" s="852"/>
      <c r="J4815" s="852"/>
      <c r="K4815" s="852"/>
      <c r="L4815" s="852"/>
      <c r="M4815" s="852"/>
    </row>
    <row r="4816" spans="5:13">
      <c r="E4816" s="852"/>
      <c r="F4816" s="852"/>
      <c r="G4816" s="852"/>
      <c r="H4816" s="852"/>
      <c r="I4816" s="852"/>
      <c r="J4816" s="852"/>
      <c r="K4816" s="852"/>
      <c r="L4816" s="852"/>
      <c r="M4816" s="852"/>
    </row>
    <row r="4817" spans="5:13">
      <c r="E4817" s="852"/>
      <c r="F4817" s="852"/>
      <c r="G4817" s="852"/>
      <c r="H4817" s="852"/>
      <c r="I4817" s="852"/>
      <c r="J4817" s="852"/>
      <c r="K4817" s="852"/>
      <c r="L4817" s="852"/>
      <c r="M4817" s="852"/>
    </row>
    <row r="4818" spans="5:13">
      <c r="E4818" s="852"/>
      <c r="F4818" s="852"/>
      <c r="G4818" s="852"/>
      <c r="H4818" s="852"/>
      <c r="I4818" s="852"/>
      <c r="J4818" s="852"/>
      <c r="K4818" s="852"/>
      <c r="L4818" s="852"/>
      <c r="M4818" s="852"/>
    </row>
    <row r="4819" spans="5:13">
      <c r="E4819" s="852"/>
      <c r="F4819" s="852"/>
      <c r="G4819" s="852"/>
      <c r="H4819" s="852"/>
      <c r="I4819" s="852"/>
      <c r="J4819" s="852"/>
      <c r="K4819" s="852"/>
      <c r="L4819" s="852"/>
      <c r="M4819" s="852"/>
    </row>
    <row r="4820" spans="5:13">
      <c r="E4820" s="852"/>
      <c r="F4820" s="852"/>
      <c r="G4820" s="852"/>
      <c r="H4820" s="852"/>
      <c r="I4820" s="852"/>
      <c r="J4820" s="852"/>
      <c r="K4820" s="852"/>
      <c r="L4820" s="852"/>
      <c r="M4820" s="852"/>
    </row>
    <row r="4821" spans="5:13">
      <c r="E4821" s="852"/>
      <c r="F4821" s="852"/>
      <c r="G4821" s="852"/>
      <c r="H4821" s="852"/>
      <c r="I4821" s="852"/>
      <c r="J4821" s="852"/>
      <c r="K4821" s="852"/>
      <c r="L4821" s="852"/>
      <c r="M4821" s="852"/>
    </row>
    <row r="4822" spans="5:13">
      <c r="E4822" s="852"/>
      <c r="F4822" s="852"/>
      <c r="G4822" s="852"/>
      <c r="H4822" s="852"/>
      <c r="I4822" s="852"/>
      <c r="J4822" s="852"/>
      <c r="K4822" s="852"/>
      <c r="L4822" s="852"/>
      <c r="M4822" s="852"/>
    </row>
    <row r="4823" spans="5:13">
      <c r="E4823" s="852"/>
      <c r="F4823" s="852"/>
      <c r="G4823" s="852"/>
      <c r="H4823" s="852"/>
      <c r="I4823" s="852"/>
      <c r="J4823" s="852"/>
      <c r="K4823" s="852"/>
      <c r="L4823" s="852"/>
      <c r="M4823" s="852"/>
    </row>
    <row r="4824" spans="5:13">
      <c r="E4824" s="852"/>
      <c r="F4824" s="852"/>
      <c r="G4824" s="852"/>
      <c r="H4824" s="852"/>
      <c r="I4824" s="852"/>
      <c r="J4824" s="852"/>
      <c r="K4824" s="852"/>
      <c r="L4824" s="852"/>
      <c r="M4824" s="852"/>
    </row>
    <row r="4825" spans="5:13">
      <c r="E4825" s="852"/>
      <c r="F4825" s="852"/>
      <c r="G4825" s="852"/>
      <c r="H4825" s="852"/>
      <c r="I4825" s="852"/>
      <c r="J4825" s="852"/>
      <c r="K4825" s="852"/>
      <c r="L4825" s="852"/>
      <c r="M4825" s="852"/>
    </row>
    <row r="4826" spans="5:13">
      <c r="E4826" s="852"/>
      <c r="F4826" s="852"/>
      <c r="G4826" s="852"/>
      <c r="H4826" s="852"/>
      <c r="I4826" s="852"/>
      <c r="J4826" s="852"/>
      <c r="K4826" s="852"/>
      <c r="L4826" s="852"/>
      <c r="M4826" s="852"/>
    </row>
    <row r="4827" spans="5:13">
      <c r="E4827" s="852"/>
      <c r="F4827" s="852"/>
      <c r="G4827" s="852"/>
      <c r="H4827" s="852"/>
      <c r="I4827" s="852"/>
      <c r="J4827" s="852"/>
      <c r="K4827" s="852"/>
      <c r="L4827" s="852"/>
      <c r="M4827" s="852"/>
    </row>
    <row r="4828" spans="5:13">
      <c r="E4828" s="852"/>
      <c r="F4828" s="852"/>
      <c r="G4828" s="852"/>
      <c r="H4828" s="852"/>
      <c r="I4828" s="852"/>
      <c r="J4828" s="852"/>
      <c r="K4828" s="852"/>
      <c r="L4828" s="852"/>
      <c r="M4828" s="852"/>
    </row>
    <row r="4829" spans="5:13">
      <c r="E4829" s="852"/>
      <c r="F4829" s="852"/>
      <c r="G4829" s="852"/>
      <c r="H4829" s="852"/>
      <c r="I4829" s="852"/>
      <c r="J4829" s="852"/>
      <c r="K4829" s="852"/>
      <c r="L4829" s="852"/>
      <c r="M4829" s="852"/>
    </row>
    <row r="4830" spans="5:13">
      <c r="E4830" s="852"/>
      <c r="F4830" s="852"/>
      <c r="G4830" s="852"/>
      <c r="H4830" s="852"/>
      <c r="I4830" s="852"/>
      <c r="J4830" s="852"/>
      <c r="K4830" s="852"/>
      <c r="L4830" s="852"/>
      <c r="M4830" s="852"/>
    </row>
    <row r="4831" spans="5:13">
      <c r="E4831" s="852"/>
      <c r="F4831" s="852"/>
      <c r="G4831" s="852"/>
      <c r="H4831" s="852"/>
      <c r="I4831" s="852"/>
      <c r="J4831" s="852"/>
      <c r="K4831" s="852"/>
      <c r="L4831" s="852"/>
      <c r="M4831" s="852"/>
    </row>
    <row r="4832" spans="5:13">
      <c r="E4832" s="852"/>
      <c r="F4832" s="852"/>
      <c r="G4832" s="852"/>
      <c r="H4832" s="852"/>
      <c r="I4832" s="852"/>
      <c r="J4832" s="852"/>
      <c r="K4832" s="852"/>
      <c r="L4832" s="852"/>
      <c r="M4832" s="852"/>
    </row>
    <row r="4833" spans="5:13">
      <c r="E4833" s="852"/>
      <c r="F4833" s="852"/>
      <c r="G4833" s="852"/>
      <c r="H4833" s="852"/>
      <c r="I4833" s="852"/>
      <c r="J4833" s="852"/>
      <c r="K4833" s="852"/>
      <c r="L4833" s="852"/>
      <c r="M4833" s="852"/>
    </row>
    <row r="4834" spans="5:13">
      <c r="E4834" s="852"/>
      <c r="F4834" s="852"/>
      <c r="G4834" s="852"/>
      <c r="H4834" s="852"/>
      <c r="I4834" s="852"/>
      <c r="J4834" s="852"/>
      <c r="K4834" s="852"/>
      <c r="L4834" s="852"/>
      <c r="M4834" s="852"/>
    </row>
    <row r="4835" spans="5:13">
      <c r="E4835" s="852"/>
      <c r="F4835" s="852"/>
      <c r="G4835" s="852"/>
      <c r="H4835" s="852"/>
      <c r="I4835" s="852"/>
      <c r="J4835" s="852"/>
      <c r="K4835" s="852"/>
      <c r="L4835" s="852"/>
      <c r="M4835" s="852"/>
    </row>
    <row r="4836" spans="5:13">
      <c r="E4836" s="852"/>
      <c r="F4836" s="852"/>
      <c r="G4836" s="852"/>
      <c r="H4836" s="852"/>
      <c r="I4836" s="852"/>
      <c r="J4836" s="852"/>
      <c r="K4836" s="852"/>
      <c r="L4836" s="852"/>
      <c r="M4836" s="852"/>
    </row>
    <row r="4837" spans="5:13">
      <c r="E4837" s="852"/>
      <c r="F4837" s="852"/>
      <c r="G4837" s="852"/>
      <c r="H4837" s="852"/>
      <c r="I4837" s="852"/>
      <c r="J4837" s="852"/>
      <c r="K4837" s="852"/>
      <c r="L4837" s="852"/>
      <c r="M4837" s="852"/>
    </row>
    <row r="4838" spans="5:13">
      <c r="E4838" s="852"/>
      <c r="F4838" s="852"/>
      <c r="G4838" s="852"/>
      <c r="H4838" s="852"/>
      <c r="I4838" s="852"/>
      <c r="J4838" s="852"/>
      <c r="K4838" s="852"/>
      <c r="L4838" s="852"/>
      <c r="M4838" s="852"/>
    </row>
    <row r="4839" spans="5:13">
      <c r="E4839" s="852"/>
      <c r="F4839" s="852"/>
      <c r="G4839" s="852"/>
      <c r="H4839" s="852"/>
      <c r="I4839" s="852"/>
      <c r="J4839" s="852"/>
      <c r="K4839" s="852"/>
      <c r="L4839" s="852"/>
      <c r="M4839" s="852"/>
    </row>
    <row r="4840" spans="5:13">
      <c r="E4840" s="852"/>
      <c r="F4840" s="852"/>
      <c r="G4840" s="852"/>
      <c r="H4840" s="852"/>
      <c r="I4840" s="852"/>
      <c r="J4840" s="852"/>
      <c r="K4840" s="852"/>
      <c r="L4840" s="852"/>
      <c r="M4840" s="852"/>
    </row>
    <row r="4841" spans="5:13">
      <c r="E4841" s="852"/>
      <c r="F4841" s="852"/>
      <c r="G4841" s="852"/>
      <c r="H4841" s="852"/>
      <c r="I4841" s="852"/>
      <c r="J4841" s="852"/>
      <c r="K4841" s="852"/>
      <c r="L4841" s="852"/>
      <c r="M4841" s="852"/>
    </row>
    <row r="4842" spans="5:13">
      <c r="E4842" s="852"/>
      <c r="F4842" s="852"/>
      <c r="G4842" s="852"/>
      <c r="H4842" s="852"/>
      <c r="I4842" s="852"/>
      <c r="J4842" s="852"/>
      <c r="K4842" s="852"/>
      <c r="L4842" s="852"/>
      <c r="M4842" s="852"/>
    </row>
    <row r="4843" spans="5:13">
      <c r="E4843" s="852"/>
      <c r="F4843" s="852"/>
      <c r="G4843" s="852"/>
      <c r="H4843" s="852"/>
      <c r="I4843" s="852"/>
      <c r="J4843" s="852"/>
      <c r="K4843" s="852"/>
      <c r="L4843" s="852"/>
      <c r="M4843" s="852"/>
    </row>
    <row r="4844" spans="5:13">
      <c r="E4844" s="852"/>
      <c r="F4844" s="852"/>
      <c r="G4844" s="852"/>
      <c r="H4844" s="852"/>
      <c r="I4844" s="852"/>
      <c r="J4844" s="852"/>
      <c r="K4844" s="852"/>
      <c r="L4844" s="852"/>
      <c r="M4844" s="852"/>
    </row>
    <row r="4845" spans="5:13">
      <c r="E4845" s="852"/>
      <c r="F4845" s="852"/>
      <c r="G4845" s="852"/>
      <c r="H4845" s="852"/>
      <c r="I4845" s="852"/>
      <c r="J4845" s="852"/>
      <c r="K4845" s="852"/>
      <c r="L4845" s="852"/>
      <c r="M4845" s="852"/>
    </row>
    <row r="4846" spans="5:13">
      <c r="E4846" s="852"/>
      <c r="F4846" s="852"/>
      <c r="G4846" s="852"/>
      <c r="H4846" s="852"/>
      <c r="I4846" s="852"/>
      <c r="J4846" s="852"/>
      <c r="K4846" s="852"/>
      <c r="L4846" s="852"/>
      <c r="M4846" s="852"/>
    </row>
    <row r="4847" spans="5:13">
      <c r="E4847" s="852"/>
      <c r="F4847" s="852"/>
      <c r="G4847" s="852"/>
      <c r="H4847" s="852"/>
      <c r="I4847" s="852"/>
      <c r="J4847" s="852"/>
      <c r="K4847" s="852"/>
      <c r="L4847" s="852"/>
      <c r="M4847" s="852"/>
    </row>
    <row r="4848" spans="5:13">
      <c r="E4848" s="852"/>
      <c r="F4848" s="852"/>
      <c r="G4848" s="852"/>
      <c r="H4848" s="852"/>
      <c r="I4848" s="852"/>
      <c r="J4848" s="852"/>
      <c r="K4848" s="852"/>
      <c r="L4848" s="852"/>
      <c r="M4848" s="852"/>
    </row>
    <row r="4849" spans="5:13">
      <c r="E4849" s="852"/>
      <c r="F4849" s="852"/>
      <c r="G4849" s="852"/>
      <c r="H4849" s="852"/>
      <c r="I4849" s="852"/>
      <c r="J4849" s="852"/>
      <c r="K4849" s="852"/>
      <c r="L4849" s="852"/>
      <c r="M4849" s="852"/>
    </row>
    <row r="4850" spans="5:13">
      <c r="E4850" s="852"/>
      <c r="F4850" s="852"/>
      <c r="G4850" s="852"/>
      <c r="H4850" s="852"/>
      <c r="I4850" s="852"/>
      <c r="J4850" s="852"/>
      <c r="K4850" s="852"/>
      <c r="L4850" s="852"/>
      <c r="M4850" s="852"/>
    </row>
    <row r="4851" spans="5:13">
      <c r="E4851" s="852"/>
      <c r="F4851" s="852"/>
      <c r="G4851" s="852"/>
      <c r="H4851" s="852"/>
      <c r="I4851" s="852"/>
      <c r="J4851" s="852"/>
      <c r="K4851" s="852"/>
      <c r="L4851" s="852"/>
      <c r="M4851" s="852"/>
    </row>
    <row r="4852" spans="5:13">
      <c r="E4852" s="852"/>
      <c r="F4852" s="852"/>
      <c r="G4852" s="852"/>
      <c r="H4852" s="852"/>
      <c r="I4852" s="852"/>
      <c r="J4852" s="852"/>
      <c r="K4852" s="852"/>
      <c r="L4852" s="852"/>
      <c r="M4852" s="852"/>
    </row>
    <row r="4853" spans="5:13">
      <c r="E4853" s="852"/>
      <c r="F4853" s="852"/>
      <c r="G4853" s="852"/>
      <c r="H4853" s="852"/>
      <c r="I4853" s="852"/>
      <c r="J4853" s="852"/>
      <c r="K4853" s="852"/>
      <c r="L4853" s="852"/>
      <c r="M4853" s="852"/>
    </row>
    <row r="4854" spans="5:13">
      <c r="E4854" s="852"/>
      <c r="F4854" s="852"/>
      <c r="G4854" s="852"/>
      <c r="H4854" s="852"/>
      <c r="I4854" s="852"/>
      <c r="J4854" s="852"/>
      <c r="K4854" s="852"/>
      <c r="L4854" s="852"/>
      <c r="M4854" s="852"/>
    </row>
    <row r="4855" spans="5:13">
      <c r="E4855" s="852"/>
      <c r="F4855" s="852"/>
      <c r="G4855" s="852"/>
      <c r="H4855" s="852"/>
      <c r="I4855" s="852"/>
      <c r="J4855" s="852"/>
      <c r="K4855" s="852"/>
      <c r="L4855" s="852"/>
      <c r="M4855" s="852"/>
    </row>
    <row r="4856" spans="5:13">
      <c r="E4856" s="852"/>
      <c r="F4856" s="852"/>
      <c r="G4856" s="852"/>
      <c r="H4856" s="852"/>
      <c r="I4856" s="852"/>
      <c r="J4856" s="852"/>
      <c r="K4856" s="852"/>
      <c r="L4856" s="852"/>
      <c r="M4856" s="852"/>
    </row>
    <row r="4857" spans="5:13">
      <c r="E4857" s="852"/>
      <c r="F4857" s="852"/>
      <c r="G4857" s="852"/>
      <c r="H4857" s="852"/>
      <c r="I4857" s="852"/>
      <c r="J4857" s="852"/>
      <c r="K4857" s="852"/>
      <c r="L4857" s="852"/>
      <c r="M4857" s="852"/>
    </row>
    <row r="4858" spans="5:13">
      <c r="E4858" s="852"/>
      <c r="F4858" s="852"/>
      <c r="G4858" s="852"/>
      <c r="H4858" s="852"/>
      <c r="I4858" s="852"/>
      <c r="J4858" s="852"/>
      <c r="K4858" s="852"/>
      <c r="L4858" s="852"/>
      <c r="M4858" s="852"/>
    </row>
    <row r="4859" spans="5:13">
      <c r="E4859" s="852"/>
      <c r="F4859" s="852"/>
      <c r="G4859" s="852"/>
      <c r="H4859" s="852"/>
      <c r="I4859" s="852"/>
      <c r="J4859" s="852"/>
      <c r="K4859" s="852"/>
      <c r="L4859" s="852"/>
      <c r="M4859" s="852"/>
    </row>
    <row r="4860" spans="5:13">
      <c r="E4860" s="852"/>
      <c r="F4860" s="852"/>
      <c r="G4860" s="852"/>
      <c r="H4860" s="852"/>
      <c r="I4860" s="852"/>
      <c r="J4860" s="852"/>
      <c r="K4860" s="852"/>
      <c r="L4860" s="852"/>
      <c r="M4860" s="852"/>
    </row>
    <row r="4861" spans="5:13">
      <c r="E4861" s="852"/>
      <c r="F4861" s="852"/>
      <c r="G4861" s="852"/>
      <c r="H4861" s="852"/>
      <c r="I4861" s="852"/>
      <c r="J4861" s="852"/>
      <c r="K4861" s="852"/>
      <c r="L4861" s="852"/>
      <c r="M4861" s="852"/>
    </row>
    <row r="4862" spans="5:13">
      <c r="E4862" s="852"/>
      <c r="F4862" s="852"/>
      <c r="G4862" s="852"/>
      <c r="H4862" s="852"/>
      <c r="I4862" s="852"/>
      <c r="J4862" s="852"/>
      <c r="K4862" s="852"/>
      <c r="L4862" s="852"/>
      <c r="M4862" s="852"/>
    </row>
    <row r="4863" spans="5:13">
      <c r="E4863" s="852"/>
      <c r="F4863" s="852"/>
      <c r="G4863" s="852"/>
      <c r="H4863" s="852"/>
      <c r="I4863" s="852"/>
      <c r="J4863" s="852"/>
      <c r="K4863" s="852"/>
      <c r="L4863" s="852"/>
      <c r="M4863" s="852"/>
    </row>
    <row r="4864" spans="5:13">
      <c r="E4864" s="852"/>
      <c r="F4864" s="852"/>
      <c r="G4864" s="852"/>
      <c r="H4864" s="852"/>
      <c r="I4864" s="852"/>
      <c r="J4864" s="852"/>
      <c r="K4864" s="852"/>
      <c r="L4864" s="852"/>
      <c r="M4864" s="852"/>
    </row>
    <row r="4865" spans="5:13">
      <c r="E4865" s="852"/>
      <c r="F4865" s="852"/>
      <c r="G4865" s="852"/>
      <c r="H4865" s="852"/>
      <c r="I4865" s="852"/>
      <c r="J4865" s="852"/>
      <c r="K4865" s="852"/>
      <c r="L4865" s="852"/>
      <c r="M4865" s="852"/>
    </row>
    <row r="4866" spans="5:13">
      <c r="E4866" s="852"/>
      <c r="F4866" s="852"/>
      <c r="G4866" s="852"/>
      <c r="H4866" s="852"/>
      <c r="I4866" s="852"/>
      <c r="J4866" s="852"/>
      <c r="K4866" s="852"/>
      <c r="L4866" s="852"/>
      <c r="M4866" s="852"/>
    </row>
    <row r="4867" spans="5:13">
      <c r="E4867" s="852"/>
      <c r="F4867" s="852"/>
      <c r="G4867" s="852"/>
      <c r="H4867" s="852"/>
      <c r="I4867" s="852"/>
      <c r="J4867" s="852"/>
      <c r="K4867" s="852"/>
      <c r="L4867" s="852"/>
      <c r="M4867" s="852"/>
    </row>
    <row r="4868" spans="5:13">
      <c r="E4868" s="852"/>
      <c r="F4868" s="852"/>
      <c r="G4868" s="852"/>
      <c r="H4868" s="852"/>
      <c r="I4868" s="852"/>
      <c r="J4868" s="852"/>
      <c r="K4868" s="852"/>
      <c r="L4868" s="852"/>
      <c r="M4868" s="852"/>
    </row>
    <row r="4869" spans="5:13">
      <c r="E4869" s="852"/>
      <c r="F4869" s="852"/>
      <c r="G4869" s="852"/>
      <c r="H4869" s="852"/>
      <c r="I4869" s="852"/>
      <c r="J4869" s="852"/>
      <c r="K4869" s="852"/>
      <c r="L4869" s="852"/>
      <c r="M4869" s="852"/>
    </row>
    <row r="4870" spans="5:13">
      <c r="E4870" s="852"/>
      <c r="F4870" s="852"/>
      <c r="G4870" s="852"/>
      <c r="H4870" s="852"/>
      <c r="I4870" s="852"/>
      <c r="J4870" s="852"/>
      <c r="K4870" s="852"/>
      <c r="L4870" s="852"/>
      <c r="M4870" s="852"/>
    </row>
    <row r="4871" spans="5:13">
      <c r="E4871" s="852"/>
      <c r="F4871" s="852"/>
      <c r="G4871" s="852"/>
      <c r="H4871" s="852"/>
      <c r="I4871" s="852"/>
      <c r="J4871" s="852"/>
      <c r="K4871" s="852"/>
      <c r="L4871" s="852"/>
      <c r="M4871" s="852"/>
    </row>
    <row r="4872" spans="5:13">
      <c r="E4872" s="852"/>
      <c r="F4872" s="852"/>
      <c r="G4872" s="852"/>
      <c r="H4872" s="852"/>
      <c r="I4872" s="852"/>
      <c r="J4872" s="852"/>
      <c r="K4872" s="852"/>
      <c r="L4872" s="852"/>
      <c r="M4872" s="852"/>
    </row>
    <row r="4873" spans="5:13">
      <c r="E4873" s="852"/>
      <c r="F4873" s="852"/>
      <c r="G4873" s="852"/>
      <c r="H4873" s="852"/>
      <c r="I4873" s="852"/>
      <c r="J4873" s="852"/>
      <c r="K4873" s="852"/>
      <c r="L4873" s="852"/>
      <c r="M4873" s="852"/>
    </row>
    <row r="4874" spans="5:13">
      <c r="E4874" s="852"/>
      <c r="F4874" s="852"/>
      <c r="G4874" s="852"/>
      <c r="H4874" s="852"/>
      <c r="I4874" s="852"/>
      <c r="J4874" s="852"/>
      <c r="K4874" s="852"/>
      <c r="L4874" s="852"/>
      <c r="M4874" s="852"/>
    </row>
    <row r="4875" spans="5:13">
      <c r="E4875" s="852"/>
      <c r="F4875" s="852"/>
      <c r="G4875" s="852"/>
      <c r="H4875" s="852"/>
      <c r="I4875" s="852"/>
      <c r="J4875" s="852"/>
      <c r="K4875" s="852"/>
      <c r="L4875" s="852"/>
      <c r="M4875" s="852"/>
    </row>
    <row r="4876" spans="5:13">
      <c r="E4876" s="852"/>
      <c r="F4876" s="852"/>
      <c r="G4876" s="852"/>
      <c r="H4876" s="852"/>
      <c r="I4876" s="852"/>
      <c r="J4876" s="852"/>
      <c r="K4876" s="852"/>
      <c r="L4876" s="852"/>
      <c r="M4876" s="852"/>
    </row>
    <row r="4877" spans="5:13">
      <c r="E4877" s="852"/>
      <c r="F4877" s="852"/>
      <c r="G4877" s="852"/>
      <c r="H4877" s="852"/>
      <c r="I4877" s="852"/>
      <c r="J4877" s="852"/>
      <c r="K4877" s="852"/>
      <c r="L4877" s="852"/>
      <c r="M4877" s="852"/>
    </row>
    <row r="4878" spans="5:13">
      <c r="E4878" s="852"/>
      <c r="F4878" s="852"/>
      <c r="G4878" s="852"/>
      <c r="H4878" s="852"/>
      <c r="I4878" s="852"/>
      <c r="J4878" s="852"/>
      <c r="K4878" s="852"/>
      <c r="L4878" s="852"/>
      <c r="M4878" s="852"/>
    </row>
    <row r="4879" spans="5:13">
      <c r="E4879" s="852"/>
      <c r="F4879" s="852"/>
      <c r="G4879" s="852"/>
      <c r="H4879" s="852"/>
      <c r="I4879" s="852"/>
      <c r="J4879" s="852"/>
      <c r="K4879" s="852"/>
      <c r="L4879" s="852"/>
      <c r="M4879" s="852"/>
    </row>
    <row r="4880" spans="5:13">
      <c r="E4880" s="852"/>
      <c r="F4880" s="852"/>
      <c r="G4880" s="852"/>
      <c r="H4880" s="852"/>
      <c r="I4880" s="852"/>
      <c r="J4880" s="852"/>
      <c r="K4880" s="852"/>
      <c r="L4880" s="852"/>
      <c r="M4880" s="852"/>
    </row>
    <row r="4881" spans="5:13">
      <c r="E4881" s="852"/>
      <c r="F4881" s="852"/>
      <c r="G4881" s="852"/>
      <c r="H4881" s="852"/>
      <c r="I4881" s="852"/>
      <c r="J4881" s="852"/>
      <c r="K4881" s="852"/>
      <c r="L4881" s="852"/>
      <c r="M4881" s="852"/>
    </row>
    <row r="4882" spans="5:13">
      <c r="E4882" s="852"/>
      <c r="F4882" s="852"/>
      <c r="G4882" s="852"/>
      <c r="H4882" s="852"/>
      <c r="I4882" s="852"/>
      <c r="J4882" s="852"/>
      <c r="K4882" s="852"/>
      <c r="L4882" s="852"/>
      <c r="M4882" s="852"/>
    </row>
    <row r="4883" spans="5:13">
      <c r="E4883" s="852"/>
      <c r="F4883" s="852"/>
      <c r="G4883" s="852"/>
      <c r="H4883" s="852"/>
      <c r="I4883" s="852"/>
      <c r="J4883" s="852"/>
      <c r="K4883" s="852"/>
      <c r="L4883" s="852"/>
      <c r="M4883" s="852"/>
    </row>
    <row r="4884" spans="5:13">
      <c r="E4884" s="852"/>
      <c r="F4884" s="852"/>
      <c r="G4884" s="852"/>
      <c r="H4884" s="852"/>
      <c r="I4884" s="852"/>
      <c r="J4884" s="852"/>
      <c r="K4884" s="852"/>
      <c r="L4884" s="852"/>
      <c r="M4884" s="852"/>
    </row>
    <row r="4885" spans="5:13">
      <c r="E4885" s="852"/>
      <c r="F4885" s="852"/>
      <c r="G4885" s="852"/>
      <c r="H4885" s="852"/>
      <c r="I4885" s="852"/>
      <c r="J4885" s="852"/>
      <c r="K4885" s="852"/>
      <c r="L4885" s="852"/>
      <c r="M4885" s="852"/>
    </row>
    <row r="4886" spans="5:13">
      <c r="E4886" s="852"/>
      <c r="F4886" s="852"/>
      <c r="G4886" s="852"/>
      <c r="H4886" s="852"/>
      <c r="I4886" s="852"/>
      <c r="J4886" s="852"/>
      <c r="K4886" s="852"/>
      <c r="L4886" s="852"/>
      <c r="M4886" s="852"/>
    </row>
    <row r="4887" spans="5:13">
      <c r="E4887" s="852"/>
      <c r="F4887" s="852"/>
      <c r="G4887" s="852"/>
      <c r="H4887" s="852"/>
      <c r="I4887" s="852"/>
      <c r="J4887" s="852"/>
      <c r="K4887" s="852"/>
      <c r="L4887" s="852"/>
      <c r="M4887" s="852"/>
    </row>
    <row r="4888" spans="5:13">
      <c r="E4888" s="852"/>
      <c r="F4888" s="852"/>
      <c r="G4888" s="852"/>
      <c r="H4888" s="852"/>
      <c r="I4888" s="852"/>
      <c r="J4888" s="852"/>
      <c r="K4888" s="852"/>
      <c r="L4888" s="852"/>
      <c r="M4888" s="852"/>
    </row>
    <row r="4889" spans="5:13">
      <c r="E4889" s="852"/>
      <c r="F4889" s="852"/>
      <c r="G4889" s="852"/>
      <c r="H4889" s="852"/>
      <c r="I4889" s="852"/>
      <c r="J4889" s="852"/>
      <c r="K4889" s="852"/>
      <c r="L4889" s="852"/>
      <c r="M4889" s="852"/>
    </row>
    <row r="4890" spans="5:13">
      <c r="E4890" s="852"/>
      <c r="F4890" s="852"/>
      <c r="G4890" s="852"/>
      <c r="H4890" s="852"/>
      <c r="I4890" s="852"/>
      <c r="J4890" s="852"/>
      <c r="K4890" s="852"/>
      <c r="L4890" s="852"/>
      <c r="M4890" s="852"/>
    </row>
    <row r="4891" spans="5:13">
      <c r="E4891" s="852"/>
      <c r="F4891" s="852"/>
      <c r="G4891" s="852"/>
      <c r="H4891" s="852"/>
      <c r="I4891" s="852"/>
      <c r="J4891" s="852"/>
      <c r="K4891" s="852"/>
      <c r="L4891" s="852"/>
      <c r="M4891" s="852"/>
    </row>
    <row r="4892" spans="5:13">
      <c r="E4892" s="852"/>
      <c r="F4892" s="852"/>
      <c r="G4892" s="852"/>
      <c r="H4892" s="852"/>
      <c r="I4892" s="852"/>
      <c r="J4892" s="852"/>
      <c r="K4892" s="852"/>
      <c r="L4892" s="852"/>
      <c r="M4892" s="852"/>
    </row>
    <row r="4893" spans="5:13">
      <c r="E4893" s="852"/>
      <c r="F4893" s="852"/>
      <c r="G4893" s="852"/>
      <c r="H4893" s="852"/>
      <c r="I4893" s="852"/>
      <c r="J4893" s="852"/>
      <c r="K4893" s="852"/>
      <c r="L4893" s="852"/>
      <c r="M4893" s="852"/>
    </row>
    <row r="4894" spans="5:13">
      <c r="E4894" s="852"/>
      <c r="F4894" s="852"/>
      <c r="G4894" s="852"/>
      <c r="H4894" s="852"/>
      <c r="I4894" s="852"/>
      <c r="J4894" s="852"/>
      <c r="K4894" s="852"/>
      <c r="L4894" s="852"/>
      <c r="M4894" s="852"/>
    </row>
    <row r="4895" spans="5:13">
      <c r="E4895" s="852"/>
      <c r="F4895" s="852"/>
      <c r="G4895" s="852"/>
      <c r="H4895" s="852"/>
      <c r="I4895" s="852"/>
      <c r="J4895" s="852"/>
      <c r="K4895" s="852"/>
      <c r="L4895" s="852"/>
      <c r="M4895" s="852"/>
    </row>
    <row r="4896" spans="5:13">
      <c r="E4896" s="852"/>
      <c r="F4896" s="852"/>
      <c r="G4896" s="852"/>
      <c r="H4896" s="852"/>
      <c r="I4896" s="852"/>
      <c r="J4896" s="852"/>
      <c r="K4896" s="852"/>
      <c r="L4896" s="852"/>
      <c r="M4896" s="852"/>
    </row>
    <row r="4897" spans="5:13">
      <c r="E4897" s="852"/>
      <c r="F4897" s="852"/>
      <c r="G4897" s="852"/>
      <c r="H4897" s="852"/>
      <c r="I4897" s="852"/>
      <c r="J4897" s="852"/>
      <c r="K4897" s="852"/>
      <c r="L4897" s="852"/>
      <c r="M4897" s="852"/>
    </row>
    <row r="4898" spans="5:13">
      <c r="E4898" s="852"/>
      <c r="F4898" s="852"/>
      <c r="G4898" s="852"/>
      <c r="H4898" s="852"/>
      <c r="I4898" s="852"/>
      <c r="J4898" s="852"/>
      <c r="K4898" s="852"/>
      <c r="L4898" s="852"/>
      <c r="M4898" s="852"/>
    </row>
    <row r="4899" spans="5:13">
      <c r="E4899" s="852"/>
      <c r="F4899" s="852"/>
      <c r="G4899" s="852"/>
      <c r="H4899" s="852"/>
      <c r="I4899" s="852"/>
      <c r="J4899" s="852"/>
      <c r="K4899" s="852"/>
      <c r="L4899" s="852"/>
      <c r="M4899" s="852"/>
    </row>
    <row r="4900" spans="5:13">
      <c r="E4900" s="852"/>
      <c r="F4900" s="852"/>
      <c r="G4900" s="852"/>
      <c r="H4900" s="852"/>
      <c r="I4900" s="852"/>
      <c r="J4900" s="852"/>
      <c r="K4900" s="852"/>
      <c r="L4900" s="852"/>
      <c r="M4900" s="852"/>
    </row>
    <row r="4901" spans="5:13">
      <c r="E4901" s="852"/>
      <c r="F4901" s="852"/>
      <c r="G4901" s="852"/>
      <c r="H4901" s="852"/>
      <c r="I4901" s="852"/>
      <c r="J4901" s="852"/>
      <c r="K4901" s="852"/>
      <c r="L4901" s="852"/>
      <c r="M4901" s="852"/>
    </row>
    <row r="4902" spans="5:13">
      <c r="E4902" s="852"/>
      <c r="F4902" s="852"/>
      <c r="G4902" s="852"/>
      <c r="H4902" s="852"/>
      <c r="I4902" s="852"/>
      <c r="J4902" s="852"/>
      <c r="K4902" s="852"/>
      <c r="L4902" s="852"/>
      <c r="M4902" s="852"/>
    </row>
    <row r="4903" spans="5:13">
      <c r="E4903" s="852"/>
      <c r="F4903" s="852"/>
      <c r="G4903" s="852"/>
      <c r="H4903" s="852"/>
      <c r="I4903" s="852"/>
      <c r="J4903" s="852"/>
      <c r="K4903" s="852"/>
      <c r="L4903" s="852"/>
      <c r="M4903" s="852"/>
    </row>
    <row r="4904" spans="5:13">
      <c r="E4904" s="852"/>
      <c r="F4904" s="852"/>
      <c r="G4904" s="852"/>
      <c r="H4904" s="852"/>
      <c r="I4904" s="852"/>
      <c r="J4904" s="852"/>
      <c r="K4904" s="852"/>
      <c r="L4904" s="852"/>
      <c r="M4904" s="852"/>
    </row>
    <row r="4905" spans="5:13">
      <c r="E4905" s="852"/>
      <c r="F4905" s="852"/>
      <c r="G4905" s="852"/>
      <c r="H4905" s="852"/>
      <c r="I4905" s="852"/>
      <c r="J4905" s="852"/>
      <c r="K4905" s="852"/>
      <c r="L4905" s="852"/>
      <c r="M4905" s="852"/>
    </row>
    <row r="4906" spans="5:13">
      <c r="E4906" s="852"/>
      <c r="F4906" s="852"/>
      <c r="G4906" s="852"/>
      <c r="H4906" s="852"/>
      <c r="I4906" s="852"/>
      <c r="J4906" s="852"/>
      <c r="K4906" s="852"/>
      <c r="L4906" s="852"/>
      <c r="M4906" s="852"/>
    </row>
    <row r="4907" spans="5:13">
      <c r="E4907" s="852"/>
      <c r="F4907" s="852"/>
      <c r="G4907" s="852"/>
      <c r="H4907" s="852"/>
      <c r="I4907" s="852"/>
      <c r="J4907" s="852"/>
      <c r="K4907" s="852"/>
      <c r="L4907" s="852"/>
      <c r="M4907" s="852"/>
    </row>
    <row r="4908" spans="5:13">
      <c r="E4908" s="852"/>
      <c r="F4908" s="852"/>
      <c r="G4908" s="852"/>
      <c r="H4908" s="852"/>
      <c r="I4908" s="852"/>
      <c r="J4908" s="852"/>
      <c r="K4908" s="852"/>
      <c r="L4908" s="852"/>
      <c r="M4908" s="852"/>
    </row>
    <row r="4909" spans="5:13">
      <c r="E4909" s="852"/>
      <c r="F4909" s="852"/>
      <c r="G4909" s="852"/>
      <c r="H4909" s="852"/>
      <c r="I4909" s="852"/>
      <c r="J4909" s="852"/>
      <c r="K4909" s="852"/>
      <c r="L4909" s="852"/>
      <c r="M4909" s="852"/>
    </row>
    <row r="4910" spans="5:13">
      <c r="E4910" s="852"/>
      <c r="F4910" s="852"/>
      <c r="G4910" s="852"/>
      <c r="H4910" s="852"/>
      <c r="I4910" s="852"/>
      <c r="J4910" s="852"/>
      <c r="K4910" s="852"/>
      <c r="L4910" s="852"/>
      <c r="M4910" s="852"/>
    </row>
    <row r="4911" spans="5:13">
      <c r="E4911" s="852"/>
      <c r="F4911" s="852"/>
      <c r="G4911" s="852"/>
      <c r="H4911" s="852"/>
      <c r="I4911" s="852"/>
      <c r="J4911" s="852"/>
      <c r="K4911" s="852"/>
      <c r="L4911" s="852"/>
      <c r="M4911" s="852"/>
    </row>
    <row r="4912" spans="5:13">
      <c r="E4912" s="852"/>
      <c r="F4912" s="852"/>
      <c r="G4912" s="852"/>
      <c r="H4912" s="852"/>
      <c r="I4912" s="852"/>
      <c r="J4912" s="852"/>
      <c r="K4912" s="852"/>
      <c r="L4912" s="852"/>
      <c r="M4912" s="852"/>
    </row>
    <row r="4913" spans="5:13">
      <c r="E4913" s="852"/>
      <c r="F4913" s="852"/>
      <c r="G4913" s="852"/>
      <c r="H4913" s="852"/>
      <c r="I4913" s="852"/>
      <c r="J4913" s="852"/>
      <c r="K4913" s="852"/>
      <c r="L4913" s="852"/>
      <c r="M4913" s="852"/>
    </row>
    <row r="4914" spans="5:13">
      <c r="E4914" s="852"/>
      <c r="F4914" s="852"/>
      <c r="G4914" s="852"/>
      <c r="H4914" s="852"/>
      <c r="I4914" s="852"/>
      <c r="J4914" s="852"/>
      <c r="K4914" s="852"/>
      <c r="L4914" s="852"/>
      <c r="M4914" s="852"/>
    </row>
    <row r="4915" spans="5:13">
      <c r="E4915" s="852"/>
      <c r="F4915" s="852"/>
      <c r="G4915" s="852"/>
      <c r="H4915" s="852"/>
      <c r="I4915" s="852"/>
      <c r="J4915" s="852"/>
      <c r="K4915" s="852"/>
      <c r="L4915" s="852"/>
      <c r="M4915" s="852"/>
    </row>
    <row r="4916" spans="5:13">
      <c r="E4916" s="852"/>
      <c r="F4916" s="852"/>
      <c r="G4916" s="852"/>
      <c r="H4916" s="852"/>
      <c r="I4916" s="852"/>
      <c r="J4916" s="852"/>
      <c r="K4916" s="852"/>
      <c r="L4916" s="852"/>
      <c r="M4916" s="852"/>
    </row>
    <row r="4917" spans="5:13">
      <c r="E4917" s="852"/>
      <c r="F4917" s="852"/>
      <c r="G4917" s="852"/>
      <c r="H4917" s="852"/>
      <c r="I4917" s="852"/>
      <c r="J4917" s="852"/>
      <c r="K4917" s="852"/>
      <c r="L4917" s="852"/>
      <c r="M4917" s="852"/>
    </row>
    <row r="4918" spans="5:13">
      <c r="E4918" s="852"/>
      <c r="F4918" s="852"/>
      <c r="G4918" s="852"/>
      <c r="H4918" s="852"/>
      <c r="I4918" s="852"/>
      <c r="J4918" s="852"/>
      <c r="K4918" s="852"/>
      <c r="L4918" s="852"/>
      <c r="M4918" s="852"/>
    </row>
    <row r="4919" spans="5:13">
      <c r="E4919" s="852"/>
      <c r="F4919" s="852"/>
      <c r="G4919" s="852"/>
      <c r="H4919" s="852"/>
      <c r="I4919" s="852"/>
      <c r="J4919" s="852"/>
      <c r="K4919" s="852"/>
      <c r="L4919" s="852"/>
      <c r="M4919" s="852"/>
    </row>
    <row r="4920" spans="5:13">
      <c r="E4920" s="852"/>
      <c r="F4920" s="852"/>
      <c r="G4920" s="852"/>
      <c r="H4920" s="852"/>
      <c r="I4920" s="852"/>
      <c r="J4920" s="852"/>
      <c r="K4920" s="852"/>
      <c r="L4920" s="852"/>
      <c r="M4920" s="852"/>
    </row>
    <row r="4921" spans="5:13">
      <c r="E4921" s="852"/>
      <c r="F4921" s="852"/>
      <c r="G4921" s="852"/>
      <c r="H4921" s="852"/>
      <c r="I4921" s="852"/>
      <c r="J4921" s="852"/>
      <c r="K4921" s="852"/>
      <c r="L4921" s="852"/>
      <c r="M4921" s="852"/>
    </row>
    <row r="4922" spans="5:13">
      <c r="E4922" s="852"/>
      <c r="F4922" s="852"/>
      <c r="G4922" s="852"/>
      <c r="H4922" s="852"/>
      <c r="I4922" s="852"/>
      <c r="J4922" s="852"/>
      <c r="K4922" s="852"/>
      <c r="L4922" s="852"/>
      <c r="M4922" s="852"/>
    </row>
    <row r="4923" spans="5:13">
      <c r="E4923" s="852"/>
      <c r="F4923" s="852"/>
      <c r="G4923" s="852"/>
      <c r="H4923" s="852"/>
      <c r="I4923" s="852"/>
      <c r="J4923" s="852"/>
      <c r="K4923" s="852"/>
      <c r="L4923" s="852"/>
      <c r="M4923" s="852"/>
    </row>
    <row r="4924" spans="5:13">
      <c r="E4924" s="852"/>
      <c r="F4924" s="852"/>
      <c r="G4924" s="852"/>
      <c r="H4924" s="852"/>
      <c r="I4924" s="852"/>
      <c r="J4924" s="852"/>
      <c r="K4924" s="852"/>
      <c r="L4924" s="852"/>
      <c r="M4924" s="852"/>
    </row>
    <row r="4925" spans="5:13">
      <c r="E4925" s="852"/>
      <c r="F4925" s="852"/>
      <c r="G4925" s="852"/>
      <c r="H4925" s="852"/>
      <c r="I4925" s="852"/>
      <c r="J4925" s="852"/>
      <c r="K4925" s="852"/>
      <c r="L4925" s="852"/>
      <c r="M4925" s="852"/>
    </row>
    <row r="4926" spans="5:13">
      <c r="E4926" s="852"/>
      <c r="F4926" s="852"/>
      <c r="G4926" s="852"/>
      <c r="H4926" s="852"/>
      <c r="I4926" s="852"/>
      <c r="J4926" s="852"/>
      <c r="K4926" s="852"/>
      <c r="L4926" s="852"/>
      <c r="M4926" s="852"/>
    </row>
    <row r="4927" spans="5:13">
      <c r="E4927" s="852"/>
      <c r="F4927" s="852"/>
      <c r="G4927" s="852"/>
      <c r="H4927" s="852"/>
      <c r="I4927" s="852"/>
      <c r="J4927" s="852"/>
      <c r="K4927" s="852"/>
      <c r="L4927" s="852"/>
      <c r="M4927" s="852"/>
    </row>
    <row r="4928" spans="5:13">
      <c r="E4928" s="852"/>
      <c r="F4928" s="852"/>
      <c r="G4928" s="852"/>
      <c r="H4928" s="852"/>
      <c r="I4928" s="852"/>
      <c r="J4928" s="852"/>
      <c r="K4928" s="852"/>
      <c r="L4928" s="852"/>
      <c r="M4928" s="852"/>
    </row>
    <row r="4929" spans="5:13">
      <c r="E4929" s="852"/>
      <c r="F4929" s="852"/>
      <c r="G4929" s="852"/>
      <c r="H4929" s="852"/>
      <c r="I4929" s="852"/>
      <c r="J4929" s="852"/>
      <c r="K4929" s="852"/>
      <c r="L4929" s="852"/>
      <c r="M4929" s="852"/>
    </row>
    <row r="4930" spans="5:13">
      <c r="E4930" s="852"/>
      <c r="F4930" s="852"/>
      <c r="G4930" s="852"/>
      <c r="H4930" s="852"/>
      <c r="I4930" s="852"/>
      <c r="J4930" s="852"/>
      <c r="K4930" s="852"/>
      <c r="L4930" s="852"/>
      <c r="M4930" s="852"/>
    </row>
    <row r="4931" spans="5:13">
      <c r="E4931" s="852"/>
      <c r="F4931" s="852"/>
      <c r="G4931" s="852"/>
      <c r="H4931" s="852"/>
      <c r="I4931" s="852"/>
      <c r="J4931" s="852"/>
      <c r="K4931" s="852"/>
      <c r="L4931" s="852"/>
      <c r="M4931" s="852"/>
    </row>
    <row r="4932" spans="5:13">
      <c r="E4932" s="852"/>
      <c r="F4932" s="852"/>
      <c r="G4932" s="852"/>
      <c r="H4932" s="852"/>
      <c r="I4932" s="852"/>
      <c r="J4932" s="852"/>
      <c r="K4932" s="852"/>
      <c r="L4932" s="852"/>
      <c r="M4932" s="852"/>
    </row>
    <row r="4933" spans="5:13">
      <c r="E4933" s="852"/>
      <c r="F4933" s="852"/>
      <c r="G4933" s="852"/>
      <c r="H4933" s="852"/>
      <c r="I4933" s="852"/>
      <c r="J4933" s="852"/>
      <c r="K4933" s="852"/>
      <c r="L4933" s="852"/>
      <c r="M4933" s="852"/>
    </row>
    <row r="4934" spans="5:13">
      <c r="E4934" s="852"/>
      <c r="F4934" s="852"/>
      <c r="G4934" s="852"/>
      <c r="H4934" s="852"/>
      <c r="I4934" s="852"/>
      <c r="J4934" s="852"/>
      <c r="K4934" s="852"/>
      <c r="L4934" s="852"/>
      <c r="M4934" s="852"/>
    </row>
    <row r="4935" spans="5:13">
      <c r="E4935" s="852"/>
      <c r="F4935" s="852"/>
      <c r="G4935" s="852"/>
      <c r="H4935" s="852"/>
      <c r="I4935" s="852"/>
      <c r="J4935" s="852"/>
      <c r="K4935" s="852"/>
      <c r="L4935" s="852"/>
      <c r="M4935" s="852"/>
    </row>
    <row r="4936" spans="5:13">
      <c r="E4936" s="852"/>
      <c r="F4936" s="852"/>
      <c r="G4936" s="852"/>
      <c r="H4936" s="852"/>
      <c r="I4936" s="852"/>
      <c r="J4936" s="852"/>
      <c r="K4936" s="852"/>
      <c r="L4936" s="852"/>
      <c r="M4936" s="852"/>
    </row>
    <row r="4937" spans="5:13">
      <c r="E4937" s="852"/>
      <c r="F4937" s="852"/>
      <c r="G4937" s="852"/>
      <c r="H4937" s="852"/>
      <c r="I4937" s="852"/>
      <c r="J4937" s="852"/>
      <c r="K4937" s="852"/>
      <c r="L4937" s="852"/>
      <c r="M4937" s="852"/>
    </row>
    <row r="4938" spans="5:13">
      <c r="E4938" s="852"/>
      <c r="F4938" s="852"/>
      <c r="G4938" s="852"/>
      <c r="H4938" s="852"/>
      <c r="I4938" s="852"/>
      <c r="J4938" s="852"/>
      <c r="K4938" s="852"/>
      <c r="L4938" s="852"/>
      <c r="M4938" s="852"/>
    </row>
    <row r="4939" spans="5:13">
      <c r="E4939" s="852"/>
      <c r="F4939" s="852"/>
      <c r="G4939" s="852"/>
      <c r="H4939" s="852"/>
      <c r="I4939" s="852"/>
      <c r="J4939" s="852"/>
      <c r="K4939" s="852"/>
      <c r="L4939" s="852"/>
      <c r="M4939" s="852"/>
    </row>
    <row r="4940" spans="5:13">
      <c r="E4940" s="852"/>
      <c r="F4940" s="852"/>
      <c r="G4940" s="852"/>
      <c r="H4940" s="852"/>
      <c r="I4940" s="852"/>
      <c r="J4940" s="852"/>
      <c r="K4940" s="852"/>
      <c r="L4940" s="852"/>
      <c r="M4940" s="852"/>
    </row>
    <row r="4941" spans="5:13">
      <c r="E4941" s="852"/>
      <c r="F4941" s="852"/>
      <c r="G4941" s="852"/>
      <c r="H4941" s="852"/>
      <c r="I4941" s="852"/>
      <c r="J4941" s="852"/>
      <c r="K4941" s="852"/>
      <c r="L4941" s="852"/>
      <c r="M4941" s="852"/>
    </row>
    <row r="4942" spans="5:13">
      <c r="E4942" s="852"/>
      <c r="F4942" s="852"/>
      <c r="G4942" s="852"/>
      <c r="H4942" s="852"/>
      <c r="I4942" s="852"/>
      <c r="J4942" s="852"/>
      <c r="K4942" s="852"/>
      <c r="L4942" s="852"/>
      <c r="M4942" s="852"/>
    </row>
    <row r="4943" spans="5:13">
      <c r="E4943" s="852"/>
      <c r="F4943" s="852"/>
      <c r="G4943" s="852"/>
      <c r="H4943" s="852"/>
      <c r="I4943" s="852"/>
      <c r="J4943" s="852"/>
      <c r="K4943" s="852"/>
      <c r="L4943" s="852"/>
      <c r="M4943" s="852"/>
    </row>
    <row r="4944" spans="5:13">
      <c r="E4944" s="852"/>
      <c r="F4944" s="852"/>
      <c r="G4944" s="852"/>
      <c r="H4944" s="852"/>
      <c r="I4944" s="852"/>
      <c r="J4944" s="852"/>
      <c r="K4944" s="852"/>
      <c r="L4944" s="852"/>
      <c r="M4944" s="852"/>
    </row>
    <row r="4945" spans="5:13">
      <c r="E4945" s="852"/>
      <c r="F4945" s="852"/>
      <c r="G4945" s="852"/>
      <c r="H4945" s="852"/>
      <c r="I4945" s="852"/>
      <c r="J4945" s="852"/>
      <c r="K4945" s="852"/>
      <c r="L4945" s="852"/>
      <c r="M4945" s="852"/>
    </row>
    <row r="4946" spans="5:13">
      <c r="E4946" s="852"/>
      <c r="F4946" s="852"/>
      <c r="G4946" s="852"/>
      <c r="H4946" s="852"/>
      <c r="I4946" s="852"/>
      <c r="J4946" s="852"/>
      <c r="K4946" s="852"/>
      <c r="L4946" s="852"/>
      <c r="M4946" s="852"/>
    </row>
    <row r="4947" spans="5:13">
      <c r="E4947" s="852"/>
      <c r="F4947" s="852"/>
      <c r="G4947" s="852"/>
      <c r="H4947" s="852"/>
      <c r="I4947" s="852"/>
      <c r="J4947" s="852"/>
      <c r="K4947" s="852"/>
      <c r="L4947" s="852"/>
      <c r="M4947" s="852"/>
    </row>
    <row r="4948" spans="5:13">
      <c r="E4948" s="852"/>
      <c r="F4948" s="852"/>
      <c r="G4948" s="852"/>
      <c r="H4948" s="852"/>
      <c r="I4948" s="852"/>
      <c r="J4948" s="852"/>
      <c r="K4948" s="852"/>
      <c r="L4948" s="852"/>
      <c r="M4948" s="852"/>
    </row>
    <row r="4949" spans="5:13">
      <c r="E4949" s="852"/>
      <c r="F4949" s="852"/>
      <c r="G4949" s="852"/>
      <c r="H4949" s="852"/>
      <c r="I4949" s="852"/>
      <c r="J4949" s="852"/>
      <c r="K4949" s="852"/>
      <c r="L4949" s="852"/>
      <c r="M4949" s="852"/>
    </row>
    <row r="4950" spans="5:13">
      <c r="E4950" s="852"/>
      <c r="F4950" s="852"/>
      <c r="G4950" s="852"/>
      <c r="H4950" s="852"/>
      <c r="I4950" s="852"/>
      <c r="J4950" s="852"/>
      <c r="K4950" s="852"/>
      <c r="L4950" s="852"/>
      <c r="M4950" s="852"/>
    </row>
    <row r="4951" spans="5:13">
      <c r="E4951" s="852"/>
      <c r="F4951" s="852"/>
      <c r="G4951" s="852"/>
      <c r="H4951" s="852"/>
      <c r="I4951" s="852"/>
      <c r="J4951" s="852"/>
      <c r="K4951" s="852"/>
      <c r="L4951" s="852"/>
      <c r="M4951" s="852"/>
    </row>
    <row r="4952" spans="5:13">
      <c r="E4952" s="852"/>
      <c r="F4952" s="852"/>
      <c r="G4952" s="852"/>
      <c r="H4952" s="852"/>
      <c r="I4952" s="852"/>
      <c r="J4952" s="852"/>
      <c r="K4952" s="852"/>
      <c r="L4952" s="852"/>
      <c r="M4952" s="852"/>
    </row>
    <row r="4953" spans="5:13">
      <c r="E4953" s="852"/>
      <c r="F4953" s="852"/>
      <c r="G4953" s="852"/>
      <c r="H4953" s="852"/>
      <c r="I4953" s="852"/>
      <c r="J4953" s="852"/>
      <c r="K4953" s="852"/>
      <c r="L4953" s="852"/>
      <c r="M4953" s="852"/>
    </row>
    <row r="4954" spans="5:13">
      <c r="E4954" s="852"/>
      <c r="F4954" s="852"/>
      <c r="G4954" s="852"/>
      <c r="H4954" s="852"/>
      <c r="I4954" s="852"/>
      <c r="J4954" s="852"/>
      <c r="K4954" s="852"/>
      <c r="L4954" s="852"/>
      <c r="M4954" s="852"/>
    </row>
    <row r="4955" spans="5:13">
      <c r="E4955" s="852"/>
      <c r="F4955" s="852"/>
      <c r="G4955" s="852"/>
      <c r="H4955" s="852"/>
      <c r="I4955" s="852"/>
      <c r="J4955" s="852"/>
      <c r="K4955" s="852"/>
      <c r="L4955" s="852"/>
      <c r="M4955" s="852"/>
    </row>
    <row r="4956" spans="5:13">
      <c r="E4956" s="852"/>
      <c r="F4956" s="852"/>
      <c r="G4956" s="852"/>
      <c r="H4956" s="852"/>
      <c r="I4956" s="852"/>
      <c r="J4956" s="852"/>
      <c r="K4956" s="852"/>
      <c r="L4956" s="852"/>
      <c r="M4956" s="852"/>
    </row>
    <row r="4957" spans="5:13">
      <c r="E4957" s="852"/>
      <c r="F4957" s="852"/>
      <c r="G4957" s="852"/>
      <c r="H4957" s="852"/>
      <c r="I4957" s="852"/>
      <c r="J4957" s="852"/>
      <c r="K4957" s="852"/>
      <c r="L4957" s="852"/>
      <c r="M4957" s="852"/>
    </row>
    <row r="4958" spans="5:13">
      <c r="E4958" s="852"/>
      <c r="F4958" s="852"/>
      <c r="G4958" s="852"/>
      <c r="H4958" s="852"/>
      <c r="I4958" s="852"/>
      <c r="J4958" s="852"/>
      <c r="K4958" s="852"/>
      <c r="L4958" s="852"/>
      <c r="M4958" s="852"/>
    </row>
    <row r="4959" spans="5:13">
      <c r="E4959" s="852"/>
      <c r="F4959" s="852"/>
      <c r="G4959" s="852"/>
      <c r="H4959" s="852"/>
      <c r="I4959" s="852"/>
      <c r="J4959" s="852"/>
      <c r="K4959" s="852"/>
      <c r="L4959" s="852"/>
      <c r="M4959" s="852"/>
    </row>
    <row r="4960" spans="5:13">
      <c r="E4960" s="852"/>
      <c r="F4960" s="852"/>
      <c r="G4960" s="852"/>
      <c r="H4960" s="852"/>
      <c r="I4960" s="852"/>
      <c r="J4960" s="852"/>
      <c r="K4960" s="852"/>
      <c r="L4960" s="852"/>
      <c r="M4960" s="852"/>
    </row>
    <row r="4961" spans="5:13">
      <c r="E4961" s="852"/>
      <c r="F4961" s="852"/>
      <c r="G4961" s="852"/>
      <c r="H4961" s="852"/>
      <c r="I4961" s="852"/>
      <c r="J4961" s="852"/>
      <c r="K4961" s="852"/>
      <c r="L4961" s="852"/>
      <c r="M4961" s="852"/>
    </row>
    <row r="4962" spans="5:13">
      <c r="E4962" s="852"/>
      <c r="F4962" s="852"/>
      <c r="G4962" s="852"/>
      <c r="H4962" s="852"/>
      <c r="I4962" s="852"/>
      <c r="J4962" s="852"/>
      <c r="K4962" s="852"/>
      <c r="L4962" s="852"/>
      <c r="M4962" s="852"/>
    </row>
    <row r="4963" spans="5:13">
      <c r="E4963" s="852"/>
      <c r="F4963" s="852"/>
      <c r="G4963" s="852"/>
      <c r="H4963" s="852"/>
      <c r="I4963" s="852"/>
      <c r="J4963" s="852"/>
      <c r="K4963" s="852"/>
      <c r="L4963" s="852"/>
      <c r="M4963" s="852"/>
    </row>
    <row r="4964" spans="5:13">
      <c r="E4964" s="852"/>
      <c r="F4964" s="852"/>
      <c r="G4964" s="852"/>
      <c r="H4964" s="852"/>
      <c r="I4964" s="852"/>
      <c r="J4964" s="852"/>
      <c r="K4964" s="852"/>
      <c r="L4964" s="852"/>
      <c r="M4964" s="852"/>
    </row>
    <row r="4965" spans="5:13">
      <c r="E4965" s="852"/>
      <c r="F4965" s="852"/>
      <c r="G4965" s="852"/>
      <c r="H4965" s="852"/>
      <c r="I4965" s="852"/>
      <c r="J4965" s="852"/>
      <c r="K4965" s="852"/>
      <c r="L4965" s="852"/>
      <c r="M4965" s="852"/>
    </row>
    <row r="4966" spans="5:13">
      <c r="E4966" s="852"/>
      <c r="F4966" s="852"/>
      <c r="G4966" s="852"/>
      <c r="H4966" s="852"/>
      <c r="I4966" s="852"/>
      <c r="J4966" s="852"/>
      <c r="K4966" s="852"/>
      <c r="L4966" s="852"/>
      <c r="M4966" s="852"/>
    </row>
    <row r="4967" spans="5:13">
      <c r="E4967" s="852"/>
      <c r="F4967" s="852"/>
      <c r="G4967" s="852"/>
      <c r="H4967" s="852"/>
      <c r="I4967" s="852"/>
      <c r="J4967" s="852"/>
      <c r="K4967" s="852"/>
      <c r="L4967" s="852"/>
      <c r="M4967" s="852"/>
    </row>
    <row r="4968" spans="5:13">
      <c r="E4968" s="852"/>
      <c r="F4968" s="852"/>
      <c r="G4968" s="852"/>
      <c r="H4968" s="852"/>
      <c r="I4968" s="852"/>
      <c r="J4968" s="852"/>
      <c r="K4968" s="852"/>
      <c r="L4968" s="852"/>
      <c r="M4968" s="852"/>
    </row>
    <row r="4969" spans="5:13">
      <c r="E4969" s="852"/>
      <c r="F4969" s="852"/>
      <c r="G4969" s="852"/>
      <c r="H4969" s="852"/>
      <c r="I4969" s="852"/>
      <c r="J4969" s="852"/>
      <c r="K4969" s="852"/>
      <c r="L4969" s="852"/>
      <c r="M4969" s="852"/>
    </row>
    <row r="4970" spans="5:13">
      <c r="E4970" s="852"/>
      <c r="F4970" s="852"/>
      <c r="G4970" s="852"/>
      <c r="H4970" s="852"/>
      <c r="I4970" s="852"/>
      <c r="J4970" s="852"/>
      <c r="K4970" s="852"/>
      <c r="L4970" s="852"/>
      <c r="M4970" s="852"/>
    </row>
    <row r="4971" spans="5:13">
      <c r="E4971" s="852"/>
      <c r="F4971" s="852"/>
      <c r="G4971" s="852"/>
      <c r="H4971" s="852"/>
      <c r="I4971" s="852"/>
      <c r="J4971" s="852"/>
      <c r="K4971" s="852"/>
      <c r="L4971" s="852"/>
      <c r="M4971" s="852"/>
    </row>
    <row r="4972" spans="5:13">
      <c r="E4972" s="852"/>
      <c r="F4972" s="852"/>
      <c r="G4972" s="852"/>
      <c r="H4972" s="852"/>
      <c r="I4972" s="852"/>
      <c r="J4972" s="852"/>
      <c r="K4972" s="852"/>
      <c r="L4972" s="852"/>
      <c r="M4972" s="852"/>
    </row>
    <row r="4973" spans="5:13">
      <c r="E4973" s="852"/>
      <c r="F4973" s="852"/>
      <c r="G4973" s="852"/>
      <c r="H4973" s="852"/>
      <c r="I4973" s="852"/>
      <c r="J4973" s="852"/>
      <c r="K4973" s="852"/>
      <c r="L4973" s="852"/>
      <c r="M4973" s="852"/>
    </row>
    <row r="4974" spans="5:13">
      <c r="E4974" s="852"/>
      <c r="F4974" s="852"/>
      <c r="G4974" s="852"/>
      <c r="H4974" s="852"/>
      <c r="I4974" s="852"/>
      <c r="J4974" s="852"/>
      <c r="K4974" s="852"/>
      <c r="L4974" s="852"/>
      <c r="M4974" s="852"/>
    </row>
    <row r="4975" spans="5:13">
      <c r="E4975" s="852"/>
      <c r="F4975" s="852"/>
      <c r="G4975" s="852"/>
      <c r="H4975" s="852"/>
      <c r="I4975" s="852"/>
      <c r="J4975" s="852"/>
      <c r="K4975" s="852"/>
      <c r="L4975" s="852"/>
      <c r="M4975" s="852"/>
    </row>
    <row r="4976" spans="5:13">
      <c r="E4976" s="852"/>
      <c r="F4976" s="852"/>
      <c r="G4976" s="852"/>
      <c r="H4976" s="852"/>
      <c r="I4976" s="852"/>
      <c r="J4976" s="852"/>
      <c r="K4976" s="852"/>
      <c r="L4976" s="852"/>
      <c r="M4976" s="852"/>
    </row>
    <row r="4977" spans="5:13">
      <c r="E4977" s="852"/>
      <c r="F4977" s="852"/>
      <c r="G4977" s="852"/>
      <c r="H4977" s="852"/>
      <c r="I4977" s="852"/>
      <c r="J4977" s="852"/>
      <c r="K4977" s="852"/>
      <c r="L4977" s="852"/>
      <c r="M4977" s="852"/>
    </row>
    <row r="4978" spans="5:13">
      <c r="E4978" s="852"/>
      <c r="F4978" s="852"/>
      <c r="G4978" s="852"/>
      <c r="H4978" s="852"/>
      <c r="I4978" s="852"/>
      <c r="J4978" s="852"/>
      <c r="K4978" s="852"/>
      <c r="L4978" s="852"/>
      <c r="M4978" s="852"/>
    </row>
    <row r="4979" spans="5:13">
      <c r="E4979" s="852"/>
      <c r="F4979" s="852"/>
      <c r="G4979" s="852"/>
      <c r="H4979" s="852"/>
      <c r="I4979" s="852"/>
      <c r="J4979" s="852"/>
      <c r="K4979" s="852"/>
      <c r="L4979" s="852"/>
      <c r="M4979" s="852"/>
    </row>
    <row r="4980" spans="5:13">
      <c r="E4980" s="852"/>
      <c r="F4980" s="852"/>
      <c r="G4980" s="852"/>
      <c r="H4980" s="852"/>
      <c r="I4980" s="852"/>
      <c r="J4980" s="852"/>
      <c r="K4980" s="852"/>
      <c r="L4980" s="852"/>
      <c r="M4980" s="852"/>
    </row>
    <row r="4981" spans="5:13">
      <c r="E4981" s="852"/>
      <c r="F4981" s="852"/>
      <c r="G4981" s="852"/>
      <c r="H4981" s="852"/>
      <c r="I4981" s="852"/>
      <c r="J4981" s="852"/>
      <c r="K4981" s="852"/>
      <c r="L4981" s="852"/>
      <c r="M4981" s="852"/>
    </row>
    <row r="4982" spans="5:13">
      <c r="E4982" s="852"/>
      <c r="F4982" s="852"/>
      <c r="G4982" s="852"/>
      <c r="H4982" s="852"/>
      <c r="I4982" s="852"/>
      <c r="J4982" s="852"/>
      <c r="K4982" s="852"/>
      <c r="L4982" s="852"/>
      <c r="M4982" s="852"/>
    </row>
    <row r="4983" spans="5:13">
      <c r="E4983" s="852"/>
      <c r="F4983" s="852"/>
      <c r="G4983" s="852"/>
      <c r="H4983" s="852"/>
      <c r="I4983" s="852"/>
      <c r="J4983" s="852"/>
      <c r="K4983" s="852"/>
      <c r="L4983" s="852"/>
      <c r="M4983" s="852"/>
    </row>
    <row r="4984" spans="5:13">
      <c r="E4984" s="852"/>
      <c r="F4984" s="852"/>
      <c r="G4984" s="852"/>
      <c r="H4984" s="852"/>
      <c r="I4984" s="852"/>
      <c r="J4984" s="852"/>
      <c r="K4984" s="852"/>
      <c r="L4984" s="852"/>
      <c r="M4984" s="852"/>
    </row>
    <row r="4985" spans="5:13">
      <c r="E4985" s="852"/>
      <c r="F4985" s="852"/>
      <c r="G4985" s="852"/>
      <c r="H4985" s="852"/>
      <c r="I4985" s="852"/>
      <c r="J4985" s="852"/>
      <c r="K4985" s="852"/>
      <c r="L4985" s="852"/>
      <c r="M4985" s="852"/>
    </row>
    <row r="4986" spans="5:13">
      <c r="E4986" s="852"/>
      <c r="F4986" s="852"/>
      <c r="G4986" s="852"/>
      <c r="H4986" s="852"/>
      <c r="I4986" s="852"/>
      <c r="J4986" s="852"/>
      <c r="K4986" s="852"/>
      <c r="L4986" s="852"/>
      <c r="M4986" s="852"/>
    </row>
    <row r="4987" spans="5:13">
      <c r="E4987" s="852"/>
      <c r="F4987" s="852"/>
      <c r="G4987" s="852"/>
      <c r="H4987" s="852"/>
      <c r="I4987" s="852"/>
      <c r="J4987" s="852"/>
      <c r="K4987" s="852"/>
      <c r="L4987" s="852"/>
      <c r="M4987" s="852"/>
    </row>
    <row r="4988" spans="5:13">
      <c r="E4988" s="852"/>
      <c r="F4988" s="852"/>
      <c r="G4988" s="852"/>
      <c r="H4988" s="852"/>
      <c r="I4988" s="852"/>
      <c r="J4988" s="852"/>
      <c r="K4988" s="852"/>
      <c r="L4988" s="852"/>
      <c r="M4988" s="852"/>
    </row>
    <row r="4989" spans="5:13">
      <c r="E4989" s="852"/>
      <c r="F4989" s="852"/>
      <c r="G4989" s="852"/>
      <c r="H4989" s="852"/>
      <c r="I4989" s="852"/>
      <c r="J4989" s="852"/>
      <c r="K4989" s="852"/>
      <c r="L4989" s="852"/>
      <c r="M4989" s="852"/>
    </row>
    <row r="4990" spans="5:13">
      <c r="E4990" s="852"/>
      <c r="F4990" s="852"/>
      <c r="G4990" s="852"/>
      <c r="H4990" s="852"/>
      <c r="I4990" s="852"/>
      <c r="J4990" s="852"/>
      <c r="K4990" s="852"/>
      <c r="L4990" s="852"/>
      <c r="M4990" s="852"/>
    </row>
    <row r="4991" spans="5:13">
      <c r="E4991" s="852"/>
      <c r="F4991" s="852"/>
      <c r="G4991" s="852"/>
      <c r="H4991" s="852"/>
      <c r="I4991" s="852"/>
      <c r="J4991" s="852"/>
      <c r="K4991" s="852"/>
      <c r="L4991" s="852"/>
      <c r="M4991" s="852"/>
    </row>
    <row r="4992" spans="5:13">
      <c r="E4992" s="852"/>
      <c r="F4992" s="852"/>
      <c r="G4992" s="852"/>
      <c r="H4992" s="852"/>
      <c r="I4992" s="852"/>
      <c r="J4992" s="852"/>
      <c r="K4992" s="852"/>
      <c r="L4992" s="852"/>
      <c r="M4992" s="852"/>
    </row>
    <row r="4993" spans="5:13">
      <c r="E4993" s="852"/>
      <c r="F4993" s="852"/>
      <c r="G4993" s="852"/>
      <c r="H4993" s="852"/>
      <c r="I4993" s="852"/>
      <c r="J4993" s="852"/>
      <c r="K4993" s="852"/>
      <c r="L4993" s="852"/>
      <c r="M4993" s="852"/>
    </row>
    <row r="4994" spans="5:13">
      <c r="E4994" s="852"/>
      <c r="F4994" s="852"/>
      <c r="G4994" s="852"/>
      <c r="H4994" s="852"/>
      <c r="I4994" s="852"/>
      <c r="J4994" s="852"/>
      <c r="K4994" s="852"/>
      <c r="L4994" s="852"/>
      <c r="M4994" s="852"/>
    </row>
    <row r="4995" spans="5:13">
      <c r="E4995" s="852"/>
      <c r="F4995" s="852"/>
      <c r="G4995" s="852"/>
      <c r="H4995" s="852"/>
      <c r="I4995" s="852"/>
      <c r="J4995" s="852"/>
      <c r="K4995" s="852"/>
      <c r="L4995" s="852"/>
      <c r="M4995" s="852"/>
    </row>
    <row r="4996" spans="5:13">
      <c r="E4996" s="852"/>
      <c r="F4996" s="852"/>
      <c r="G4996" s="852"/>
      <c r="H4996" s="852"/>
      <c r="I4996" s="852"/>
      <c r="J4996" s="852"/>
      <c r="K4996" s="852"/>
      <c r="L4996" s="852"/>
      <c r="M4996" s="852"/>
    </row>
    <row r="4997" spans="5:13">
      <c r="E4997" s="852"/>
      <c r="F4997" s="852"/>
      <c r="G4997" s="852"/>
      <c r="H4997" s="852"/>
      <c r="I4997" s="852"/>
      <c r="J4997" s="852"/>
      <c r="K4997" s="852"/>
      <c r="L4997" s="852"/>
      <c r="M4997" s="852"/>
    </row>
    <row r="4998" spans="5:13">
      <c r="E4998" s="852"/>
      <c r="F4998" s="852"/>
      <c r="G4998" s="852"/>
      <c r="H4998" s="852"/>
      <c r="I4998" s="852"/>
      <c r="J4998" s="852"/>
      <c r="K4998" s="852"/>
      <c r="L4998" s="852"/>
      <c r="M4998" s="852"/>
    </row>
    <row r="4999" spans="5:13">
      <c r="E4999" s="852"/>
      <c r="F4999" s="852"/>
      <c r="G4999" s="852"/>
      <c r="H4999" s="852"/>
      <c r="I4999" s="852"/>
      <c r="J4999" s="852"/>
      <c r="K4999" s="852"/>
      <c r="L4999" s="852"/>
      <c r="M4999" s="852"/>
    </row>
    <row r="5000" spans="5:13">
      <c r="E5000" s="852"/>
      <c r="F5000" s="852"/>
      <c r="G5000" s="852"/>
      <c r="H5000" s="852"/>
      <c r="I5000" s="852"/>
      <c r="J5000" s="852"/>
      <c r="K5000" s="852"/>
      <c r="L5000" s="852"/>
      <c r="M5000" s="852"/>
    </row>
    <row r="5001" spans="5:13">
      <c r="E5001" s="852"/>
      <c r="F5001" s="852"/>
      <c r="G5001" s="852"/>
      <c r="H5001" s="852"/>
      <c r="I5001" s="852"/>
      <c r="J5001" s="852"/>
      <c r="K5001" s="852"/>
      <c r="L5001" s="852"/>
      <c r="M5001" s="852"/>
    </row>
    <row r="5002" spans="5:13">
      <c r="E5002" s="852"/>
      <c r="F5002" s="852"/>
      <c r="G5002" s="852"/>
      <c r="H5002" s="852"/>
      <c r="I5002" s="852"/>
      <c r="J5002" s="852"/>
      <c r="K5002" s="852"/>
      <c r="L5002" s="852"/>
      <c r="M5002" s="852"/>
    </row>
    <row r="5003" spans="5:13">
      <c r="E5003" s="852"/>
      <c r="F5003" s="852"/>
      <c r="G5003" s="852"/>
      <c r="H5003" s="852"/>
      <c r="I5003" s="852"/>
      <c r="J5003" s="852"/>
      <c r="K5003" s="852"/>
      <c r="L5003" s="852"/>
      <c r="M5003" s="852"/>
    </row>
    <row r="5004" spans="5:13">
      <c r="E5004" s="852"/>
      <c r="F5004" s="852"/>
      <c r="G5004" s="852"/>
      <c r="H5004" s="852"/>
      <c r="I5004" s="852"/>
      <c r="J5004" s="852"/>
      <c r="K5004" s="852"/>
      <c r="L5004" s="852"/>
      <c r="M5004" s="852"/>
    </row>
    <row r="5005" spans="5:13">
      <c r="E5005" s="852"/>
      <c r="F5005" s="852"/>
      <c r="G5005" s="852"/>
      <c r="H5005" s="852"/>
      <c r="I5005" s="852"/>
      <c r="J5005" s="852"/>
      <c r="K5005" s="852"/>
      <c r="L5005" s="852"/>
      <c r="M5005" s="852"/>
    </row>
    <row r="5006" spans="5:13">
      <c r="E5006" s="852"/>
      <c r="F5006" s="852"/>
      <c r="G5006" s="852"/>
      <c r="H5006" s="852"/>
      <c r="I5006" s="852"/>
      <c r="J5006" s="852"/>
      <c r="K5006" s="852"/>
      <c r="L5006" s="852"/>
      <c r="M5006" s="852"/>
    </row>
    <row r="5007" spans="5:13">
      <c r="E5007" s="852"/>
      <c r="F5007" s="852"/>
      <c r="G5007" s="852"/>
      <c r="H5007" s="852"/>
      <c r="I5007" s="852"/>
      <c r="J5007" s="852"/>
      <c r="K5007" s="852"/>
      <c r="L5007" s="852"/>
      <c r="M5007" s="852"/>
    </row>
    <row r="5008" spans="5:13">
      <c r="E5008" s="852"/>
      <c r="F5008" s="852"/>
      <c r="G5008" s="852"/>
      <c r="H5008" s="852"/>
      <c r="I5008" s="852"/>
      <c r="J5008" s="852"/>
      <c r="K5008" s="852"/>
      <c r="L5008" s="852"/>
      <c r="M5008" s="852"/>
    </row>
    <row r="5009" spans="5:13">
      <c r="E5009" s="852"/>
      <c r="F5009" s="852"/>
      <c r="G5009" s="852"/>
      <c r="H5009" s="852"/>
      <c r="I5009" s="852"/>
      <c r="J5009" s="852"/>
      <c r="K5009" s="852"/>
      <c r="L5009" s="852"/>
      <c r="M5009" s="852"/>
    </row>
    <row r="5010" spans="5:13">
      <c r="E5010" s="852"/>
      <c r="F5010" s="852"/>
      <c r="G5010" s="852"/>
      <c r="H5010" s="852"/>
      <c r="I5010" s="852"/>
      <c r="J5010" s="852"/>
      <c r="K5010" s="852"/>
      <c r="L5010" s="852"/>
      <c r="M5010" s="852"/>
    </row>
    <row r="5011" spans="5:13">
      <c r="E5011" s="852"/>
      <c r="F5011" s="852"/>
      <c r="G5011" s="852"/>
      <c r="H5011" s="852"/>
      <c r="I5011" s="852"/>
      <c r="J5011" s="852"/>
      <c r="K5011" s="852"/>
      <c r="L5011" s="852"/>
      <c r="M5011" s="852"/>
    </row>
    <row r="5012" spans="5:13">
      <c r="E5012" s="852"/>
      <c r="F5012" s="852"/>
      <c r="G5012" s="852"/>
      <c r="H5012" s="852"/>
      <c r="I5012" s="852"/>
      <c r="J5012" s="852"/>
      <c r="K5012" s="852"/>
      <c r="L5012" s="852"/>
      <c r="M5012" s="852"/>
    </row>
    <row r="5013" spans="5:13">
      <c r="E5013" s="852"/>
      <c r="F5013" s="852"/>
      <c r="G5013" s="852"/>
      <c r="H5013" s="852"/>
      <c r="I5013" s="852"/>
      <c r="J5013" s="852"/>
      <c r="K5013" s="852"/>
      <c r="L5013" s="852"/>
      <c r="M5013" s="852"/>
    </row>
    <row r="5014" spans="5:13">
      <c r="E5014" s="852"/>
      <c r="F5014" s="852"/>
      <c r="G5014" s="852"/>
      <c r="H5014" s="852"/>
      <c r="I5014" s="852"/>
      <c r="J5014" s="852"/>
      <c r="K5014" s="852"/>
      <c r="L5014" s="852"/>
      <c r="M5014" s="852"/>
    </row>
    <row r="5015" spans="5:13">
      <c r="E5015" s="852"/>
      <c r="F5015" s="852"/>
      <c r="G5015" s="852"/>
      <c r="H5015" s="852"/>
      <c r="I5015" s="852"/>
      <c r="J5015" s="852"/>
      <c r="K5015" s="852"/>
      <c r="L5015" s="852"/>
      <c r="M5015" s="852"/>
    </row>
    <row r="5016" spans="5:13">
      <c r="E5016" s="852"/>
      <c r="F5016" s="852"/>
      <c r="G5016" s="852"/>
      <c r="H5016" s="852"/>
      <c r="I5016" s="852"/>
      <c r="J5016" s="852"/>
      <c r="K5016" s="852"/>
      <c r="L5016" s="852"/>
      <c r="M5016" s="852"/>
    </row>
    <row r="5017" spans="5:13">
      <c r="E5017" s="852"/>
      <c r="F5017" s="852"/>
      <c r="G5017" s="852"/>
      <c r="H5017" s="852"/>
      <c r="I5017" s="852"/>
      <c r="J5017" s="852"/>
      <c r="K5017" s="852"/>
      <c r="L5017" s="852"/>
      <c r="M5017" s="852"/>
    </row>
    <row r="5018" spans="5:13">
      <c r="E5018" s="852"/>
      <c r="F5018" s="852"/>
      <c r="G5018" s="852"/>
      <c r="H5018" s="852"/>
      <c r="I5018" s="852"/>
      <c r="J5018" s="852"/>
      <c r="K5018" s="852"/>
      <c r="L5018" s="852"/>
      <c r="M5018" s="852"/>
    </row>
    <row r="5019" spans="5:13">
      <c r="E5019" s="852"/>
      <c r="F5019" s="852"/>
      <c r="G5019" s="852"/>
      <c r="H5019" s="852"/>
      <c r="I5019" s="852"/>
      <c r="J5019" s="852"/>
      <c r="K5019" s="852"/>
      <c r="L5019" s="852"/>
      <c r="M5019" s="852"/>
    </row>
    <row r="5020" spans="5:13">
      <c r="E5020" s="852"/>
      <c r="F5020" s="852"/>
      <c r="G5020" s="852"/>
      <c r="H5020" s="852"/>
      <c r="I5020" s="852"/>
      <c r="J5020" s="852"/>
      <c r="K5020" s="852"/>
      <c r="L5020" s="852"/>
      <c r="M5020" s="852"/>
    </row>
    <row r="5021" spans="5:13">
      <c r="E5021" s="852"/>
      <c r="F5021" s="852"/>
      <c r="G5021" s="852"/>
      <c r="H5021" s="852"/>
      <c r="I5021" s="852"/>
      <c r="J5021" s="852"/>
      <c r="K5021" s="852"/>
      <c r="L5021" s="852"/>
      <c r="M5021" s="852"/>
    </row>
    <row r="5022" spans="5:13">
      <c r="E5022" s="852"/>
      <c r="F5022" s="852"/>
      <c r="G5022" s="852"/>
      <c r="H5022" s="852"/>
      <c r="I5022" s="852"/>
      <c r="J5022" s="852"/>
      <c r="K5022" s="852"/>
      <c r="L5022" s="852"/>
      <c r="M5022" s="852"/>
    </row>
    <row r="5023" spans="5:13">
      <c r="E5023" s="852"/>
      <c r="F5023" s="852"/>
      <c r="G5023" s="852"/>
      <c r="H5023" s="852"/>
      <c r="I5023" s="852"/>
      <c r="J5023" s="852"/>
      <c r="K5023" s="852"/>
      <c r="L5023" s="852"/>
      <c r="M5023" s="852"/>
    </row>
    <row r="5024" spans="5:13">
      <c r="E5024" s="852"/>
      <c r="F5024" s="852"/>
      <c r="G5024" s="852"/>
      <c r="H5024" s="852"/>
      <c r="I5024" s="852"/>
      <c r="J5024" s="852"/>
      <c r="K5024" s="852"/>
      <c r="L5024" s="852"/>
      <c r="M5024" s="852"/>
    </row>
    <row r="5025" spans="5:13">
      <c r="E5025" s="852"/>
      <c r="F5025" s="852"/>
      <c r="G5025" s="852"/>
      <c r="H5025" s="852"/>
      <c r="I5025" s="852"/>
      <c r="J5025" s="852"/>
      <c r="K5025" s="852"/>
      <c r="L5025" s="852"/>
      <c r="M5025" s="852"/>
    </row>
    <row r="5026" spans="5:13">
      <c r="E5026" s="852"/>
      <c r="F5026" s="852"/>
      <c r="G5026" s="852"/>
      <c r="H5026" s="852"/>
      <c r="I5026" s="852"/>
      <c r="J5026" s="852"/>
      <c r="K5026" s="852"/>
      <c r="L5026" s="852"/>
      <c r="M5026" s="852"/>
    </row>
    <row r="5027" spans="5:13">
      <c r="E5027" s="852"/>
      <c r="F5027" s="852"/>
      <c r="G5027" s="852"/>
      <c r="H5027" s="852"/>
      <c r="I5027" s="852"/>
      <c r="J5027" s="852"/>
      <c r="K5027" s="852"/>
      <c r="L5027" s="852"/>
      <c r="M5027" s="852"/>
    </row>
    <row r="5028" spans="5:13">
      <c r="E5028" s="852"/>
      <c r="F5028" s="852"/>
      <c r="G5028" s="852"/>
      <c r="H5028" s="852"/>
      <c r="I5028" s="852"/>
      <c r="J5028" s="852"/>
      <c r="K5028" s="852"/>
      <c r="L5028" s="852"/>
      <c r="M5028" s="852"/>
    </row>
    <row r="5029" spans="5:13">
      <c r="E5029" s="852"/>
      <c r="F5029" s="852"/>
      <c r="G5029" s="852"/>
      <c r="H5029" s="852"/>
      <c r="I5029" s="852"/>
      <c r="J5029" s="852"/>
      <c r="K5029" s="852"/>
      <c r="L5029" s="852"/>
      <c r="M5029" s="852"/>
    </row>
    <row r="5030" spans="5:13">
      <c r="E5030" s="852"/>
      <c r="F5030" s="852"/>
      <c r="G5030" s="852"/>
      <c r="H5030" s="852"/>
      <c r="I5030" s="852"/>
      <c r="J5030" s="852"/>
      <c r="K5030" s="852"/>
      <c r="L5030" s="852"/>
      <c r="M5030" s="852"/>
    </row>
    <row r="5031" spans="5:13">
      <c r="E5031" s="852"/>
      <c r="F5031" s="852"/>
      <c r="G5031" s="852"/>
      <c r="H5031" s="852"/>
      <c r="I5031" s="852"/>
      <c r="J5031" s="852"/>
      <c r="K5031" s="852"/>
      <c r="L5031" s="852"/>
      <c r="M5031" s="852"/>
    </row>
    <row r="5032" spans="5:13">
      <c r="E5032" s="852"/>
      <c r="F5032" s="852"/>
      <c r="G5032" s="852"/>
      <c r="H5032" s="852"/>
      <c r="I5032" s="852"/>
      <c r="J5032" s="852"/>
      <c r="K5032" s="852"/>
      <c r="L5032" s="852"/>
      <c r="M5032" s="852"/>
    </row>
    <row r="5033" spans="5:13">
      <c r="E5033" s="852"/>
      <c r="F5033" s="852"/>
      <c r="G5033" s="852"/>
      <c r="H5033" s="852"/>
      <c r="I5033" s="852"/>
      <c r="J5033" s="852"/>
      <c r="K5033" s="852"/>
      <c r="L5033" s="852"/>
      <c r="M5033" s="852"/>
    </row>
    <row r="5034" spans="5:13">
      <c r="E5034" s="852"/>
      <c r="F5034" s="852"/>
      <c r="G5034" s="852"/>
      <c r="H5034" s="852"/>
      <c r="I5034" s="852"/>
      <c r="J5034" s="852"/>
      <c r="K5034" s="852"/>
      <c r="L5034" s="852"/>
      <c r="M5034" s="852"/>
    </row>
    <row r="5035" spans="5:13">
      <c r="E5035" s="852"/>
      <c r="F5035" s="852"/>
      <c r="G5035" s="852"/>
      <c r="H5035" s="852"/>
      <c r="I5035" s="852"/>
      <c r="J5035" s="852"/>
      <c r="K5035" s="852"/>
      <c r="L5035" s="852"/>
      <c r="M5035" s="852"/>
    </row>
    <row r="5036" spans="5:13">
      <c r="E5036" s="852"/>
      <c r="F5036" s="852"/>
      <c r="G5036" s="852"/>
      <c r="H5036" s="852"/>
      <c r="I5036" s="852"/>
      <c r="J5036" s="852"/>
      <c r="K5036" s="852"/>
      <c r="L5036" s="852"/>
      <c r="M5036" s="852"/>
    </row>
    <row r="5037" spans="5:13">
      <c r="E5037" s="852"/>
      <c r="F5037" s="852"/>
      <c r="G5037" s="852"/>
      <c r="H5037" s="852"/>
      <c r="I5037" s="852"/>
      <c r="J5037" s="852"/>
      <c r="K5037" s="852"/>
      <c r="L5037" s="852"/>
      <c r="M5037" s="852"/>
    </row>
    <row r="5038" spans="5:13">
      <c r="E5038" s="852"/>
      <c r="F5038" s="852"/>
      <c r="G5038" s="852"/>
      <c r="H5038" s="852"/>
      <c r="I5038" s="852"/>
      <c r="J5038" s="852"/>
      <c r="K5038" s="852"/>
      <c r="L5038" s="852"/>
      <c r="M5038" s="852"/>
    </row>
    <row r="5039" spans="5:13">
      <c r="E5039" s="852"/>
      <c r="F5039" s="852"/>
      <c r="G5039" s="852"/>
      <c r="H5039" s="852"/>
      <c r="I5039" s="852"/>
      <c r="J5039" s="852"/>
      <c r="K5039" s="852"/>
      <c r="L5039" s="852"/>
      <c r="M5039" s="852"/>
    </row>
    <row r="5040" spans="5:13">
      <c r="E5040" s="852"/>
      <c r="F5040" s="852"/>
      <c r="G5040" s="852"/>
      <c r="H5040" s="852"/>
      <c r="I5040" s="852"/>
      <c r="J5040" s="852"/>
      <c r="K5040" s="852"/>
      <c r="L5040" s="852"/>
      <c r="M5040" s="852"/>
    </row>
    <row r="5041" spans="5:13">
      <c r="E5041" s="852"/>
      <c r="F5041" s="852"/>
      <c r="G5041" s="852"/>
      <c r="H5041" s="852"/>
      <c r="I5041" s="852"/>
      <c r="J5041" s="852"/>
      <c r="K5041" s="852"/>
      <c r="L5041" s="852"/>
      <c r="M5041" s="852"/>
    </row>
    <row r="5042" spans="5:13">
      <c r="E5042" s="852"/>
      <c r="F5042" s="852"/>
      <c r="G5042" s="852"/>
      <c r="H5042" s="852"/>
      <c r="I5042" s="852"/>
      <c r="J5042" s="852"/>
      <c r="K5042" s="852"/>
      <c r="L5042" s="852"/>
      <c r="M5042" s="852"/>
    </row>
    <row r="5043" spans="5:13">
      <c r="E5043" s="852"/>
      <c r="F5043" s="852"/>
      <c r="G5043" s="852"/>
      <c r="H5043" s="852"/>
      <c r="I5043" s="852"/>
      <c r="J5043" s="852"/>
      <c r="K5043" s="852"/>
      <c r="L5043" s="852"/>
      <c r="M5043" s="852"/>
    </row>
    <row r="5044" spans="5:13">
      <c r="E5044" s="852"/>
      <c r="F5044" s="852"/>
      <c r="G5044" s="852"/>
      <c r="H5044" s="852"/>
      <c r="I5044" s="852"/>
      <c r="J5044" s="852"/>
      <c r="K5044" s="852"/>
      <c r="L5044" s="852"/>
      <c r="M5044" s="852"/>
    </row>
    <row r="5045" spans="5:13">
      <c r="E5045" s="852"/>
      <c r="F5045" s="852"/>
      <c r="G5045" s="852"/>
      <c r="H5045" s="852"/>
      <c r="I5045" s="852"/>
      <c r="J5045" s="852"/>
      <c r="K5045" s="852"/>
      <c r="L5045" s="852"/>
      <c r="M5045" s="852"/>
    </row>
    <row r="5046" spans="5:13">
      <c r="E5046" s="852"/>
      <c r="F5046" s="852"/>
      <c r="G5046" s="852"/>
      <c r="H5046" s="852"/>
      <c r="I5046" s="852"/>
      <c r="J5046" s="852"/>
      <c r="K5046" s="852"/>
      <c r="L5046" s="852"/>
      <c r="M5046" s="852"/>
    </row>
    <row r="5047" spans="5:13">
      <c r="E5047" s="852"/>
      <c r="F5047" s="852"/>
      <c r="G5047" s="852"/>
      <c r="H5047" s="852"/>
      <c r="I5047" s="852"/>
      <c r="J5047" s="852"/>
      <c r="K5047" s="852"/>
      <c r="L5047" s="852"/>
      <c r="M5047" s="852"/>
    </row>
    <row r="5048" spans="5:13">
      <c r="E5048" s="852"/>
      <c r="F5048" s="852"/>
      <c r="G5048" s="852"/>
      <c r="H5048" s="852"/>
      <c r="I5048" s="852"/>
      <c r="J5048" s="852"/>
      <c r="K5048" s="852"/>
      <c r="L5048" s="852"/>
      <c r="M5048" s="852"/>
    </row>
    <row r="5049" spans="5:13">
      <c r="E5049" s="852"/>
      <c r="F5049" s="852"/>
      <c r="G5049" s="852"/>
      <c r="H5049" s="852"/>
      <c r="I5049" s="852"/>
      <c r="J5049" s="852"/>
      <c r="K5049" s="852"/>
      <c r="L5049" s="852"/>
      <c r="M5049" s="852"/>
    </row>
    <row r="5050" spans="5:13">
      <c r="E5050" s="852"/>
      <c r="F5050" s="852"/>
      <c r="G5050" s="852"/>
      <c r="H5050" s="852"/>
      <c r="I5050" s="852"/>
      <c r="J5050" s="852"/>
      <c r="K5050" s="852"/>
      <c r="L5050" s="852"/>
      <c r="M5050" s="852"/>
    </row>
    <row r="5051" spans="5:13">
      <c r="E5051" s="852"/>
      <c r="F5051" s="852"/>
      <c r="G5051" s="852"/>
      <c r="H5051" s="852"/>
      <c r="I5051" s="852"/>
      <c r="J5051" s="852"/>
      <c r="K5051" s="852"/>
      <c r="L5051" s="852"/>
      <c r="M5051" s="852"/>
    </row>
    <row r="5052" spans="5:13">
      <c r="E5052" s="852"/>
      <c r="F5052" s="852"/>
      <c r="G5052" s="852"/>
      <c r="H5052" s="852"/>
      <c r="I5052" s="852"/>
      <c r="J5052" s="852"/>
      <c r="K5052" s="852"/>
      <c r="L5052" s="852"/>
      <c r="M5052" s="852"/>
    </row>
    <row r="5053" spans="5:13">
      <c r="E5053" s="852"/>
      <c r="F5053" s="852"/>
      <c r="G5053" s="852"/>
      <c r="H5053" s="852"/>
      <c r="I5053" s="852"/>
      <c r="J5053" s="852"/>
      <c r="K5053" s="852"/>
      <c r="L5053" s="852"/>
      <c r="M5053" s="852"/>
    </row>
    <row r="5054" spans="5:13">
      <c r="E5054" s="852"/>
      <c r="F5054" s="852"/>
      <c r="G5054" s="852"/>
      <c r="H5054" s="852"/>
      <c r="I5054" s="852"/>
      <c r="J5054" s="852"/>
      <c r="K5054" s="852"/>
      <c r="L5054" s="852"/>
      <c r="M5054" s="852"/>
    </row>
    <row r="5055" spans="5:13">
      <c r="E5055" s="852"/>
      <c r="F5055" s="852"/>
      <c r="G5055" s="852"/>
      <c r="H5055" s="852"/>
      <c r="I5055" s="852"/>
      <c r="J5055" s="852"/>
      <c r="K5055" s="852"/>
      <c r="L5055" s="852"/>
      <c r="M5055" s="852"/>
    </row>
    <row r="5056" spans="5:13">
      <c r="E5056" s="852"/>
      <c r="F5056" s="852"/>
      <c r="G5056" s="852"/>
      <c r="H5056" s="852"/>
      <c r="I5056" s="852"/>
      <c r="J5056" s="852"/>
      <c r="K5056" s="852"/>
      <c r="L5056" s="852"/>
      <c r="M5056" s="852"/>
    </row>
    <row r="5057" spans="5:13">
      <c r="E5057" s="852"/>
      <c r="F5057" s="852"/>
      <c r="G5057" s="852"/>
      <c r="H5057" s="852"/>
      <c r="I5057" s="852"/>
      <c r="J5057" s="852"/>
      <c r="K5057" s="852"/>
      <c r="L5057" s="852"/>
      <c r="M5057" s="852"/>
    </row>
    <row r="5058" spans="5:13">
      <c r="E5058" s="852"/>
      <c r="F5058" s="852"/>
      <c r="G5058" s="852"/>
      <c r="H5058" s="852"/>
      <c r="I5058" s="852"/>
      <c r="J5058" s="852"/>
      <c r="K5058" s="852"/>
      <c r="L5058" s="852"/>
      <c r="M5058" s="852"/>
    </row>
    <row r="5059" spans="5:13">
      <c r="E5059" s="852"/>
      <c r="F5059" s="852"/>
      <c r="G5059" s="852"/>
      <c r="H5059" s="852"/>
      <c r="I5059" s="852"/>
      <c r="J5059" s="852"/>
      <c r="K5059" s="852"/>
      <c r="L5059" s="852"/>
      <c r="M5059" s="852"/>
    </row>
    <row r="5060" spans="5:13">
      <c r="E5060" s="852"/>
      <c r="F5060" s="852"/>
      <c r="G5060" s="852"/>
      <c r="H5060" s="852"/>
      <c r="I5060" s="852"/>
      <c r="J5060" s="852"/>
      <c r="K5060" s="852"/>
      <c r="L5060" s="852"/>
      <c r="M5060" s="852"/>
    </row>
    <row r="5061" spans="5:13">
      <c r="E5061" s="852"/>
      <c r="F5061" s="852"/>
      <c r="G5061" s="852"/>
      <c r="H5061" s="852"/>
      <c r="I5061" s="852"/>
      <c r="J5061" s="852"/>
      <c r="K5061" s="852"/>
      <c r="L5061" s="852"/>
      <c r="M5061" s="852"/>
    </row>
    <row r="5062" spans="5:13">
      <c r="E5062" s="852"/>
      <c r="F5062" s="852"/>
      <c r="G5062" s="852"/>
      <c r="H5062" s="852"/>
      <c r="I5062" s="852"/>
      <c r="J5062" s="852"/>
      <c r="K5062" s="852"/>
      <c r="L5062" s="852"/>
      <c r="M5062" s="852"/>
    </row>
    <row r="5063" spans="5:13">
      <c r="E5063" s="852"/>
      <c r="F5063" s="852"/>
      <c r="G5063" s="852"/>
      <c r="H5063" s="852"/>
      <c r="I5063" s="852"/>
      <c r="J5063" s="852"/>
      <c r="K5063" s="852"/>
      <c r="L5063" s="852"/>
      <c r="M5063" s="852"/>
    </row>
    <row r="5064" spans="5:13">
      <c r="E5064" s="852"/>
      <c r="F5064" s="852"/>
      <c r="G5064" s="852"/>
      <c r="H5064" s="852"/>
      <c r="I5064" s="852"/>
      <c r="J5064" s="852"/>
      <c r="K5064" s="852"/>
      <c r="L5064" s="852"/>
      <c r="M5064" s="852"/>
    </row>
    <row r="5065" spans="5:13">
      <c r="E5065" s="852"/>
      <c r="F5065" s="852"/>
      <c r="G5065" s="852"/>
      <c r="H5065" s="852"/>
      <c r="I5065" s="852"/>
      <c r="J5065" s="852"/>
      <c r="K5065" s="852"/>
      <c r="L5065" s="852"/>
      <c r="M5065" s="852"/>
    </row>
    <row r="5066" spans="5:13">
      <c r="E5066" s="852"/>
      <c r="F5066" s="852"/>
      <c r="G5066" s="852"/>
      <c r="H5066" s="852"/>
      <c r="I5066" s="852"/>
      <c r="J5066" s="852"/>
      <c r="K5066" s="852"/>
      <c r="L5066" s="852"/>
      <c r="M5066" s="852"/>
    </row>
    <row r="5067" spans="5:13">
      <c r="E5067" s="852"/>
      <c r="F5067" s="852"/>
      <c r="G5067" s="852"/>
      <c r="H5067" s="852"/>
      <c r="I5067" s="852"/>
      <c r="J5067" s="852"/>
      <c r="K5067" s="852"/>
      <c r="L5067" s="852"/>
      <c r="M5067" s="852"/>
    </row>
    <row r="5068" spans="5:13">
      <c r="E5068" s="852"/>
      <c r="F5068" s="852"/>
      <c r="G5068" s="852"/>
      <c r="H5068" s="852"/>
      <c r="I5068" s="852"/>
      <c r="J5068" s="852"/>
      <c r="K5068" s="852"/>
      <c r="L5068" s="852"/>
      <c r="M5068" s="852"/>
    </row>
    <row r="5069" spans="5:13">
      <c r="E5069" s="852"/>
      <c r="F5069" s="852"/>
      <c r="G5069" s="852"/>
      <c r="H5069" s="852"/>
      <c r="I5069" s="852"/>
      <c r="J5069" s="852"/>
      <c r="K5069" s="852"/>
      <c r="L5069" s="852"/>
      <c r="M5069" s="852"/>
    </row>
    <row r="5070" spans="5:13">
      <c r="E5070" s="852"/>
      <c r="F5070" s="852"/>
      <c r="G5070" s="852"/>
      <c r="H5070" s="852"/>
      <c r="I5070" s="852"/>
      <c r="J5070" s="852"/>
      <c r="K5070" s="852"/>
      <c r="L5070" s="852"/>
      <c r="M5070" s="852"/>
    </row>
    <row r="5071" spans="5:13">
      <c r="E5071" s="852"/>
      <c r="F5071" s="852"/>
      <c r="G5071" s="852"/>
      <c r="H5071" s="852"/>
      <c r="I5071" s="852"/>
      <c r="J5071" s="852"/>
      <c r="K5071" s="852"/>
      <c r="L5071" s="852"/>
      <c r="M5071" s="852"/>
    </row>
    <row r="5072" spans="5:13">
      <c r="E5072" s="852"/>
      <c r="F5072" s="852"/>
      <c r="G5072" s="852"/>
      <c r="H5072" s="852"/>
      <c r="I5072" s="852"/>
      <c r="J5072" s="852"/>
      <c r="K5072" s="852"/>
      <c r="L5072" s="852"/>
      <c r="M5072" s="852"/>
    </row>
    <row r="5073" spans="5:13">
      <c r="E5073" s="852"/>
      <c r="F5073" s="852"/>
      <c r="G5073" s="852"/>
      <c r="H5073" s="852"/>
      <c r="I5073" s="852"/>
      <c r="J5073" s="852"/>
      <c r="K5073" s="852"/>
      <c r="L5073" s="852"/>
      <c r="M5073" s="852"/>
    </row>
    <row r="5074" spans="5:13">
      <c r="E5074" s="852"/>
      <c r="F5074" s="852"/>
      <c r="G5074" s="852"/>
      <c r="H5074" s="852"/>
      <c r="I5074" s="852"/>
      <c r="J5074" s="852"/>
      <c r="K5074" s="852"/>
      <c r="L5074" s="852"/>
      <c r="M5074" s="852"/>
    </row>
    <row r="5075" spans="5:13">
      <c r="E5075" s="852"/>
      <c r="F5075" s="852"/>
      <c r="G5075" s="852"/>
      <c r="H5075" s="852"/>
      <c r="I5075" s="852"/>
      <c r="J5075" s="852"/>
      <c r="K5075" s="852"/>
      <c r="L5075" s="852"/>
      <c r="M5075" s="852"/>
    </row>
    <row r="5076" spans="5:13">
      <c r="E5076" s="852"/>
      <c r="F5076" s="852"/>
      <c r="G5076" s="852"/>
      <c r="H5076" s="852"/>
      <c r="I5076" s="852"/>
      <c r="J5076" s="852"/>
      <c r="K5076" s="852"/>
      <c r="L5076" s="852"/>
      <c r="M5076" s="852"/>
    </row>
    <row r="5077" spans="5:13">
      <c r="E5077" s="852"/>
      <c r="F5077" s="852"/>
      <c r="G5077" s="852"/>
      <c r="H5077" s="852"/>
      <c r="I5077" s="852"/>
      <c r="J5077" s="852"/>
      <c r="K5077" s="852"/>
      <c r="L5077" s="852"/>
      <c r="M5077" s="852"/>
    </row>
    <row r="5078" spans="5:13">
      <c r="E5078" s="852"/>
      <c r="F5078" s="852"/>
      <c r="G5078" s="852"/>
      <c r="H5078" s="852"/>
      <c r="I5078" s="852"/>
      <c r="J5078" s="852"/>
      <c r="K5078" s="852"/>
      <c r="L5078" s="852"/>
      <c r="M5078" s="852"/>
    </row>
    <row r="5079" spans="5:13">
      <c r="E5079" s="852"/>
      <c r="F5079" s="852"/>
      <c r="G5079" s="852"/>
      <c r="H5079" s="852"/>
      <c r="I5079" s="852"/>
      <c r="J5079" s="852"/>
      <c r="K5079" s="852"/>
      <c r="L5079" s="852"/>
      <c r="M5079" s="852"/>
    </row>
    <row r="5080" spans="5:13">
      <c r="E5080" s="852"/>
      <c r="F5080" s="852"/>
      <c r="G5080" s="852"/>
      <c r="H5080" s="852"/>
      <c r="I5080" s="852"/>
      <c r="J5080" s="852"/>
      <c r="K5080" s="852"/>
      <c r="L5080" s="852"/>
      <c r="M5080" s="852"/>
    </row>
    <row r="5081" spans="5:13">
      <c r="E5081" s="852"/>
      <c r="F5081" s="852"/>
      <c r="G5081" s="852"/>
      <c r="H5081" s="852"/>
      <c r="I5081" s="852"/>
      <c r="J5081" s="852"/>
      <c r="K5081" s="852"/>
      <c r="L5081" s="852"/>
      <c r="M5081" s="852"/>
    </row>
    <row r="5082" spans="5:13">
      <c r="E5082" s="852"/>
      <c r="F5082" s="852"/>
      <c r="G5082" s="852"/>
      <c r="H5082" s="852"/>
      <c r="I5082" s="852"/>
      <c r="J5082" s="852"/>
      <c r="K5082" s="852"/>
      <c r="L5082" s="852"/>
      <c r="M5082" s="852"/>
    </row>
    <row r="5083" spans="5:13">
      <c r="E5083" s="852"/>
      <c r="F5083" s="852"/>
      <c r="G5083" s="852"/>
      <c r="H5083" s="852"/>
      <c r="I5083" s="852"/>
      <c r="J5083" s="852"/>
      <c r="K5083" s="852"/>
      <c r="L5083" s="852"/>
      <c r="M5083" s="852"/>
    </row>
    <row r="5084" spans="5:13">
      <c r="E5084" s="852"/>
      <c r="F5084" s="852"/>
      <c r="G5084" s="852"/>
      <c r="H5084" s="852"/>
      <c r="I5084" s="852"/>
      <c r="J5084" s="852"/>
      <c r="K5084" s="852"/>
      <c r="L5084" s="852"/>
      <c r="M5084" s="852"/>
    </row>
    <row r="5085" spans="5:13">
      <c r="E5085" s="852"/>
      <c r="F5085" s="852"/>
      <c r="G5085" s="852"/>
      <c r="H5085" s="852"/>
      <c r="I5085" s="852"/>
      <c r="J5085" s="852"/>
      <c r="K5085" s="852"/>
      <c r="L5085" s="852"/>
      <c r="M5085" s="852"/>
    </row>
    <row r="5086" spans="5:13">
      <c r="E5086" s="852"/>
      <c r="F5086" s="852"/>
      <c r="G5086" s="852"/>
      <c r="H5086" s="852"/>
      <c r="I5086" s="852"/>
      <c r="J5086" s="852"/>
      <c r="K5086" s="852"/>
      <c r="L5086" s="852"/>
      <c r="M5086" s="852"/>
    </row>
    <row r="5087" spans="5:13">
      <c r="E5087" s="852"/>
      <c r="F5087" s="852"/>
      <c r="G5087" s="852"/>
      <c r="H5087" s="852"/>
      <c r="I5087" s="852"/>
      <c r="J5087" s="852"/>
      <c r="K5087" s="852"/>
      <c r="L5087" s="852"/>
      <c r="M5087" s="852"/>
    </row>
    <row r="5088" spans="5:13">
      <c r="E5088" s="852"/>
      <c r="F5088" s="852"/>
      <c r="G5088" s="852"/>
      <c r="H5088" s="852"/>
      <c r="I5088" s="852"/>
      <c r="J5088" s="852"/>
      <c r="K5088" s="852"/>
      <c r="L5088" s="852"/>
      <c r="M5088" s="852"/>
    </row>
    <row r="5089" spans="5:13">
      <c r="E5089" s="852"/>
      <c r="F5089" s="852"/>
      <c r="G5089" s="852"/>
      <c r="H5089" s="852"/>
      <c r="I5089" s="852"/>
      <c r="J5089" s="852"/>
      <c r="K5089" s="852"/>
      <c r="L5089" s="852"/>
      <c r="M5089" s="852"/>
    </row>
    <row r="5090" spans="5:13">
      <c r="E5090" s="852"/>
      <c r="F5090" s="852"/>
      <c r="G5090" s="852"/>
      <c r="H5090" s="852"/>
      <c r="I5090" s="852"/>
      <c r="J5090" s="852"/>
      <c r="K5090" s="852"/>
      <c r="L5090" s="852"/>
      <c r="M5090" s="852"/>
    </row>
    <row r="5091" spans="5:13">
      <c r="E5091" s="852"/>
      <c r="F5091" s="852"/>
      <c r="G5091" s="852"/>
      <c r="H5091" s="852"/>
      <c r="I5091" s="852"/>
      <c r="J5091" s="852"/>
      <c r="K5091" s="852"/>
      <c r="L5091" s="852"/>
      <c r="M5091" s="852"/>
    </row>
    <row r="5092" spans="5:13">
      <c r="E5092" s="852"/>
      <c r="F5092" s="852"/>
      <c r="G5092" s="852"/>
      <c r="H5092" s="852"/>
      <c r="I5092" s="852"/>
      <c r="J5092" s="852"/>
      <c r="K5092" s="852"/>
      <c r="L5092" s="852"/>
      <c r="M5092" s="852"/>
    </row>
    <row r="5093" spans="5:13">
      <c r="E5093" s="852"/>
      <c r="F5093" s="852"/>
      <c r="G5093" s="852"/>
      <c r="H5093" s="852"/>
      <c r="I5093" s="852"/>
      <c r="J5093" s="852"/>
      <c r="K5093" s="852"/>
      <c r="L5093" s="852"/>
      <c r="M5093" s="852"/>
    </row>
    <row r="5094" spans="5:13">
      <c r="E5094" s="852"/>
      <c r="F5094" s="852"/>
      <c r="G5094" s="852"/>
      <c r="H5094" s="852"/>
      <c r="I5094" s="852"/>
      <c r="J5094" s="852"/>
      <c r="K5094" s="852"/>
      <c r="L5094" s="852"/>
      <c r="M5094" s="852"/>
    </row>
    <row r="5095" spans="5:13">
      <c r="E5095" s="852"/>
      <c r="F5095" s="852"/>
      <c r="G5095" s="852"/>
      <c r="H5095" s="852"/>
      <c r="I5095" s="852"/>
      <c r="J5095" s="852"/>
      <c r="K5095" s="852"/>
      <c r="L5095" s="852"/>
      <c r="M5095" s="852"/>
    </row>
    <row r="5096" spans="5:13">
      <c r="E5096" s="852"/>
      <c r="F5096" s="852"/>
      <c r="G5096" s="852"/>
      <c r="H5096" s="852"/>
      <c r="I5096" s="852"/>
      <c r="J5096" s="852"/>
      <c r="K5096" s="852"/>
      <c r="L5096" s="852"/>
      <c r="M5096" s="852"/>
    </row>
    <row r="5097" spans="5:13">
      <c r="E5097" s="852"/>
      <c r="F5097" s="852"/>
      <c r="G5097" s="852"/>
      <c r="H5097" s="852"/>
      <c r="I5097" s="852"/>
      <c r="J5097" s="852"/>
      <c r="K5097" s="852"/>
      <c r="L5097" s="852"/>
      <c r="M5097" s="852"/>
    </row>
    <row r="5098" spans="5:13">
      <c r="E5098" s="852"/>
      <c r="F5098" s="852"/>
      <c r="G5098" s="852"/>
      <c r="H5098" s="852"/>
      <c r="I5098" s="852"/>
      <c r="J5098" s="852"/>
      <c r="K5098" s="852"/>
      <c r="L5098" s="852"/>
      <c r="M5098" s="852"/>
    </row>
    <row r="5099" spans="5:13">
      <c r="E5099" s="852"/>
      <c r="F5099" s="852"/>
      <c r="G5099" s="852"/>
      <c r="H5099" s="852"/>
      <c r="I5099" s="852"/>
      <c r="J5099" s="852"/>
      <c r="K5099" s="852"/>
      <c r="L5099" s="852"/>
      <c r="M5099" s="852"/>
    </row>
    <row r="5100" spans="5:13">
      <c r="E5100" s="852"/>
      <c r="F5100" s="852"/>
      <c r="G5100" s="852"/>
      <c r="H5100" s="852"/>
      <c r="I5100" s="852"/>
      <c r="J5100" s="852"/>
      <c r="K5100" s="852"/>
      <c r="L5100" s="852"/>
      <c r="M5100" s="852"/>
    </row>
    <row r="5101" spans="5:13">
      <c r="E5101" s="852"/>
      <c r="F5101" s="852"/>
      <c r="G5101" s="852"/>
      <c r="H5101" s="852"/>
      <c r="I5101" s="852"/>
      <c r="J5101" s="852"/>
      <c r="K5101" s="852"/>
      <c r="L5101" s="852"/>
      <c r="M5101" s="852"/>
    </row>
    <row r="5102" spans="5:13">
      <c r="E5102" s="852"/>
      <c r="F5102" s="852"/>
      <c r="G5102" s="852"/>
      <c r="H5102" s="852"/>
      <c r="I5102" s="852"/>
      <c r="J5102" s="852"/>
      <c r="K5102" s="852"/>
      <c r="L5102" s="852"/>
      <c r="M5102" s="852"/>
    </row>
    <row r="5103" spans="5:13">
      <c r="E5103" s="852"/>
      <c r="F5103" s="852"/>
      <c r="G5103" s="852"/>
      <c r="H5103" s="852"/>
      <c r="I5103" s="852"/>
      <c r="J5103" s="852"/>
      <c r="K5103" s="852"/>
      <c r="L5103" s="852"/>
      <c r="M5103" s="852"/>
    </row>
    <row r="5104" spans="5:13">
      <c r="E5104" s="852"/>
      <c r="F5104" s="852"/>
      <c r="G5104" s="852"/>
      <c r="H5104" s="852"/>
      <c r="I5104" s="852"/>
      <c r="J5104" s="852"/>
      <c r="K5104" s="852"/>
      <c r="L5104" s="852"/>
      <c r="M5104" s="852"/>
    </row>
    <row r="5105" spans="5:13">
      <c r="E5105" s="852"/>
      <c r="F5105" s="852"/>
      <c r="G5105" s="852"/>
      <c r="H5105" s="852"/>
      <c r="I5105" s="852"/>
      <c r="J5105" s="852"/>
      <c r="K5105" s="852"/>
      <c r="L5105" s="852"/>
      <c r="M5105" s="852"/>
    </row>
    <row r="5106" spans="5:13">
      <c r="E5106" s="852"/>
      <c r="F5106" s="852"/>
      <c r="G5106" s="852"/>
      <c r="H5106" s="852"/>
      <c r="I5106" s="852"/>
      <c r="J5106" s="852"/>
      <c r="K5106" s="852"/>
      <c r="L5106" s="852"/>
      <c r="M5106" s="852"/>
    </row>
    <row r="5107" spans="5:13">
      <c r="E5107" s="852"/>
      <c r="F5107" s="852"/>
      <c r="G5107" s="852"/>
      <c r="H5107" s="852"/>
      <c r="I5107" s="852"/>
      <c r="J5107" s="852"/>
      <c r="K5107" s="852"/>
      <c r="L5107" s="852"/>
      <c r="M5107" s="852"/>
    </row>
    <row r="5108" spans="5:13">
      <c r="E5108" s="852"/>
      <c r="F5108" s="852"/>
      <c r="G5108" s="852"/>
      <c r="H5108" s="852"/>
      <c r="I5108" s="852"/>
      <c r="J5108" s="852"/>
      <c r="K5108" s="852"/>
      <c r="L5108" s="852"/>
      <c r="M5108" s="852"/>
    </row>
    <row r="5109" spans="5:13">
      <c r="E5109" s="852"/>
      <c r="F5109" s="852"/>
      <c r="G5109" s="852"/>
      <c r="H5109" s="852"/>
      <c r="I5109" s="852"/>
      <c r="J5109" s="852"/>
      <c r="K5109" s="852"/>
      <c r="L5109" s="852"/>
      <c r="M5109" s="852"/>
    </row>
    <row r="5110" spans="5:13">
      <c r="E5110" s="852"/>
      <c r="F5110" s="852"/>
      <c r="G5110" s="852"/>
      <c r="H5110" s="852"/>
      <c r="I5110" s="852"/>
      <c r="J5110" s="852"/>
      <c r="K5110" s="852"/>
      <c r="L5110" s="852"/>
      <c r="M5110" s="852"/>
    </row>
    <row r="5111" spans="5:13">
      <c r="E5111" s="852"/>
      <c r="F5111" s="852"/>
      <c r="G5111" s="852"/>
      <c r="H5111" s="852"/>
      <c r="I5111" s="852"/>
      <c r="J5111" s="852"/>
      <c r="K5111" s="852"/>
      <c r="L5111" s="852"/>
      <c r="M5111" s="852"/>
    </row>
    <row r="5112" spans="5:13">
      <c r="E5112" s="852"/>
      <c r="F5112" s="852"/>
      <c r="G5112" s="852"/>
      <c r="H5112" s="852"/>
      <c r="I5112" s="852"/>
      <c r="J5112" s="852"/>
      <c r="K5112" s="852"/>
      <c r="L5112" s="852"/>
      <c r="M5112" s="852"/>
    </row>
    <row r="5113" spans="5:13">
      <c r="E5113" s="852"/>
      <c r="F5113" s="852"/>
      <c r="G5113" s="852"/>
      <c r="H5113" s="852"/>
      <c r="I5113" s="852"/>
      <c r="J5113" s="852"/>
      <c r="K5113" s="852"/>
      <c r="L5113" s="852"/>
      <c r="M5113" s="852"/>
    </row>
    <row r="5114" spans="5:13">
      <c r="E5114" s="852"/>
      <c r="F5114" s="852"/>
      <c r="G5114" s="852"/>
      <c r="H5114" s="852"/>
      <c r="I5114" s="852"/>
      <c r="J5114" s="852"/>
      <c r="K5114" s="852"/>
      <c r="L5114" s="852"/>
      <c r="M5114" s="852"/>
    </row>
    <row r="5115" spans="5:13">
      <c r="E5115" s="852"/>
      <c r="F5115" s="852"/>
      <c r="G5115" s="852"/>
      <c r="H5115" s="852"/>
      <c r="I5115" s="852"/>
      <c r="J5115" s="852"/>
      <c r="K5115" s="852"/>
      <c r="L5115" s="852"/>
      <c r="M5115" s="852"/>
    </row>
    <row r="5116" spans="5:13">
      <c r="E5116" s="852"/>
      <c r="F5116" s="852"/>
      <c r="G5116" s="852"/>
      <c r="H5116" s="852"/>
      <c r="I5116" s="852"/>
      <c r="J5116" s="852"/>
      <c r="K5116" s="852"/>
      <c r="L5116" s="852"/>
      <c r="M5116" s="852"/>
    </row>
    <row r="5117" spans="5:13">
      <c r="E5117" s="852"/>
      <c r="F5117" s="852"/>
      <c r="G5117" s="852"/>
      <c r="H5117" s="852"/>
      <c r="I5117" s="852"/>
      <c r="J5117" s="852"/>
      <c r="K5117" s="852"/>
      <c r="L5117" s="852"/>
      <c r="M5117" s="852"/>
    </row>
    <row r="5118" spans="5:13">
      <c r="E5118" s="852"/>
      <c r="F5118" s="852"/>
      <c r="G5118" s="852"/>
      <c r="H5118" s="852"/>
      <c r="I5118" s="852"/>
      <c r="J5118" s="852"/>
      <c r="K5118" s="852"/>
      <c r="L5118" s="852"/>
      <c r="M5118" s="852"/>
    </row>
    <row r="5119" spans="5:13">
      <c r="E5119" s="852"/>
      <c r="F5119" s="852"/>
      <c r="G5119" s="852"/>
      <c r="H5119" s="852"/>
      <c r="I5119" s="852"/>
      <c r="J5119" s="852"/>
      <c r="K5119" s="852"/>
      <c r="L5119" s="852"/>
      <c r="M5119" s="852"/>
    </row>
    <row r="5120" spans="5:13">
      <c r="E5120" s="852"/>
      <c r="F5120" s="852"/>
      <c r="G5120" s="852"/>
      <c r="H5120" s="852"/>
      <c r="I5120" s="852"/>
      <c r="J5120" s="852"/>
      <c r="K5120" s="852"/>
      <c r="L5120" s="852"/>
      <c r="M5120" s="852"/>
    </row>
    <row r="5121" spans="5:13">
      <c r="E5121" s="852"/>
      <c r="F5121" s="852"/>
      <c r="G5121" s="852"/>
      <c r="H5121" s="852"/>
      <c r="I5121" s="852"/>
      <c r="J5121" s="852"/>
      <c r="K5121" s="852"/>
      <c r="L5121" s="852"/>
      <c r="M5121" s="852"/>
    </row>
    <row r="5122" spans="5:13">
      <c r="E5122" s="852"/>
      <c r="F5122" s="852"/>
      <c r="G5122" s="852"/>
      <c r="H5122" s="852"/>
      <c r="I5122" s="852"/>
      <c r="J5122" s="852"/>
      <c r="K5122" s="852"/>
      <c r="L5122" s="852"/>
      <c r="M5122" s="852"/>
    </row>
    <row r="5123" spans="5:13">
      <c r="E5123" s="852"/>
      <c r="F5123" s="852"/>
      <c r="G5123" s="852"/>
      <c r="H5123" s="852"/>
      <c r="I5123" s="852"/>
      <c r="J5123" s="852"/>
      <c r="K5123" s="852"/>
      <c r="L5123" s="852"/>
      <c r="M5123" s="852"/>
    </row>
    <row r="5124" spans="5:13">
      <c r="E5124" s="852"/>
      <c r="F5124" s="852"/>
      <c r="G5124" s="852"/>
      <c r="H5124" s="852"/>
      <c r="I5124" s="852"/>
      <c r="J5124" s="852"/>
      <c r="K5124" s="852"/>
      <c r="L5124" s="852"/>
      <c r="M5124" s="852"/>
    </row>
    <row r="5125" spans="5:13">
      <c r="E5125" s="852"/>
      <c r="F5125" s="852"/>
      <c r="G5125" s="852"/>
      <c r="H5125" s="852"/>
      <c r="I5125" s="852"/>
      <c r="J5125" s="852"/>
      <c r="K5125" s="852"/>
      <c r="L5125" s="852"/>
      <c r="M5125" s="852"/>
    </row>
    <row r="5126" spans="5:13">
      <c r="E5126" s="852"/>
      <c r="F5126" s="852"/>
      <c r="G5126" s="852"/>
      <c r="H5126" s="852"/>
      <c r="I5126" s="852"/>
      <c r="J5126" s="852"/>
      <c r="K5126" s="852"/>
      <c r="L5126" s="852"/>
      <c r="M5126" s="852"/>
    </row>
    <row r="5127" spans="5:13">
      <c r="E5127" s="852"/>
      <c r="F5127" s="852"/>
      <c r="G5127" s="852"/>
      <c r="H5127" s="852"/>
      <c r="I5127" s="852"/>
      <c r="J5127" s="852"/>
      <c r="K5127" s="852"/>
      <c r="L5127" s="852"/>
      <c r="M5127" s="852"/>
    </row>
    <row r="5128" spans="5:13">
      <c r="E5128" s="852"/>
      <c r="F5128" s="852"/>
      <c r="G5128" s="852"/>
      <c r="H5128" s="852"/>
      <c r="I5128" s="852"/>
      <c r="J5128" s="852"/>
      <c r="K5128" s="852"/>
      <c r="L5128" s="852"/>
      <c r="M5128" s="852"/>
    </row>
    <row r="5129" spans="5:13">
      <c r="E5129" s="852"/>
      <c r="F5129" s="852"/>
      <c r="G5129" s="852"/>
      <c r="H5129" s="852"/>
      <c r="I5129" s="852"/>
      <c r="J5129" s="852"/>
      <c r="K5129" s="852"/>
      <c r="L5129" s="852"/>
      <c r="M5129" s="852"/>
    </row>
    <row r="5130" spans="5:13">
      <c r="E5130" s="852"/>
      <c r="F5130" s="852"/>
      <c r="G5130" s="852"/>
      <c r="H5130" s="852"/>
      <c r="I5130" s="852"/>
      <c r="J5130" s="852"/>
      <c r="K5130" s="852"/>
      <c r="L5130" s="852"/>
      <c r="M5130" s="852"/>
    </row>
    <row r="5131" spans="5:13">
      <c r="E5131" s="852"/>
      <c r="F5131" s="852"/>
      <c r="G5131" s="852"/>
      <c r="H5131" s="852"/>
      <c r="I5131" s="852"/>
      <c r="J5131" s="852"/>
      <c r="K5131" s="852"/>
      <c r="L5131" s="852"/>
      <c r="M5131" s="852"/>
    </row>
    <row r="5132" spans="5:13">
      <c r="E5132" s="852"/>
      <c r="F5132" s="852"/>
      <c r="G5132" s="852"/>
      <c r="H5132" s="852"/>
      <c r="I5132" s="852"/>
      <c r="J5132" s="852"/>
      <c r="K5132" s="852"/>
      <c r="L5132" s="852"/>
      <c r="M5132" s="852"/>
    </row>
    <row r="5133" spans="5:13">
      <c r="E5133" s="852"/>
      <c r="F5133" s="852"/>
      <c r="G5133" s="852"/>
      <c r="H5133" s="852"/>
      <c r="I5133" s="852"/>
      <c r="J5133" s="852"/>
      <c r="K5133" s="852"/>
      <c r="L5133" s="852"/>
      <c r="M5133" s="852"/>
    </row>
    <row r="5134" spans="5:13">
      <c r="E5134" s="852"/>
      <c r="F5134" s="852"/>
      <c r="G5134" s="852"/>
      <c r="H5134" s="852"/>
      <c r="I5134" s="852"/>
      <c r="J5134" s="852"/>
      <c r="K5134" s="852"/>
      <c r="L5134" s="852"/>
      <c r="M5134" s="852"/>
    </row>
    <row r="5135" spans="5:13">
      <c r="E5135" s="852"/>
      <c r="F5135" s="852"/>
      <c r="G5135" s="852"/>
      <c r="H5135" s="852"/>
      <c r="I5135" s="852"/>
      <c r="J5135" s="852"/>
      <c r="K5135" s="852"/>
      <c r="L5135" s="852"/>
      <c r="M5135" s="852"/>
    </row>
    <row r="5136" spans="5:13">
      <c r="E5136" s="852"/>
      <c r="F5136" s="852"/>
      <c r="G5136" s="852"/>
      <c r="H5136" s="852"/>
      <c r="I5136" s="852"/>
      <c r="J5136" s="852"/>
      <c r="K5136" s="852"/>
      <c r="L5136" s="852"/>
      <c r="M5136" s="852"/>
    </row>
    <row r="5137" spans="5:13">
      <c r="E5137" s="852"/>
      <c r="F5137" s="852"/>
      <c r="G5137" s="852"/>
      <c r="H5137" s="852"/>
      <c r="I5137" s="852"/>
      <c r="J5137" s="852"/>
      <c r="K5137" s="852"/>
      <c r="L5137" s="852"/>
      <c r="M5137" s="852"/>
    </row>
    <row r="5138" spans="5:13">
      <c r="E5138" s="852"/>
      <c r="F5138" s="852"/>
      <c r="G5138" s="852"/>
      <c r="H5138" s="852"/>
      <c r="I5138" s="852"/>
      <c r="J5138" s="852"/>
      <c r="K5138" s="852"/>
      <c r="L5138" s="852"/>
      <c r="M5138" s="852"/>
    </row>
    <row r="5139" spans="5:13">
      <c r="E5139" s="852"/>
      <c r="F5139" s="852"/>
      <c r="G5139" s="852"/>
      <c r="H5139" s="852"/>
      <c r="I5139" s="852"/>
      <c r="J5139" s="852"/>
      <c r="K5139" s="852"/>
      <c r="L5139" s="852"/>
      <c r="M5139" s="852"/>
    </row>
    <row r="5140" spans="5:13">
      <c r="E5140" s="852"/>
      <c r="F5140" s="852"/>
      <c r="G5140" s="852"/>
      <c r="H5140" s="852"/>
      <c r="I5140" s="852"/>
      <c r="J5140" s="852"/>
      <c r="K5140" s="852"/>
      <c r="L5140" s="852"/>
      <c r="M5140" s="852"/>
    </row>
    <row r="5141" spans="5:13">
      <c r="E5141" s="852"/>
      <c r="F5141" s="852"/>
      <c r="G5141" s="852"/>
      <c r="H5141" s="852"/>
      <c r="I5141" s="852"/>
      <c r="J5141" s="852"/>
      <c r="K5141" s="852"/>
      <c r="L5141" s="852"/>
      <c r="M5141" s="852"/>
    </row>
    <row r="5142" spans="5:13">
      <c r="E5142" s="852"/>
      <c r="F5142" s="852"/>
      <c r="G5142" s="852"/>
      <c r="H5142" s="852"/>
      <c r="I5142" s="852"/>
      <c r="J5142" s="852"/>
      <c r="K5142" s="852"/>
      <c r="L5142" s="852"/>
      <c r="M5142" s="852"/>
    </row>
    <row r="5143" spans="5:13">
      <c r="E5143" s="852"/>
      <c r="F5143" s="852"/>
      <c r="G5143" s="852"/>
      <c r="H5143" s="852"/>
      <c r="I5143" s="852"/>
      <c r="J5143" s="852"/>
      <c r="K5143" s="852"/>
      <c r="L5143" s="852"/>
      <c r="M5143" s="852"/>
    </row>
    <row r="5144" spans="5:13">
      <c r="E5144" s="852"/>
      <c r="F5144" s="852"/>
      <c r="G5144" s="852"/>
      <c r="H5144" s="852"/>
      <c r="I5144" s="852"/>
      <c r="J5144" s="852"/>
      <c r="K5144" s="852"/>
      <c r="L5144" s="852"/>
      <c r="M5144" s="852"/>
    </row>
    <row r="5145" spans="5:13">
      <c r="E5145" s="852"/>
      <c r="F5145" s="852"/>
      <c r="G5145" s="852"/>
      <c r="H5145" s="852"/>
      <c r="I5145" s="852"/>
      <c r="J5145" s="852"/>
      <c r="K5145" s="852"/>
      <c r="L5145" s="852"/>
      <c r="M5145" s="852"/>
    </row>
    <row r="5146" spans="5:13">
      <c r="E5146" s="852"/>
      <c r="F5146" s="852"/>
      <c r="G5146" s="852"/>
      <c r="H5146" s="852"/>
      <c r="I5146" s="852"/>
      <c r="J5146" s="852"/>
      <c r="K5146" s="852"/>
      <c r="L5146" s="852"/>
      <c r="M5146" s="852"/>
    </row>
    <row r="5147" spans="5:13">
      <c r="E5147" s="852"/>
      <c r="F5147" s="852"/>
      <c r="G5147" s="852"/>
      <c r="H5147" s="852"/>
      <c r="I5147" s="852"/>
      <c r="J5147" s="852"/>
      <c r="K5147" s="852"/>
      <c r="L5147" s="852"/>
      <c r="M5147" s="852"/>
    </row>
    <row r="5148" spans="5:13">
      <c r="E5148" s="852"/>
      <c r="F5148" s="852"/>
      <c r="G5148" s="852"/>
      <c r="H5148" s="852"/>
      <c r="I5148" s="852"/>
      <c r="J5148" s="852"/>
      <c r="K5148" s="852"/>
      <c r="L5148" s="852"/>
      <c r="M5148" s="852"/>
    </row>
    <row r="5149" spans="5:13">
      <c r="E5149" s="852"/>
      <c r="F5149" s="852"/>
      <c r="G5149" s="852"/>
      <c r="H5149" s="852"/>
      <c r="I5149" s="852"/>
      <c r="J5149" s="852"/>
      <c r="K5149" s="852"/>
      <c r="L5149" s="852"/>
      <c r="M5149" s="852"/>
    </row>
    <row r="5150" spans="5:13">
      <c r="E5150" s="852"/>
      <c r="F5150" s="852"/>
      <c r="G5150" s="852"/>
      <c r="H5150" s="852"/>
      <c r="I5150" s="852"/>
      <c r="J5150" s="852"/>
      <c r="K5150" s="852"/>
      <c r="L5150" s="852"/>
      <c r="M5150" s="852"/>
    </row>
    <row r="5151" spans="5:13">
      <c r="E5151" s="852"/>
      <c r="F5151" s="852"/>
      <c r="G5151" s="852"/>
      <c r="H5151" s="852"/>
      <c r="I5151" s="852"/>
      <c r="J5151" s="852"/>
      <c r="K5151" s="852"/>
      <c r="L5151" s="852"/>
      <c r="M5151" s="852"/>
    </row>
    <row r="5152" spans="5:13">
      <c r="E5152" s="852"/>
      <c r="F5152" s="852"/>
      <c r="G5152" s="852"/>
      <c r="H5152" s="852"/>
      <c r="I5152" s="852"/>
      <c r="J5152" s="852"/>
      <c r="K5152" s="852"/>
      <c r="L5152" s="852"/>
      <c r="M5152" s="852"/>
    </row>
    <row r="5153" spans="5:13">
      <c r="E5153" s="852"/>
      <c r="F5153" s="852"/>
      <c r="G5153" s="852"/>
      <c r="H5153" s="852"/>
      <c r="I5153" s="852"/>
      <c r="J5153" s="852"/>
      <c r="K5153" s="852"/>
      <c r="L5153" s="852"/>
      <c r="M5153" s="852"/>
    </row>
    <row r="5154" spans="5:13">
      <c r="E5154" s="852"/>
      <c r="F5154" s="852"/>
      <c r="G5154" s="852"/>
      <c r="H5154" s="852"/>
      <c r="I5154" s="852"/>
      <c r="J5154" s="852"/>
      <c r="K5154" s="852"/>
      <c r="L5154" s="852"/>
      <c r="M5154" s="852"/>
    </row>
    <row r="5155" spans="5:13">
      <c r="E5155" s="852"/>
      <c r="F5155" s="852"/>
      <c r="G5155" s="852"/>
      <c r="H5155" s="852"/>
      <c r="I5155" s="852"/>
      <c r="J5155" s="852"/>
      <c r="K5155" s="852"/>
      <c r="L5155" s="852"/>
      <c r="M5155" s="852"/>
    </row>
    <row r="5156" spans="5:13">
      <c r="E5156" s="852"/>
      <c r="F5156" s="852"/>
      <c r="G5156" s="852"/>
      <c r="H5156" s="852"/>
      <c r="I5156" s="852"/>
      <c r="J5156" s="852"/>
      <c r="K5156" s="852"/>
      <c r="L5156" s="852"/>
      <c r="M5156" s="852"/>
    </row>
    <row r="5157" spans="5:13">
      <c r="E5157" s="852"/>
      <c r="F5157" s="852"/>
      <c r="G5157" s="852"/>
      <c r="H5157" s="852"/>
      <c r="I5157" s="852"/>
      <c r="J5157" s="852"/>
      <c r="K5157" s="852"/>
      <c r="L5157" s="852"/>
      <c r="M5157" s="852"/>
    </row>
    <row r="5158" spans="5:13">
      <c r="E5158" s="852"/>
      <c r="F5158" s="852"/>
      <c r="G5158" s="852"/>
      <c r="H5158" s="852"/>
      <c r="I5158" s="852"/>
      <c r="J5158" s="852"/>
      <c r="K5158" s="852"/>
      <c r="L5158" s="852"/>
      <c r="M5158" s="852"/>
    </row>
    <row r="5159" spans="5:13">
      <c r="E5159" s="852"/>
      <c r="F5159" s="852"/>
      <c r="G5159" s="852"/>
      <c r="H5159" s="852"/>
      <c r="I5159" s="852"/>
      <c r="J5159" s="852"/>
      <c r="K5159" s="852"/>
      <c r="L5159" s="852"/>
      <c r="M5159" s="852"/>
    </row>
    <row r="5160" spans="5:13">
      <c r="E5160" s="852"/>
      <c r="F5160" s="852"/>
      <c r="G5160" s="852"/>
      <c r="H5160" s="852"/>
      <c r="I5160" s="852"/>
      <c r="J5160" s="852"/>
      <c r="K5160" s="852"/>
      <c r="L5160" s="852"/>
      <c r="M5160" s="852"/>
    </row>
    <row r="5161" spans="5:13">
      <c r="E5161" s="852"/>
      <c r="F5161" s="852"/>
      <c r="G5161" s="852"/>
      <c r="H5161" s="852"/>
      <c r="I5161" s="852"/>
      <c r="J5161" s="852"/>
      <c r="K5161" s="852"/>
      <c r="L5161" s="852"/>
      <c r="M5161" s="852"/>
    </row>
    <row r="5162" spans="5:13">
      <c r="E5162" s="852"/>
      <c r="F5162" s="852"/>
      <c r="G5162" s="852"/>
      <c r="H5162" s="852"/>
      <c r="I5162" s="852"/>
      <c r="J5162" s="852"/>
      <c r="K5162" s="852"/>
      <c r="L5162" s="852"/>
      <c r="M5162" s="852"/>
    </row>
    <row r="5163" spans="5:13">
      <c r="E5163" s="852"/>
      <c r="F5163" s="852"/>
      <c r="G5163" s="852"/>
      <c r="H5163" s="852"/>
      <c r="I5163" s="852"/>
      <c r="J5163" s="852"/>
      <c r="K5163" s="852"/>
      <c r="L5163" s="852"/>
      <c r="M5163" s="852"/>
    </row>
    <row r="5164" spans="5:13">
      <c r="E5164" s="852"/>
      <c r="F5164" s="852"/>
      <c r="G5164" s="852"/>
      <c r="H5164" s="852"/>
      <c r="I5164" s="852"/>
      <c r="J5164" s="852"/>
      <c r="K5164" s="852"/>
      <c r="L5164" s="852"/>
      <c r="M5164" s="852"/>
    </row>
    <row r="5165" spans="5:13">
      <c r="E5165" s="852"/>
      <c r="F5165" s="852"/>
      <c r="G5165" s="852"/>
      <c r="H5165" s="852"/>
      <c r="I5165" s="852"/>
      <c r="J5165" s="852"/>
      <c r="K5165" s="852"/>
      <c r="L5165" s="852"/>
      <c r="M5165" s="852"/>
    </row>
    <row r="5166" spans="5:13">
      <c r="E5166" s="852"/>
      <c r="F5166" s="852"/>
      <c r="G5166" s="852"/>
      <c r="H5166" s="852"/>
      <c r="I5166" s="852"/>
      <c r="J5166" s="852"/>
      <c r="K5166" s="852"/>
      <c r="L5166" s="852"/>
      <c r="M5166" s="852"/>
    </row>
    <row r="5167" spans="5:13">
      <c r="E5167" s="852"/>
      <c r="F5167" s="852"/>
      <c r="G5167" s="852"/>
      <c r="H5167" s="852"/>
      <c r="I5167" s="852"/>
      <c r="J5167" s="852"/>
      <c r="K5167" s="852"/>
      <c r="L5167" s="852"/>
      <c r="M5167" s="852"/>
    </row>
    <row r="5168" spans="5:13">
      <c r="E5168" s="852"/>
      <c r="F5168" s="852"/>
      <c r="G5168" s="852"/>
      <c r="H5168" s="852"/>
      <c r="I5168" s="852"/>
      <c r="J5168" s="852"/>
      <c r="K5168" s="852"/>
      <c r="L5168" s="852"/>
      <c r="M5168" s="852"/>
    </row>
    <row r="5169" spans="5:13">
      <c r="E5169" s="852"/>
      <c r="F5169" s="852"/>
      <c r="G5169" s="852"/>
      <c r="H5169" s="852"/>
      <c r="I5169" s="852"/>
      <c r="J5169" s="852"/>
      <c r="K5169" s="852"/>
      <c r="L5169" s="852"/>
      <c r="M5169" s="852"/>
    </row>
    <row r="5170" spans="5:13">
      <c r="E5170" s="852"/>
      <c r="F5170" s="852"/>
      <c r="G5170" s="852"/>
      <c r="H5170" s="852"/>
      <c r="I5170" s="852"/>
      <c r="J5170" s="852"/>
      <c r="K5170" s="852"/>
      <c r="L5170" s="852"/>
      <c r="M5170" s="852"/>
    </row>
    <row r="5171" spans="5:13">
      <c r="E5171" s="852"/>
      <c r="F5171" s="852"/>
      <c r="G5171" s="852"/>
      <c r="H5171" s="852"/>
      <c r="I5171" s="852"/>
      <c r="J5171" s="852"/>
      <c r="K5171" s="852"/>
      <c r="L5171" s="852"/>
      <c r="M5171" s="852"/>
    </row>
    <row r="5172" spans="5:13">
      <c r="E5172" s="852"/>
      <c r="F5172" s="852"/>
      <c r="G5172" s="852"/>
      <c r="H5172" s="852"/>
      <c r="I5172" s="852"/>
      <c r="J5172" s="852"/>
      <c r="K5172" s="852"/>
      <c r="L5172" s="852"/>
      <c r="M5172" s="852"/>
    </row>
    <row r="5173" spans="5:13">
      <c r="E5173" s="852"/>
      <c r="F5173" s="852"/>
      <c r="G5173" s="852"/>
      <c r="H5173" s="852"/>
      <c r="I5173" s="852"/>
      <c r="J5173" s="852"/>
      <c r="K5173" s="852"/>
      <c r="L5173" s="852"/>
      <c r="M5173" s="852"/>
    </row>
    <row r="5174" spans="5:13">
      <c r="E5174" s="852"/>
      <c r="F5174" s="852"/>
      <c r="G5174" s="852"/>
      <c r="H5174" s="852"/>
      <c r="I5174" s="852"/>
      <c r="J5174" s="852"/>
      <c r="K5174" s="852"/>
      <c r="L5174" s="852"/>
      <c r="M5174" s="852"/>
    </row>
    <row r="5175" spans="5:13">
      <c r="E5175" s="852"/>
      <c r="F5175" s="852"/>
      <c r="G5175" s="852"/>
      <c r="H5175" s="852"/>
      <c r="I5175" s="852"/>
      <c r="J5175" s="852"/>
      <c r="K5175" s="852"/>
      <c r="L5175" s="852"/>
      <c r="M5175" s="852"/>
    </row>
    <row r="5176" spans="5:13">
      <c r="E5176" s="852"/>
      <c r="F5176" s="852"/>
      <c r="G5176" s="852"/>
      <c r="H5176" s="852"/>
      <c r="I5176" s="852"/>
      <c r="J5176" s="852"/>
      <c r="K5176" s="852"/>
      <c r="L5176" s="852"/>
      <c r="M5176" s="852"/>
    </row>
    <row r="5177" spans="5:13">
      <c r="E5177" s="852"/>
      <c r="F5177" s="852"/>
      <c r="G5177" s="852"/>
      <c r="H5177" s="852"/>
      <c r="I5177" s="852"/>
      <c r="J5177" s="852"/>
      <c r="K5177" s="852"/>
      <c r="L5177" s="852"/>
      <c r="M5177" s="852"/>
    </row>
    <row r="5178" spans="5:13">
      <c r="E5178" s="852"/>
      <c r="F5178" s="852"/>
      <c r="G5178" s="852"/>
      <c r="H5178" s="852"/>
      <c r="I5178" s="852"/>
      <c r="J5178" s="852"/>
      <c r="K5178" s="852"/>
      <c r="L5178" s="852"/>
      <c r="M5178" s="852"/>
    </row>
    <row r="5179" spans="5:13">
      <c r="E5179" s="852"/>
      <c r="F5179" s="852"/>
      <c r="G5179" s="852"/>
      <c r="H5179" s="852"/>
      <c r="I5179" s="852"/>
      <c r="J5179" s="852"/>
      <c r="K5179" s="852"/>
      <c r="L5179" s="852"/>
      <c r="M5179" s="852"/>
    </row>
    <row r="5180" spans="5:13">
      <c r="E5180" s="852"/>
      <c r="F5180" s="852"/>
      <c r="G5180" s="852"/>
      <c r="H5180" s="852"/>
      <c r="I5180" s="852"/>
      <c r="J5180" s="852"/>
      <c r="K5180" s="852"/>
      <c r="L5180" s="852"/>
      <c r="M5180" s="852"/>
    </row>
    <row r="5181" spans="5:13">
      <c r="E5181" s="852"/>
      <c r="F5181" s="852"/>
      <c r="G5181" s="852"/>
      <c r="H5181" s="852"/>
      <c r="I5181" s="852"/>
      <c r="J5181" s="852"/>
      <c r="K5181" s="852"/>
      <c r="L5181" s="852"/>
      <c r="M5181" s="852"/>
    </row>
    <row r="5182" spans="5:13">
      <c r="E5182" s="852"/>
      <c r="F5182" s="852"/>
      <c r="G5182" s="852"/>
      <c r="H5182" s="852"/>
      <c r="I5182" s="852"/>
      <c r="J5182" s="852"/>
      <c r="K5182" s="852"/>
      <c r="L5182" s="852"/>
      <c r="M5182" s="852"/>
    </row>
    <row r="5183" spans="5:13">
      <c r="E5183" s="852"/>
      <c r="F5183" s="852"/>
      <c r="G5183" s="852"/>
      <c r="H5183" s="852"/>
      <c r="I5183" s="852"/>
      <c r="J5183" s="852"/>
      <c r="K5183" s="852"/>
      <c r="L5183" s="852"/>
      <c r="M5183" s="852"/>
    </row>
    <row r="5184" spans="5:13">
      <c r="E5184" s="852"/>
      <c r="F5184" s="852"/>
      <c r="G5184" s="852"/>
      <c r="H5184" s="852"/>
      <c r="I5184" s="852"/>
      <c r="J5184" s="852"/>
      <c r="K5184" s="852"/>
      <c r="L5184" s="852"/>
      <c r="M5184" s="852"/>
    </row>
    <row r="5185" spans="5:13">
      <c r="E5185" s="852"/>
      <c r="F5185" s="852"/>
      <c r="G5185" s="852"/>
      <c r="H5185" s="852"/>
      <c r="I5185" s="852"/>
      <c r="J5185" s="852"/>
      <c r="K5185" s="852"/>
      <c r="L5185" s="852"/>
      <c r="M5185" s="852"/>
    </row>
    <row r="5186" spans="5:13">
      <c r="E5186" s="852"/>
      <c r="F5186" s="852"/>
      <c r="G5186" s="852"/>
      <c r="H5186" s="852"/>
      <c r="I5186" s="852"/>
      <c r="J5186" s="852"/>
      <c r="K5186" s="852"/>
      <c r="L5186" s="852"/>
      <c r="M5186" s="852"/>
    </row>
    <row r="5187" spans="5:13">
      <c r="E5187" s="852"/>
      <c r="F5187" s="852"/>
      <c r="G5187" s="852"/>
      <c r="H5187" s="852"/>
      <c r="I5187" s="852"/>
      <c r="J5187" s="852"/>
      <c r="K5187" s="852"/>
      <c r="L5187" s="852"/>
      <c r="M5187" s="852"/>
    </row>
    <row r="5188" spans="5:13">
      <c r="E5188" s="852"/>
      <c r="F5188" s="852"/>
      <c r="G5188" s="852"/>
      <c r="H5188" s="852"/>
      <c r="I5188" s="852"/>
      <c r="J5188" s="852"/>
      <c r="K5188" s="852"/>
      <c r="L5188" s="852"/>
      <c r="M5188" s="852"/>
    </row>
    <row r="5189" spans="5:13">
      <c r="E5189" s="852"/>
      <c r="F5189" s="852"/>
      <c r="G5189" s="852"/>
      <c r="H5189" s="852"/>
      <c r="I5189" s="852"/>
      <c r="J5189" s="852"/>
      <c r="K5189" s="852"/>
      <c r="L5189" s="852"/>
      <c r="M5189" s="852"/>
    </row>
    <row r="5190" spans="5:13">
      <c r="E5190" s="852"/>
      <c r="F5190" s="852"/>
      <c r="G5190" s="852"/>
      <c r="H5190" s="852"/>
      <c r="I5190" s="852"/>
      <c r="J5190" s="852"/>
      <c r="K5190" s="852"/>
      <c r="L5190" s="852"/>
      <c r="M5190" s="852"/>
    </row>
    <row r="5191" spans="5:13">
      <c r="E5191" s="852"/>
      <c r="F5191" s="852"/>
      <c r="G5191" s="852"/>
      <c r="H5191" s="852"/>
      <c r="I5191" s="852"/>
      <c r="J5191" s="852"/>
      <c r="K5191" s="852"/>
      <c r="L5191" s="852"/>
      <c r="M5191" s="852"/>
    </row>
    <row r="5192" spans="5:13">
      <c r="E5192" s="852"/>
      <c r="F5192" s="852"/>
      <c r="G5192" s="852"/>
      <c r="H5192" s="852"/>
      <c r="I5192" s="852"/>
      <c r="J5192" s="852"/>
      <c r="K5192" s="852"/>
      <c r="L5192" s="852"/>
      <c r="M5192" s="852"/>
    </row>
    <row r="5193" spans="5:13">
      <c r="E5193" s="852"/>
      <c r="F5193" s="852"/>
      <c r="G5193" s="852"/>
      <c r="H5193" s="852"/>
      <c r="I5193" s="852"/>
      <c r="J5193" s="852"/>
      <c r="K5193" s="852"/>
      <c r="L5193" s="852"/>
      <c r="M5193" s="852"/>
    </row>
    <row r="5194" spans="5:13">
      <c r="E5194" s="852"/>
      <c r="F5194" s="852"/>
      <c r="G5194" s="852"/>
      <c r="H5194" s="852"/>
      <c r="I5194" s="852"/>
      <c r="J5194" s="852"/>
      <c r="K5194" s="852"/>
      <c r="L5194" s="852"/>
      <c r="M5194" s="852"/>
    </row>
    <row r="5195" spans="5:13">
      <c r="E5195" s="852"/>
      <c r="F5195" s="852"/>
      <c r="G5195" s="852"/>
      <c r="H5195" s="852"/>
      <c r="I5195" s="852"/>
      <c r="J5195" s="852"/>
      <c r="K5195" s="852"/>
      <c r="L5195" s="852"/>
      <c r="M5195" s="852"/>
    </row>
    <row r="5196" spans="5:13">
      <c r="E5196" s="852"/>
      <c r="F5196" s="852"/>
      <c r="G5196" s="852"/>
      <c r="H5196" s="852"/>
      <c r="I5196" s="852"/>
      <c r="J5196" s="852"/>
      <c r="K5196" s="852"/>
      <c r="L5196" s="852"/>
      <c r="M5196" s="852"/>
    </row>
    <row r="5197" spans="5:13">
      <c r="E5197" s="852"/>
      <c r="F5197" s="852"/>
      <c r="G5197" s="852"/>
      <c r="H5197" s="852"/>
      <c r="I5197" s="852"/>
      <c r="J5197" s="852"/>
      <c r="K5197" s="852"/>
      <c r="L5197" s="852"/>
      <c r="M5197" s="852"/>
    </row>
    <row r="5198" spans="5:13">
      <c r="E5198" s="852"/>
      <c r="F5198" s="852"/>
      <c r="G5198" s="852"/>
      <c r="H5198" s="852"/>
      <c r="I5198" s="852"/>
      <c r="J5198" s="852"/>
      <c r="K5198" s="852"/>
      <c r="L5198" s="852"/>
      <c r="M5198" s="852"/>
    </row>
    <row r="5199" spans="5:13">
      <c r="E5199" s="852"/>
      <c r="F5199" s="852"/>
      <c r="G5199" s="852"/>
      <c r="H5199" s="852"/>
      <c r="I5199" s="852"/>
      <c r="J5199" s="852"/>
      <c r="K5199" s="852"/>
      <c r="L5199" s="852"/>
      <c r="M5199" s="852"/>
    </row>
    <row r="5200" spans="5:13">
      <c r="E5200" s="852"/>
      <c r="F5200" s="852"/>
      <c r="G5200" s="852"/>
      <c r="H5200" s="852"/>
      <c r="I5200" s="852"/>
      <c r="J5200" s="852"/>
      <c r="K5200" s="852"/>
      <c r="L5200" s="852"/>
      <c r="M5200" s="852"/>
    </row>
    <row r="5201" spans="5:13">
      <c r="E5201" s="852"/>
      <c r="F5201" s="852"/>
      <c r="G5201" s="852"/>
      <c r="H5201" s="852"/>
      <c r="I5201" s="852"/>
      <c r="J5201" s="852"/>
      <c r="K5201" s="852"/>
      <c r="L5201" s="852"/>
      <c r="M5201" s="852"/>
    </row>
    <row r="5202" spans="5:13">
      <c r="E5202" s="852"/>
      <c r="F5202" s="852"/>
      <c r="G5202" s="852"/>
      <c r="H5202" s="852"/>
      <c r="I5202" s="852"/>
      <c r="J5202" s="852"/>
      <c r="K5202" s="852"/>
      <c r="L5202" s="852"/>
      <c r="M5202" s="852"/>
    </row>
    <row r="5203" spans="5:13">
      <c r="E5203" s="852"/>
      <c r="F5203" s="852"/>
      <c r="G5203" s="852"/>
      <c r="H5203" s="852"/>
      <c r="I5203" s="852"/>
      <c r="J5203" s="852"/>
      <c r="K5203" s="852"/>
      <c r="L5203" s="852"/>
      <c r="M5203" s="852"/>
    </row>
    <row r="5204" spans="5:13">
      <c r="E5204" s="852"/>
      <c r="F5204" s="852"/>
      <c r="G5204" s="852"/>
      <c r="H5204" s="852"/>
      <c r="I5204" s="852"/>
      <c r="J5204" s="852"/>
      <c r="K5204" s="852"/>
      <c r="L5204" s="852"/>
      <c r="M5204" s="852"/>
    </row>
    <row r="5205" spans="5:13">
      <c r="E5205" s="852"/>
      <c r="F5205" s="852"/>
      <c r="G5205" s="852"/>
      <c r="H5205" s="852"/>
      <c r="I5205" s="852"/>
      <c r="J5205" s="852"/>
      <c r="K5205" s="852"/>
      <c r="L5205" s="852"/>
      <c r="M5205" s="852"/>
    </row>
    <row r="5206" spans="5:13">
      <c r="E5206" s="852"/>
      <c r="F5206" s="852"/>
      <c r="G5206" s="852"/>
      <c r="H5206" s="852"/>
      <c r="I5206" s="852"/>
      <c r="J5206" s="852"/>
      <c r="K5206" s="852"/>
      <c r="L5206" s="852"/>
      <c r="M5206" s="852"/>
    </row>
    <row r="5207" spans="5:13">
      <c r="E5207" s="852"/>
      <c r="F5207" s="852"/>
      <c r="G5207" s="852"/>
      <c r="H5207" s="852"/>
      <c r="I5207" s="852"/>
      <c r="J5207" s="852"/>
      <c r="K5207" s="852"/>
      <c r="L5207" s="852"/>
      <c r="M5207" s="852"/>
    </row>
    <row r="5208" spans="5:13">
      <c r="E5208" s="852"/>
      <c r="F5208" s="852"/>
      <c r="G5208" s="852"/>
      <c r="H5208" s="852"/>
      <c r="I5208" s="852"/>
      <c r="J5208" s="852"/>
      <c r="K5208" s="852"/>
      <c r="L5208" s="852"/>
      <c r="M5208" s="852"/>
    </row>
    <row r="5209" spans="5:13">
      <c r="E5209" s="852"/>
      <c r="F5209" s="852"/>
      <c r="G5209" s="852"/>
      <c r="H5209" s="852"/>
      <c r="I5209" s="852"/>
      <c r="J5209" s="852"/>
      <c r="K5209" s="852"/>
      <c r="L5209" s="852"/>
      <c r="M5209" s="852"/>
    </row>
    <row r="5210" spans="5:13">
      <c r="E5210" s="852"/>
      <c r="F5210" s="852"/>
      <c r="G5210" s="852"/>
      <c r="H5210" s="852"/>
      <c r="I5210" s="852"/>
      <c r="J5210" s="852"/>
      <c r="K5210" s="852"/>
      <c r="L5210" s="852"/>
      <c r="M5210" s="852"/>
    </row>
    <row r="5211" spans="5:13">
      <c r="E5211" s="852"/>
      <c r="F5211" s="852"/>
      <c r="G5211" s="852"/>
      <c r="H5211" s="852"/>
      <c r="I5211" s="852"/>
      <c r="J5211" s="852"/>
      <c r="K5211" s="852"/>
      <c r="L5211" s="852"/>
      <c r="M5211" s="852"/>
    </row>
    <row r="5212" spans="5:13">
      <c r="E5212" s="852"/>
      <c r="F5212" s="852"/>
      <c r="G5212" s="852"/>
      <c r="H5212" s="852"/>
      <c r="I5212" s="852"/>
      <c r="J5212" s="852"/>
      <c r="K5212" s="852"/>
      <c r="L5212" s="852"/>
      <c r="M5212" s="852"/>
    </row>
    <row r="5213" spans="5:13">
      <c r="E5213" s="852"/>
      <c r="F5213" s="852"/>
      <c r="G5213" s="852"/>
      <c r="H5213" s="852"/>
      <c r="I5213" s="852"/>
      <c r="J5213" s="852"/>
      <c r="K5213" s="852"/>
      <c r="L5213" s="852"/>
      <c r="M5213" s="852"/>
    </row>
    <row r="5214" spans="5:13">
      <c r="E5214" s="852"/>
      <c r="F5214" s="852"/>
      <c r="G5214" s="852"/>
      <c r="H5214" s="852"/>
      <c r="I5214" s="852"/>
      <c r="J5214" s="852"/>
      <c r="K5214" s="852"/>
      <c r="L5214" s="852"/>
      <c r="M5214" s="852"/>
    </row>
    <row r="5215" spans="5:13">
      <c r="E5215" s="852"/>
      <c r="F5215" s="852"/>
      <c r="G5215" s="852"/>
      <c r="H5215" s="852"/>
      <c r="I5215" s="852"/>
      <c r="J5215" s="852"/>
      <c r="K5215" s="852"/>
      <c r="L5215" s="852"/>
      <c r="M5215" s="852"/>
    </row>
    <row r="5216" spans="5:13">
      <c r="E5216" s="852"/>
      <c r="F5216" s="852"/>
      <c r="G5216" s="852"/>
      <c r="H5216" s="852"/>
      <c r="I5216" s="852"/>
      <c r="J5216" s="852"/>
      <c r="K5216" s="852"/>
      <c r="L5216" s="852"/>
      <c r="M5216" s="852"/>
    </row>
    <row r="5217" spans="5:13">
      <c r="E5217" s="852"/>
      <c r="F5217" s="852"/>
      <c r="G5217" s="852"/>
      <c r="H5217" s="852"/>
      <c r="I5217" s="852"/>
      <c r="J5217" s="852"/>
      <c r="K5217" s="852"/>
      <c r="L5217" s="852"/>
      <c r="M5217" s="852"/>
    </row>
    <row r="5218" spans="5:13">
      <c r="E5218" s="852"/>
      <c r="F5218" s="852"/>
      <c r="G5218" s="852"/>
      <c r="H5218" s="852"/>
      <c r="I5218" s="852"/>
      <c r="J5218" s="852"/>
      <c r="K5218" s="852"/>
      <c r="L5218" s="852"/>
      <c r="M5218" s="852"/>
    </row>
    <row r="5219" spans="5:13">
      <c r="E5219" s="852"/>
      <c r="F5219" s="852"/>
      <c r="G5219" s="852"/>
      <c r="H5219" s="852"/>
      <c r="I5219" s="852"/>
      <c r="J5219" s="852"/>
      <c r="K5219" s="852"/>
      <c r="L5219" s="852"/>
      <c r="M5219" s="852"/>
    </row>
    <row r="5220" spans="5:13">
      <c r="E5220" s="852"/>
      <c r="F5220" s="852"/>
      <c r="G5220" s="852"/>
      <c r="H5220" s="852"/>
      <c r="I5220" s="852"/>
      <c r="J5220" s="852"/>
      <c r="K5220" s="852"/>
      <c r="L5220" s="852"/>
      <c r="M5220" s="852"/>
    </row>
    <row r="5221" spans="5:13">
      <c r="E5221" s="852"/>
      <c r="F5221" s="852"/>
      <c r="G5221" s="852"/>
      <c r="H5221" s="852"/>
      <c r="I5221" s="852"/>
      <c r="J5221" s="852"/>
      <c r="K5221" s="852"/>
      <c r="L5221" s="852"/>
      <c r="M5221" s="852"/>
    </row>
    <row r="5222" spans="5:13">
      <c r="E5222" s="852"/>
      <c r="F5222" s="852"/>
      <c r="G5222" s="852"/>
      <c r="H5222" s="852"/>
      <c r="I5222" s="852"/>
      <c r="J5222" s="852"/>
      <c r="K5222" s="852"/>
      <c r="L5222" s="852"/>
      <c r="M5222" s="852"/>
    </row>
    <row r="5223" spans="5:13">
      <c r="E5223" s="852"/>
      <c r="F5223" s="852"/>
      <c r="G5223" s="852"/>
      <c r="H5223" s="852"/>
      <c r="I5223" s="852"/>
      <c r="J5223" s="852"/>
      <c r="K5223" s="852"/>
      <c r="L5223" s="852"/>
      <c r="M5223" s="852"/>
    </row>
    <row r="5224" spans="5:13">
      <c r="E5224" s="852"/>
      <c r="F5224" s="852"/>
      <c r="G5224" s="852"/>
      <c r="H5224" s="852"/>
      <c r="I5224" s="852"/>
      <c r="J5224" s="852"/>
      <c r="K5224" s="852"/>
      <c r="L5224" s="852"/>
      <c r="M5224" s="852"/>
    </row>
    <row r="5225" spans="5:13">
      <c r="E5225" s="852"/>
      <c r="F5225" s="852"/>
      <c r="G5225" s="852"/>
      <c r="H5225" s="852"/>
      <c r="I5225" s="852"/>
      <c r="J5225" s="852"/>
      <c r="K5225" s="852"/>
      <c r="L5225" s="852"/>
      <c r="M5225" s="852"/>
    </row>
    <row r="5226" spans="5:13">
      <c r="E5226" s="852"/>
      <c r="F5226" s="852"/>
      <c r="G5226" s="852"/>
      <c r="H5226" s="852"/>
      <c r="I5226" s="852"/>
      <c r="J5226" s="852"/>
      <c r="K5226" s="852"/>
      <c r="L5226" s="852"/>
      <c r="M5226" s="852"/>
    </row>
    <row r="5227" spans="5:13">
      <c r="E5227" s="852"/>
      <c r="F5227" s="852"/>
      <c r="G5227" s="852"/>
      <c r="H5227" s="852"/>
      <c r="I5227" s="852"/>
      <c r="J5227" s="852"/>
      <c r="K5227" s="852"/>
      <c r="L5227" s="852"/>
      <c r="M5227" s="852"/>
    </row>
    <row r="5228" spans="5:13">
      <c r="E5228" s="852"/>
      <c r="F5228" s="852"/>
      <c r="G5228" s="852"/>
      <c r="H5228" s="852"/>
      <c r="I5228" s="852"/>
      <c r="J5228" s="852"/>
      <c r="K5228" s="852"/>
      <c r="L5228" s="852"/>
      <c r="M5228" s="852"/>
    </row>
    <row r="5229" spans="5:13">
      <c r="E5229" s="852"/>
      <c r="F5229" s="852"/>
      <c r="G5229" s="852"/>
      <c r="H5229" s="852"/>
      <c r="I5229" s="852"/>
      <c r="J5229" s="852"/>
      <c r="K5229" s="852"/>
      <c r="L5229" s="852"/>
      <c r="M5229" s="852"/>
    </row>
    <row r="5230" spans="5:13">
      <c r="E5230" s="852"/>
      <c r="F5230" s="852"/>
      <c r="G5230" s="852"/>
      <c r="H5230" s="852"/>
      <c r="I5230" s="852"/>
      <c r="J5230" s="852"/>
      <c r="K5230" s="852"/>
      <c r="L5230" s="852"/>
      <c r="M5230" s="852"/>
    </row>
    <row r="5231" spans="5:13">
      <c r="E5231" s="852"/>
      <c r="F5231" s="852"/>
      <c r="G5231" s="852"/>
      <c r="H5231" s="852"/>
      <c r="I5231" s="852"/>
      <c r="J5231" s="852"/>
      <c r="K5231" s="852"/>
      <c r="L5231" s="852"/>
      <c r="M5231" s="852"/>
    </row>
    <row r="5232" spans="5:13">
      <c r="E5232" s="852"/>
      <c r="F5232" s="852"/>
      <c r="G5232" s="852"/>
      <c r="H5232" s="852"/>
      <c r="I5232" s="852"/>
      <c r="J5232" s="852"/>
      <c r="K5232" s="852"/>
      <c r="L5232" s="852"/>
      <c r="M5232" s="852"/>
    </row>
    <row r="5233" spans="5:13">
      <c r="E5233" s="852"/>
      <c r="F5233" s="852"/>
      <c r="G5233" s="852"/>
      <c r="H5233" s="852"/>
      <c r="I5233" s="852"/>
      <c r="J5233" s="852"/>
      <c r="K5233" s="852"/>
      <c r="L5233" s="852"/>
      <c r="M5233" s="852"/>
    </row>
    <row r="5234" spans="5:13">
      <c r="E5234" s="852"/>
      <c r="F5234" s="852"/>
      <c r="G5234" s="852"/>
      <c r="H5234" s="852"/>
      <c r="I5234" s="852"/>
      <c r="J5234" s="852"/>
      <c r="K5234" s="852"/>
      <c r="L5234" s="852"/>
      <c r="M5234" s="852"/>
    </row>
    <row r="5235" spans="5:13">
      <c r="E5235" s="852"/>
      <c r="F5235" s="852"/>
      <c r="G5235" s="852"/>
      <c r="H5235" s="852"/>
      <c r="I5235" s="852"/>
      <c r="J5235" s="852"/>
      <c r="K5235" s="852"/>
      <c r="L5235" s="852"/>
      <c r="M5235" s="852"/>
    </row>
    <row r="5236" spans="5:13">
      <c r="E5236" s="852"/>
      <c r="F5236" s="852"/>
      <c r="G5236" s="852"/>
      <c r="H5236" s="852"/>
      <c r="I5236" s="852"/>
      <c r="J5236" s="852"/>
      <c r="K5236" s="852"/>
      <c r="L5236" s="852"/>
      <c r="M5236" s="852"/>
    </row>
    <row r="5237" spans="5:13">
      <c r="E5237" s="852"/>
      <c r="F5237" s="852"/>
      <c r="G5237" s="852"/>
      <c r="H5237" s="852"/>
      <c r="I5237" s="852"/>
      <c r="J5237" s="852"/>
      <c r="K5237" s="852"/>
      <c r="L5237" s="852"/>
      <c r="M5237" s="852"/>
    </row>
    <row r="5238" spans="5:13">
      <c r="E5238" s="852"/>
      <c r="F5238" s="852"/>
      <c r="G5238" s="852"/>
      <c r="H5238" s="852"/>
      <c r="I5238" s="852"/>
      <c r="J5238" s="852"/>
      <c r="K5238" s="852"/>
      <c r="L5238" s="852"/>
      <c r="M5238" s="852"/>
    </row>
    <row r="5239" spans="5:13">
      <c r="E5239" s="852"/>
      <c r="F5239" s="852"/>
      <c r="G5239" s="852"/>
      <c r="H5239" s="852"/>
      <c r="I5239" s="852"/>
      <c r="J5239" s="852"/>
      <c r="K5239" s="852"/>
      <c r="L5239" s="852"/>
      <c r="M5239" s="852"/>
    </row>
    <row r="5240" spans="5:13">
      <c r="E5240" s="852"/>
      <c r="F5240" s="852"/>
      <c r="G5240" s="852"/>
      <c r="H5240" s="852"/>
      <c r="I5240" s="852"/>
      <c r="J5240" s="852"/>
      <c r="K5240" s="852"/>
      <c r="L5240" s="852"/>
      <c r="M5240" s="852"/>
    </row>
    <row r="5241" spans="5:13">
      <c r="E5241" s="852"/>
      <c r="F5241" s="852"/>
      <c r="G5241" s="852"/>
      <c r="H5241" s="852"/>
      <c r="I5241" s="852"/>
      <c r="J5241" s="852"/>
      <c r="K5241" s="852"/>
      <c r="L5241" s="852"/>
      <c r="M5241" s="852"/>
    </row>
    <row r="5242" spans="5:13">
      <c r="E5242" s="852"/>
      <c r="F5242" s="852"/>
      <c r="G5242" s="852"/>
      <c r="H5242" s="852"/>
      <c r="I5242" s="852"/>
      <c r="J5242" s="852"/>
      <c r="K5242" s="852"/>
      <c r="L5242" s="852"/>
      <c r="M5242" s="852"/>
    </row>
    <row r="5243" spans="5:13">
      <c r="E5243" s="852"/>
      <c r="F5243" s="852"/>
      <c r="G5243" s="852"/>
      <c r="H5243" s="852"/>
      <c r="I5243" s="852"/>
      <c r="J5243" s="852"/>
      <c r="K5243" s="852"/>
      <c r="L5243" s="852"/>
      <c r="M5243" s="852"/>
    </row>
    <row r="5244" spans="5:13">
      <c r="E5244" s="852"/>
      <c r="F5244" s="852"/>
      <c r="G5244" s="852"/>
      <c r="H5244" s="852"/>
      <c r="I5244" s="852"/>
      <c r="J5244" s="852"/>
      <c r="K5244" s="852"/>
      <c r="L5244" s="852"/>
      <c r="M5244" s="852"/>
    </row>
    <row r="5245" spans="5:13">
      <c r="E5245" s="852"/>
      <c r="F5245" s="852"/>
      <c r="G5245" s="852"/>
      <c r="H5245" s="852"/>
      <c r="I5245" s="852"/>
      <c r="J5245" s="852"/>
      <c r="K5245" s="852"/>
      <c r="L5245" s="852"/>
      <c r="M5245" s="852"/>
    </row>
    <row r="5246" spans="5:13">
      <c r="E5246" s="852"/>
      <c r="F5246" s="852"/>
      <c r="G5246" s="852"/>
      <c r="H5246" s="852"/>
      <c r="I5246" s="852"/>
      <c r="J5246" s="852"/>
      <c r="K5246" s="852"/>
      <c r="L5246" s="852"/>
      <c r="M5246" s="852"/>
    </row>
    <row r="5247" spans="5:13">
      <c r="E5247" s="852"/>
      <c r="F5247" s="852"/>
      <c r="G5247" s="852"/>
      <c r="H5247" s="852"/>
      <c r="I5247" s="852"/>
      <c r="J5247" s="852"/>
      <c r="K5247" s="852"/>
      <c r="L5247" s="852"/>
      <c r="M5247" s="852"/>
    </row>
    <row r="5248" spans="5:13">
      <c r="E5248" s="852"/>
      <c r="F5248" s="852"/>
      <c r="G5248" s="852"/>
      <c r="H5248" s="852"/>
      <c r="I5248" s="852"/>
      <c r="J5248" s="852"/>
      <c r="K5248" s="852"/>
      <c r="L5248" s="852"/>
      <c r="M5248" s="852"/>
    </row>
    <row r="5249" spans="5:13">
      <c r="E5249" s="852"/>
      <c r="F5249" s="852"/>
      <c r="G5249" s="852"/>
      <c r="H5249" s="852"/>
      <c r="I5249" s="852"/>
      <c r="J5249" s="852"/>
      <c r="K5249" s="852"/>
      <c r="L5249" s="852"/>
      <c r="M5249" s="852"/>
    </row>
    <row r="5250" spans="5:13">
      <c r="E5250" s="852"/>
      <c r="F5250" s="852"/>
      <c r="G5250" s="852"/>
      <c r="H5250" s="852"/>
      <c r="I5250" s="852"/>
      <c r="J5250" s="852"/>
      <c r="K5250" s="852"/>
      <c r="L5250" s="852"/>
      <c r="M5250" s="852"/>
    </row>
    <row r="5251" spans="5:13">
      <c r="E5251" s="852"/>
      <c r="F5251" s="852"/>
      <c r="G5251" s="852"/>
      <c r="H5251" s="852"/>
      <c r="I5251" s="852"/>
      <c r="J5251" s="852"/>
      <c r="K5251" s="852"/>
      <c r="L5251" s="852"/>
      <c r="M5251" s="852"/>
    </row>
    <row r="5252" spans="5:13">
      <c r="E5252" s="852"/>
      <c r="F5252" s="852"/>
      <c r="G5252" s="852"/>
      <c r="H5252" s="852"/>
      <c r="I5252" s="852"/>
      <c r="J5252" s="852"/>
      <c r="K5252" s="852"/>
      <c r="L5252" s="852"/>
      <c r="M5252" s="852"/>
    </row>
    <row r="5253" spans="5:13">
      <c r="E5253" s="852"/>
      <c r="F5253" s="852"/>
      <c r="G5253" s="852"/>
      <c r="H5253" s="852"/>
      <c r="I5253" s="852"/>
      <c r="J5253" s="852"/>
      <c r="K5253" s="852"/>
      <c r="L5253" s="852"/>
      <c r="M5253" s="852"/>
    </row>
    <row r="5254" spans="5:13">
      <c r="E5254" s="852"/>
      <c r="F5254" s="852"/>
      <c r="G5254" s="852"/>
      <c r="H5254" s="852"/>
      <c r="I5254" s="852"/>
      <c r="J5254" s="852"/>
      <c r="K5254" s="852"/>
      <c r="L5254" s="852"/>
      <c r="M5254" s="852"/>
    </row>
    <row r="5255" spans="5:13">
      <c r="E5255" s="852"/>
      <c r="F5255" s="852"/>
      <c r="G5255" s="852"/>
      <c r="H5255" s="852"/>
      <c r="I5255" s="852"/>
      <c r="J5255" s="852"/>
      <c r="K5255" s="852"/>
      <c r="L5255" s="852"/>
      <c r="M5255" s="852"/>
    </row>
    <row r="5256" spans="5:13">
      <c r="E5256" s="852"/>
      <c r="F5256" s="852"/>
      <c r="G5256" s="852"/>
      <c r="H5256" s="852"/>
      <c r="I5256" s="852"/>
      <c r="J5256" s="852"/>
      <c r="K5256" s="852"/>
      <c r="L5256" s="852"/>
      <c r="M5256" s="852"/>
    </row>
    <row r="5257" spans="5:13">
      <c r="E5257" s="852"/>
      <c r="F5257" s="852"/>
      <c r="G5257" s="852"/>
      <c r="H5257" s="852"/>
      <c r="I5257" s="852"/>
      <c r="J5257" s="852"/>
      <c r="K5257" s="852"/>
      <c r="L5257" s="852"/>
      <c r="M5257" s="852"/>
    </row>
    <row r="5258" spans="5:13">
      <c r="E5258" s="852"/>
      <c r="F5258" s="852"/>
      <c r="G5258" s="852"/>
      <c r="H5258" s="852"/>
      <c r="I5258" s="852"/>
      <c r="J5258" s="852"/>
      <c r="K5258" s="852"/>
      <c r="L5258" s="852"/>
      <c r="M5258" s="852"/>
    </row>
    <row r="5259" spans="5:13">
      <c r="E5259" s="852"/>
      <c r="F5259" s="852"/>
      <c r="G5259" s="852"/>
      <c r="H5259" s="852"/>
      <c r="I5259" s="852"/>
      <c r="J5259" s="852"/>
      <c r="K5259" s="852"/>
      <c r="L5259" s="852"/>
      <c r="M5259" s="852"/>
    </row>
    <row r="5260" spans="5:13">
      <c r="E5260" s="852"/>
      <c r="F5260" s="852"/>
      <c r="G5260" s="852"/>
      <c r="H5260" s="852"/>
      <c r="I5260" s="852"/>
      <c r="J5260" s="852"/>
      <c r="K5260" s="852"/>
      <c r="L5260" s="852"/>
      <c r="M5260" s="852"/>
    </row>
    <row r="5261" spans="5:13">
      <c r="E5261" s="852"/>
      <c r="F5261" s="852"/>
      <c r="G5261" s="852"/>
      <c r="H5261" s="852"/>
      <c r="I5261" s="852"/>
      <c r="J5261" s="852"/>
      <c r="K5261" s="852"/>
      <c r="L5261" s="852"/>
      <c r="M5261" s="852"/>
    </row>
    <row r="5262" spans="5:13">
      <c r="E5262" s="852"/>
      <c r="F5262" s="852"/>
      <c r="G5262" s="852"/>
      <c r="H5262" s="852"/>
      <c r="I5262" s="852"/>
      <c r="J5262" s="852"/>
      <c r="K5262" s="852"/>
      <c r="L5262" s="852"/>
      <c r="M5262" s="852"/>
    </row>
    <row r="5263" spans="5:13">
      <c r="E5263" s="852"/>
      <c r="F5263" s="852"/>
      <c r="G5263" s="852"/>
      <c r="H5263" s="852"/>
      <c r="I5263" s="852"/>
      <c r="J5263" s="852"/>
      <c r="K5263" s="852"/>
      <c r="L5263" s="852"/>
      <c r="M5263" s="852"/>
    </row>
    <row r="5264" spans="5:13">
      <c r="E5264" s="852"/>
      <c r="F5264" s="852"/>
      <c r="G5264" s="852"/>
      <c r="H5264" s="852"/>
      <c r="I5264" s="852"/>
      <c r="J5264" s="852"/>
      <c r="K5264" s="852"/>
      <c r="L5264" s="852"/>
      <c r="M5264" s="852"/>
    </row>
    <row r="5265" spans="5:13">
      <c r="E5265" s="852"/>
      <c r="F5265" s="852"/>
      <c r="G5265" s="852"/>
      <c r="H5265" s="852"/>
      <c r="I5265" s="852"/>
      <c r="J5265" s="852"/>
      <c r="K5265" s="852"/>
      <c r="L5265" s="852"/>
      <c r="M5265" s="852"/>
    </row>
    <row r="5266" spans="5:13">
      <c r="E5266" s="852"/>
      <c r="F5266" s="852"/>
      <c r="G5266" s="852"/>
      <c r="H5266" s="852"/>
      <c r="I5266" s="852"/>
      <c r="J5266" s="852"/>
      <c r="K5266" s="852"/>
      <c r="L5266" s="852"/>
      <c r="M5266" s="852"/>
    </row>
    <row r="5267" spans="5:13">
      <c r="E5267" s="852"/>
      <c r="F5267" s="852"/>
      <c r="G5267" s="852"/>
      <c r="H5267" s="852"/>
      <c r="I5267" s="852"/>
      <c r="J5267" s="852"/>
      <c r="K5267" s="852"/>
      <c r="L5267" s="852"/>
      <c r="M5267" s="852"/>
    </row>
    <row r="5268" spans="5:13">
      <c r="E5268" s="852"/>
      <c r="F5268" s="852"/>
      <c r="G5268" s="852"/>
      <c r="H5268" s="852"/>
      <c r="I5268" s="852"/>
      <c r="J5268" s="852"/>
      <c r="K5268" s="852"/>
      <c r="L5268" s="852"/>
      <c r="M5268" s="852"/>
    </row>
    <row r="5269" spans="5:13">
      <c r="E5269" s="852"/>
      <c r="F5269" s="852"/>
      <c r="G5269" s="852"/>
      <c r="H5269" s="852"/>
      <c r="I5269" s="852"/>
      <c r="J5269" s="852"/>
      <c r="K5269" s="852"/>
      <c r="L5269" s="852"/>
      <c r="M5269" s="852"/>
    </row>
    <row r="5270" spans="5:13">
      <c r="E5270" s="852"/>
      <c r="F5270" s="852"/>
      <c r="G5270" s="852"/>
      <c r="H5270" s="852"/>
      <c r="I5270" s="852"/>
      <c r="J5270" s="852"/>
      <c r="K5270" s="852"/>
      <c r="L5270" s="852"/>
      <c r="M5270" s="852"/>
    </row>
    <row r="5271" spans="5:13">
      <c r="E5271" s="852"/>
      <c r="F5271" s="852"/>
      <c r="G5271" s="852"/>
      <c r="H5271" s="852"/>
      <c r="I5271" s="852"/>
      <c r="J5271" s="852"/>
      <c r="K5271" s="852"/>
      <c r="L5271" s="852"/>
      <c r="M5271" s="852"/>
    </row>
    <row r="5272" spans="5:13">
      <c r="E5272" s="852"/>
      <c r="F5272" s="852"/>
      <c r="G5272" s="852"/>
      <c r="H5272" s="852"/>
      <c r="I5272" s="852"/>
      <c r="J5272" s="852"/>
      <c r="K5272" s="852"/>
      <c r="L5272" s="852"/>
      <c r="M5272" s="852"/>
    </row>
    <row r="5273" spans="5:13">
      <c r="E5273" s="852"/>
      <c r="F5273" s="852"/>
      <c r="G5273" s="852"/>
      <c r="H5273" s="852"/>
      <c r="I5273" s="852"/>
      <c r="J5273" s="852"/>
      <c r="K5273" s="852"/>
      <c r="L5273" s="852"/>
      <c r="M5273" s="852"/>
    </row>
    <row r="5274" spans="5:13">
      <c r="E5274" s="852"/>
      <c r="F5274" s="852"/>
      <c r="G5274" s="852"/>
      <c r="H5274" s="852"/>
      <c r="I5274" s="852"/>
      <c r="J5274" s="852"/>
      <c r="K5274" s="852"/>
      <c r="L5274" s="852"/>
      <c r="M5274" s="852"/>
    </row>
    <row r="5275" spans="5:13">
      <c r="E5275" s="852"/>
      <c r="F5275" s="852"/>
      <c r="G5275" s="852"/>
      <c r="H5275" s="852"/>
      <c r="I5275" s="852"/>
      <c r="J5275" s="852"/>
      <c r="K5275" s="852"/>
      <c r="L5275" s="852"/>
      <c r="M5275" s="852"/>
    </row>
    <row r="5276" spans="5:13">
      <c r="E5276" s="852"/>
      <c r="F5276" s="852"/>
      <c r="G5276" s="852"/>
      <c r="H5276" s="852"/>
      <c r="I5276" s="852"/>
      <c r="J5276" s="852"/>
      <c r="K5276" s="852"/>
      <c r="L5276" s="852"/>
      <c r="M5276" s="852"/>
    </row>
    <row r="5277" spans="5:13">
      <c r="E5277" s="852"/>
      <c r="F5277" s="852"/>
      <c r="G5277" s="852"/>
      <c r="H5277" s="852"/>
      <c r="I5277" s="852"/>
      <c r="J5277" s="852"/>
      <c r="K5277" s="852"/>
      <c r="L5277" s="852"/>
      <c r="M5277" s="852"/>
    </row>
    <row r="5278" spans="5:13">
      <c r="E5278" s="852"/>
      <c r="F5278" s="852"/>
      <c r="G5278" s="852"/>
      <c r="H5278" s="852"/>
      <c r="I5278" s="852"/>
      <c r="J5278" s="852"/>
      <c r="K5278" s="852"/>
      <c r="L5278" s="852"/>
      <c r="M5278" s="852"/>
    </row>
    <row r="5279" spans="5:13">
      <c r="E5279" s="852"/>
      <c r="F5279" s="852"/>
      <c r="G5279" s="852"/>
      <c r="H5279" s="852"/>
      <c r="I5279" s="852"/>
      <c r="J5279" s="852"/>
      <c r="K5279" s="852"/>
      <c r="L5279" s="852"/>
      <c r="M5279" s="852"/>
    </row>
    <row r="5280" spans="5:13">
      <c r="E5280" s="852"/>
      <c r="F5280" s="852"/>
      <c r="G5280" s="852"/>
      <c r="H5280" s="852"/>
      <c r="I5280" s="852"/>
      <c r="J5280" s="852"/>
      <c r="K5280" s="852"/>
      <c r="L5280" s="852"/>
      <c r="M5280" s="852"/>
    </row>
    <row r="5281" spans="5:13">
      <c r="E5281" s="852"/>
      <c r="F5281" s="852"/>
      <c r="G5281" s="852"/>
      <c r="H5281" s="852"/>
      <c r="I5281" s="852"/>
      <c r="J5281" s="852"/>
      <c r="K5281" s="852"/>
      <c r="L5281" s="852"/>
      <c r="M5281" s="852"/>
    </row>
    <row r="5282" spans="5:13">
      <c r="E5282" s="852"/>
      <c r="F5282" s="852"/>
      <c r="G5282" s="852"/>
      <c r="H5282" s="852"/>
      <c r="I5282" s="852"/>
      <c r="J5282" s="852"/>
      <c r="K5282" s="852"/>
      <c r="L5282" s="852"/>
      <c r="M5282" s="852"/>
    </row>
    <row r="5283" spans="5:13">
      <c r="E5283" s="852"/>
      <c r="F5283" s="852"/>
      <c r="G5283" s="852"/>
      <c r="H5283" s="852"/>
      <c r="I5283" s="852"/>
      <c r="J5283" s="852"/>
      <c r="K5283" s="852"/>
      <c r="L5283" s="852"/>
      <c r="M5283" s="852"/>
    </row>
    <row r="5284" spans="5:13">
      <c r="E5284" s="852"/>
      <c r="F5284" s="852"/>
      <c r="G5284" s="852"/>
      <c r="H5284" s="852"/>
      <c r="I5284" s="852"/>
      <c r="J5284" s="852"/>
      <c r="K5284" s="852"/>
      <c r="L5284" s="852"/>
      <c r="M5284" s="852"/>
    </row>
    <row r="5285" spans="5:13">
      <c r="E5285" s="852"/>
      <c r="F5285" s="852"/>
      <c r="G5285" s="852"/>
      <c r="H5285" s="852"/>
      <c r="I5285" s="852"/>
      <c r="J5285" s="852"/>
      <c r="K5285" s="852"/>
      <c r="L5285" s="852"/>
      <c r="M5285" s="852"/>
    </row>
    <row r="5286" spans="5:13">
      <c r="E5286" s="852"/>
      <c r="F5286" s="852"/>
      <c r="G5286" s="852"/>
      <c r="H5286" s="852"/>
      <c r="I5286" s="852"/>
      <c r="J5286" s="852"/>
      <c r="K5286" s="852"/>
      <c r="L5286" s="852"/>
      <c r="M5286" s="852"/>
    </row>
    <row r="5287" spans="5:13">
      <c r="E5287" s="852"/>
      <c r="F5287" s="852"/>
      <c r="G5287" s="852"/>
      <c r="H5287" s="852"/>
      <c r="I5287" s="852"/>
      <c r="J5287" s="852"/>
      <c r="K5287" s="852"/>
      <c r="L5287" s="852"/>
      <c r="M5287" s="852"/>
    </row>
    <row r="5288" spans="5:13">
      <c r="E5288" s="852"/>
      <c r="F5288" s="852"/>
      <c r="G5288" s="852"/>
      <c r="H5288" s="852"/>
      <c r="I5288" s="852"/>
      <c r="J5288" s="852"/>
      <c r="K5288" s="852"/>
      <c r="L5288" s="852"/>
      <c r="M5288" s="852"/>
    </row>
    <row r="5289" spans="5:13">
      <c r="E5289" s="852"/>
      <c r="F5289" s="852"/>
      <c r="G5289" s="852"/>
      <c r="H5289" s="852"/>
      <c r="I5289" s="852"/>
      <c r="J5289" s="852"/>
      <c r="K5289" s="852"/>
      <c r="L5289" s="852"/>
      <c r="M5289" s="852"/>
    </row>
    <row r="5290" spans="5:13">
      <c r="E5290" s="852"/>
      <c r="F5290" s="852"/>
      <c r="G5290" s="852"/>
      <c r="H5290" s="852"/>
      <c r="I5290" s="852"/>
      <c r="J5290" s="852"/>
      <c r="K5290" s="852"/>
      <c r="L5290" s="852"/>
      <c r="M5290" s="852"/>
    </row>
    <row r="5291" spans="5:13">
      <c r="E5291" s="852"/>
      <c r="F5291" s="852"/>
      <c r="G5291" s="852"/>
      <c r="H5291" s="852"/>
      <c r="I5291" s="852"/>
      <c r="J5291" s="852"/>
      <c r="K5291" s="852"/>
      <c r="L5291" s="852"/>
      <c r="M5291" s="852"/>
    </row>
    <row r="5292" spans="5:13">
      <c r="E5292" s="852"/>
      <c r="F5292" s="852"/>
      <c r="G5292" s="852"/>
      <c r="H5292" s="852"/>
      <c r="I5292" s="852"/>
      <c r="J5292" s="852"/>
      <c r="K5292" s="852"/>
      <c r="L5292" s="852"/>
      <c r="M5292" s="852"/>
    </row>
    <row r="5293" spans="5:13">
      <c r="E5293" s="852"/>
      <c r="F5293" s="852"/>
      <c r="G5293" s="852"/>
      <c r="H5293" s="852"/>
      <c r="I5293" s="852"/>
      <c r="J5293" s="852"/>
      <c r="K5293" s="852"/>
      <c r="L5293" s="852"/>
      <c r="M5293" s="852"/>
    </row>
    <row r="5294" spans="5:13">
      <c r="E5294" s="852"/>
      <c r="F5294" s="852"/>
      <c r="G5294" s="852"/>
      <c r="H5294" s="852"/>
      <c r="I5294" s="852"/>
      <c r="J5294" s="852"/>
      <c r="K5294" s="852"/>
      <c r="L5294" s="852"/>
      <c r="M5294" s="852"/>
    </row>
    <row r="5295" spans="5:13">
      <c r="E5295" s="852"/>
      <c r="F5295" s="852"/>
      <c r="G5295" s="852"/>
      <c r="H5295" s="852"/>
      <c r="I5295" s="852"/>
      <c r="J5295" s="852"/>
      <c r="K5295" s="852"/>
      <c r="L5295" s="852"/>
      <c r="M5295" s="852"/>
    </row>
    <row r="5296" spans="5:13">
      <c r="E5296" s="852"/>
      <c r="F5296" s="852"/>
      <c r="G5296" s="852"/>
      <c r="H5296" s="852"/>
      <c r="I5296" s="852"/>
      <c r="J5296" s="852"/>
      <c r="K5296" s="852"/>
      <c r="L5296" s="852"/>
      <c r="M5296" s="852"/>
    </row>
    <row r="5297" spans="5:13">
      <c r="E5297" s="852"/>
      <c r="F5297" s="852"/>
      <c r="G5297" s="852"/>
      <c r="H5297" s="852"/>
      <c r="I5297" s="852"/>
      <c r="J5297" s="852"/>
      <c r="K5297" s="852"/>
      <c r="L5297" s="852"/>
      <c r="M5297" s="852"/>
    </row>
    <row r="5298" spans="5:13">
      <c r="E5298" s="852"/>
      <c r="F5298" s="852"/>
      <c r="G5298" s="852"/>
      <c r="H5298" s="852"/>
      <c r="I5298" s="852"/>
      <c r="J5298" s="852"/>
      <c r="K5298" s="852"/>
      <c r="L5298" s="852"/>
      <c r="M5298" s="852"/>
    </row>
    <row r="5299" spans="5:13">
      <c r="E5299" s="852"/>
      <c r="F5299" s="852"/>
      <c r="G5299" s="852"/>
      <c r="H5299" s="852"/>
      <c r="I5299" s="852"/>
      <c r="J5299" s="852"/>
      <c r="K5299" s="852"/>
      <c r="L5299" s="852"/>
      <c r="M5299" s="852"/>
    </row>
    <row r="5300" spans="5:13">
      <c r="E5300" s="852"/>
      <c r="F5300" s="852"/>
      <c r="G5300" s="852"/>
      <c r="H5300" s="852"/>
      <c r="I5300" s="852"/>
      <c r="J5300" s="852"/>
      <c r="K5300" s="852"/>
      <c r="L5300" s="852"/>
      <c r="M5300" s="852"/>
    </row>
    <row r="5301" spans="5:13">
      <c r="E5301" s="852"/>
      <c r="F5301" s="852"/>
      <c r="G5301" s="852"/>
      <c r="H5301" s="852"/>
      <c r="I5301" s="852"/>
      <c r="J5301" s="852"/>
      <c r="K5301" s="852"/>
      <c r="L5301" s="852"/>
      <c r="M5301" s="852"/>
    </row>
    <row r="5302" spans="5:13">
      <c r="E5302" s="852"/>
      <c r="F5302" s="852"/>
      <c r="G5302" s="852"/>
      <c r="H5302" s="852"/>
      <c r="I5302" s="852"/>
      <c r="J5302" s="852"/>
      <c r="K5302" s="852"/>
      <c r="L5302" s="852"/>
      <c r="M5302" s="852"/>
    </row>
    <row r="5303" spans="5:13">
      <c r="E5303" s="852"/>
      <c r="F5303" s="852"/>
      <c r="G5303" s="852"/>
      <c r="H5303" s="852"/>
      <c r="I5303" s="852"/>
      <c r="J5303" s="852"/>
      <c r="K5303" s="852"/>
      <c r="L5303" s="852"/>
      <c r="M5303" s="852"/>
    </row>
    <row r="5304" spans="5:13">
      <c r="E5304" s="852"/>
      <c r="F5304" s="852"/>
      <c r="G5304" s="852"/>
      <c r="H5304" s="852"/>
      <c r="I5304" s="852"/>
      <c r="J5304" s="852"/>
      <c r="K5304" s="852"/>
      <c r="L5304" s="852"/>
      <c r="M5304" s="852"/>
    </row>
    <row r="5305" spans="5:13">
      <c r="E5305" s="852"/>
      <c r="F5305" s="852"/>
      <c r="G5305" s="852"/>
      <c r="H5305" s="852"/>
      <c r="I5305" s="852"/>
      <c r="J5305" s="852"/>
      <c r="K5305" s="852"/>
      <c r="L5305" s="852"/>
      <c r="M5305" s="852"/>
    </row>
    <row r="5306" spans="5:13">
      <c r="E5306" s="852"/>
      <c r="F5306" s="852"/>
      <c r="G5306" s="852"/>
      <c r="H5306" s="852"/>
      <c r="I5306" s="852"/>
      <c r="J5306" s="852"/>
      <c r="K5306" s="852"/>
      <c r="L5306" s="852"/>
      <c r="M5306" s="852"/>
    </row>
    <row r="5307" spans="5:13">
      <c r="E5307" s="852"/>
      <c r="F5307" s="852"/>
      <c r="G5307" s="852"/>
      <c r="H5307" s="852"/>
      <c r="I5307" s="852"/>
      <c r="J5307" s="852"/>
      <c r="K5307" s="852"/>
      <c r="L5307" s="852"/>
      <c r="M5307" s="852"/>
    </row>
    <row r="5308" spans="5:13">
      <c r="E5308" s="852"/>
      <c r="F5308" s="852"/>
      <c r="G5308" s="852"/>
      <c r="H5308" s="852"/>
      <c r="I5308" s="852"/>
      <c r="J5308" s="852"/>
      <c r="K5308" s="852"/>
      <c r="L5308" s="852"/>
      <c r="M5308" s="852"/>
    </row>
    <row r="5309" spans="5:13">
      <c r="E5309" s="852"/>
      <c r="F5309" s="852"/>
      <c r="G5309" s="852"/>
      <c r="H5309" s="852"/>
      <c r="I5309" s="852"/>
      <c r="J5309" s="852"/>
      <c r="K5309" s="852"/>
      <c r="L5309" s="852"/>
      <c r="M5309" s="852"/>
    </row>
    <row r="5310" spans="5:13">
      <c r="E5310" s="852"/>
      <c r="F5310" s="852"/>
      <c r="G5310" s="852"/>
      <c r="H5310" s="852"/>
      <c r="I5310" s="852"/>
      <c r="J5310" s="852"/>
      <c r="K5310" s="852"/>
      <c r="L5310" s="852"/>
      <c r="M5310" s="852"/>
    </row>
    <row r="5311" spans="5:13">
      <c r="E5311" s="852"/>
      <c r="F5311" s="852"/>
      <c r="G5311" s="852"/>
      <c r="H5311" s="852"/>
      <c r="I5311" s="852"/>
      <c r="J5311" s="852"/>
      <c r="K5311" s="852"/>
      <c r="L5311" s="852"/>
      <c r="M5311" s="852"/>
    </row>
    <row r="5312" spans="5:13">
      <c r="E5312" s="852"/>
      <c r="F5312" s="852"/>
      <c r="G5312" s="852"/>
      <c r="H5312" s="852"/>
      <c r="I5312" s="852"/>
      <c r="J5312" s="852"/>
      <c r="K5312" s="852"/>
      <c r="L5312" s="852"/>
      <c r="M5312" s="852"/>
    </row>
    <row r="5313" spans="5:13">
      <c r="E5313" s="852"/>
      <c r="F5313" s="852"/>
      <c r="G5313" s="852"/>
      <c r="H5313" s="852"/>
      <c r="I5313" s="852"/>
      <c r="J5313" s="852"/>
      <c r="K5313" s="852"/>
      <c r="L5313" s="852"/>
      <c r="M5313" s="852"/>
    </row>
    <row r="5314" spans="5:13">
      <c r="E5314" s="852"/>
      <c r="F5314" s="852"/>
      <c r="G5314" s="852"/>
      <c r="H5314" s="852"/>
      <c r="I5314" s="852"/>
      <c r="J5314" s="852"/>
      <c r="K5314" s="852"/>
      <c r="L5314" s="852"/>
      <c r="M5314" s="852"/>
    </row>
    <row r="5315" spans="5:13">
      <c r="E5315" s="852"/>
      <c r="F5315" s="852"/>
      <c r="G5315" s="852"/>
      <c r="H5315" s="852"/>
      <c r="I5315" s="852"/>
      <c r="J5315" s="852"/>
      <c r="K5315" s="852"/>
      <c r="L5315" s="852"/>
      <c r="M5315" s="852"/>
    </row>
    <row r="5316" spans="5:13">
      <c r="E5316" s="852"/>
      <c r="F5316" s="852"/>
      <c r="G5316" s="852"/>
      <c r="H5316" s="852"/>
      <c r="I5316" s="852"/>
      <c r="J5316" s="852"/>
      <c r="K5316" s="852"/>
      <c r="L5316" s="852"/>
      <c r="M5316" s="852"/>
    </row>
    <row r="5317" spans="5:13">
      <c r="E5317" s="852"/>
      <c r="F5317" s="852"/>
      <c r="G5317" s="852"/>
      <c r="H5317" s="852"/>
      <c r="I5317" s="852"/>
      <c r="J5317" s="852"/>
      <c r="K5317" s="852"/>
      <c r="L5317" s="852"/>
      <c r="M5317" s="852"/>
    </row>
    <row r="5318" spans="5:13">
      <c r="E5318" s="852"/>
      <c r="F5318" s="852"/>
      <c r="G5318" s="852"/>
      <c r="H5318" s="852"/>
      <c r="I5318" s="852"/>
      <c r="J5318" s="852"/>
      <c r="K5318" s="852"/>
      <c r="L5318" s="852"/>
      <c r="M5318" s="852"/>
    </row>
    <row r="5319" spans="5:13">
      <c r="E5319" s="852"/>
      <c r="F5319" s="852"/>
      <c r="G5319" s="852"/>
      <c r="H5319" s="852"/>
      <c r="I5319" s="852"/>
      <c r="J5319" s="852"/>
      <c r="K5319" s="852"/>
      <c r="L5319" s="852"/>
      <c r="M5319" s="852"/>
    </row>
    <row r="5320" spans="5:13">
      <c r="E5320" s="852"/>
      <c r="F5320" s="852"/>
      <c r="G5320" s="852"/>
      <c r="H5320" s="852"/>
      <c r="I5320" s="852"/>
      <c r="J5320" s="852"/>
      <c r="K5320" s="852"/>
      <c r="L5320" s="852"/>
      <c r="M5320" s="852"/>
    </row>
    <row r="5321" spans="5:13">
      <c r="E5321" s="852"/>
      <c r="F5321" s="852"/>
      <c r="G5321" s="852"/>
      <c r="H5321" s="852"/>
      <c r="I5321" s="852"/>
      <c r="J5321" s="852"/>
      <c r="K5321" s="852"/>
      <c r="L5321" s="852"/>
      <c r="M5321" s="852"/>
    </row>
    <row r="5322" spans="5:13">
      <c r="E5322" s="852"/>
      <c r="F5322" s="852"/>
      <c r="G5322" s="852"/>
      <c r="H5322" s="852"/>
      <c r="I5322" s="852"/>
      <c r="J5322" s="852"/>
      <c r="K5322" s="852"/>
      <c r="L5322" s="852"/>
      <c r="M5322" s="852"/>
    </row>
    <row r="5323" spans="5:13">
      <c r="E5323" s="852"/>
      <c r="F5323" s="852"/>
      <c r="G5323" s="852"/>
      <c r="H5323" s="852"/>
      <c r="I5323" s="852"/>
      <c r="J5323" s="852"/>
      <c r="K5323" s="852"/>
      <c r="L5323" s="852"/>
      <c r="M5323" s="852"/>
    </row>
    <row r="5324" spans="5:13">
      <c r="E5324" s="852"/>
      <c r="F5324" s="852"/>
      <c r="G5324" s="852"/>
      <c r="H5324" s="852"/>
      <c r="I5324" s="852"/>
      <c r="J5324" s="852"/>
      <c r="K5324" s="852"/>
      <c r="L5324" s="852"/>
      <c r="M5324" s="852"/>
    </row>
    <row r="5325" spans="5:13">
      <c r="E5325" s="852"/>
      <c r="F5325" s="852"/>
      <c r="G5325" s="852"/>
      <c r="H5325" s="852"/>
      <c r="I5325" s="852"/>
      <c r="J5325" s="852"/>
      <c r="K5325" s="852"/>
      <c r="L5325" s="852"/>
      <c r="M5325" s="852"/>
    </row>
    <row r="5326" spans="5:13">
      <c r="E5326" s="852"/>
      <c r="F5326" s="852"/>
      <c r="G5326" s="852"/>
      <c r="H5326" s="852"/>
      <c r="I5326" s="852"/>
      <c r="J5326" s="852"/>
      <c r="K5326" s="852"/>
      <c r="L5326" s="852"/>
      <c r="M5326" s="852"/>
    </row>
    <row r="5327" spans="5:13">
      <c r="E5327" s="852"/>
      <c r="F5327" s="852"/>
      <c r="G5327" s="852"/>
      <c r="H5327" s="852"/>
      <c r="I5327" s="852"/>
      <c r="J5327" s="852"/>
      <c r="K5327" s="852"/>
      <c r="L5327" s="852"/>
      <c r="M5327" s="852"/>
    </row>
    <row r="5328" spans="5:13">
      <c r="E5328" s="852"/>
      <c r="F5328" s="852"/>
      <c r="G5328" s="852"/>
      <c r="H5328" s="852"/>
      <c r="I5328" s="852"/>
      <c r="J5328" s="852"/>
      <c r="K5328" s="852"/>
      <c r="L5328" s="852"/>
      <c r="M5328" s="852"/>
    </row>
    <row r="5329" spans="5:13">
      <c r="E5329" s="852"/>
      <c r="F5329" s="852"/>
      <c r="G5329" s="852"/>
      <c r="H5329" s="852"/>
      <c r="I5329" s="852"/>
      <c r="J5329" s="852"/>
      <c r="K5329" s="852"/>
      <c r="L5329" s="852"/>
      <c r="M5329" s="852"/>
    </row>
    <row r="5330" spans="5:13">
      <c r="E5330" s="852"/>
      <c r="F5330" s="852"/>
      <c r="G5330" s="852"/>
      <c r="H5330" s="852"/>
      <c r="I5330" s="852"/>
      <c r="J5330" s="852"/>
      <c r="K5330" s="852"/>
      <c r="L5330" s="852"/>
      <c r="M5330" s="852"/>
    </row>
    <row r="5331" spans="5:13">
      <c r="E5331" s="852"/>
      <c r="F5331" s="852"/>
      <c r="G5331" s="852"/>
      <c r="H5331" s="852"/>
      <c r="I5331" s="852"/>
      <c r="J5331" s="852"/>
      <c r="K5331" s="852"/>
      <c r="L5331" s="852"/>
      <c r="M5331" s="852"/>
    </row>
    <row r="5332" spans="5:13">
      <c r="E5332" s="852"/>
      <c r="F5332" s="852"/>
      <c r="G5332" s="852"/>
      <c r="H5332" s="852"/>
      <c r="I5332" s="852"/>
      <c r="J5332" s="852"/>
      <c r="K5332" s="852"/>
      <c r="L5332" s="852"/>
      <c r="M5332" s="852"/>
    </row>
    <row r="5333" spans="5:13">
      <c r="E5333" s="852"/>
      <c r="F5333" s="852"/>
      <c r="G5333" s="852"/>
      <c r="H5333" s="852"/>
      <c r="I5333" s="852"/>
      <c r="J5333" s="852"/>
      <c r="K5333" s="852"/>
      <c r="L5333" s="852"/>
      <c r="M5333" s="852"/>
    </row>
    <row r="5334" spans="5:13">
      <c r="E5334" s="852"/>
      <c r="F5334" s="852"/>
      <c r="G5334" s="852"/>
      <c r="H5334" s="852"/>
      <c r="I5334" s="852"/>
      <c r="J5334" s="852"/>
      <c r="K5334" s="852"/>
      <c r="L5334" s="852"/>
      <c r="M5334" s="852"/>
    </row>
    <row r="5335" spans="5:13">
      <c r="E5335" s="852"/>
      <c r="F5335" s="852"/>
      <c r="G5335" s="852"/>
      <c r="H5335" s="852"/>
      <c r="I5335" s="852"/>
      <c r="J5335" s="852"/>
      <c r="K5335" s="852"/>
      <c r="L5335" s="852"/>
      <c r="M5335" s="852"/>
    </row>
    <row r="5336" spans="5:13">
      <c r="E5336" s="852"/>
      <c r="F5336" s="852"/>
      <c r="G5336" s="852"/>
      <c r="H5336" s="852"/>
      <c r="I5336" s="852"/>
      <c r="J5336" s="852"/>
      <c r="K5336" s="852"/>
      <c r="L5336" s="852"/>
      <c r="M5336" s="852"/>
    </row>
    <row r="5337" spans="5:13">
      <c r="E5337" s="852"/>
      <c r="F5337" s="852"/>
      <c r="G5337" s="852"/>
      <c r="H5337" s="852"/>
      <c r="I5337" s="852"/>
      <c r="J5337" s="852"/>
      <c r="K5337" s="852"/>
      <c r="L5337" s="852"/>
      <c r="M5337" s="852"/>
    </row>
    <row r="5338" spans="5:13">
      <c r="E5338" s="852"/>
      <c r="F5338" s="852"/>
      <c r="G5338" s="852"/>
      <c r="H5338" s="852"/>
      <c r="I5338" s="852"/>
      <c r="J5338" s="852"/>
      <c r="K5338" s="852"/>
      <c r="L5338" s="852"/>
      <c r="M5338" s="852"/>
    </row>
    <row r="5339" spans="5:13">
      <c r="E5339" s="852"/>
      <c r="F5339" s="852"/>
      <c r="G5339" s="852"/>
      <c r="H5339" s="852"/>
      <c r="I5339" s="852"/>
      <c r="J5339" s="852"/>
      <c r="K5339" s="852"/>
      <c r="L5339" s="852"/>
      <c r="M5339" s="852"/>
    </row>
    <row r="5340" spans="5:13">
      <c r="E5340" s="852"/>
      <c r="F5340" s="852"/>
      <c r="G5340" s="852"/>
      <c r="H5340" s="852"/>
      <c r="I5340" s="852"/>
      <c r="J5340" s="852"/>
      <c r="K5340" s="852"/>
      <c r="L5340" s="852"/>
      <c r="M5340" s="852"/>
    </row>
    <row r="5341" spans="5:13">
      <c r="E5341" s="852"/>
      <c r="F5341" s="852"/>
      <c r="G5341" s="852"/>
      <c r="H5341" s="852"/>
      <c r="I5341" s="852"/>
      <c r="J5341" s="852"/>
      <c r="K5341" s="852"/>
      <c r="L5341" s="852"/>
      <c r="M5341" s="852"/>
    </row>
    <row r="5342" spans="5:13">
      <c r="E5342" s="852"/>
      <c r="F5342" s="852"/>
      <c r="G5342" s="852"/>
      <c r="H5342" s="852"/>
      <c r="I5342" s="852"/>
      <c r="J5342" s="852"/>
      <c r="K5342" s="852"/>
      <c r="L5342" s="852"/>
      <c r="M5342" s="852"/>
    </row>
    <row r="5343" spans="5:13">
      <c r="E5343" s="852"/>
      <c r="F5343" s="852"/>
      <c r="G5343" s="852"/>
      <c r="H5343" s="852"/>
      <c r="I5343" s="852"/>
      <c r="J5343" s="852"/>
      <c r="K5343" s="852"/>
      <c r="L5343" s="852"/>
      <c r="M5343" s="852"/>
    </row>
    <row r="5344" spans="5:13">
      <c r="E5344" s="852"/>
      <c r="F5344" s="852"/>
      <c r="G5344" s="852"/>
      <c r="H5344" s="852"/>
      <c r="I5344" s="852"/>
      <c r="J5344" s="852"/>
      <c r="K5344" s="852"/>
      <c r="L5344" s="852"/>
      <c r="M5344" s="852"/>
    </row>
    <row r="5345" spans="5:13">
      <c r="E5345" s="852"/>
      <c r="F5345" s="852"/>
      <c r="G5345" s="852"/>
      <c r="H5345" s="852"/>
      <c r="I5345" s="852"/>
      <c r="J5345" s="852"/>
      <c r="K5345" s="852"/>
      <c r="L5345" s="852"/>
      <c r="M5345" s="852"/>
    </row>
    <row r="5346" spans="5:13">
      <c r="E5346" s="852"/>
      <c r="F5346" s="852"/>
      <c r="G5346" s="852"/>
      <c r="H5346" s="852"/>
      <c r="I5346" s="852"/>
      <c r="J5346" s="852"/>
      <c r="K5346" s="852"/>
      <c r="L5346" s="852"/>
      <c r="M5346" s="852"/>
    </row>
    <row r="5347" spans="5:13">
      <c r="E5347" s="852"/>
      <c r="F5347" s="852"/>
      <c r="G5347" s="852"/>
      <c r="H5347" s="852"/>
      <c r="I5347" s="852"/>
      <c r="J5347" s="852"/>
      <c r="K5347" s="852"/>
      <c r="L5347" s="852"/>
      <c r="M5347" s="852"/>
    </row>
    <row r="5348" spans="5:13">
      <c r="E5348" s="852"/>
      <c r="F5348" s="852"/>
      <c r="G5348" s="852"/>
      <c r="H5348" s="852"/>
      <c r="I5348" s="852"/>
      <c r="J5348" s="852"/>
      <c r="K5348" s="852"/>
      <c r="L5348" s="852"/>
      <c r="M5348" s="852"/>
    </row>
    <row r="5349" spans="5:13">
      <c r="E5349" s="852"/>
      <c r="F5349" s="852"/>
      <c r="G5349" s="852"/>
      <c r="H5349" s="852"/>
      <c r="I5349" s="852"/>
      <c r="J5349" s="852"/>
      <c r="K5349" s="852"/>
      <c r="L5349" s="852"/>
      <c r="M5349" s="852"/>
    </row>
    <row r="5350" spans="5:13">
      <c r="E5350" s="852"/>
      <c r="F5350" s="852"/>
      <c r="G5350" s="852"/>
      <c r="H5350" s="852"/>
      <c r="I5350" s="852"/>
      <c r="J5350" s="852"/>
      <c r="K5350" s="852"/>
      <c r="L5350" s="852"/>
      <c r="M5350" s="852"/>
    </row>
    <row r="5351" spans="5:13">
      <c r="E5351" s="852"/>
      <c r="F5351" s="852"/>
      <c r="G5351" s="852"/>
      <c r="H5351" s="852"/>
      <c r="I5351" s="852"/>
      <c r="J5351" s="852"/>
      <c r="K5351" s="852"/>
      <c r="L5351" s="852"/>
      <c r="M5351" s="852"/>
    </row>
    <row r="5352" spans="5:13">
      <c r="E5352" s="852"/>
      <c r="F5352" s="852"/>
      <c r="G5352" s="852"/>
      <c r="H5352" s="852"/>
      <c r="I5352" s="852"/>
      <c r="J5352" s="852"/>
      <c r="K5352" s="852"/>
      <c r="L5352" s="852"/>
      <c r="M5352" s="852"/>
    </row>
    <row r="5353" spans="5:13">
      <c r="E5353" s="852"/>
      <c r="F5353" s="852"/>
      <c r="G5353" s="852"/>
      <c r="H5353" s="852"/>
      <c r="I5353" s="852"/>
      <c r="J5353" s="852"/>
      <c r="K5353" s="852"/>
      <c r="L5353" s="852"/>
      <c r="M5353" s="852"/>
    </row>
    <row r="5354" spans="5:13">
      <c r="E5354" s="852"/>
      <c r="F5354" s="852"/>
      <c r="G5354" s="852"/>
      <c r="H5354" s="852"/>
      <c r="I5354" s="852"/>
      <c r="J5354" s="852"/>
      <c r="K5354" s="852"/>
      <c r="L5354" s="852"/>
      <c r="M5354" s="852"/>
    </row>
    <row r="5355" spans="5:13">
      <c r="E5355" s="852"/>
      <c r="F5355" s="852"/>
      <c r="G5355" s="852"/>
      <c r="H5355" s="852"/>
      <c r="I5355" s="852"/>
      <c r="J5355" s="852"/>
      <c r="K5355" s="852"/>
      <c r="L5355" s="852"/>
      <c r="M5355" s="852"/>
    </row>
    <row r="5356" spans="5:13">
      <c r="E5356" s="852"/>
      <c r="F5356" s="852"/>
      <c r="G5356" s="852"/>
      <c r="H5356" s="852"/>
      <c r="I5356" s="852"/>
      <c r="J5356" s="852"/>
      <c r="K5356" s="852"/>
      <c r="L5356" s="852"/>
      <c r="M5356" s="852"/>
    </row>
    <row r="5357" spans="5:13">
      <c r="E5357" s="852"/>
      <c r="F5357" s="852"/>
      <c r="G5357" s="852"/>
      <c r="H5357" s="852"/>
      <c r="I5357" s="852"/>
      <c r="J5357" s="852"/>
      <c r="K5357" s="852"/>
      <c r="L5357" s="852"/>
      <c r="M5357" s="852"/>
    </row>
    <row r="5358" spans="5:13">
      <c r="E5358" s="852"/>
      <c r="F5358" s="852"/>
      <c r="G5358" s="852"/>
      <c r="H5358" s="852"/>
      <c r="I5358" s="852"/>
      <c r="J5358" s="852"/>
      <c r="K5358" s="852"/>
      <c r="L5358" s="852"/>
      <c r="M5358" s="852"/>
    </row>
    <row r="5359" spans="5:13">
      <c r="E5359" s="852"/>
      <c r="F5359" s="852"/>
      <c r="G5359" s="852"/>
      <c r="H5359" s="852"/>
      <c r="I5359" s="852"/>
      <c r="J5359" s="852"/>
      <c r="K5359" s="852"/>
      <c r="L5359" s="852"/>
      <c r="M5359" s="852"/>
    </row>
    <row r="5360" spans="5:13">
      <c r="E5360" s="852"/>
      <c r="F5360" s="852"/>
      <c r="G5360" s="852"/>
      <c r="H5360" s="852"/>
      <c r="I5360" s="852"/>
      <c r="J5360" s="852"/>
      <c r="K5360" s="852"/>
      <c r="L5360" s="852"/>
      <c r="M5360" s="852"/>
    </row>
    <row r="5361" spans="5:13">
      <c r="E5361" s="852"/>
      <c r="F5361" s="852"/>
      <c r="G5361" s="852"/>
      <c r="H5361" s="852"/>
      <c r="I5361" s="852"/>
      <c r="J5361" s="852"/>
      <c r="K5361" s="852"/>
      <c r="L5361" s="852"/>
      <c r="M5361" s="852"/>
    </row>
    <row r="5362" spans="5:13">
      <c r="E5362" s="852"/>
      <c r="F5362" s="852"/>
      <c r="G5362" s="852"/>
      <c r="H5362" s="852"/>
      <c r="I5362" s="852"/>
      <c r="J5362" s="852"/>
      <c r="K5362" s="852"/>
      <c r="L5362" s="852"/>
      <c r="M5362" s="852"/>
    </row>
    <row r="5363" spans="5:13">
      <c r="E5363" s="852"/>
      <c r="F5363" s="852"/>
      <c r="G5363" s="852"/>
      <c r="H5363" s="852"/>
      <c r="I5363" s="852"/>
      <c r="J5363" s="852"/>
      <c r="K5363" s="852"/>
      <c r="L5363" s="852"/>
      <c r="M5363" s="852"/>
    </row>
    <row r="5364" spans="5:13">
      <c r="E5364" s="852"/>
      <c r="F5364" s="852"/>
      <c r="G5364" s="852"/>
      <c r="H5364" s="852"/>
      <c r="I5364" s="852"/>
      <c r="J5364" s="852"/>
      <c r="K5364" s="852"/>
      <c r="L5364" s="852"/>
      <c r="M5364" s="852"/>
    </row>
    <row r="5365" spans="5:13">
      <c r="E5365" s="852"/>
      <c r="F5365" s="852"/>
      <c r="G5365" s="852"/>
      <c r="H5365" s="852"/>
      <c r="I5365" s="852"/>
      <c r="J5365" s="852"/>
      <c r="K5365" s="852"/>
      <c r="L5365" s="852"/>
      <c r="M5365" s="852"/>
    </row>
    <row r="5366" spans="5:13">
      <c r="E5366" s="852"/>
      <c r="F5366" s="852"/>
      <c r="G5366" s="852"/>
      <c r="H5366" s="852"/>
      <c r="I5366" s="852"/>
      <c r="J5366" s="852"/>
      <c r="K5366" s="852"/>
      <c r="L5366" s="852"/>
      <c r="M5366" s="852"/>
    </row>
    <row r="5367" spans="5:13">
      <c r="E5367" s="852"/>
      <c r="F5367" s="852"/>
      <c r="G5367" s="852"/>
      <c r="H5367" s="852"/>
      <c r="I5367" s="852"/>
      <c r="J5367" s="852"/>
      <c r="K5367" s="852"/>
      <c r="L5367" s="852"/>
      <c r="M5367" s="852"/>
    </row>
    <row r="5368" spans="5:13">
      <c r="E5368" s="852"/>
      <c r="F5368" s="852"/>
      <c r="G5368" s="852"/>
      <c r="H5368" s="852"/>
      <c r="I5368" s="852"/>
      <c r="J5368" s="852"/>
      <c r="K5368" s="852"/>
      <c r="L5368" s="852"/>
      <c r="M5368" s="852"/>
    </row>
    <row r="5369" spans="5:13">
      <c r="E5369" s="852"/>
      <c r="F5369" s="852"/>
      <c r="G5369" s="852"/>
      <c r="H5369" s="852"/>
      <c r="I5369" s="852"/>
      <c r="J5369" s="852"/>
      <c r="K5369" s="852"/>
      <c r="L5369" s="852"/>
      <c r="M5369" s="852"/>
    </row>
    <row r="5370" spans="5:13">
      <c r="E5370" s="852"/>
      <c r="F5370" s="852"/>
      <c r="G5370" s="852"/>
      <c r="H5370" s="852"/>
      <c r="I5370" s="852"/>
      <c r="J5370" s="852"/>
      <c r="K5370" s="852"/>
      <c r="L5370" s="852"/>
      <c r="M5370" s="852"/>
    </row>
    <row r="5371" spans="5:13">
      <c r="E5371" s="852"/>
      <c r="F5371" s="852"/>
      <c r="G5371" s="852"/>
      <c r="H5371" s="852"/>
      <c r="I5371" s="852"/>
      <c r="J5371" s="852"/>
      <c r="K5371" s="852"/>
      <c r="L5371" s="852"/>
      <c r="M5371" s="852"/>
    </row>
    <row r="5372" spans="5:13">
      <c r="E5372" s="852"/>
      <c r="F5372" s="852"/>
      <c r="G5372" s="852"/>
      <c r="H5372" s="852"/>
      <c r="I5372" s="852"/>
      <c r="J5372" s="852"/>
      <c r="K5372" s="852"/>
      <c r="L5372" s="852"/>
      <c r="M5372" s="852"/>
    </row>
    <row r="5373" spans="5:13">
      <c r="E5373" s="852"/>
      <c r="F5373" s="852"/>
      <c r="G5373" s="852"/>
      <c r="H5373" s="852"/>
      <c r="I5373" s="852"/>
      <c r="J5373" s="852"/>
      <c r="K5373" s="852"/>
      <c r="L5373" s="852"/>
      <c r="M5373" s="852"/>
    </row>
    <row r="5374" spans="5:13">
      <c r="E5374" s="852"/>
      <c r="F5374" s="852"/>
      <c r="G5374" s="852"/>
      <c r="H5374" s="852"/>
      <c r="I5374" s="852"/>
      <c r="J5374" s="852"/>
      <c r="K5374" s="852"/>
      <c r="L5374" s="852"/>
      <c r="M5374" s="852"/>
    </row>
    <row r="5375" spans="5:13">
      <c r="E5375" s="852"/>
      <c r="F5375" s="852"/>
      <c r="G5375" s="852"/>
      <c r="H5375" s="852"/>
      <c r="I5375" s="852"/>
      <c r="J5375" s="852"/>
      <c r="K5375" s="852"/>
      <c r="L5375" s="852"/>
      <c r="M5375" s="852"/>
    </row>
    <row r="5376" spans="5:13">
      <c r="E5376" s="852"/>
      <c r="F5376" s="852"/>
      <c r="G5376" s="852"/>
      <c r="H5376" s="852"/>
      <c r="I5376" s="852"/>
      <c r="J5376" s="852"/>
      <c r="K5376" s="852"/>
      <c r="L5376" s="852"/>
      <c r="M5376" s="852"/>
    </row>
    <row r="5377" spans="5:13">
      <c r="E5377" s="852"/>
      <c r="F5377" s="852"/>
      <c r="G5377" s="852"/>
      <c r="H5377" s="852"/>
      <c r="I5377" s="852"/>
      <c r="J5377" s="852"/>
      <c r="K5377" s="852"/>
      <c r="L5377" s="852"/>
      <c r="M5377" s="852"/>
    </row>
    <row r="5378" spans="5:13">
      <c r="E5378" s="852"/>
      <c r="F5378" s="852"/>
      <c r="G5378" s="852"/>
      <c r="H5378" s="852"/>
      <c r="I5378" s="852"/>
      <c r="J5378" s="852"/>
      <c r="K5378" s="852"/>
      <c r="L5378" s="852"/>
      <c r="M5378" s="852"/>
    </row>
    <row r="5379" spans="5:13">
      <c r="E5379" s="852"/>
      <c r="F5379" s="852"/>
      <c r="G5379" s="852"/>
      <c r="H5379" s="852"/>
      <c r="I5379" s="852"/>
      <c r="J5379" s="852"/>
      <c r="K5379" s="852"/>
      <c r="L5379" s="852"/>
      <c r="M5379" s="852"/>
    </row>
    <row r="5380" spans="5:13">
      <c r="E5380" s="852"/>
      <c r="F5380" s="852"/>
      <c r="G5380" s="852"/>
      <c r="H5380" s="852"/>
      <c r="I5380" s="852"/>
      <c r="J5380" s="852"/>
      <c r="K5380" s="852"/>
      <c r="L5380" s="852"/>
      <c r="M5380" s="852"/>
    </row>
    <row r="5381" spans="5:13">
      <c r="E5381" s="852"/>
      <c r="F5381" s="852"/>
      <c r="G5381" s="852"/>
      <c r="H5381" s="852"/>
      <c r="I5381" s="852"/>
      <c r="J5381" s="852"/>
      <c r="K5381" s="852"/>
      <c r="L5381" s="852"/>
      <c r="M5381" s="852"/>
    </row>
    <row r="5382" spans="5:13">
      <c r="E5382" s="852"/>
      <c r="F5382" s="852"/>
      <c r="G5382" s="852"/>
      <c r="H5382" s="852"/>
      <c r="I5382" s="852"/>
      <c r="J5382" s="852"/>
      <c r="K5382" s="852"/>
      <c r="L5382" s="852"/>
      <c r="M5382" s="852"/>
    </row>
    <row r="5383" spans="5:13">
      <c r="E5383" s="852"/>
      <c r="F5383" s="852"/>
      <c r="G5383" s="852"/>
      <c r="H5383" s="852"/>
      <c r="I5383" s="852"/>
      <c r="J5383" s="852"/>
      <c r="K5383" s="852"/>
      <c r="L5383" s="852"/>
      <c r="M5383" s="852"/>
    </row>
    <row r="5384" spans="5:13">
      <c r="E5384" s="852"/>
      <c r="F5384" s="852"/>
      <c r="G5384" s="852"/>
      <c r="H5384" s="852"/>
      <c r="I5384" s="852"/>
      <c r="J5384" s="852"/>
      <c r="K5384" s="852"/>
      <c r="L5384" s="852"/>
      <c r="M5384" s="852"/>
    </row>
    <row r="5385" spans="5:13">
      <c r="E5385" s="852"/>
      <c r="F5385" s="852"/>
      <c r="G5385" s="852"/>
      <c r="H5385" s="852"/>
      <c r="I5385" s="852"/>
      <c r="J5385" s="852"/>
      <c r="K5385" s="852"/>
      <c r="L5385" s="852"/>
      <c r="M5385" s="852"/>
    </row>
    <row r="5386" spans="5:13">
      <c r="E5386" s="852"/>
      <c r="F5386" s="852"/>
      <c r="G5386" s="852"/>
      <c r="H5386" s="852"/>
      <c r="I5386" s="852"/>
      <c r="J5386" s="852"/>
      <c r="K5386" s="852"/>
      <c r="L5386" s="852"/>
      <c r="M5386" s="852"/>
    </row>
    <row r="5387" spans="5:13">
      <c r="E5387" s="852"/>
      <c r="F5387" s="852"/>
      <c r="G5387" s="852"/>
      <c r="H5387" s="852"/>
      <c r="I5387" s="852"/>
      <c r="J5387" s="852"/>
      <c r="K5387" s="852"/>
      <c r="L5387" s="852"/>
      <c r="M5387" s="852"/>
    </row>
    <row r="5388" spans="5:13">
      <c r="E5388" s="852"/>
      <c r="F5388" s="852"/>
      <c r="G5388" s="852"/>
      <c r="H5388" s="852"/>
      <c r="I5388" s="852"/>
      <c r="J5388" s="852"/>
      <c r="K5388" s="852"/>
      <c r="L5388" s="852"/>
      <c r="M5388" s="852"/>
    </row>
    <row r="5389" spans="5:13">
      <c r="E5389" s="852"/>
      <c r="F5389" s="852"/>
      <c r="G5389" s="852"/>
      <c r="H5389" s="852"/>
      <c r="I5389" s="852"/>
      <c r="J5389" s="852"/>
      <c r="K5389" s="852"/>
      <c r="L5389" s="852"/>
      <c r="M5389" s="852"/>
    </row>
    <row r="5390" spans="5:13">
      <c r="E5390" s="852"/>
      <c r="F5390" s="852"/>
      <c r="G5390" s="852"/>
      <c r="H5390" s="852"/>
      <c r="I5390" s="852"/>
      <c r="J5390" s="852"/>
      <c r="K5390" s="852"/>
      <c r="L5390" s="852"/>
      <c r="M5390" s="852"/>
    </row>
    <row r="5391" spans="5:13">
      <c r="E5391" s="852"/>
      <c r="F5391" s="852"/>
      <c r="G5391" s="852"/>
      <c r="H5391" s="852"/>
      <c r="I5391" s="852"/>
      <c r="J5391" s="852"/>
      <c r="K5391" s="852"/>
      <c r="L5391" s="852"/>
      <c r="M5391" s="852"/>
    </row>
    <row r="5392" spans="5:13">
      <c r="E5392" s="852"/>
      <c r="F5392" s="852"/>
      <c r="G5392" s="852"/>
      <c r="H5392" s="852"/>
      <c r="I5392" s="852"/>
      <c r="J5392" s="852"/>
      <c r="K5392" s="852"/>
      <c r="L5392" s="852"/>
      <c r="M5392" s="852"/>
    </row>
    <row r="5393" spans="5:13">
      <c r="E5393" s="852"/>
      <c r="F5393" s="852"/>
      <c r="G5393" s="852"/>
      <c r="H5393" s="852"/>
      <c r="I5393" s="852"/>
      <c r="J5393" s="852"/>
      <c r="K5393" s="852"/>
      <c r="L5393" s="852"/>
      <c r="M5393" s="852"/>
    </row>
    <row r="5394" spans="5:13">
      <c r="E5394" s="852"/>
      <c r="F5394" s="852"/>
      <c r="G5394" s="852"/>
      <c r="H5394" s="852"/>
      <c r="I5394" s="852"/>
      <c r="J5394" s="852"/>
      <c r="K5394" s="852"/>
      <c r="L5394" s="852"/>
      <c r="M5394" s="852"/>
    </row>
    <row r="5395" spans="5:13">
      <c r="E5395" s="852"/>
      <c r="F5395" s="852"/>
      <c r="G5395" s="852"/>
      <c r="H5395" s="852"/>
      <c r="I5395" s="852"/>
      <c r="J5395" s="852"/>
      <c r="K5395" s="852"/>
      <c r="L5395" s="852"/>
      <c r="M5395" s="852"/>
    </row>
    <row r="5396" spans="5:13">
      <c r="E5396" s="852"/>
      <c r="F5396" s="852"/>
      <c r="G5396" s="852"/>
      <c r="H5396" s="852"/>
      <c r="I5396" s="852"/>
      <c r="J5396" s="852"/>
      <c r="K5396" s="852"/>
      <c r="L5396" s="852"/>
      <c r="M5396" s="852"/>
    </row>
    <row r="5397" spans="5:13">
      <c r="E5397" s="852"/>
      <c r="F5397" s="852"/>
      <c r="G5397" s="852"/>
      <c r="H5397" s="852"/>
      <c r="I5397" s="852"/>
      <c r="J5397" s="852"/>
      <c r="K5397" s="852"/>
      <c r="L5397" s="852"/>
      <c r="M5397" s="852"/>
    </row>
    <row r="5398" spans="5:13">
      <c r="E5398" s="852"/>
      <c r="F5398" s="852"/>
      <c r="G5398" s="852"/>
      <c r="H5398" s="852"/>
      <c r="I5398" s="852"/>
      <c r="J5398" s="852"/>
      <c r="K5398" s="852"/>
      <c r="L5398" s="852"/>
      <c r="M5398" s="852"/>
    </row>
    <row r="5399" spans="5:13">
      <c r="E5399" s="852"/>
      <c r="F5399" s="852"/>
      <c r="G5399" s="852"/>
      <c r="H5399" s="852"/>
      <c r="I5399" s="852"/>
      <c r="J5399" s="852"/>
      <c r="K5399" s="852"/>
      <c r="L5399" s="852"/>
      <c r="M5399" s="852"/>
    </row>
    <row r="5400" spans="5:13">
      <c r="E5400" s="852"/>
      <c r="F5400" s="852"/>
      <c r="G5400" s="852"/>
      <c r="H5400" s="852"/>
      <c r="I5400" s="852"/>
      <c r="J5400" s="852"/>
      <c r="K5400" s="852"/>
      <c r="L5400" s="852"/>
      <c r="M5400" s="852"/>
    </row>
    <row r="5401" spans="5:13">
      <c r="E5401" s="852"/>
      <c r="F5401" s="852"/>
      <c r="G5401" s="852"/>
      <c r="H5401" s="852"/>
      <c r="I5401" s="852"/>
      <c r="J5401" s="852"/>
      <c r="K5401" s="852"/>
      <c r="L5401" s="852"/>
      <c r="M5401" s="852"/>
    </row>
    <row r="5402" spans="5:13">
      <c r="E5402" s="852"/>
      <c r="F5402" s="852"/>
      <c r="G5402" s="852"/>
      <c r="H5402" s="852"/>
      <c r="I5402" s="852"/>
      <c r="J5402" s="852"/>
      <c r="K5402" s="852"/>
      <c r="L5402" s="852"/>
      <c r="M5402" s="852"/>
    </row>
    <row r="5403" spans="5:13">
      <c r="E5403" s="852"/>
      <c r="F5403" s="852"/>
      <c r="G5403" s="852"/>
      <c r="H5403" s="852"/>
      <c r="I5403" s="852"/>
      <c r="J5403" s="852"/>
      <c r="K5403" s="852"/>
      <c r="L5403" s="852"/>
      <c r="M5403" s="852"/>
    </row>
    <row r="5404" spans="5:13">
      <c r="E5404" s="852"/>
      <c r="F5404" s="852"/>
      <c r="G5404" s="852"/>
      <c r="H5404" s="852"/>
      <c r="I5404" s="852"/>
      <c r="J5404" s="852"/>
      <c r="K5404" s="852"/>
      <c r="L5404" s="852"/>
      <c r="M5404" s="852"/>
    </row>
    <row r="5405" spans="5:13">
      <c r="E5405" s="852"/>
      <c r="F5405" s="852"/>
      <c r="G5405" s="852"/>
      <c r="H5405" s="852"/>
      <c r="I5405" s="852"/>
      <c r="J5405" s="852"/>
      <c r="K5405" s="852"/>
      <c r="L5405" s="852"/>
      <c r="M5405" s="852"/>
    </row>
    <row r="5406" spans="5:13">
      <c r="E5406" s="852"/>
      <c r="F5406" s="852"/>
      <c r="G5406" s="852"/>
      <c r="H5406" s="852"/>
      <c r="I5406" s="852"/>
      <c r="J5406" s="852"/>
      <c r="K5406" s="852"/>
      <c r="L5406" s="852"/>
      <c r="M5406" s="852"/>
    </row>
    <row r="5407" spans="5:13">
      <c r="E5407" s="852"/>
      <c r="F5407" s="852"/>
      <c r="G5407" s="852"/>
      <c r="H5407" s="852"/>
      <c r="I5407" s="852"/>
      <c r="J5407" s="852"/>
      <c r="K5407" s="852"/>
      <c r="L5407" s="852"/>
      <c r="M5407" s="852"/>
    </row>
    <row r="5408" spans="5:13">
      <c r="E5408" s="852"/>
      <c r="F5408" s="852"/>
      <c r="G5408" s="852"/>
      <c r="H5408" s="852"/>
      <c r="I5408" s="852"/>
      <c r="J5408" s="852"/>
      <c r="K5408" s="852"/>
      <c r="L5408" s="852"/>
      <c r="M5408" s="852"/>
    </row>
    <row r="5409" spans="5:13">
      <c r="E5409" s="852"/>
      <c r="F5409" s="852"/>
      <c r="G5409" s="852"/>
      <c r="H5409" s="852"/>
      <c r="I5409" s="852"/>
      <c r="J5409" s="852"/>
      <c r="K5409" s="852"/>
      <c r="L5409" s="852"/>
      <c r="M5409" s="852"/>
    </row>
    <row r="5410" spans="5:13">
      <c r="E5410" s="852"/>
      <c r="F5410" s="852"/>
      <c r="G5410" s="852"/>
      <c r="H5410" s="852"/>
      <c r="I5410" s="852"/>
      <c r="J5410" s="852"/>
      <c r="K5410" s="852"/>
      <c r="L5410" s="852"/>
      <c r="M5410" s="852"/>
    </row>
    <row r="5411" spans="5:13">
      <c r="E5411" s="852"/>
      <c r="F5411" s="852"/>
      <c r="G5411" s="852"/>
      <c r="H5411" s="852"/>
      <c r="I5411" s="852"/>
      <c r="J5411" s="852"/>
      <c r="K5411" s="852"/>
      <c r="L5411" s="852"/>
      <c r="M5411" s="852"/>
    </row>
    <row r="5412" spans="5:13">
      <c r="E5412" s="852"/>
      <c r="F5412" s="852"/>
      <c r="G5412" s="852"/>
      <c r="H5412" s="852"/>
      <c r="I5412" s="852"/>
      <c r="J5412" s="852"/>
      <c r="K5412" s="852"/>
      <c r="L5412" s="852"/>
      <c r="M5412" s="852"/>
    </row>
    <row r="5413" spans="5:13">
      <c r="E5413" s="852"/>
      <c r="F5413" s="852"/>
      <c r="G5413" s="852"/>
      <c r="H5413" s="852"/>
      <c r="I5413" s="852"/>
      <c r="J5413" s="852"/>
      <c r="K5413" s="852"/>
      <c r="L5413" s="852"/>
      <c r="M5413" s="852"/>
    </row>
    <row r="5414" spans="5:13">
      <c r="E5414" s="852"/>
      <c r="F5414" s="852"/>
      <c r="G5414" s="852"/>
      <c r="H5414" s="852"/>
      <c r="I5414" s="852"/>
      <c r="J5414" s="852"/>
      <c r="K5414" s="852"/>
      <c r="L5414" s="852"/>
      <c r="M5414" s="852"/>
    </row>
    <row r="5415" spans="5:13">
      <c r="E5415" s="852"/>
      <c r="F5415" s="852"/>
      <c r="G5415" s="852"/>
      <c r="H5415" s="852"/>
      <c r="I5415" s="852"/>
      <c r="J5415" s="852"/>
      <c r="K5415" s="852"/>
      <c r="L5415" s="852"/>
      <c r="M5415" s="852"/>
    </row>
    <row r="5416" spans="5:13">
      <c r="E5416" s="852"/>
      <c r="F5416" s="852"/>
      <c r="G5416" s="852"/>
      <c r="H5416" s="852"/>
      <c r="I5416" s="852"/>
      <c r="J5416" s="852"/>
      <c r="K5416" s="852"/>
      <c r="L5416" s="852"/>
      <c r="M5416" s="852"/>
    </row>
    <row r="5417" spans="5:13">
      <c r="E5417" s="852"/>
      <c r="F5417" s="852"/>
      <c r="G5417" s="852"/>
      <c r="H5417" s="852"/>
      <c r="I5417" s="852"/>
      <c r="J5417" s="852"/>
      <c r="K5417" s="852"/>
      <c r="L5417" s="852"/>
      <c r="M5417" s="852"/>
    </row>
    <row r="5418" spans="5:13">
      <c r="E5418" s="852"/>
      <c r="F5418" s="852"/>
      <c r="G5418" s="852"/>
      <c r="H5418" s="852"/>
      <c r="I5418" s="852"/>
      <c r="J5418" s="852"/>
      <c r="K5418" s="852"/>
      <c r="L5418" s="852"/>
      <c r="M5418" s="852"/>
    </row>
    <row r="5419" spans="5:13">
      <c r="E5419" s="852"/>
      <c r="F5419" s="852"/>
      <c r="G5419" s="852"/>
      <c r="H5419" s="852"/>
      <c r="I5419" s="852"/>
      <c r="J5419" s="852"/>
      <c r="K5419" s="852"/>
      <c r="L5419" s="852"/>
      <c r="M5419" s="852"/>
    </row>
    <row r="5420" spans="5:13">
      <c r="E5420" s="852"/>
      <c r="F5420" s="852"/>
      <c r="G5420" s="852"/>
      <c r="H5420" s="852"/>
      <c r="I5420" s="852"/>
      <c r="J5420" s="852"/>
      <c r="K5420" s="852"/>
      <c r="L5420" s="852"/>
      <c r="M5420" s="852"/>
    </row>
    <row r="5421" spans="5:13">
      <c r="E5421" s="852"/>
      <c r="F5421" s="852"/>
      <c r="G5421" s="852"/>
      <c r="H5421" s="852"/>
      <c r="I5421" s="852"/>
      <c r="J5421" s="852"/>
      <c r="K5421" s="852"/>
      <c r="L5421" s="852"/>
      <c r="M5421" s="852"/>
    </row>
    <row r="5422" spans="5:13">
      <c r="E5422" s="852"/>
      <c r="F5422" s="852"/>
      <c r="G5422" s="852"/>
      <c r="H5422" s="852"/>
      <c r="I5422" s="852"/>
      <c r="J5422" s="852"/>
      <c r="K5422" s="852"/>
      <c r="L5422" s="852"/>
      <c r="M5422" s="852"/>
    </row>
    <row r="5423" spans="5:13">
      <c r="E5423" s="852"/>
      <c r="F5423" s="852"/>
      <c r="G5423" s="852"/>
      <c r="H5423" s="852"/>
      <c r="I5423" s="852"/>
      <c r="J5423" s="852"/>
      <c r="K5423" s="852"/>
      <c r="L5423" s="852"/>
      <c r="M5423" s="852"/>
    </row>
    <row r="5424" spans="5:13">
      <c r="E5424" s="852"/>
      <c r="F5424" s="852"/>
      <c r="G5424" s="852"/>
      <c r="H5424" s="852"/>
      <c r="I5424" s="852"/>
      <c r="J5424" s="852"/>
      <c r="K5424" s="852"/>
      <c r="L5424" s="852"/>
      <c r="M5424" s="852"/>
    </row>
    <row r="5425" spans="5:13">
      <c r="E5425" s="852"/>
      <c r="F5425" s="852"/>
      <c r="G5425" s="852"/>
      <c r="H5425" s="852"/>
      <c r="I5425" s="852"/>
      <c r="J5425" s="852"/>
      <c r="K5425" s="852"/>
      <c r="L5425" s="852"/>
      <c r="M5425" s="852"/>
    </row>
    <row r="5426" spans="5:13">
      <c r="E5426" s="852"/>
      <c r="F5426" s="852"/>
      <c r="G5426" s="852"/>
      <c r="H5426" s="852"/>
      <c r="I5426" s="852"/>
      <c r="J5426" s="852"/>
      <c r="K5426" s="852"/>
      <c r="L5426" s="852"/>
      <c r="M5426" s="852"/>
    </row>
    <row r="5427" spans="5:13">
      <c r="E5427" s="852"/>
      <c r="F5427" s="852"/>
      <c r="G5427" s="852"/>
      <c r="H5427" s="852"/>
      <c r="I5427" s="852"/>
      <c r="J5427" s="852"/>
      <c r="K5427" s="852"/>
      <c r="L5427" s="852"/>
      <c r="M5427" s="852"/>
    </row>
    <row r="5428" spans="5:13">
      <c r="E5428" s="852"/>
      <c r="F5428" s="852"/>
      <c r="G5428" s="852"/>
      <c r="H5428" s="852"/>
      <c r="I5428" s="852"/>
      <c r="J5428" s="852"/>
      <c r="K5428" s="852"/>
      <c r="L5428" s="852"/>
      <c r="M5428" s="852"/>
    </row>
    <row r="5429" spans="5:13">
      <c r="E5429" s="852"/>
      <c r="F5429" s="852"/>
      <c r="G5429" s="852"/>
      <c r="H5429" s="852"/>
      <c r="I5429" s="852"/>
      <c r="J5429" s="852"/>
      <c r="K5429" s="852"/>
      <c r="L5429" s="852"/>
      <c r="M5429" s="852"/>
    </row>
    <row r="5430" spans="5:13">
      <c r="E5430" s="852"/>
      <c r="F5430" s="852"/>
      <c r="G5430" s="852"/>
      <c r="H5430" s="852"/>
      <c r="I5430" s="852"/>
      <c r="J5430" s="852"/>
      <c r="K5430" s="852"/>
      <c r="L5430" s="852"/>
      <c r="M5430" s="852"/>
    </row>
    <row r="5431" spans="5:13">
      <c r="E5431" s="852"/>
      <c r="F5431" s="852"/>
      <c r="G5431" s="852"/>
      <c r="H5431" s="852"/>
      <c r="I5431" s="852"/>
      <c r="J5431" s="852"/>
      <c r="K5431" s="852"/>
      <c r="L5431" s="852"/>
      <c r="M5431" s="852"/>
    </row>
    <row r="5432" spans="5:13">
      <c r="E5432" s="852"/>
      <c r="F5432" s="852"/>
      <c r="G5432" s="852"/>
      <c r="H5432" s="852"/>
      <c r="I5432" s="852"/>
      <c r="J5432" s="852"/>
      <c r="K5432" s="852"/>
      <c r="L5432" s="852"/>
      <c r="M5432" s="852"/>
    </row>
    <row r="5433" spans="5:13">
      <c r="E5433" s="852"/>
      <c r="F5433" s="852"/>
      <c r="G5433" s="852"/>
      <c r="H5433" s="852"/>
      <c r="I5433" s="852"/>
      <c r="J5433" s="852"/>
      <c r="K5433" s="852"/>
      <c r="L5433" s="852"/>
      <c r="M5433" s="852"/>
    </row>
    <row r="5434" spans="5:13">
      <c r="E5434" s="852"/>
      <c r="F5434" s="852"/>
      <c r="G5434" s="852"/>
      <c r="H5434" s="852"/>
      <c r="I5434" s="852"/>
      <c r="J5434" s="852"/>
      <c r="K5434" s="852"/>
      <c r="L5434" s="852"/>
      <c r="M5434" s="852"/>
    </row>
    <row r="5435" spans="5:13">
      <c r="E5435" s="852"/>
      <c r="F5435" s="852"/>
      <c r="G5435" s="852"/>
      <c r="H5435" s="852"/>
      <c r="I5435" s="852"/>
      <c r="J5435" s="852"/>
      <c r="K5435" s="852"/>
      <c r="L5435" s="852"/>
      <c r="M5435" s="852"/>
    </row>
    <row r="5436" spans="5:13">
      <c r="E5436" s="852"/>
      <c r="F5436" s="852"/>
      <c r="G5436" s="852"/>
      <c r="H5436" s="852"/>
      <c r="I5436" s="852"/>
      <c r="J5436" s="852"/>
      <c r="K5436" s="852"/>
      <c r="L5436" s="852"/>
      <c r="M5436" s="852"/>
    </row>
    <row r="5437" spans="5:13">
      <c r="E5437" s="852"/>
      <c r="F5437" s="852"/>
      <c r="G5437" s="852"/>
      <c r="H5437" s="852"/>
      <c r="I5437" s="852"/>
      <c r="J5437" s="852"/>
      <c r="K5437" s="852"/>
      <c r="L5437" s="852"/>
      <c r="M5437" s="852"/>
    </row>
    <row r="5438" spans="5:13">
      <c r="E5438" s="852"/>
      <c r="F5438" s="852"/>
      <c r="G5438" s="852"/>
      <c r="H5438" s="852"/>
      <c r="I5438" s="852"/>
      <c r="J5438" s="852"/>
      <c r="K5438" s="852"/>
      <c r="L5438" s="852"/>
      <c r="M5438" s="852"/>
    </row>
    <row r="5439" spans="5:13">
      <c r="E5439" s="852"/>
      <c r="F5439" s="852"/>
      <c r="G5439" s="852"/>
      <c r="H5439" s="852"/>
      <c r="I5439" s="852"/>
      <c r="J5439" s="852"/>
      <c r="K5439" s="852"/>
      <c r="L5439" s="852"/>
      <c r="M5439" s="852"/>
    </row>
    <row r="5440" spans="5:13">
      <c r="E5440" s="852"/>
      <c r="F5440" s="852"/>
      <c r="G5440" s="852"/>
      <c r="H5440" s="852"/>
      <c r="I5440" s="852"/>
      <c r="J5440" s="852"/>
      <c r="K5440" s="852"/>
      <c r="L5440" s="852"/>
      <c r="M5440" s="852"/>
    </row>
    <row r="5441" spans="5:13">
      <c r="E5441" s="852"/>
      <c r="F5441" s="852"/>
      <c r="G5441" s="852"/>
      <c r="H5441" s="852"/>
      <c r="I5441" s="852"/>
      <c r="J5441" s="852"/>
      <c r="K5441" s="852"/>
      <c r="L5441" s="852"/>
      <c r="M5441" s="852"/>
    </row>
    <row r="5442" spans="5:13">
      <c r="E5442" s="852"/>
      <c r="F5442" s="852"/>
      <c r="G5442" s="852"/>
      <c r="H5442" s="852"/>
      <c r="I5442" s="852"/>
      <c r="J5442" s="852"/>
      <c r="K5442" s="852"/>
      <c r="L5442" s="852"/>
      <c r="M5442" s="852"/>
    </row>
    <row r="5443" spans="5:13">
      <c r="E5443" s="852"/>
      <c r="F5443" s="852"/>
      <c r="G5443" s="852"/>
      <c r="H5443" s="852"/>
      <c r="I5443" s="852"/>
      <c r="J5443" s="852"/>
      <c r="K5443" s="852"/>
      <c r="L5443" s="852"/>
      <c r="M5443" s="852"/>
    </row>
    <row r="5444" spans="5:13">
      <c r="E5444" s="852"/>
      <c r="F5444" s="852"/>
      <c r="G5444" s="852"/>
      <c r="H5444" s="852"/>
      <c r="I5444" s="852"/>
      <c r="J5444" s="852"/>
      <c r="K5444" s="852"/>
      <c r="L5444" s="852"/>
      <c r="M5444" s="852"/>
    </row>
    <row r="5445" spans="5:13">
      <c r="E5445" s="852"/>
      <c r="F5445" s="852"/>
      <c r="G5445" s="852"/>
      <c r="H5445" s="852"/>
      <c r="I5445" s="852"/>
      <c r="J5445" s="852"/>
      <c r="K5445" s="852"/>
      <c r="L5445" s="852"/>
      <c r="M5445" s="852"/>
    </row>
    <row r="5446" spans="5:13">
      <c r="E5446" s="852"/>
      <c r="F5446" s="852"/>
      <c r="G5446" s="852"/>
      <c r="H5446" s="852"/>
      <c r="I5446" s="852"/>
      <c r="J5446" s="852"/>
      <c r="K5446" s="852"/>
      <c r="L5446" s="852"/>
      <c r="M5446" s="852"/>
    </row>
    <row r="5447" spans="5:13">
      <c r="E5447" s="852"/>
      <c r="F5447" s="852"/>
      <c r="G5447" s="852"/>
      <c r="H5447" s="852"/>
      <c r="I5447" s="852"/>
      <c r="J5447" s="852"/>
      <c r="K5447" s="852"/>
      <c r="L5447" s="852"/>
      <c r="M5447" s="852"/>
    </row>
    <row r="5448" spans="5:13">
      <c r="E5448" s="852"/>
      <c r="F5448" s="852"/>
      <c r="G5448" s="852"/>
      <c r="H5448" s="852"/>
      <c r="I5448" s="852"/>
      <c r="J5448" s="852"/>
      <c r="K5448" s="852"/>
      <c r="L5448" s="852"/>
      <c r="M5448" s="852"/>
    </row>
    <row r="5449" spans="5:13">
      <c r="E5449" s="852"/>
      <c r="F5449" s="852"/>
      <c r="G5449" s="852"/>
      <c r="H5449" s="852"/>
      <c r="I5449" s="852"/>
      <c r="J5449" s="852"/>
      <c r="K5449" s="852"/>
      <c r="L5449" s="852"/>
      <c r="M5449" s="852"/>
    </row>
    <row r="5450" spans="5:13">
      <c r="E5450" s="852"/>
      <c r="F5450" s="852"/>
      <c r="G5450" s="852"/>
      <c r="H5450" s="852"/>
      <c r="I5450" s="852"/>
      <c r="J5450" s="852"/>
      <c r="K5450" s="852"/>
      <c r="L5450" s="852"/>
      <c r="M5450" s="852"/>
    </row>
    <row r="5451" spans="5:13">
      <c r="E5451" s="852"/>
      <c r="F5451" s="852"/>
      <c r="G5451" s="852"/>
      <c r="H5451" s="852"/>
      <c r="I5451" s="852"/>
      <c r="J5451" s="852"/>
      <c r="K5451" s="852"/>
      <c r="L5451" s="852"/>
      <c r="M5451" s="852"/>
    </row>
    <row r="5452" spans="5:13">
      <c r="E5452" s="852"/>
      <c r="F5452" s="852"/>
      <c r="G5452" s="852"/>
      <c r="H5452" s="852"/>
      <c r="I5452" s="852"/>
      <c r="J5452" s="852"/>
      <c r="K5452" s="852"/>
      <c r="L5452" s="852"/>
      <c r="M5452" s="852"/>
    </row>
    <row r="5453" spans="5:13">
      <c r="E5453" s="852"/>
      <c r="F5453" s="852"/>
      <c r="G5453" s="852"/>
      <c r="H5453" s="852"/>
      <c r="I5453" s="852"/>
      <c r="J5453" s="852"/>
      <c r="K5453" s="852"/>
      <c r="L5453" s="852"/>
      <c r="M5453" s="852"/>
    </row>
    <row r="5454" spans="5:13">
      <c r="E5454" s="852"/>
      <c r="F5454" s="852"/>
      <c r="G5454" s="852"/>
      <c r="H5454" s="852"/>
      <c r="I5454" s="852"/>
      <c r="J5454" s="852"/>
      <c r="K5454" s="852"/>
      <c r="L5454" s="852"/>
      <c r="M5454" s="852"/>
    </row>
    <row r="5455" spans="5:13">
      <c r="E5455" s="852"/>
      <c r="F5455" s="852"/>
      <c r="G5455" s="852"/>
      <c r="H5455" s="852"/>
      <c r="I5455" s="852"/>
      <c r="J5455" s="852"/>
      <c r="K5455" s="852"/>
      <c r="L5455" s="852"/>
      <c r="M5455" s="852"/>
    </row>
    <row r="5456" spans="5:13">
      <c r="E5456" s="852"/>
      <c r="F5456" s="852"/>
      <c r="G5456" s="852"/>
      <c r="H5456" s="852"/>
      <c r="I5456" s="852"/>
      <c r="J5456" s="852"/>
      <c r="K5456" s="852"/>
      <c r="L5456" s="852"/>
      <c r="M5456" s="852"/>
    </row>
    <row r="5457" spans="5:13">
      <c r="E5457" s="852"/>
      <c r="F5457" s="852"/>
      <c r="G5457" s="852"/>
      <c r="H5457" s="852"/>
      <c r="I5457" s="852"/>
      <c r="J5457" s="852"/>
      <c r="K5457" s="852"/>
      <c r="L5457" s="852"/>
      <c r="M5457" s="852"/>
    </row>
    <row r="5458" spans="5:13">
      <c r="E5458" s="852"/>
      <c r="F5458" s="852"/>
      <c r="G5458" s="852"/>
      <c r="H5458" s="852"/>
      <c r="I5458" s="852"/>
      <c r="J5458" s="852"/>
      <c r="K5458" s="852"/>
      <c r="L5458" s="852"/>
      <c r="M5458" s="852"/>
    </row>
    <row r="5459" spans="5:13">
      <c r="E5459" s="852"/>
      <c r="F5459" s="852"/>
      <c r="G5459" s="852"/>
      <c r="H5459" s="852"/>
      <c r="I5459" s="852"/>
      <c r="J5459" s="852"/>
      <c r="K5459" s="852"/>
      <c r="L5459" s="852"/>
      <c r="M5459" s="852"/>
    </row>
    <row r="5460" spans="5:13">
      <c r="E5460" s="852"/>
      <c r="F5460" s="852"/>
      <c r="G5460" s="852"/>
      <c r="H5460" s="852"/>
      <c r="I5460" s="852"/>
      <c r="J5460" s="852"/>
      <c r="K5460" s="852"/>
      <c r="L5460" s="852"/>
      <c r="M5460" s="852"/>
    </row>
    <row r="5461" spans="5:13">
      <c r="E5461" s="852"/>
      <c r="F5461" s="852"/>
      <c r="G5461" s="852"/>
      <c r="H5461" s="852"/>
      <c r="I5461" s="852"/>
      <c r="J5461" s="852"/>
      <c r="K5461" s="852"/>
      <c r="L5461" s="852"/>
      <c r="M5461" s="852"/>
    </row>
    <row r="5462" spans="5:13">
      <c r="E5462" s="852"/>
      <c r="F5462" s="852"/>
      <c r="G5462" s="852"/>
      <c r="H5462" s="852"/>
      <c r="I5462" s="852"/>
      <c r="J5462" s="852"/>
      <c r="K5462" s="852"/>
      <c r="L5462" s="852"/>
      <c r="M5462" s="852"/>
    </row>
    <row r="5463" spans="5:13">
      <c r="E5463" s="852"/>
      <c r="F5463" s="852"/>
      <c r="G5463" s="852"/>
      <c r="H5463" s="852"/>
      <c r="I5463" s="852"/>
      <c r="J5463" s="852"/>
      <c r="K5463" s="852"/>
      <c r="L5463" s="852"/>
      <c r="M5463" s="852"/>
    </row>
    <row r="5464" spans="5:13">
      <c r="E5464" s="852"/>
      <c r="F5464" s="852"/>
      <c r="G5464" s="852"/>
      <c r="H5464" s="852"/>
      <c r="I5464" s="852"/>
      <c r="J5464" s="852"/>
      <c r="K5464" s="852"/>
      <c r="L5464" s="852"/>
      <c r="M5464" s="852"/>
    </row>
    <row r="5465" spans="5:13">
      <c r="E5465" s="852"/>
      <c r="F5465" s="852"/>
      <c r="G5465" s="852"/>
      <c r="H5465" s="852"/>
      <c r="I5465" s="852"/>
      <c r="J5465" s="852"/>
      <c r="K5465" s="852"/>
      <c r="L5465" s="852"/>
      <c r="M5465" s="852"/>
    </row>
    <row r="5466" spans="5:13">
      <c r="E5466" s="852"/>
      <c r="F5466" s="852"/>
      <c r="G5466" s="852"/>
      <c r="H5466" s="852"/>
      <c r="I5466" s="852"/>
      <c r="J5466" s="852"/>
      <c r="K5466" s="852"/>
      <c r="L5466" s="852"/>
      <c r="M5466" s="852"/>
    </row>
    <row r="5467" spans="5:13">
      <c r="E5467" s="852"/>
      <c r="F5467" s="852"/>
      <c r="G5467" s="852"/>
      <c r="H5467" s="852"/>
      <c r="I5467" s="852"/>
      <c r="J5467" s="852"/>
      <c r="K5467" s="852"/>
      <c r="L5467" s="852"/>
      <c r="M5467" s="852"/>
    </row>
    <row r="5468" spans="5:13">
      <c r="E5468" s="852"/>
      <c r="F5468" s="852"/>
      <c r="G5468" s="852"/>
      <c r="H5468" s="852"/>
      <c r="I5468" s="852"/>
      <c r="J5468" s="852"/>
      <c r="K5468" s="852"/>
      <c r="L5468" s="852"/>
      <c r="M5468" s="852"/>
    </row>
    <row r="5469" spans="5:13">
      <c r="E5469" s="852"/>
      <c r="F5469" s="852"/>
      <c r="G5469" s="852"/>
      <c r="H5469" s="852"/>
      <c r="I5469" s="852"/>
      <c r="J5469" s="852"/>
      <c r="K5469" s="852"/>
      <c r="L5469" s="852"/>
      <c r="M5469" s="852"/>
    </row>
    <row r="5470" spans="5:13">
      <c r="E5470" s="852"/>
      <c r="F5470" s="852"/>
      <c r="G5470" s="852"/>
      <c r="H5470" s="852"/>
      <c r="I5470" s="852"/>
      <c r="J5470" s="852"/>
      <c r="K5470" s="852"/>
      <c r="L5470" s="852"/>
      <c r="M5470" s="852"/>
    </row>
    <row r="5471" spans="5:13">
      <c r="E5471" s="852"/>
      <c r="F5471" s="852"/>
      <c r="G5471" s="852"/>
      <c r="H5471" s="852"/>
      <c r="I5471" s="852"/>
      <c r="J5471" s="852"/>
      <c r="K5471" s="852"/>
      <c r="L5471" s="852"/>
      <c r="M5471" s="852"/>
    </row>
    <row r="5472" spans="5:13">
      <c r="E5472" s="852"/>
      <c r="F5472" s="852"/>
      <c r="G5472" s="852"/>
      <c r="H5472" s="852"/>
      <c r="I5472" s="852"/>
      <c r="J5472" s="852"/>
      <c r="K5472" s="852"/>
      <c r="L5472" s="852"/>
      <c r="M5472" s="852"/>
    </row>
    <row r="5473" spans="5:13">
      <c r="E5473" s="852"/>
      <c r="F5473" s="852"/>
      <c r="G5473" s="852"/>
      <c r="H5473" s="852"/>
      <c r="I5473" s="852"/>
      <c r="J5473" s="852"/>
      <c r="K5473" s="852"/>
      <c r="L5473" s="852"/>
      <c r="M5473" s="852"/>
    </row>
    <row r="5474" spans="5:13">
      <c r="E5474" s="852"/>
      <c r="F5474" s="852"/>
      <c r="G5474" s="852"/>
      <c r="H5474" s="852"/>
      <c r="I5474" s="852"/>
      <c r="J5474" s="852"/>
      <c r="K5474" s="852"/>
      <c r="L5474" s="852"/>
      <c r="M5474" s="852"/>
    </row>
    <row r="5475" spans="5:13">
      <c r="E5475" s="852"/>
      <c r="F5475" s="852"/>
      <c r="G5475" s="852"/>
      <c r="H5475" s="852"/>
      <c r="I5475" s="852"/>
      <c r="J5475" s="852"/>
      <c r="K5475" s="852"/>
      <c r="L5475" s="852"/>
      <c r="M5475" s="852"/>
    </row>
    <row r="5476" spans="5:13">
      <c r="E5476" s="852"/>
      <c r="F5476" s="852"/>
      <c r="G5476" s="852"/>
      <c r="H5476" s="852"/>
      <c r="I5476" s="852"/>
      <c r="J5476" s="852"/>
      <c r="K5476" s="852"/>
      <c r="L5476" s="852"/>
      <c r="M5476" s="852"/>
    </row>
    <row r="5477" spans="5:13">
      <c r="E5477" s="852"/>
      <c r="F5477" s="852"/>
      <c r="G5477" s="852"/>
      <c r="H5477" s="852"/>
      <c r="I5477" s="852"/>
      <c r="J5477" s="852"/>
      <c r="K5477" s="852"/>
      <c r="L5477" s="852"/>
      <c r="M5477" s="852"/>
    </row>
    <row r="5478" spans="5:13">
      <c r="E5478" s="852"/>
      <c r="F5478" s="852"/>
      <c r="G5478" s="852"/>
      <c r="H5478" s="852"/>
      <c r="I5478" s="852"/>
      <c r="J5478" s="852"/>
      <c r="K5478" s="852"/>
      <c r="L5478" s="852"/>
      <c r="M5478" s="852"/>
    </row>
    <row r="5479" spans="5:13">
      <c r="E5479" s="852"/>
      <c r="F5479" s="852"/>
      <c r="G5479" s="852"/>
      <c r="H5479" s="852"/>
      <c r="I5479" s="852"/>
      <c r="J5479" s="852"/>
      <c r="K5479" s="852"/>
      <c r="L5479" s="852"/>
      <c r="M5479" s="852"/>
    </row>
    <row r="5480" spans="5:13">
      <c r="E5480" s="852"/>
      <c r="F5480" s="852"/>
      <c r="G5480" s="852"/>
      <c r="H5480" s="852"/>
      <c r="I5480" s="852"/>
      <c r="J5480" s="852"/>
      <c r="K5480" s="852"/>
      <c r="L5480" s="852"/>
      <c r="M5480" s="852"/>
    </row>
    <row r="5481" spans="5:13">
      <c r="E5481" s="852"/>
      <c r="F5481" s="852"/>
      <c r="G5481" s="852"/>
      <c r="H5481" s="852"/>
      <c r="I5481" s="852"/>
      <c r="J5481" s="852"/>
      <c r="K5481" s="852"/>
      <c r="L5481" s="852"/>
      <c r="M5481" s="852"/>
    </row>
    <row r="5482" spans="5:13">
      <c r="E5482" s="852"/>
      <c r="F5482" s="852"/>
      <c r="G5482" s="852"/>
      <c r="H5482" s="852"/>
      <c r="I5482" s="852"/>
      <c r="J5482" s="852"/>
      <c r="K5482" s="852"/>
      <c r="L5482" s="852"/>
      <c r="M5482" s="852"/>
    </row>
    <row r="5483" spans="5:13">
      <c r="E5483" s="852"/>
      <c r="F5483" s="852"/>
      <c r="G5483" s="852"/>
      <c r="H5483" s="852"/>
      <c r="I5483" s="852"/>
      <c r="J5483" s="852"/>
      <c r="K5483" s="852"/>
      <c r="L5483" s="852"/>
      <c r="M5483" s="852"/>
    </row>
    <row r="5484" spans="5:13">
      <c r="E5484" s="852"/>
      <c r="F5484" s="852"/>
      <c r="G5484" s="852"/>
      <c r="H5484" s="852"/>
      <c r="I5484" s="852"/>
      <c r="J5484" s="852"/>
      <c r="K5484" s="852"/>
      <c r="L5484" s="852"/>
      <c r="M5484" s="852"/>
    </row>
    <row r="5485" spans="5:13">
      <c r="E5485" s="852"/>
      <c r="F5485" s="852"/>
      <c r="G5485" s="852"/>
      <c r="H5485" s="852"/>
      <c r="I5485" s="852"/>
      <c r="J5485" s="852"/>
      <c r="K5485" s="852"/>
      <c r="L5485" s="852"/>
      <c r="M5485" s="852"/>
    </row>
    <row r="5486" spans="5:13">
      <c r="E5486" s="852"/>
      <c r="F5486" s="852"/>
      <c r="G5486" s="852"/>
      <c r="H5486" s="852"/>
      <c r="I5486" s="852"/>
      <c r="J5486" s="852"/>
      <c r="K5486" s="852"/>
      <c r="L5486" s="852"/>
      <c r="M5486" s="852"/>
    </row>
    <row r="5487" spans="5:13">
      <c r="E5487" s="852"/>
      <c r="F5487" s="852"/>
      <c r="G5487" s="852"/>
      <c r="H5487" s="852"/>
      <c r="I5487" s="852"/>
      <c r="J5487" s="852"/>
      <c r="K5487" s="852"/>
      <c r="L5487" s="852"/>
      <c r="M5487" s="852"/>
    </row>
    <row r="5488" spans="5:13">
      <c r="E5488" s="852"/>
      <c r="F5488" s="852"/>
      <c r="G5488" s="852"/>
      <c r="H5488" s="852"/>
      <c r="I5488" s="852"/>
      <c r="J5488" s="852"/>
      <c r="K5488" s="852"/>
      <c r="L5488" s="852"/>
      <c r="M5488" s="852"/>
    </row>
    <row r="5489" spans="5:13">
      <c r="E5489" s="852"/>
      <c r="F5489" s="852"/>
      <c r="G5489" s="852"/>
      <c r="H5489" s="852"/>
      <c r="I5489" s="852"/>
      <c r="J5489" s="852"/>
      <c r="K5489" s="852"/>
      <c r="L5489" s="852"/>
      <c r="M5489" s="852"/>
    </row>
    <row r="5490" spans="5:13">
      <c r="E5490" s="852"/>
      <c r="F5490" s="852"/>
      <c r="G5490" s="852"/>
      <c r="H5490" s="852"/>
      <c r="I5490" s="852"/>
      <c r="J5490" s="852"/>
      <c r="K5490" s="852"/>
      <c r="L5490" s="852"/>
      <c r="M5490" s="852"/>
    </row>
    <row r="5491" spans="5:13">
      <c r="E5491" s="852"/>
      <c r="F5491" s="852"/>
      <c r="G5491" s="852"/>
      <c r="H5491" s="852"/>
      <c r="I5491" s="852"/>
      <c r="J5491" s="852"/>
      <c r="K5491" s="852"/>
      <c r="L5491" s="852"/>
      <c r="M5491" s="852"/>
    </row>
    <row r="5492" spans="5:13">
      <c r="E5492" s="852"/>
      <c r="F5492" s="852"/>
      <c r="G5492" s="852"/>
      <c r="H5492" s="852"/>
      <c r="I5492" s="852"/>
      <c r="J5492" s="852"/>
      <c r="K5492" s="852"/>
      <c r="L5492" s="852"/>
      <c r="M5492" s="852"/>
    </row>
    <row r="5493" spans="5:13">
      <c r="E5493" s="852"/>
      <c r="F5493" s="852"/>
      <c r="G5493" s="852"/>
      <c r="H5493" s="852"/>
      <c r="I5493" s="852"/>
      <c r="J5493" s="852"/>
      <c r="K5493" s="852"/>
      <c r="L5493" s="852"/>
      <c r="M5493" s="852"/>
    </row>
    <row r="5494" spans="5:13">
      <c r="E5494" s="852"/>
      <c r="F5494" s="852"/>
      <c r="G5494" s="852"/>
      <c r="H5494" s="852"/>
      <c r="I5494" s="852"/>
      <c r="J5494" s="852"/>
      <c r="K5494" s="852"/>
      <c r="L5494" s="852"/>
      <c r="M5494" s="852"/>
    </row>
    <row r="5495" spans="5:13">
      <c r="E5495" s="852"/>
      <c r="F5495" s="852"/>
      <c r="G5495" s="852"/>
      <c r="H5495" s="852"/>
      <c r="I5495" s="852"/>
      <c r="J5495" s="852"/>
      <c r="K5495" s="852"/>
      <c r="L5495" s="852"/>
      <c r="M5495" s="852"/>
    </row>
    <row r="5496" spans="5:13">
      <c r="E5496" s="852"/>
      <c r="F5496" s="852"/>
      <c r="G5496" s="852"/>
      <c r="H5496" s="852"/>
      <c r="I5496" s="852"/>
      <c r="J5496" s="852"/>
      <c r="K5496" s="852"/>
      <c r="L5496" s="852"/>
      <c r="M5496" s="852"/>
    </row>
    <row r="5497" spans="5:13">
      <c r="E5497" s="852"/>
      <c r="F5497" s="852"/>
      <c r="G5497" s="852"/>
      <c r="H5497" s="852"/>
      <c r="I5497" s="852"/>
      <c r="J5497" s="852"/>
      <c r="K5497" s="852"/>
      <c r="L5497" s="852"/>
      <c r="M5497" s="852"/>
    </row>
    <row r="5498" spans="5:13">
      <c r="E5498" s="852"/>
      <c r="F5498" s="852"/>
      <c r="G5498" s="852"/>
      <c r="H5498" s="852"/>
      <c r="I5498" s="852"/>
      <c r="J5498" s="852"/>
      <c r="K5498" s="852"/>
      <c r="L5498" s="852"/>
      <c r="M5498" s="852"/>
    </row>
    <row r="5499" spans="5:13">
      <c r="E5499" s="852"/>
      <c r="F5499" s="852"/>
      <c r="G5499" s="852"/>
      <c r="H5499" s="852"/>
      <c r="I5499" s="852"/>
      <c r="J5499" s="852"/>
      <c r="K5499" s="852"/>
      <c r="L5499" s="852"/>
      <c r="M5499" s="852"/>
    </row>
    <row r="5500" spans="5:13">
      <c r="E5500" s="852"/>
      <c r="F5500" s="852"/>
      <c r="G5500" s="852"/>
      <c r="H5500" s="852"/>
      <c r="I5500" s="852"/>
      <c r="J5500" s="852"/>
      <c r="K5500" s="852"/>
      <c r="L5500" s="852"/>
      <c r="M5500" s="852"/>
    </row>
    <row r="5501" spans="5:13">
      <c r="E5501" s="852"/>
      <c r="F5501" s="852"/>
      <c r="G5501" s="852"/>
      <c r="H5501" s="852"/>
      <c r="I5501" s="852"/>
      <c r="J5501" s="852"/>
      <c r="K5501" s="852"/>
      <c r="L5501" s="852"/>
      <c r="M5501" s="852"/>
    </row>
    <row r="5502" spans="5:13">
      <c r="E5502" s="852"/>
      <c r="F5502" s="852"/>
      <c r="G5502" s="852"/>
      <c r="H5502" s="852"/>
      <c r="I5502" s="852"/>
      <c r="J5502" s="852"/>
      <c r="K5502" s="852"/>
      <c r="L5502" s="852"/>
      <c r="M5502" s="852"/>
    </row>
    <row r="5503" spans="5:13">
      <c r="E5503" s="852"/>
      <c r="F5503" s="852"/>
      <c r="G5503" s="852"/>
      <c r="H5503" s="852"/>
      <c r="I5503" s="852"/>
      <c r="J5503" s="852"/>
      <c r="K5503" s="852"/>
      <c r="L5503" s="852"/>
      <c r="M5503" s="852"/>
    </row>
    <row r="5504" spans="5:13">
      <c r="E5504" s="852"/>
      <c r="F5504" s="852"/>
      <c r="G5504" s="852"/>
      <c r="H5504" s="852"/>
      <c r="I5504" s="852"/>
      <c r="J5504" s="852"/>
      <c r="K5504" s="852"/>
      <c r="L5504" s="852"/>
      <c r="M5504" s="852"/>
    </row>
    <row r="5505" spans="5:13">
      <c r="E5505" s="852"/>
      <c r="F5505" s="852"/>
      <c r="G5505" s="852"/>
      <c r="H5505" s="852"/>
      <c r="I5505" s="852"/>
      <c r="J5505" s="852"/>
      <c r="K5505" s="852"/>
      <c r="L5505" s="852"/>
      <c r="M5505" s="852"/>
    </row>
    <row r="5506" spans="5:13">
      <c r="E5506" s="852"/>
      <c r="F5506" s="852"/>
      <c r="G5506" s="852"/>
      <c r="H5506" s="852"/>
      <c r="I5506" s="852"/>
      <c r="J5506" s="852"/>
      <c r="K5506" s="852"/>
      <c r="L5506" s="852"/>
      <c r="M5506" s="852"/>
    </row>
    <row r="5507" spans="5:13">
      <c r="E5507" s="852"/>
      <c r="F5507" s="852"/>
      <c r="G5507" s="852"/>
      <c r="H5507" s="852"/>
      <c r="I5507" s="852"/>
      <c r="J5507" s="852"/>
      <c r="K5507" s="852"/>
      <c r="L5507" s="852"/>
      <c r="M5507" s="852"/>
    </row>
    <row r="5508" spans="5:13">
      <c r="E5508" s="852"/>
      <c r="F5508" s="852"/>
      <c r="G5508" s="852"/>
      <c r="H5508" s="852"/>
      <c r="I5508" s="852"/>
      <c r="J5508" s="852"/>
      <c r="K5508" s="852"/>
      <c r="L5508" s="852"/>
      <c r="M5508" s="852"/>
    </row>
    <row r="5509" spans="5:13">
      <c r="E5509" s="852"/>
      <c r="F5509" s="852"/>
      <c r="G5509" s="852"/>
      <c r="H5509" s="852"/>
      <c r="I5509" s="852"/>
      <c r="J5509" s="852"/>
      <c r="K5509" s="852"/>
      <c r="L5509" s="852"/>
      <c r="M5509" s="852"/>
    </row>
    <row r="5510" spans="5:13">
      <c r="E5510" s="852"/>
      <c r="F5510" s="852"/>
      <c r="G5510" s="852"/>
      <c r="H5510" s="852"/>
      <c r="I5510" s="852"/>
      <c r="J5510" s="852"/>
      <c r="K5510" s="852"/>
      <c r="L5510" s="852"/>
      <c r="M5510" s="852"/>
    </row>
    <row r="5511" spans="5:13">
      <c r="E5511" s="852"/>
      <c r="F5511" s="852"/>
      <c r="G5511" s="852"/>
      <c r="H5511" s="852"/>
      <c r="I5511" s="852"/>
      <c r="J5511" s="852"/>
      <c r="K5511" s="852"/>
      <c r="L5511" s="852"/>
      <c r="M5511" s="852"/>
    </row>
    <row r="5512" spans="5:13">
      <c r="E5512" s="852"/>
      <c r="F5512" s="852"/>
      <c r="G5512" s="852"/>
      <c r="H5512" s="852"/>
      <c r="I5512" s="852"/>
      <c r="J5512" s="852"/>
      <c r="K5512" s="852"/>
      <c r="L5512" s="852"/>
      <c r="M5512" s="852"/>
    </row>
    <row r="5513" spans="5:13">
      <c r="E5513" s="852"/>
      <c r="F5513" s="852"/>
      <c r="G5513" s="852"/>
      <c r="H5513" s="852"/>
      <c r="I5513" s="852"/>
      <c r="J5513" s="852"/>
      <c r="K5513" s="852"/>
      <c r="L5513" s="852"/>
      <c r="M5513" s="852"/>
    </row>
    <row r="5514" spans="5:13">
      <c r="E5514" s="852"/>
      <c r="F5514" s="852"/>
      <c r="G5514" s="852"/>
      <c r="H5514" s="852"/>
      <c r="I5514" s="852"/>
      <c r="J5514" s="852"/>
      <c r="K5514" s="852"/>
      <c r="L5514" s="852"/>
      <c r="M5514" s="852"/>
    </row>
    <row r="5515" spans="5:13">
      <c r="E5515" s="852"/>
      <c r="F5515" s="852"/>
      <c r="G5515" s="852"/>
      <c r="H5515" s="852"/>
      <c r="I5515" s="852"/>
      <c r="J5515" s="852"/>
      <c r="K5515" s="852"/>
      <c r="L5515" s="852"/>
      <c r="M5515" s="852"/>
    </row>
    <row r="5516" spans="5:13">
      <c r="E5516" s="852"/>
      <c r="F5516" s="852"/>
      <c r="G5516" s="852"/>
      <c r="H5516" s="852"/>
      <c r="I5516" s="852"/>
      <c r="J5516" s="852"/>
      <c r="K5516" s="852"/>
      <c r="L5516" s="852"/>
      <c r="M5516" s="852"/>
    </row>
    <row r="5517" spans="5:13">
      <c r="E5517" s="852"/>
      <c r="F5517" s="852"/>
      <c r="G5517" s="852"/>
      <c r="H5517" s="852"/>
      <c r="I5517" s="852"/>
      <c r="J5517" s="852"/>
      <c r="K5517" s="852"/>
      <c r="L5517" s="852"/>
      <c r="M5517" s="852"/>
    </row>
    <row r="5518" spans="5:13">
      <c r="E5518" s="852"/>
      <c r="F5518" s="852"/>
      <c r="G5518" s="852"/>
      <c r="H5518" s="852"/>
      <c r="I5518" s="852"/>
      <c r="J5518" s="852"/>
      <c r="K5518" s="852"/>
      <c r="L5518" s="852"/>
      <c r="M5518" s="852"/>
    </row>
    <row r="5519" spans="5:13">
      <c r="E5519" s="852"/>
      <c r="F5519" s="852"/>
      <c r="G5519" s="852"/>
      <c r="H5519" s="852"/>
      <c r="I5519" s="852"/>
      <c r="J5519" s="852"/>
      <c r="K5519" s="852"/>
      <c r="L5519" s="852"/>
      <c r="M5519" s="852"/>
    </row>
    <row r="5520" spans="5:13">
      <c r="E5520" s="852"/>
      <c r="F5520" s="852"/>
      <c r="G5520" s="852"/>
      <c r="H5520" s="852"/>
      <c r="I5520" s="852"/>
      <c r="J5520" s="852"/>
      <c r="K5520" s="852"/>
      <c r="L5520" s="852"/>
      <c r="M5520" s="852"/>
    </row>
    <row r="5521" spans="5:13">
      <c r="E5521" s="852"/>
      <c r="F5521" s="852"/>
      <c r="G5521" s="852"/>
      <c r="H5521" s="852"/>
      <c r="I5521" s="852"/>
      <c r="J5521" s="852"/>
      <c r="K5521" s="852"/>
      <c r="L5521" s="852"/>
      <c r="M5521" s="852"/>
    </row>
    <row r="5522" spans="5:13">
      <c r="E5522" s="852"/>
      <c r="F5522" s="852"/>
      <c r="G5522" s="852"/>
      <c r="H5522" s="852"/>
      <c r="I5522" s="852"/>
      <c r="J5522" s="852"/>
      <c r="K5522" s="852"/>
      <c r="L5522" s="852"/>
      <c r="M5522" s="852"/>
    </row>
    <row r="5523" spans="5:13">
      <c r="E5523" s="852"/>
      <c r="F5523" s="852"/>
      <c r="G5523" s="852"/>
      <c r="H5523" s="852"/>
      <c r="I5523" s="852"/>
      <c r="J5523" s="852"/>
      <c r="K5523" s="852"/>
      <c r="L5523" s="852"/>
      <c r="M5523" s="852"/>
    </row>
    <row r="5524" spans="5:13">
      <c r="E5524" s="852"/>
      <c r="F5524" s="852"/>
      <c r="G5524" s="852"/>
      <c r="H5524" s="852"/>
      <c r="I5524" s="852"/>
      <c r="J5524" s="852"/>
      <c r="K5524" s="852"/>
      <c r="L5524" s="852"/>
      <c r="M5524" s="852"/>
    </row>
    <row r="5525" spans="5:13">
      <c r="E5525" s="852"/>
      <c r="F5525" s="852"/>
      <c r="G5525" s="852"/>
      <c r="H5525" s="852"/>
      <c r="I5525" s="852"/>
      <c r="J5525" s="852"/>
      <c r="K5525" s="852"/>
      <c r="L5525" s="852"/>
      <c r="M5525" s="852"/>
    </row>
    <row r="5526" spans="5:13">
      <c r="E5526" s="852"/>
      <c r="F5526" s="852"/>
      <c r="G5526" s="852"/>
      <c r="H5526" s="852"/>
      <c r="I5526" s="852"/>
      <c r="J5526" s="852"/>
      <c r="K5526" s="852"/>
      <c r="L5526" s="852"/>
      <c r="M5526" s="852"/>
    </row>
    <row r="5527" spans="5:13">
      <c r="E5527" s="852"/>
      <c r="F5527" s="852"/>
      <c r="G5527" s="852"/>
      <c r="H5527" s="852"/>
      <c r="I5527" s="852"/>
      <c r="J5527" s="852"/>
      <c r="K5527" s="852"/>
      <c r="L5527" s="852"/>
      <c r="M5527" s="852"/>
    </row>
    <row r="5528" spans="5:13">
      <c r="E5528" s="852"/>
      <c r="F5528" s="852"/>
      <c r="G5528" s="852"/>
      <c r="H5528" s="852"/>
      <c r="I5528" s="852"/>
      <c r="J5528" s="852"/>
      <c r="K5528" s="852"/>
      <c r="L5528" s="852"/>
      <c r="M5528" s="852"/>
    </row>
    <row r="5529" spans="5:13">
      <c r="E5529" s="852"/>
      <c r="F5529" s="852"/>
      <c r="G5529" s="852"/>
      <c r="H5529" s="852"/>
      <c r="I5529" s="852"/>
      <c r="J5529" s="852"/>
      <c r="K5529" s="852"/>
      <c r="L5529" s="852"/>
      <c r="M5529" s="852"/>
    </row>
    <row r="5530" spans="5:13">
      <c r="E5530" s="852"/>
      <c r="F5530" s="852"/>
      <c r="G5530" s="852"/>
      <c r="H5530" s="852"/>
      <c r="I5530" s="852"/>
      <c r="J5530" s="852"/>
      <c r="K5530" s="852"/>
      <c r="L5530" s="852"/>
      <c r="M5530" s="852"/>
    </row>
    <row r="5531" spans="5:13">
      <c r="E5531" s="852"/>
      <c r="F5531" s="852"/>
      <c r="G5531" s="852"/>
      <c r="H5531" s="852"/>
      <c r="I5531" s="852"/>
      <c r="J5531" s="852"/>
      <c r="K5531" s="852"/>
      <c r="L5531" s="852"/>
      <c r="M5531" s="852"/>
    </row>
    <row r="5532" spans="5:13">
      <c r="E5532" s="852"/>
      <c r="F5532" s="852"/>
      <c r="G5532" s="852"/>
      <c r="H5532" s="852"/>
      <c r="I5532" s="852"/>
      <c r="J5532" s="852"/>
      <c r="K5532" s="852"/>
      <c r="L5532" s="852"/>
      <c r="M5532" s="852"/>
    </row>
    <row r="5533" spans="5:13">
      <c r="E5533" s="852"/>
      <c r="F5533" s="852"/>
      <c r="G5533" s="852"/>
      <c r="H5533" s="852"/>
      <c r="I5533" s="852"/>
      <c r="J5533" s="852"/>
      <c r="K5533" s="852"/>
      <c r="L5533" s="852"/>
      <c r="M5533" s="852"/>
    </row>
    <row r="5534" spans="5:13">
      <c r="E5534" s="852"/>
      <c r="F5534" s="852"/>
      <c r="G5534" s="852"/>
      <c r="H5534" s="852"/>
      <c r="I5534" s="852"/>
      <c r="J5534" s="852"/>
      <c r="K5534" s="852"/>
      <c r="L5534" s="852"/>
      <c r="M5534" s="852"/>
    </row>
    <row r="5535" spans="5:13">
      <c r="E5535" s="852"/>
      <c r="F5535" s="852"/>
      <c r="G5535" s="852"/>
      <c r="H5535" s="852"/>
      <c r="I5535" s="852"/>
      <c r="J5535" s="852"/>
      <c r="K5535" s="852"/>
      <c r="L5535" s="852"/>
      <c r="M5535" s="852"/>
    </row>
    <row r="5536" spans="5:13">
      <c r="E5536" s="852"/>
      <c r="F5536" s="852"/>
      <c r="G5536" s="852"/>
      <c r="H5536" s="852"/>
      <c r="I5536" s="852"/>
      <c r="J5536" s="852"/>
      <c r="K5536" s="852"/>
      <c r="L5536" s="852"/>
      <c r="M5536" s="852"/>
    </row>
    <row r="5537" spans="5:13">
      <c r="E5537" s="852"/>
      <c r="F5537" s="852"/>
      <c r="G5537" s="852"/>
      <c r="H5537" s="852"/>
      <c r="I5537" s="852"/>
      <c r="J5537" s="852"/>
      <c r="K5537" s="852"/>
      <c r="L5537" s="852"/>
      <c r="M5537" s="852"/>
    </row>
    <row r="5538" spans="5:13">
      <c r="E5538" s="852"/>
      <c r="F5538" s="852"/>
      <c r="G5538" s="852"/>
      <c r="H5538" s="852"/>
      <c r="I5538" s="852"/>
      <c r="J5538" s="852"/>
      <c r="K5538" s="852"/>
      <c r="L5538" s="852"/>
      <c r="M5538" s="852"/>
    </row>
    <row r="5539" spans="5:13">
      <c r="E5539" s="852"/>
      <c r="F5539" s="852"/>
      <c r="G5539" s="852"/>
      <c r="H5539" s="852"/>
      <c r="I5539" s="852"/>
      <c r="J5539" s="852"/>
      <c r="K5539" s="852"/>
      <c r="L5539" s="852"/>
      <c r="M5539" s="852"/>
    </row>
    <row r="5540" spans="5:13">
      <c r="E5540" s="852"/>
      <c r="F5540" s="852"/>
      <c r="G5540" s="852"/>
      <c r="H5540" s="852"/>
      <c r="I5540" s="852"/>
      <c r="J5540" s="852"/>
      <c r="K5540" s="852"/>
      <c r="L5540" s="852"/>
      <c r="M5540" s="852"/>
    </row>
    <row r="5541" spans="5:13">
      <c r="E5541" s="852"/>
      <c r="F5541" s="852"/>
      <c r="G5541" s="852"/>
      <c r="H5541" s="852"/>
      <c r="I5541" s="852"/>
      <c r="J5541" s="852"/>
      <c r="K5541" s="852"/>
      <c r="L5541" s="852"/>
      <c r="M5541" s="852"/>
    </row>
    <row r="5542" spans="5:13">
      <c r="E5542" s="852"/>
      <c r="F5542" s="852"/>
      <c r="G5542" s="852"/>
      <c r="H5542" s="852"/>
      <c r="I5542" s="852"/>
      <c r="J5542" s="852"/>
      <c r="K5542" s="852"/>
      <c r="L5542" s="852"/>
      <c r="M5542" s="852"/>
    </row>
    <row r="5543" spans="5:13">
      <c r="E5543" s="852"/>
      <c r="F5543" s="852"/>
      <c r="G5543" s="852"/>
      <c r="H5543" s="852"/>
      <c r="I5543" s="852"/>
      <c r="J5543" s="852"/>
      <c r="K5543" s="852"/>
      <c r="L5543" s="852"/>
      <c r="M5543" s="852"/>
    </row>
    <row r="5544" spans="5:13">
      <c r="E5544" s="852"/>
      <c r="F5544" s="852"/>
      <c r="G5544" s="852"/>
      <c r="H5544" s="852"/>
      <c r="I5544" s="852"/>
      <c r="J5544" s="852"/>
      <c r="K5544" s="852"/>
      <c r="L5544" s="852"/>
      <c r="M5544" s="852"/>
    </row>
    <row r="5545" spans="5:13">
      <c r="E5545" s="852"/>
      <c r="F5545" s="852"/>
      <c r="G5545" s="852"/>
      <c r="H5545" s="852"/>
      <c r="I5545" s="852"/>
      <c r="J5545" s="852"/>
      <c r="K5545" s="852"/>
      <c r="L5545" s="852"/>
      <c r="M5545" s="852"/>
    </row>
    <row r="5546" spans="5:13">
      <c r="E5546" s="852"/>
      <c r="F5546" s="852"/>
      <c r="G5546" s="852"/>
      <c r="H5546" s="852"/>
      <c r="I5546" s="852"/>
      <c r="J5546" s="852"/>
      <c r="K5546" s="852"/>
      <c r="L5546" s="852"/>
      <c r="M5546" s="852"/>
    </row>
    <row r="5547" spans="5:13">
      <c r="E5547" s="852"/>
      <c r="F5547" s="852"/>
      <c r="G5547" s="852"/>
      <c r="H5547" s="852"/>
      <c r="I5547" s="852"/>
      <c r="J5547" s="852"/>
      <c r="K5547" s="852"/>
      <c r="L5547" s="852"/>
      <c r="M5547" s="852"/>
    </row>
    <row r="5548" spans="5:13">
      <c r="E5548" s="852"/>
      <c r="F5548" s="852"/>
      <c r="G5548" s="852"/>
      <c r="H5548" s="852"/>
      <c r="I5548" s="852"/>
      <c r="J5548" s="852"/>
      <c r="K5548" s="852"/>
      <c r="L5548" s="852"/>
      <c r="M5548" s="852"/>
    </row>
    <row r="5549" spans="5:13">
      <c r="E5549" s="852"/>
      <c r="F5549" s="852"/>
      <c r="G5549" s="852"/>
      <c r="H5549" s="852"/>
      <c r="I5549" s="852"/>
      <c r="J5549" s="852"/>
      <c r="K5549" s="852"/>
      <c r="L5549" s="852"/>
      <c r="M5549" s="852"/>
    </row>
    <row r="5550" spans="5:13">
      <c r="E5550" s="852"/>
      <c r="F5550" s="852"/>
      <c r="G5550" s="852"/>
      <c r="H5550" s="852"/>
      <c r="I5550" s="852"/>
      <c r="J5550" s="852"/>
      <c r="K5550" s="852"/>
      <c r="L5550" s="852"/>
      <c r="M5550" s="852"/>
    </row>
    <row r="5551" spans="5:13">
      <c r="E5551" s="852"/>
      <c r="F5551" s="852"/>
      <c r="G5551" s="852"/>
      <c r="H5551" s="852"/>
      <c r="I5551" s="852"/>
      <c r="J5551" s="852"/>
      <c r="K5551" s="852"/>
      <c r="L5551" s="852"/>
      <c r="M5551" s="852"/>
    </row>
    <row r="5552" spans="5:13">
      <c r="E5552" s="852"/>
      <c r="F5552" s="852"/>
      <c r="G5552" s="852"/>
      <c r="H5552" s="852"/>
      <c r="I5552" s="852"/>
      <c r="J5552" s="852"/>
      <c r="K5552" s="852"/>
      <c r="L5552" s="852"/>
      <c r="M5552" s="852"/>
    </row>
    <row r="5553" spans="5:13">
      <c r="E5553" s="852"/>
      <c r="F5553" s="852"/>
      <c r="G5553" s="852"/>
      <c r="H5553" s="852"/>
      <c r="I5553" s="852"/>
      <c r="J5553" s="852"/>
      <c r="K5553" s="852"/>
      <c r="L5553" s="852"/>
      <c r="M5553" s="852"/>
    </row>
    <row r="5554" spans="5:13">
      <c r="E5554" s="852"/>
      <c r="F5554" s="852"/>
      <c r="G5554" s="852"/>
      <c r="H5554" s="852"/>
      <c r="I5554" s="852"/>
      <c r="J5554" s="852"/>
      <c r="K5554" s="852"/>
      <c r="L5554" s="852"/>
      <c r="M5554" s="852"/>
    </row>
    <row r="5555" spans="5:13">
      <c r="E5555" s="852"/>
      <c r="F5555" s="852"/>
      <c r="G5555" s="852"/>
      <c r="H5555" s="852"/>
      <c r="I5555" s="852"/>
      <c r="J5555" s="852"/>
      <c r="K5555" s="852"/>
      <c r="L5555" s="852"/>
      <c r="M5555" s="852"/>
    </row>
    <row r="5556" spans="5:13">
      <c r="E5556" s="852"/>
      <c r="F5556" s="852"/>
      <c r="G5556" s="852"/>
      <c r="H5556" s="852"/>
      <c r="I5556" s="852"/>
      <c r="J5556" s="852"/>
      <c r="K5556" s="852"/>
      <c r="L5556" s="852"/>
      <c r="M5556" s="852"/>
    </row>
    <row r="5557" spans="5:13">
      <c r="E5557" s="852"/>
      <c r="F5557" s="852"/>
      <c r="G5557" s="852"/>
      <c r="H5557" s="852"/>
      <c r="I5557" s="852"/>
      <c r="J5557" s="852"/>
      <c r="K5557" s="852"/>
      <c r="L5557" s="852"/>
      <c r="M5557" s="852"/>
    </row>
    <row r="5558" spans="5:13">
      <c r="E5558" s="852"/>
      <c r="F5558" s="852"/>
      <c r="G5558" s="852"/>
      <c r="H5558" s="852"/>
      <c r="I5558" s="852"/>
      <c r="J5558" s="852"/>
      <c r="K5558" s="852"/>
      <c r="L5558" s="852"/>
      <c r="M5558" s="852"/>
    </row>
    <row r="5559" spans="5:13">
      <c r="E5559" s="852"/>
      <c r="F5559" s="852"/>
      <c r="G5559" s="852"/>
      <c r="H5559" s="852"/>
      <c r="I5559" s="852"/>
      <c r="J5559" s="852"/>
      <c r="K5559" s="852"/>
      <c r="L5559" s="852"/>
      <c r="M5559" s="852"/>
    </row>
    <row r="5560" spans="5:13">
      <c r="E5560" s="852"/>
      <c r="F5560" s="852"/>
      <c r="G5560" s="852"/>
      <c r="H5560" s="852"/>
      <c r="I5560" s="852"/>
      <c r="J5560" s="852"/>
      <c r="K5560" s="852"/>
      <c r="L5560" s="852"/>
      <c r="M5560" s="852"/>
    </row>
    <row r="5561" spans="5:13">
      <c r="E5561" s="852"/>
      <c r="F5561" s="852"/>
      <c r="G5561" s="852"/>
      <c r="H5561" s="852"/>
      <c r="I5561" s="852"/>
      <c r="J5561" s="852"/>
      <c r="K5561" s="852"/>
      <c r="L5561" s="852"/>
      <c r="M5561" s="852"/>
    </row>
    <row r="5562" spans="5:13">
      <c r="E5562" s="852"/>
      <c r="F5562" s="852"/>
      <c r="G5562" s="852"/>
      <c r="H5562" s="852"/>
      <c r="I5562" s="852"/>
      <c r="J5562" s="852"/>
      <c r="K5562" s="852"/>
      <c r="L5562" s="852"/>
      <c r="M5562" s="852"/>
    </row>
    <row r="5563" spans="5:13">
      <c r="E5563" s="852"/>
      <c r="F5563" s="852"/>
      <c r="G5563" s="852"/>
      <c r="H5563" s="852"/>
      <c r="I5563" s="852"/>
      <c r="J5563" s="852"/>
      <c r="K5563" s="852"/>
      <c r="L5563" s="852"/>
      <c r="M5563" s="852"/>
    </row>
    <row r="5564" spans="5:13">
      <c r="E5564" s="852"/>
      <c r="F5564" s="852"/>
      <c r="G5564" s="852"/>
      <c r="H5564" s="852"/>
      <c r="I5564" s="852"/>
      <c r="J5564" s="852"/>
      <c r="K5564" s="852"/>
      <c r="L5564" s="852"/>
      <c r="M5564" s="852"/>
    </row>
    <row r="5565" spans="5:13">
      <c r="E5565" s="852"/>
      <c r="F5565" s="852"/>
      <c r="G5565" s="852"/>
      <c r="H5565" s="852"/>
      <c r="I5565" s="852"/>
      <c r="J5565" s="852"/>
      <c r="K5565" s="852"/>
      <c r="L5565" s="852"/>
      <c r="M5565" s="852"/>
    </row>
    <row r="5566" spans="5:13">
      <c r="E5566" s="852"/>
      <c r="F5566" s="852"/>
      <c r="G5566" s="852"/>
      <c r="H5566" s="852"/>
      <c r="I5566" s="852"/>
      <c r="J5566" s="852"/>
      <c r="K5566" s="852"/>
      <c r="L5566" s="852"/>
      <c r="M5566" s="852"/>
    </row>
    <row r="5567" spans="5:13">
      <c r="E5567" s="852"/>
      <c r="F5567" s="852"/>
      <c r="G5567" s="852"/>
      <c r="H5567" s="852"/>
      <c r="I5567" s="852"/>
      <c r="J5567" s="852"/>
      <c r="K5567" s="852"/>
      <c r="L5567" s="852"/>
      <c r="M5567" s="852"/>
    </row>
    <row r="5568" spans="5:13">
      <c r="E5568" s="852"/>
      <c r="F5568" s="852"/>
      <c r="G5568" s="852"/>
      <c r="H5568" s="852"/>
      <c r="I5568" s="852"/>
      <c r="J5568" s="852"/>
      <c r="K5568" s="852"/>
      <c r="L5568" s="852"/>
      <c r="M5568" s="852"/>
    </row>
    <row r="5569" spans="5:13">
      <c r="E5569" s="852"/>
      <c r="F5569" s="852"/>
      <c r="G5569" s="852"/>
      <c r="H5569" s="852"/>
      <c r="I5569" s="852"/>
      <c r="J5569" s="852"/>
      <c r="K5569" s="852"/>
      <c r="L5569" s="852"/>
      <c r="M5569" s="852"/>
    </row>
    <row r="5570" spans="5:13">
      <c r="E5570" s="852"/>
      <c r="F5570" s="852"/>
      <c r="G5570" s="852"/>
      <c r="H5570" s="852"/>
      <c r="I5570" s="852"/>
      <c r="J5570" s="852"/>
      <c r="K5570" s="852"/>
      <c r="L5570" s="852"/>
      <c r="M5570" s="852"/>
    </row>
    <row r="5571" spans="5:13">
      <c r="E5571" s="852"/>
      <c r="F5571" s="852"/>
      <c r="G5571" s="852"/>
      <c r="H5571" s="852"/>
      <c r="I5571" s="852"/>
      <c r="J5571" s="852"/>
      <c r="K5571" s="852"/>
      <c r="L5571" s="852"/>
      <c r="M5571" s="852"/>
    </row>
    <row r="5572" spans="5:13">
      <c r="E5572" s="852"/>
      <c r="F5572" s="852"/>
      <c r="G5572" s="852"/>
      <c r="H5572" s="852"/>
      <c r="I5572" s="852"/>
      <c r="J5572" s="852"/>
      <c r="K5572" s="852"/>
      <c r="L5572" s="852"/>
      <c r="M5572" s="852"/>
    </row>
    <row r="5573" spans="5:13">
      <c r="E5573" s="852"/>
      <c r="F5573" s="852"/>
      <c r="G5573" s="852"/>
      <c r="H5573" s="852"/>
      <c r="I5573" s="852"/>
      <c r="J5573" s="852"/>
      <c r="K5573" s="852"/>
      <c r="L5573" s="852"/>
      <c r="M5573" s="852"/>
    </row>
    <row r="5574" spans="5:13">
      <c r="E5574" s="852"/>
      <c r="F5574" s="852"/>
      <c r="G5574" s="852"/>
      <c r="H5574" s="852"/>
      <c r="I5574" s="852"/>
      <c r="J5574" s="852"/>
      <c r="K5574" s="852"/>
      <c r="L5574" s="852"/>
      <c r="M5574" s="852"/>
    </row>
    <row r="5575" spans="5:13">
      <c r="E5575" s="852"/>
      <c r="F5575" s="852"/>
      <c r="G5575" s="852"/>
      <c r="H5575" s="852"/>
      <c r="I5575" s="852"/>
      <c r="J5575" s="852"/>
      <c r="K5575" s="852"/>
      <c r="L5575" s="852"/>
      <c r="M5575" s="852"/>
    </row>
    <row r="5576" spans="5:13">
      <c r="E5576" s="852"/>
      <c r="F5576" s="852"/>
      <c r="G5576" s="852"/>
      <c r="H5576" s="852"/>
      <c r="I5576" s="852"/>
      <c r="J5576" s="852"/>
      <c r="K5576" s="852"/>
      <c r="L5576" s="852"/>
      <c r="M5576" s="852"/>
    </row>
    <row r="5577" spans="5:13">
      <c r="E5577" s="852"/>
      <c r="F5577" s="852"/>
      <c r="G5577" s="852"/>
      <c r="H5577" s="852"/>
      <c r="I5577" s="852"/>
      <c r="J5577" s="852"/>
      <c r="K5577" s="852"/>
      <c r="L5577" s="852"/>
      <c r="M5577" s="852"/>
    </row>
    <row r="5578" spans="5:13">
      <c r="E5578" s="852"/>
      <c r="F5578" s="852"/>
      <c r="G5578" s="852"/>
      <c r="H5578" s="852"/>
      <c r="I5578" s="852"/>
      <c r="J5578" s="852"/>
      <c r="K5578" s="852"/>
      <c r="L5578" s="852"/>
      <c r="M5578" s="852"/>
    </row>
    <row r="5579" spans="5:13">
      <c r="E5579" s="852"/>
      <c r="F5579" s="852"/>
      <c r="G5579" s="852"/>
      <c r="H5579" s="852"/>
      <c r="I5579" s="852"/>
      <c r="J5579" s="852"/>
      <c r="K5579" s="852"/>
      <c r="L5579" s="852"/>
      <c r="M5579" s="852"/>
    </row>
    <row r="5580" spans="5:13">
      <c r="E5580" s="852"/>
      <c r="F5580" s="852"/>
      <c r="G5580" s="852"/>
      <c r="H5580" s="852"/>
      <c r="I5580" s="852"/>
      <c r="J5580" s="852"/>
      <c r="K5580" s="852"/>
      <c r="L5580" s="852"/>
      <c r="M5580" s="852"/>
    </row>
    <row r="5581" spans="5:13">
      <c r="E5581" s="852"/>
      <c r="F5581" s="852"/>
      <c r="G5581" s="852"/>
      <c r="H5581" s="852"/>
      <c r="I5581" s="852"/>
      <c r="J5581" s="852"/>
      <c r="K5581" s="852"/>
      <c r="L5581" s="852"/>
      <c r="M5581" s="852"/>
    </row>
    <row r="5582" spans="5:13">
      <c r="E5582" s="852"/>
      <c r="F5582" s="852"/>
      <c r="G5582" s="852"/>
      <c r="H5582" s="852"/>
      <c r="I5582" s="852"/>
      <c r="J5582" s="852"/>
      <c r="K5582" s="852"/>
      <c r="L5582" s="852"/>
      <c r="M5582" s="852"/>
    </row>
    <row r="5583" spans="5:13">
      <c r="E5583" s="852"/>
      <c r="F5583" s="852"/>
      <c r="G5583" s="852"/>
      <c r="H5583" s="852"/>
      <c r="I5583" s="852"/>
      <c r="J5583" s="852"/>
      <c r="K5583" s="852"/>
      <c r="L5583" s="852"/>
      <c r="M5583" s="852"/>
    </row>
    <row r="5584" spans="5:13">
      <c r="E5584" s="852"/>
      <c r="F5584" s="852"/>
      <c r="G5584" s="852"/>
      <c r="H5584" s="852"/>
      <c r="I5584" s="852"/>
      <c r="J5584" s="852"/>
      <c r="K5584" s="852"/>
      <c r="L5584" s="852"/>
      <c r="M5584" s="852"/>
    </row>
    <row r="5585" spans="5:13">
      <c r="E5585" s="852"/>
      <c r="F5585" s="852"/>
      <c r="G5585" s="852"/>
      <c r="H5585" s="852"/>
      <c r="I5585" s="852"/>
      <c r="J5585" s="852"/>
      <c r="K5585" s="852"/>
      <c r="L5585" s="852"/>
      <c r="M5585" s="852"/>
    </row>
    <row r="5586" spans="5:13">
      <c r="E5586" s="852"/>
      <c r="F5586" s="852"/>
      <c r="G5586" s="852"/>
      <c r="H5586" s="852"/>
      <c r="I5586" s="852"/>
      <c r="J5586" s="852"/>
      <c r="K5586" s="852"/>
      <c r="L5586" s="852"/>
      <c r="M5586" s="852"/>
    </row>
    <row r="5587" spans="5:13">
      <c r="E5587" s="852"/>
      <c r="F5587" s="852"/>
      <c r="G5587" s="852"/>
      <c r="H5587" s="852"/>
      <c r="I5587" s="852"/>
      <c r="J5587" s="852"/>
      <c r="K5587" s="852"/>
      <c r="L5587" s="852"/>
      <c r="M5587" s="852"/>
    </row>
    <row r="5588" spans="5:13">
      <c r="E5588" s="852"/>
      <c r="F5588" s="852"/>
      <c r="G5588" s="852"/>
      <c r="H5588" s="852"/>
      <c r="I5588" s="852"/>
      <c r="J5588" s="852"/>
      <c r="K5588" s="852"/>
      <c r="L5588" s="852"/>
      <c r="M5588" s="852"/>
    </row>
    <row r="5589" spans="5:13">
      <c r="E5589" s="852"/>
      <c r="F5589" s="852"/>
      <c r="G5589" s="852"/>
      <c r="H5589" s="852"/>
      <c r="I5589" s="852"/>
      <c r="J5589" s="852"/>
      <c r="K5589" s="852"/>
      <c r="L5589" s="852"/>
      <c r="M5589" s="852"/>
    </row>
    <row r="5590" spans="5:13">
      <c r="E5590" s="852"/>
      <c r="F5590" s="852"/>
      <c r="G5590" s="852"/>
      <c r="H5590" s="852"/>
      <c r="I5590" s="852"/>
      <c r="J5590" s="852"/>
      <c r="K5590" s="852"/>
      <c r="L5590" s="852"/>
      <c r="M5590" s="852"/>
    </row>
    <row r="5591" spans="5:13">
      <c r="E5591" s="852"/>
      <c r="F5591" s="852"/>
      <c r="G5591" s="852"/>
      <c r="H5591" s="852"/>
      <c r="I5591" s="852"/>
      <c r="J5591" s="852"/>
      <c r="K5591" s="852"/>
      <c r="L5591" s="852"/>
      <c r="M5591" s="852"/>
    </row>
    <row r="5592" spans="5:13">
      <c r="E5592" s="852"/>
      <c r="F5592" s="852"/>
      <c r="G5592" s="852"/>
      <c r="H5592" s="852"/>
      <c r="I5592" s="852"/>
      <c r="J5592" s="852"/>
      <c r="K5592" s="852"/>
      <c r="L5592" s="852"/>
      <c r="M5592" s="852"/>
    </row>
    <row r="5593" spans="5:13">
      <c r="E5593" s="852"/>
      <c r="F5593" s="852"/>
      <c r="G5593" s="852"/>
      <c r="H5593" s="852"/>
      <c r="I5593" s="852"/>
      <c r="J5593" s="852"/>
      <c r="K5593" s="852"/>
      <c r="L5593" s="852"/>
      <c r="M5593" s="852"/>
    </row>
    <row r="5594" spans="5:13">
      <c r="E5594" s="852"/>
      <c r="F5594" s="852"/>
      <c r="G5594" s="852"/>
      <c r="H5594" s="852"/>
      <c r="I5594" s="852"/>
      <c r="J5594" s="852"/>
      <c r="K5594" s="852"/>
      <c r="L5594" s="852"/>
      <c r="M5594" s="852"/>
    </row>
    <row r="5595" spans="5:13">
      <c r="E5595" s="852"/>
      <c r="F5595" s="852"/>
      <c r="G5595" s="852"/>
      <c r="H5595" s="852"/>
      <c r="I5595" s="852"/>
      <c r="J5595" s="852"/>
      <c r="K5595" s="852"/>
      <c r="L5595" s="852"/>
      <c r="M5595" s="852"/>
    </row>
    <row r="5596" spans="5:13">
      <c r="E5596" s="852"/>
      <c r="F5596" s="852"/>
      <c r="G5596" s="852"/>
      <c r="H5596" s="852"/>
      <c r="I5596" s="852"/>
      <c r="J5596" s="852"/>
      <c r="K5596" s="852"/>
      <c r="L5596" s="852"/>
      <c r="M5596" s="852"/>
    </row>
    <row r="5597" spans="5:13">
      <c r="E5597" s="852"/>
      <c r="F5597" s="852"/>
      <c r="G5597" s="852"/>
      <c r="H5597" s="852"/>
      <c r="I5597" s="852"/>
      <c r="J5597" s="852"/>
      <c r="K5597" s="852"/>
      <c r="L5597" s="852"/>
      <c r="M5597" s="852"/>
    </row>
    <row r="5598" spans="5:13">
      <c r="E5598" s="852"/>
      <c r="F5598" s="852"/>
      <c r="G5598" s="852"/>
      <c r="H5598" s="852"/>
      <c r="I5598" s="852"/>
      <c r="J5598" s="852"/>
      <c r="K5598" s="852"/>
      <c r="L5598" s="852"/>
      <c r="M5598" s="852"/>
    </row>
    <row r="5599" spans="5:13">
      <c r="E5599" s="852"/>
      <c r="F5599" s="852"/>
      <c r="G5599" s="852"/>
      <c r="H5599" s="852"/>
      <c r="I5599" s="852"/>
      <c r="J5599" s="852"/>
      <c r="K5599" s="852"/>
      <c r="L5599" s="852"/>
      <c r="M5599" s="852"/>
    </row>
    <row r="5600" spans="5:13">
      <c r="E5600" s="852"/>
      <c r="F5600" s="852"/>
      <c r="G5600" s="852"/>
      <c r="H5600" s="852"/>
      <c r="I5600" s="852"/>
      <c r="J5600" s="852"/>
      <c r="K5600" s="852"/>
      <c r="L5600" s="852"/>
      <c r="M5600" s="852"/>
    </row>
    <row r="5601" spans="5:13">
      <c r="E5601" s="852"/>
      <c r="F5601" s="852"/>
      <c r="G5601" s="852"/>
      <c r="H5601" s="852"/>
      <c r="I5601" s="852"/>
      <c r="J5601" s="852"/>
      <c r="K5601" s="852"/>
      <c r="L5601" s="852"/>
      <c r="M5601" s="852"/>
    </row>
    <row r="5602" spans="5:13">
      <c r="E5602" s="852"/>
      <c r="F5602" s="852"/>
      <c r="G5602" s="852"/>
      <c r="H5602" s="852"/>
      <c r="I5602" s="852"/>
      <c r="J5602" s="852"/>
      <c r="K5602" s="852"/>
      <c r="L5602" s="852"/>
      <c r="M5602" s="852"/>
    </row>
    <row r="5603" spans="5:13">
      <c r="E5603" s="852"/>
      <c r="F5603" s="852"/>
      <c r="G5603" s="852"/>
      <c r="H5603" s="852"/>
      <c r="I5603" s="852"/>
      <c r="J5603" s="852"/>
      <c r="K5603" s="852"/>
      <c r="L5603" s="852"/>
      <c r="M5603" s="852"/>
    </row>
    <row r="5604" spans="5:13">
      <c r="E5604" s="852"/>
      <c r="F5604" s="852"/>
      <c r="G5604" s="852"/>
      <c r="H5604" s="852"/>
      <c r="I5604" s="852"/>
      <c r="J5604" s="852"/>
      <c r="K5604" s="852"/>
      <c r="L5604" s="852"/>
      <c r="M5604" s="852"/>
    </row>
    <row r="5605" spans="5:13">
      <c r="E5605" s="852"/>
      <c r="F5605" s="852"/>
      <c r="G5605" s="852"/>
      <c r="H5605" s="852"/>
      <c r="I5605" s="852"/>
      <c r="J5605" s="852"/>
      <c r="K5605" s="852"/>
      <c r="L5605" s="852"/>
      <c r="M5605" s="852"/>
    </row>
    <row r="5606" spans="5:13">
      <c r="E5606" s="852"/>
      <c r="F5606" s="852"/>
      <c r="G5606" s="852"/>
      <c r="H5606" s="852"/>
      <c r="I5606" s="852"/>
      <c r="J5606" s="852"/>
      <c r="K5606" s="852"/>
      <c r="L5606" s="852"/>
      <c r="M5606" s="852"/>
    </row>
    <row r="5607" spans="5:13">
      <c r="E5607" s="852"/>
      <c r="F5607" s="852"/>
      <c r="G5607" s="852"/>
      <c r="H5607" s="852"/>
      <c r="I5607" s="852"/>
      <c r="J5607" s="852"/>
      <c r="K5607" s="852"/>
      <c r="L5607" s="852"/>
      <c r="M5607" s="852"/>
    </row>
    <row r="5608" spans="5:13">
      <c r="E5608" s="852"/>
      <c r="F5608" s="852"/>
      <c r="G5608" s="852"/>
      <c r="H5608" s="852"/>
      <c r="I5608" s="852"/>
      <c r="J5608" s="852"/>
      <c r="K5608" s="852"/>
      <c r="L5608" s="852"/>
      <c r="M5608" s="852"/>
    </row>
    <row r="5609" spans="5:13">
      <c r="E5609" s="852"/>
      <c r="F5609" s="852"/>
      <c r="G5609" s="852"/>
      <c r="H5609" s="852"/>
      <c r="I5609" s="852"/>
      <c r="J5609" s="852"/>
      <c r="K5609" s="852"/>
      <c r="L5609" s="852"/>
      <c r="M5609" s="852"/>
    </row>
    <row r="5610" spans="5:13">
      <c r="E5610" s="852"/>
      <c r="F5610" s="852"/>
      <c r="G5610" s="852"/>
      <c r="H5610" s="852"/>
      <c r="I5610" s="852"/>
      <c r="J5610" s="852"/>
      <c r="K5610" s="852"/>
      <c r="L5610" s="852"/>
      <c r="M5610" s="852"/>
    </row>
    <row r="5611" spans="5:13">
      <c r="E5611" s="852"/>
      <c r="F5611" s="852"/>
      <c r="G5611" s="852"/>
      <c r="H5611" s="852"/>
      <c r="I5611" s="852"/>
      <c r="J5611" s="852"/>
      <c r="K5611" s="852"/>
      <c r="L5611" s="852"/>
      <c r="M5611" s="852"/>
    </row>
    <row r="5612" spans="5:13">
      <c r="E5612" s="852"/>
      <c r="F5612" s="852"/>
      <c r="G5612" s="852"/>
      <c r="H5612" s="852"/>
      <c r="I5612" s="852"/>
      <c r="J5612" s="852"/>
      <c r="K5612" s="852"/>
      <c r="L5612" s="852"/>
      <c r="M5612" s="852"/>
    </row>
    <row r="5613" spans="5:13">
      <c r="E5613" s="852"/>
      <c r="F5613" s="852"/>
      <c r="G5613" s="852"/>
      <c r="H5613" s="852"/>
      <c r="I5613" s="852"/>
      <c r="J5613" s="852"/>
      <c r="K5613" s="852"/>
      <c r="L5613" s="852"/>
      <c r="M5613" s="852"/>
    </row>
    <row r="5614" spans="5:13">
      <c r="E5614" s="852"/>
      <c r="F5614" s="852"/>
      <c r="G5614" s="852"/>
      <c r="H5614" s="852"/>
      <c r="I5614" s="852"/>
      <c r="J5614" s="852"/>
      <c r="K5614" s="852"/>
      <c r="L5614" s="852"/>
      <c r="M5614" s="852"/>
    </row>
    <row r="5615" spans="5:13">
      <c r="E5615" s="852"/>
      <c r="F5615" s="852"/>
      <c r="G5615" s="852"/>
      <c r="H5615" s="852"/>
      <c r="I5615" s="852"/>
      <c r="J5615" s="852"/>
      <c r="K5615" s="852"/>
      <c r="L5615" s="852"/>
      <c r="M5615" s="852"/>
    </row>
    <row r="5616" spans="5:13">
      <c r="E5616" s="852"/>
      <c r="F5616" s="852"/>
      <c r="G5616" s="852"/>
      <c r="H5616" s="852"/>
      <c r="I5616" s="852"/>
      <c r="J5616" s="852"/>
      <c r="K5616" s="852"/>
      <c r="L5616" s="852"/>
      <c r="M5616" s="852"/>
    </row>
    <row r="5617" spans="5:13">
      <c r="E5617" s="852"/>
      <c r="F5617" s="852"/>
      <c r="G5617" s="852"/>
      <c r="H5617" s="852"/>
      <c r="I5617" s="852"/>
      <c r="J5617" s="852"/>
      <c r="K5617" s="852"/>
      <c r="L5617" s="852"/>
      <c r="M5617" s="852"/>
    </row>
    <row r="5618" spans="5:13">
      <c r="E5618" s="852"/>
      <c r="F5618" s="852"/>
      <c r="G5618" s="852"/>
      <c r="H5618" s="852"/>
      <c r="I5618" s="852"/>
      <c r="J5618" s="852"/>
      <c r="K5618" s="852"/>
      <c r="L5618" s="852"/>
      <c r="M5618" s="852"/>
    </row>
    <row r="5619" spans="5:13">
      <c r="E5619" s="852"/>
      <c r="F5619" s="852"/>
      <c r="G5619" s="852"/>
      <c r="H5619" s="852"/>
      <c r="I5619" s="852"/>
      <c r="J5619" s="852"/>
      <c r="K5619" s="852"/>
      <c r="L5619" s="852"/>
      <c r="M5619" s="852"/>
    </row>
    <row r="5620" spans="5:13">
      <c r="E5620" s="852"/>
      <c r="F5620" s="852"/>
      <c r="G5620" s="852"/>
      <c r="H5620" s="852"/>
      <c r="I5620" s="852"/>
      <c r="J5620" s="852"/>
      <c r="K5620" s="852"/>
      <c r="L5620" s="852"/>
      <c r="M5620" s="852"/>
    </row>
    <row r="5621" spans="5:13">
      <c r="E5621" s="852"/>
      <c r="F5621" s="852"/>
      <c r="G5621" s="852"/>
      <c r="H5621" s="852"/>
      <c r="I5621" s="852"/>
      <c r="J5621" s="852"/>
      <c r="K5621" s="852"/>
      <c r="L5621" s="852"/>
      <c r="M5621" s="852"/>
    </row>
    <row r="5622" spans="5:13">
      <c r="E5622" s="852"/>
      <c r="F5622" s="852"/>
      <c r="G5622" s="852"/>
      <c r="H5622" s="852"/>
      <c r="I5622" s="852"/>
      <c r="J5622" s="852"/>
      <c r="K5622" s="852"/>
      <c r="L5622" s="852"/>
      <c r="M5622" s="852"/>
    </row>
    <row r="5623" spans="5:13">
      <c r="E5623" s="852"/>
      <c r="F5623" s="852"/>
      <c r="G5623" s="852"/>
      <c r="H5623" s="852"/>
      <c r="I5623" s="852"/>
      <c r="J5623" s="852"/>
      <c r="K5623" s="852"/>
      <c r="L5623" s="852"/>
      <c r="M5623" s="852"/>
    </row>
    <row r="5624" spans="5:13">
      <c r="E5624" s="852"/>
      <c r="F5624" s="852"/>
      <c r="G5624" s="852"/>
      <c r="H5624" s="852"/>
      <c r="I5624" s="852"/>
      <c r="J5624" s="852"/>
      <c r="K5624" s="852"/>
      <c r="L5624" s="852"/>
      <c r="M5624" s="852"/>
    </row>
    <row r="5625" spans="5:13">
      <c r="E5625" s="852"/>
      <c r="F5625" s="852"/>
      <c r="G5625" s="852"/>
      <c r="H5625" s="852"/>
      <c r="I5625" s="852"/>
      <c r="J5625" s="852"/>
      <c r="K5625" s="852"/>
      <c r="L5625" s="852"/>
      <c r="M5625" s="852"/>
    </row>
    <row r="5626" spans="5:13">
      <c r="E5626" s="852"/>
      <c r="F5626" s="852"/>
      <c r="G5626" s="852"/>
      <c r="H5626" s="852"/>
      <c r="I5626" s="852"/>
      <c r="J5626" s="852"/>
      <c r="K5626" s="852"/>
      <c r="L5626" s="852"/>
      <c r="M5626" s="852"/>
    </row>
    <row r="5627" spans="5:13">
      <c r="E5627" s="852"/>
      <c r="F5627" s="852"/>
      <c r="G5627" s="852"/>
      <c r="H5627" s="852"/>
      <c r="I5627" s="852"/>
      <c r="J5627" s="852"/>
      <c r="K5627" s="852"/>
      <c r="L5627" s="852"/>
      <c r="M5627" s="852"/>
    </row>
    <row r="5628" spans="5:13">
      <c r="E5628" s="852"/>
      <c r="F5628" s="852"/>
      <c r="G5628" s="852"/>
      <c r="H5628" s="852"/>
      <c r="I5628" s="852"/>
      <c r="J5628" s="852"/>
      <c r="K5628" s="852"/>
      <c r="L5628" s="852"/>
      <c r="M5628" s="852"/>
    </row>
    <row r="5629" spans="5:13">
      <c r="E5629" s="852"/>
      <c r="F5629" s="852"/>
      <c r="G5629" s="852"/>
      <c r="H5629" s="852"/>
      <c r="I5629" s="852"/>
      <c r="J5629" s="852"/>
      <c r="K5629" s="852"/>
      <c r="L5629" s="852"/>
      <c r="M5629" s="852"/>
    </row>
    <row r="5630" spans="5:13">
      <c r="E5630" s="852"/>
      <c r="F5630" s="852"/>
      <c r="G5630" s="852"/>
      <c r="H5630" s="852"/>
      <c r="I5630" s="852"/>
      <c r="J5630" s="852"/>
      <c r="K5630" s="852"/>
      <c r="L5630" s="852"/>
      <c r="M5630" s="852"/>
    </row>
    <row r="5631" spans="5:13">
      <c r="E5631" s="852"/>
      <c r="F5631" s="852"/>
      <c r="G5631" s="852"/>
      <c r="H5631" s="852"/>
      <c r="I5631" s="852"/>
      <c r="J5631" s="852"/>
      <c r="K5631" s="852"/>
      <c r="L5631" s="852"/>
      <c r="M5631" s="852"/>
    </row>
    <row r="5632" spans="5:13">
      <c r="E5632" s="852"/>
      <c r="F5632" s="852"/>
      <c r="G5632" s="852"/>
      <c r="H5632" s="852"/>
      <c r="I5632" s="852"/>
      <c r="J5632" s="852"/>
      <c r="K5632" s="852"/>
      <c r="L5632" s="852"/>
      <c r="M5632" s="852"/>
    </row>
    <row r="5633" spans="5:13">
      <c r="E5633" s="852"/>
      <c r="F5633" s="852"/>
      <c r="G5633" s="852"/>
      <c r="H5633" s="852"/>
      <c r="I5633" s="852"/>
      <c r="J5633" s="852"/>
      <c r="K5633" s="852"/>
      <c r="L5633" s="852"/>
      <c r="M5633" s="852"/>
    </row>
    <row r="5634" spans="5:13">
      <c r="E5634" s="852"/>
      <c r="F5634" s="852"/>
      <c r="G5634" s="852"/>
      <c r="H5634" s="852"/>
      <c r="I5634" s="852"/>
      <c r="J5634" s="852"/>
      <c r="K5634" s="852"/>
      <c r="L5634" s="852"/>
      <c r="M5634" s="852"/>
    </row>
    <row r="5635" spans="5:13">
      <c r="E5635" s="852"/>
      <c r="F5635" s="852"/>
      <c r="G5635" s="852"/>
      <c r="H5635" s="852"/>
      <c r="I5635" s="852"/>
      <c r="J5635" s="852"/>
      <c r="K5635" s="852"/>
      <c r="L5635" s="852"/>
      <c r="M5635" s="852"/>
    </row>
    <row r="5636" spans="5:13">
      <c r="E5636" s="852"/>
      <c r="F5636" s="852"/>
      <c r="G5636" s="852"/>
      <c r="H5636" s="852"/>
      <c r="I5636" s="852"/>
      <c r="J5636" s="852"/>
      <c r="K5636" s="852"/>
      <c r="L5636" s="852"/>
      <c r="M5636" s="852"/>
    </row>
    <row r="5637" spans="5:13">
      <c r="E5637" s="852"/>
      <c r="F5637" s="852"/>
      <c r="G5637" s="852"/>
      <c r="H5637" s="852"/>
      <c r="I5637" s="852"/>
      <c r="J5637" s="852"/>
      <c r="K5637" s="852"/>
      <c r="L5637" s="852"/>
      <c r="M5637" s="852"/>
    </row>
    <row r="5638" spans="5:13">
      <c r="E5638" s="852"/>
      <c r="F5638" s="852"/>
      <c r="G5638" s="852"/>
      <c r="H5638" s="852"/>
      <c r="I5638" s="852"/>
      <c r="J5638" s="852"/>
      <c r="K5638" s="852"/>
      <c r="L5638" s="852"/>
      <c r="M5638" s="852"/>
    </row>
    <row r="5639" spans="5:13">
      <c r="E5639" s="852"/>
      <c r="F5639" s="852"/>
      <c r="G5639" s="852"/>
      <c r="H5639" s="852"/>
      <c r="I5639" s="852"/>
      <c r="J5639" s="852"/>
      <c r="K5639" s="852"/>
      <c r="L5639" s="852"/>
      <c r="M5639" s="852"/>
    </row>
    <row r="5640" spans="5:13">
      <c r="E5640" s="852"/>
      <c r="F5640" s="852"/>
      <c r="G5640" s="852"/>
      <c r="H5640" s="852"/>
      <c r="I5640" s="852"/>
      <c r="J5640" s="852"/>
      <c r="K5640" s="852"/>
      <c r="L5640" s="852"/>
      <c r="M5640" s="852"/>
    </row>
    <row r="5641" spans="5:13">
      <c r="E5641" s="852"/>
      <c r="F5641" s="852"/>
      <c r="G5641" s="852"/>
      <c r="H5641" s="852"/>
      <c r="I5641" s="852"/>
      <c r="J5641" s="852"/>
      <c r="K5641" s="852"/>
      <c r="L5641" s="852"/>
      <c r="M5641" s="852"/>
    </row>
    <row r="5642" spans="5:13">
      <c r="E5642" s="852"/>
      <c r="F5642" s="852"/>
      <c r="G5642" s="852"/>
      <c r="H5642" s="852"/>
      <c r="I5642" s="852"/>
      <c r="J5642" s="852"/>
      <c r="K5642" s="852"/>
      <c r="L5642" s="852"/>
      <c r="M5642" s="852"/>
    </row>
    <row r="5643" spans="5:13">
      <c r="E5643" s="852"/>
      <c r="F5643" s="852"/>
      <c r="G5643" s="852"/>
      <c r="H5643" s="852"/>
      <c r="I5643" s="852"/>
      <c r="J5643" s="852"/>
      <c r="K5643" s="852"/>
      <c r="L5643" s="852"/>
      <c r="M5643" s="852"/>
    </row>
    <row r="5644" spans="5:13">
      <c r="E5644" s="852"/>
      <c r="F5644" s="852"/>
      <c r="G5644" s="852"/>
      <c r="H5644" s="852"/>
      <c r="I5644" s="852"/>
      <c r="J5644" s="852"/>
      <c r="K5644" s="852"/>
      <c r="L5644" s="852"/>
      <c r="M5644" s="852"/>
    </row>
    <row r="5645" spans="5:13">
      <c r="E5645" s="852"/>
      <c r="F5645" s="852"/>
      <c r="G5645" s="852"/>
      <c r="H5645" s="852"/>
      <c r="I5645" s="852"/>
      <c r="J5645" s="852"/>
      <c r="K5645" s="852"/>
      <c r="L5645" s="852"/>
      <c r="M5645" s="852"/>
    </row>
    <row r="5646" spans="5:13">
      <c r="E5646" s="852"/>
      <c r="F5646" s="852"/>
      <c r="G5646" s="852"/>
      <c r="H5646" s="852"/>
      <c r="I5646" s="852"/>
      <c r="J5646" s="852"/>
      <c r="K5646" s="852"/>
      <c r="L5646" s="852"/>
      <c r="M5646" s="852"/>
    </row>
    <row r="5647" spans="5:13">
      <c r="E5647" s="852"/>
      <c r="F5647" s="852"/>
      <c r="G5647" s="852"/>
      <c r="H5647" s="852"/>
      <c r="I5647" s="852"/>
      <c r="J5647" s="852"/>
      <c r="K5647" s="852"/>
      <c r="L5647" s="852"/>
      <c r="M5647" s="852"/>
    </row>
    <row r="5648" spans="5:13">
      <c r="E5648" s="852"/>
      <c r="F5648" s="852"/>
      <c r="G5648" s="852"/>
      <c r="H5648" s="852"/>
      <c r="I5648" s="852"/>
      <c r="J5648" s="852"/>
      <c r="K5648" s="852"/>
      <c r="L5648" s="852"/>
      <c r="M5648" s="852"/>
    </row>
    <row r="5649" spans="5:13">
      <c r="E5649" s="852"/>
      <c r="F5649" s="852"/>
      <c r="G5649" s="852"/>
      <c r="H5649" s="852"/>
      <c r="I5649" s="852"/>
      <c r="J5649" s="852"/>
      <c r="K5649" s="852"/>
      <c r="L5649" s="852"/>
      <c r="M5649" s="852"/>
    </row>
    <row r="5650" spans="5:13">
      <c r="E5650" s="852"/>
      <c r="F5650" s="852"/>
      <c r="G5650" s="852"/>
      <c r="H5650" s="852"/>
      <c r="I5650" s="852"/>
      <c r="J5650" s="852"/>
      <c r="K5650" s="852"/>
      <c r="L5650" s="852"/>
      <c r="M5650" s="852"/>
    </row>
    <row r="5651" spans="5:13">
      <c r="E5651" s="852"/>
      <c r="F5651" s="852"/>
      <c r="G5651" s="852"/>
      <c r="H5651" s="852"/>
      <c r="I5651" s="852"/>
      <c r="J5651" s="852"/>
      <c r="K5651" s="852"/>
      <c r="L5651" s="852"/>
      <c r="M5651" s="852"/>
    </row>
    <row r="5652" spans="5:13">
      <c r="E5652" s="852"/>
      <c r="F5652" s="852"/>
      <c r="G5652" s="852"/>
      <c r="H5652" s="852"/>
      <c r="I5652" s="852"/>
      <c r="J5652" s="852"/>
      <c r="K5652" s="852"/>
      <c r="L5652" s="852"/>
      <c r="M5652" s="852"/>
    </row>
    <row r="5653" spans="5:13">
      <c r="E5653" s="852"/>
      <c r="F5653" s="852"/>
      <c r="G5653" s="852"/>
      <c r="H5653" s="852"/>
      <c r="I5653" s="852"/>
      <c r="J5653" s="852"/>
      <c r="K5653" s="852"/>
      <c r="L5653" s="852"/>
      <c r="M5653" s="852"/>
    </row>
    <row r="5654" spans="5:13">
      <c r="E5654" s="852"/>
      <c r="F5654" s="852"/>
      <c r="G5654" s="852"/>
      <c r="H5654" s="852"/>
      <c r="I5654" s="852"/>
      <c r="J5654" s="852"/>
      <c r="K5654" s="852"/>
      <c r="L5654" s="852"/>
      <c r="M5654" s="852"/>
    </row>
    <row r="5655" spans="5:13">
      <c r="E5655" s="852"/>
      <c r="F5655" s="852"/>
      <c r="G5655" s="852"/>
      <c r="H5655" s="852"/>
      <c r="I5655" s="852"/>
      <c r="J5655" s="852"/>
      <c r="K5655" s="852"/>
      <c r="L5655" s="852"/>
      <c r="M5655" s="852"/>
    </row>
    <row r="5656" spans="5:13">
      <c r="E5656" s="852"/>
      <c r="F5656" s="852"/>
      <c r="G5656" s="852"/>
      <c r="H5656" s="852"/>
      <c r="I5656" s="852"/>
      <c r="J5656" s="852"/>
      <c r="K5656" s="852"/>
      <c r="L5656" s="852"/>
      <c r="M5656" s="852"/>
    </row>
    <row r="5657" spans="5:13">
      <c r="E5657" s="852"/>
      <c r="F5657" s="852"/>
      <c r="G5657" s="852"/>
      <c r="H5657" s="852"/>
      <c r="I5657" s="852"/>
      <c r="J5657" s="852"/>
      <c r="K5657" s="852"/>
      <c r="L5657" s="852"/>
      <c r="M5657" s="852"/>
    </row>
    <row r="5658" spans="5:13">
      <c r="E5658" s="852"/>
      <c r="F5658" s="852"/>
      <c r="G5658" s="852"/>
      <c r="H5658" s="852"/>
      <c r="I5658" s="852"/>
      <c r="J5658" s="852"/>
      <c r="K5658" s="852"/>
      <c r="L5658" s="852"/>
      <c r="M5658" s="852"/>
    </row>
    <row r="5659" spans="5:13">
      <c r="E5659" s="852"/>
      <c r="F5659" s="852"/>
      <c r="G5659" s="852"/>
      <c r="H5659" s="852"/>
      <c r="I5659" s="852"/>
      <c r="J5659" s="852"/>
      <c r="K5659" s="852"/>
      <c r="L5659" s="852"/>
      <c r="M5659" s="852"/>
    </row>
    <row r="5660" spans="5:13">
      <c r="E5660" s="852"/>
      <c r="F5660" s="852"/>
      <c r="G5660" s="852"/>
      <c r="H5660" s="852"/>
      <c r="I5660" s="852"/>
      <c r="J5660" s="852"/>
      <c r="K5660" s="852"/>
      <c r="L5660" s="852"/>
      <c r="M5660" s="852"/>
    </row>
    <row r="5661" spans="5:13">
      <c r="E5661" s="852"/>
      <c r="F5661" s="852"/>
      <c r="G5661" s="852"/>
      <c r="H5661" s="852"/>
      <c r="I5661" s="852"/>
      <c r="J5661" s="852"/>
      <c r="K5661" s="852"/>
      <c r="L5661" s="852"/>
      <c r="M5661" s="852"/>
    </row>
    <row r="5662" spans="5:13">
      <c r="E5662" s="852"/>
      <c r="F5662" s="852"/>
      <c r="G5662" s="852"/>
      <c r="H5662" s="852"/>
      <c r="I5662" s="852"/>
      <c r="J5662" s="852"/>
      <c r="K5662" s="852"/>
      <c r="L5662" s="852"/>
      <c r="M5662" s="852"/>
    </row>
    <row r="5663" spans="5:13">
      <c r="E5663" s="852"/>
      <c r="F5663" s="852"/>
      <c r="G5663" s="852"/>
      <c r="H5663" s="852"/>
      <c r="I5663" s="852"/>
      <c r="J5663" s="852"/>
      <c r="K5663" s="852"/>
      <c r="L5663" s="852"/>
      <c r="M5663" s="852"/>
    </row>
    <row r="5664" spans="5:13">
      <c r="E5664" s="852"/>
      <c r="F5664" s="852"/>
      <c r="G5664" s="852"/>
      <c r="H5664" s="852"/>
      <c r="I5664" s="852"/>
      <c r="J5664" s="852"/>
      <c r="K5664" s="852"/>
      <c r="L5664" s="852"/>
      <c r="M5664" s="852"/>
    </row>
    <row r="5665" spans="5:13">
      <c r="E5665" s="852"/>
      <c r="F5665" s="852"/>
      <c r="G5665" s="852"/>
      <c r="H5665" s="852"/>
      <c r="I5665" s="852"/>
      <c r="J5665" s="852"/>
      <c r="K5665" s="852"/>
      <c r="L5665" s="852"/>
      <c r="M5665" s="852"/>
    </row>
    <row r="5666" spans="5:13">
      <c r="E5666" s="852"/>
      <c r="F5666" s="852"/>
      <c r="G5666" s="852"/>
      <c r="H5666" s="852"/>
      <c r="I5666" s="852"/>
      <c r="J5666" s="852"/>
      <c r="K5666" s="852"/>
      <c r="L5666" s="852"/>
      <c r="M5666" s="852"/>
    </row>
    <row r="5667" spans="5:13">
      <c r="E5667" s="852"/>
      <c r="F5667" s="852"/>
      <c r="G5667" s="852"/>
      <c r="H5667" s="852"/>
      <c r="I5667" s="852"/>
      <c r="J5667" s="852"/>
      <c r="K5667" s="852"/>
      <c r="L5667" s="852"/>
      <c r="M5667" s="852"/>
    </row>
    <row r="5668" spans="5:13">
      <c r="E5668" s="852"/>
      <c r="F5668" s="852"/>
      <c r="G5668" s="852"/>
      <c r="H5668" s="852"/>
      <c r="I5668" s="852"/>
      <c r="J5668" s="852"/>
      <c r="K5668" s="852"/>
      <c r="L5668" s="852"/>
      <c r="M5668" s="852"/>
    </row>
    <row r="5669" spans="5:13">
      <c r="E5669" s="852"/>
      <c r="F5669" s="852"/>
      <c r="G5669" s="852"/>
      <c r="H5669" s="852"/>
      <c r="I5669" s="852"/>
      <c r="J5669" s="852"/>
      <c r="K5669" s="852"/>
      <c r="L5669" s="852"/>
      <c r="M5669" s="852"/>
    </row>
    <row r="5670" spans="5:13">
      <c r="E5670" s="852"/>
      <c r="F5670" s="852"/>
      <c r="G5670" s="852"/>
      <c r="H5670" s="852"/>
      <c r="I5670" s="852"/>
      <c r="J5670" s="852"/>
      <c r="K5670" s="852"/>
      <c r="L5670" s="852"/>
      <c r="M5670" s="852"/>
    </row>
    <row r="5671" spans="5:13">
      <c r="E5671" s="852"/>
      <c r="F5671" s="852"/>
      <c r="G5671" s="852"/>
      <c r="H5671" s="852"/>
      <c r="I5671" s="852"/>
      <c r="J5671" s="852"/>
      <c r="K5671" s="852"/>
      <c r="L5671" s="852"/>
      <c r="M5671" s="852"/>
    </row>
    <row r="5672" spans="5:13">
      <c r="E5672" s="852"/>
      <c r="F5672" s="852"/>
      <c r="G5672" s="852"/>
      <c r="H5672" s="852"/>
      <c r="I5672" s="852"/>
      <c r="J5672" s="852"/>
      <c r="K5672" s="852"/>
      <c r="L5672" s="852"/>
      <c r="M5672" s="852"/>
    </row>
    <row r="5673" spans="5:13">
      <c r="E5673" s="852"/>
      <c r="F5673" s="852"/>
      <c r="G5673" s="852"/>
      <c r="H5673" s="852"/>
      <c r="I5673" s="852"/>
      <c r="J5673" s="852"/>
      <c r="K5673" s="852"/>
      <c r="L5673" s="852"/>
      <c r="M5673" s="852"/>
    </row>
    <row r="5674" spans="5:13">
      <c r="E5674" s="852"/>
      <c r="F5674" s="852"/>
      <c r="G5674" s="852"/>
      <c r="H5674" s="852"/>
      <c r="I5674" s="852"/>
      <c r="J5674" s="852"/>
      <c r="K5674" s="852"/>
      <c r="L5674" s="852"/>
      <c r="M5674" s="852"/>
    </row>
    <row r="5675" spans="5:13">
      <c r="E5675" s="852"/>
      <c r="F5675" s="852"/>
      <c r="G5675" s="852"/>
      <c r="H5675" s="852"/>
      <c r="I5675" s="852"/>
      <c r="J5675" s="852"/>
      <c r="K5675" s="852"/>
      <c r="L5675" s="852"/>
      <c r="M5675" s="852"/>
    </row>
    <row r="5676" spans="5:13">
      <c r="E5676" s="852"/>
      <c r="F5676" s="852"/>
      <c r="G5676" s="852"/>
      <c r="H5676" s="852"/>
      <c r="I5676" s="852"/>
      <c r="J5676" s="852"/>
      <c r="K5676" s="852"/>
      <c r="L5676" s="852"/>
      <c r="M5676" s="852"/>
    </row>
    <row r="5677" spans="5:13">
      <c r="E5677" s="852"/>
      <c r="F5677" s="852"/>
      <c r="G5677" s="852"/>
      <c r="H5677" s="852"/>
      <c r="I5677" s="852"/>
      <c r="J5677" s="852"/>
      <c r="K5677" s="852"/>
      <c r="L5677" s="852"/>
      <c r="M5677" s="852"/>
    </row>
    <row r="5678" spans="5:13">
      <c r="E5678" s="852"/>
      <c r="F5678" s="852"/>
      <c r="G5678" s="852"/>
      <c r="H5678" s="852"/>
      <c r="I5678" s="852"/>
      <c r="J5678" s="852"/>
      <c r="K5678" s="852"/>
      <c r="L5678" s="852"/>
      <c r="M5678" s="852"/>
    </row>
    <row r="5679" spans="5:13">
      <c r="E5679" s="852"/>
      <c r="F5679" s="852"/>
      <c r="G5679" s="852"/>
      <c r="H5679" s="852"/>
      <c r="I5679" s="852"/>
      <c r="J5679" s="852"/>
      <c r="K5679" s="852"/>
      <c r="L5679" s="852"/>
      <c r="M5679" s="852"/>
    </row>
    <row r="5680" spans="5:13">
      <c r="E5680" s="852"/>
      <c r="F5680" s="852"/>
      <c r="G5680" s="852"/>
      <c r="H5680" s="852"/>
      <c r="I5680" s="852"/>
      <c r="J5680" s="852"/>
      <c r="K5680" s="852"/>
      <c r="L5680" s="852"/>
      <c r="M5680" s="852"/>
    </row>
    <row r="5681" spans="5:13">
      <c r="E5681" s="852"/>
      <c r="F5681" s="852"/>
      <c r="G5681" s="852"/>
      <c r="H5681" s="852"/>
      <c r="I5681" s="852"/>
      <c r="J5681" s="852"/>
      <c r="K5681" s="852"/>
      <c r="L5681" s="852"/>
      <c r="M5681" s="852"/>
    </row>
    <row r="5682" spans="5:13">
      <c r="E5682" s="852"/>
      <c r="F5682" s="852"/>
      <c r="G5682" s="852"/>
      <c r="H5682" s="852"/>
      <c r="I5682" s="852"/>
      <c r="J5682" s="852"/>
      <c r="K5682" s="852"/>
      <c r="L5682" s="852"/>
      <c r="M5682" s="852"/>
    </row>
    <row r="5683" spans="5:13">
      <c r="E5683" s="852"/>
      <c r="F5683" s="852"/>
      <c r="G5683" s="852"/>
      <c r="H5683" s="852"/>
      <c r="I5683" s="852"/>
      <c r="J5683" s="852"/>
      <c r="K5683" s="852"/>
      <c r="L5683" s="852"/>
      <c r="M5683" s="852"/>
    </row>
    <row r="5684" spans="5:13">
      <c r="E5684" s="852"/>
      <c r="F5684" s="852"/>
      <c r="G5684" s="852"/>
      <c r="H5684" s="852"/>
      <c r="I5684" s="852"/>
      <c r="J5684" s="852"/>
      <c r="K5684" s="852"/>
      <c r="L5684" s="852"/>
      <c r="M5684" s="852"/>
    </row>
    <row r="5685" spans="5:13">
      <c r="E5685" s="852"/>
      <c r="F5685" s="852"/>
      <c r="G5685" s="852"/>
      <c r="H5685" s="852"/>
      <c r="I5685" s="852"/>
      <c r="J5685" s="852"/>
      <c r="K5685" s="852"/>
      <c r="L5685" s="852"/>
      <c r="M5685" s="852"/>
    </row>
    <row r="5686" spans="5:13">
      <c r="E5686" s="852"/>
      <c r="F5686" s="852"/>
      <c r="G5686" s="852"/>
      <c r="H5686" s="852"/>
      <c r="I5686" s="852"/>
      <c r="J5686" s="852"/>
      <c r="K5686" s="852"/>
      <c r="L5686" s="852"/>
      <c r="M5686" s="852"/>
    </row>
    <row r="5687" spans="5:13">
      <c r="E5687" s="852"/>
      <c r="F5687" s="852"/>
      <c r="G5687" s="852"/>
      <c r="H5687" s="852"/>
      <c r="I5687" s="852"/>
      <c r="J5687" s="852"/>
      <c r="K5687" s="852"/>
      <c r="L5687" s="852"/>
      <c r="M5687" s="852"/>
    </row>
    <row r="5688" spans="5:13">
      <c r="E5688" s="852"/>
      <c r="F5688" s="852"/>
      <c r="G5688" s="852"/>
      <c r="H5688" s="852"/>
      <c r="I5688" s="852"/>
      <c r="J5688" s="852"/>
      <c r="K5688" s="852"/>
      <c r="L5688" s="852"/>
      <c r="M5688" s="852"/>
    </row>
    <row r="5689" spans="5:13">
      <c r="E5689" s="852"/>
      <c r="F5689" s="852"/>
      <c r="G5689" s="852"/>
      <c r="H5689" s="852"/>
      <c r="I5689" s="852"/>
      <c r="J5689" s="852"/>
      <c r="K5689" s="852"/>
      <c r="L5689" s="852"/>
      <c r="M5689" s="852"/>
    </row>
    <row r="5690" spans="5:13">
      <c r="E5690" s="852"/>
      <c r="F5690" s="852"/>
      <c r="G5690" s="852"/>
      <c r="H5690" s="852"/>
      <c r="I5690" s="852"/>
      <c r="J5690" s="852"/>
      <c r="K5690" s="852"/>
      <c r="L5690" s="852"/>
      <c r="M5690" s="852"/>
    </row>
    <row r="5691" spans="5:13">
      <c r="E5691" s="852"/>
      <c r="F5691" s="852"/>
      <c r="G5691" s="852"/>
      <c r="H5691" s="852"/>
      <c r="I5691" s="852"/>
      <c r="J5691" s="852"/>
      <c r="K5691" s="852"/>
      <c r="L5691" s="852"/>
      <c r="M5691" s="852"/>
    </row>
    <row r="5692" spans="5:13">
      <c r="E5692" s="852"/>
      <c r="F5692" s="852"/>
      <c r="G5692" s="852"/>
      <c r="H5692" s="852"/>
      <c r="I5692" s="852"/>
      <c r="J5692" s="852"/>
      <c r="K5692" s="852"/>
      <c r="L5692" s="852"/>
      <c r="M5692" s="852"/>
    </row>
    <row r="5693" spans="5:13">
      <c r="E5693" s="852"/>
      <c r="F5693" s="852"/>
      <c r="G5693" s="852"/>
      <c r="H5693" s="852"/>
      <c r="I5693" s="852"/>
      <c r="J5693" s="852"/>
      <c r="K5693" s="852"/>
      <c r="L5693" s="852"/>
      <c r="M5693" s="852"/>
    </row>
    <row r="5694" spans="5:13">
      <c r="E5694" s="852"/>
      <c r="F5694" s="852"/>
      <c r="G5694" s="852"/>
      <c r="H5694" s="852"/>
      <c r="I5694" s="852"/>
      <c r="J5694" s="852"/>
      <c r="K5694" s="852"/>
      <c r="L5694" s="852"/>
      <c r="M5694" s="852"/>
    </row>
    <row r="5695" spans="5:13">
      <c r="E5695" s="852"/>
      <c r="F5695" s="852"/>
      <c r="G5695" s="852"/>
      <c r="H5695" s="852"/>
      <c r="I5695" s="852"/>
      <c r="J5695" s="852"/>
      <c r="K5695" s="852"/>
      <c r="L5695" s="852"/>
      <c r="M5695" s="852"/>
    </row>
    <row r="5696" spans="5:13">
      <c r="E5696" s="852"/>
      <c r="F5696" s="852"/>
      <c r="G5696" s="852"/>
      <c r="H5696" s="852"/>
      <c r="I5696" s="852"/>
      <c r="J5696" s="852"/>
      <c r="K5696" s="852"/>
      <c r="L5696" s="852"/>
      <c r="M5696" s="852"/>
    </row>
    <row r="5697" spans="5:13">
      <c r="E5697" s="852"/>
      <c r="F5697" s="852"/>
      <c r="G5697" s="852"/>
      <c r="H5697" s="852"/>
      <c r="I5697" s="852"/>
      <c r="J5697" s="852"/>
      <c r="K5697" s="852"/>
      <c r="L5697" s="852"/>
      <c r="M5697" s="852"/>
    </row>
    <row r="5698" spans="5:13">
      <c r="E5698" s="852"/>
      <c r="F5698" s="852"/>
      <c r="G5698" s="852"/>
      <c r="H5698" s="852"/>
      <c r="I5698" s="852"/>
      <c r="J5698" s="852"/>
      <c r="K5698" s="852"/>
      <c r="L5698" s="852"/>
      <c r="M5698" s="852"/>
    </row>
    <row r="5699" spans="5:13">
      <c r="E5699" s="852"/>
      <c r="F5699" s="852"/>
      <c r="G5699" s="852"/>
      <c r="H5699" s="852"/>
      <c r="I5699" s="852"/>
      <c r="J5699" s="852"/>
      <c r="K5699" s="852"/>
      <c r="L5699" s="852"/>
      <c r="M5699" s="852"/>
    </row>
    <row r="5700" spans="5:13">
      <c r="E5700" s="852"/>
      <c r="F5700" s="852"/>
      <c r="G5700" s="852"/>
      <c r="H5700" s="852"/>
      <c r="I5700" s="852"/>
      <c r="J5700" s="852"/>
      <c r="K5700" s="852"/>
      <c r="L5700" s="852"/>
      <c r="M5700" s="852"/>
    </row>
    <row r="5701" spans="5:13">
      <c r="E5701" s="852"/>
      <c r="F5701" s="852"/>
      <c r="G5701" s="852"/>
      <c r="H5701" s="852"/>
      <c r="I5701" s="852"/>
      <c r="J5701" s="852"/>
      <c r="K5701" s="852"/>
      <c r="L5701" s="852"/>
      <c r="M5701" s="852"/>
    </row>
    <row r="5702" spans="5:13">
      <c r="E5702" s="852"/>
      <c r="F5702" s="852"/>
      <c r="G5702" s="852"/>
      <c r="H5702" s="852"/>
      <c r="I5702" s="852"/>
      <c r="J5702" s="852"/>
      <c r="K5702" s="852"/>
      <c r="L5702" s="852"/>
      <c r="M5702" s="852"/>
    </row>
    <row r="5703" spans="5:13">
      <c r="E5703" s="852"/>
      <c r="F5703" s="852"/>
      <c r="G5703" s="852"/>
      <c r="H5703" s="852"/>
      <c r="I5703" s="852"/>
      <c r="J5703" s="852"/>
      <c r="K5703" s="852"/>
      <c r="L5703" s="852"/>
      <c r="M5703" s="852"/>
    </row>
    <row r="5704" spans="5:13">
      <c r="E5704" s="852"/>
      <c r="F5704" s="852"/>
      <c r="G5704" s="852"/>
      <c r="H5704" s="852"/>
      <c r="I5704" s="852"/>
      <c r="J5704" s="852"/>
      <c r="K5704" s="852"/>
      <c r="L5704" s="852"/>
      <c r="M5704" s="852"/>
    </row>
    <row r="5705" spans="5:13">
      <c r="E5705" s="852"/>
      <c r="F5705" s="852"/>
      <c r="G5705" s="852"/>
      <c r="H5705" s="852"/>
      <c r="I5705" s="852"/>
      <c r="J5705" s="852"/>
      <c r="K5705" s="852"/>
      <c r="L5705" s="852"/>
      <c r="M5705" s="852"/>
    </row>
    <row r="5706" spans="5:13">
      <c r="E5706" s="852"/>
      <c r="F5706" s="852"/>
      <c r="G5706" s="852"/>
      <c r="H5706" s="852"/>
      <c r="I5706" s="852"/>
      <c r="J5706" s="852"/>
      <c r="K5706" s="852"/>
      <c r="L5706" s="852"/>
      <c r="M5706" s="852"/>
    </row>
    <row r="5707" spans="5:13">
      <c r="E5707" s="852"/>
      <c r="F5707" s="852"/>
      <c r="G5707" s="852"/>
      <c r="H5707" s="852"/>
      <c r="I5707" s="852"/>
      <c r="J5707" s="852"/>
      <c r="K5707" s="852"/>
      <c r="L5707" s="852"/>
      <c r="M5707" s="852"/>
    </row>
    <row r="5708" spans="5:13">
      <c r="E5708" s="852"/>
      <c r="F5708" s="852"/>
      <c r="G5708" s="852"/>
      <c r="H5708" s="852"/>
      <c r="I5708" s="852"/>
      <c r="J5708" s="852"/>
      <c r="K5708" s="852"/>
      <c r="L5708" s="852"/>
      <c r="M5708" s="852"/>
    </row>
    <row r="5709" spans="5:13">
      <c r="E5709" s="852"/>
      <c r="F5709" s="852"/>
      <c r="G5709" s="852"/>
      <c r="H5709" s="852"/>
      <c r="I5709" s="852"/>
      <c r="J5709" s="852"/>
      <c r="K5709" s="852"/>
      <c r="L5709" s="852"/>
      <c r="M5709" s="852"/>
    </row>
    <row r="5710" spans="5:13">
      <c r="E5710" s="852"/>
      <c r="F5710" s="852"/>
      <c r="G5710" s="852"/>
      <c r="H5710" s="852"/>
      <c r="I5710" s="852"/>
      <c r="J5710" s="852"/>
      <c r="K5710" s="852"/>
      <c r="L5710" s="852"/>
      <c r="M5710" s="852"/>
    </row>
    <row r="5711" spans="5:13">
      <c r="E5711" s="852"/>
      <c r="F5711" s="852"/>
      <c r="G5711" s="852"/>
      <c r="H5711" s="852"/>
      <c r="I5711" s="852"/>
      <c r="J5711" s="852"/>
      <c r="K5711" s="852"/>
      <c r="L5711" s="852"/>
      <c r="M5711" s="852"/>
    </row>
    <row r="5712" spans="5:13">
      <c r="E5712" s="852"/>
      <c r="F5712" s="852"/>
      <c r="G5712" s="852"/>
      <c r="H5712" s="852"/>
      <c r="I5712" s="852"/>
      <c r="J5712" s="852"/>
      <c r="K5712" s="852"/>
      <c r="L5712" s="852"/>
      <c r="M5712" s="852"/>
    </row>
    <row r="5713" spans="5:13">
      <c r="E5713" s="852"/>
      <c r="F5713" s="852"/>
      <c r="G5713" s="852"/>
      <c r="H5713" s="852"/>
      <c r="I5713" s="852"/>
      <c r="J5713" s="852"/>
      <c r="K5713" s="852"/>
      <c r="L5713" s="852"/>
      <c r="M5713" s="852"/>
    </row>
    <row r="5714" spans="5:13">
      <c r="E5714" s="852"/>
      <c r="F5714" s="852"/>
      <c r="G5714" s="852"/>
      <c r="H5714" s="852"/>
      <c r="I5714" s="852"/>
      <c r="J5714" s="852"/>
      <c r="K5714" s="852"/>
      <c r="L5714" s="852"/>
      <c r="M5714" s="852"/>
    </row>
    <row r="5715" spans="5:13">
      <c r="E5715" s="852"/>
      <c r="F5715" s="852"/>
      <c r="G5715" s="852"/>
      <c r="H5715" s="852"/>
      <c r="I5715" s="852"/>
      <c r="J5715" s="852"/>
      <c r="K5715" s="852"/>
      <c r="L5715" s="852"/>
      <c r="M5715" s="852"/>
    </row>
    <row r="5716" spans="5:13">
      <c r="E5716" s="852"/>
      <c r="F5716" s="852"/>
      <c r="G5716" s="852"/>
      <c r="H5716" s="852"/>
      <c r="I5716" s="852"/>
      <c r="J5716" s="852"/>
      <c r="K5716" s="852"/>
      <c r="L5716" s="852"/>
      <c r="M5716" s="852"/>
    </row>
    <row r="5717" spans="5:13">
      <c r="E5717" s="852"/>
      <c r="F5717" s="852"/>
      <c r="G5717" s="852"/>
      <c r="H5717" s="852"/>
      <c r="I5717" s="852"/>
      <c r="J5717" s="852"/>
      <c r="K5717" s="852"/>
      <c r="L5717" s="852"/>
      <c r="M5717" s="852"/>
    </row>
    <row r="5718" spans="5:13">
      <c r="E5718" s="852"/>
      <c r="F5718" s="852"/>
      <c r="G5718" s="852"/>
      <c r="H5718" s="852"/>
      <c r="I5718" s="852"/>
      <c r="J5718" s="852"/>
      <c r="K5718" s="852"/>
      <c r="L5718" s="852"/>
      <c r="M5718" s="852"/>
    </row>
    <row r="5719" spans="5:13">
      <c r="E5719" s="852"/>
      <c r="F5719" s="852"/>
      <c r="G5719" s="852"/>
      <c r="H5719" s="852"/>
      <c r="I5719" s="852"/>
      <c r="J5719" s="852"/>
      <c r="K5719" s="852"/>
      <c r="L5719" s="852"/>
      <c r="M5719" s="852"/>
    </row>
    <row r="5720" spans="5:13">
      <c r="E5720" s="852"/>
      <c r="F5720" s="852"/>
      <c r="G5720" s="852"/>
      <c r="H5720" s="852"/>
      <c r="I5720" s="852"/>
      <c r="J5720" s="852"/>
      <c r="K5720" s="852"/>
      <c r="L5720" s="852"/>
      <c r="M5720" s="852"/>
    </row>
    <row r="5721" spans="5:13">
      <c r="E5721" s="852"/>
      <c r="F5721" s="852"/>
      <c r="G5721" s="852"/>
      <c r="H5721" s="852"/>
      <c r="I5721" s="852"/>
      <c r="J5721" s="852"/>
      <c r="K5721" s="852"/>
      <c r="L5721" s="852"/>
      <c r="M5721" s="852"/>
    </row>
    <row r="5722" spans="5:13">
      <c r="E5722" s="852"/>
      <c r="F5722" s="852"/>
      <c r="G5722" s="852"/>
      <c r="H5722" s="852"/>
      <c r="I5722" s="852"/>
      <c r="J5722" s="852"/>
      <c r="K5722" s="852"/>
      <c r="L5722" s="852"/>
      <c r="M5722" s="852"/>
    </row>
    <row r="5723" spans="5:13">
      <c r="E5723" s="852"/>
      <c r="F5723" s="852"/>
      <c r="G5723" s="852"/>
      <c r="H5723" s="852"/>
      <c r="I5723" s="852"/>
      <c r="J5723" s="852"/>
      <c r="K5723" s="852"/>
      <c r="L5723" s="852"/>
      <c r="M5723" s="852"/>
    </row>
    <row r="5724" spans="5:13">
      <c r="E5724" s="852"/>
      <c r="F5724" s="852"/>
      <c r="G5724" s="852"/>
      <c r="H5724" s="852"/>
      <c r="I5724" s="852"/>
      <c r="J5724" s="852"/>
      <c r="K5724" s="852"/>
      <c r="L5724" s="852"/>
      <c r="M5724" s="852"/>
    </row>
    <row r="5725" spans="5:13">
      <c r="E5725" s="852"/>
      <c r="F5725" s="852"/>
      <c r="G5725" s="852"/>
      <c r="H5725" s="852"/>
      <c r="I5725" s="852"/>
      <c r="J5725" s="852"/>
      <c r="K5725" s="852"/>
      <c r="L5725" s="852"/>
      <c r="M5725" s="852"/>
    </row>
    <row r="5726" spans="5:13">
      <c r="E5726" s="852"/>
      <c r="F5726" s="852"/>
      <c r="G5726" s="852"/>
      <c r="H5726" s="852"/>
      <c r="I5726" s="852"/>
      <c r="J5726" s="852"/>
      <c r="K5726" s="852"/>
      <c r="L5726" s="852"/>
      <c r="M5726" s="852"/>
    </row>
    <row r="5727" spans="5:13">
      <c r="E5727" s="852"/>
      <c r="F5727" s="852"/>
      <c r="G5727" s="852"/>
      <c r="H5727" s="852"/>
      <c r="I5727" s="852"/>
      <c r="J5727" s="852"/>
      <c r="K5727" s="852"/>
      <c r="L5727" s="852"/>
      <c r="M5727" s="852"/>
    </row>
    <row r="5728" spans="5:13">
      <c r="E5728" s="852"/>
      <c r="F5728" s="852"/>
      <c r="G5728" s="852"/>
      <c r="H5728" s="852"/>
      <c r="I5728" s="852"/>
      <c r="J5728" s="852"/>
      <c r="K5728" s="852"/>
      <c r="L5728" s="852"/>
      <c r="M5728" s="852"/>
    </row>
    <row r="5729" spans="5:13">
      <c r="E5729" s="852"/>
      <c r="F5729" s="852"/>
      <c r="G5729" s="852"/>
      <c r="H5729" s="852"/>
      <c r="I5729" s="852"/>
      <c r="J5729" s="852"/>
      <c r="K5729" s="852"/>
      <c r="L5729" s="852"/>
      <c r="M5729" s="852"/>
    </row>
    <row r="5730" spans="5:13">
      <c r="E5730" s="852"/>
      <c r="F5730" s="852"/>
      <c r="G5730" s="852"/>
      <c r="H5730" s="852"/>
      <c r="I5730" s="852"/>
      <c r="J5730" s="852"/>
      <c r="K5730" s="852"/>
      <c r="L5730" s="852"/>
      <c r="M5730" s="852"/>
    </row>
    <row r="5731" spans="5:13">
      <c r="E5731" s="852"/>
      <c r="F5731" s="852"/>
      <c r="G5731" s="852"/>
      <c r="H5731" s="852"/>
      <c r="I5731" s="852"/>
      <c r="J5731" s="852"/>
      <c r="K5731" s="852"/>
      <c r="L5731" s="852"/>
      <c r="M5731" s="852"/>
    </row>
    <row r="5732" spans="5:13">
      <c r="E5732" s="852"/>
      <c r="F5732" s="852"/>
      <c r="G5732" s="852"/>
      <c r="H5732" s="852"/>
      <c r="I5732" s="852"/>
      <c r="J5732" s="852"/>
      <c r="K5732" s="852"/>
      <c r="L5732" s="852"/>
      <c r="M5732" s="852"/>
    </row>
    <row r="5733" spans="5:13">
      <c r="E5733" s="852"/>
      <c r="F5733" s="852"/>
      <c r="G5733" s="852"/>
      <c r="H5733" s="852"/>
      <c r="I5733" s="852"/>
      <c r="J5733" s="852"/>
      <c r="K5733" s="852"/>
      <c r="L5733" s="852"/>
      <c r="M5733" s="852"/>
    </row>
    <row r="5734" spans="5:13">
      <c r="E5734" s="852"/>
      <c r="F5734" s="852"/>
      <c r="G5734" s="852"/>
      <c r="H5734" s="852"/>
      <c r="I5734" s="852"/>
      <c r="J5734" s="852"/>
      <c r="K5734" s="852"/>
      <c r="L5734" s="852"/>
      <c r="M5734" s="852"/>
    </row>
    <row r="5735" spans="5:13">
      <c r="E5735" s="852"/>
      <c r="F5735" s="852"/>
      <c r="G5735" s="852"/>
      <c r="H5735" s="852"/>
      <c r="I5735" s="852"/>
      <c r="J5735" s="852"/>
      <c r="K5735" s="852"/>
      <c r="L5735" s="852"/>
      <c r="M5735" s="852"/>
    </row>
    <row r="5736" spans="5:13">
      <c r="E5736" s="852"/>
      <c r="F5736" s="852"/>
      <c r="G5736" s="852"/>
      <c r="H5736" s="852"/>
      <c r="I5736" s="852"/>
      <c r="J5736" s="852"/>
      <c r="K5736" s="852"/>
      <c r="L5736" s="852"/>
      <c r="M5736" s="852"/>
    </row>
    <row r="5737" spans="5:13">
      <c r="E5737" s="852"/>
      <c r="F5737" s="852"/>
      <c r="G5737" s="852"/>
      <c r="H5737" s="852"/>
      <c r="I5737" s="852"/>
      <c r="J5737" s="852"/>
      <c r="K5737" s="852"/>
      <c r="L5737" s="852"/>
      <c r="M5737" s="852"/>
    </row>
    <row r="5738" spans="5:13">
      <c r="E5738" s="852"/>
      <c r="F5738" s="852"/>
      <c r="G5738" s="852"/>
      <c r="H5738" s="852"/>
      <c r="I5738" s="852"/>
      <c r="J5738" s="852"/>
      <c r="K5738" s="852"/>
      <c r="L5738" s="852"/>
      <c r="M5738" s="852"/>
    </row>
    <row r="5739" spans="5:13">
      <c r="E5739" s="852"/>
      <c r="F5739" s="852"/>
      <c r="G5739" s="852"/>
      <c r="H5739" s="852"/>
      <c r="I5739" s="852"/>
      <c r="J5739" s="852"/>
      <c r="K5739" s="852"/>
      <c r="L5739" s="852"/>
      <c r="M5739" s="852"/>
    </row>
    <row r="5740" spans="5:13">
      <c r="E5740" s="852"/>
      <c r="F5740" s="852"/>
      <c r="G5740" s="852"/>
      <c r="H5740" s="852"/>
      <c r="I5740" s="852"/>
      <c r="J5740" s="852"/>
      <c r="K5740" s="852"/>
      <c r="L5740" s="852"/>
      <c r="M5740" s="852"/>
    </row>
    <row r="5741" spans="5:13">
      <c r="E5741" s="852"/>
      <c r="F5741" s="852"/>
      <c r="G5741" s="852"/>
      <c r="H5741" s="852"/>
      <c r="I5741" s="852"/>
      <c r="J5741" s="852"/>
      <c r="K5741" s="852"/>
      <c r="L5741" s="852"/>
      <c r="M5741" s="852"/>
    </row>
    <row r="5742" spans="5:13">
      <c r="E5742" s="852"/>
      <c r="F5742" s="852"/>
      <c r="G5742" s="852"/>
      <c r="H5742" s="852"/>
      <c r="I5742" s="852"/>
      <c r="J5742" s="852"/>
      <c r="K5742" s="852"/>
      <c r="L5742" s="852"/>
      <c r="M5742" s="852"/>
    </row>
    <row r="5743" spans="5:13">
      <c r="E5743" s="852"/>
      <c r="F5743" s="852"/>
      <c r="G5743" s="852"/>
      <c r="H5743" s="852"/>
      <c r="I5743" s="852"/>
      <c r="J5743" s="852"/>
      <c r="K5743" s="852"/>
      <c r="L5743" s="852"/>
      <c r="M5743" s="852"/>
    </row>
    <row r="5744" spans="5:13">
      <c r="E5744" s="852"/>
      <c r="F5744" s="852"/>
      <c r="G5744" s="852"/>
      <c r="H5744" s="852"/>
      <c r="I5744" s="852"/>
      <c r="J5744" s="852"/>
      <c r="K5744" s="852"/>
      <c r="L5744" s="852"/>
      <c r="M5744" s="852"/>
    </row>
    <row r="5745" spans="5:13">
      <c r="E5745" s="852"/>
      <c r="F5745" s="852"/>
      <c r="G5745" s="852"/>
      <c r="H5745" s="852"/>
      <c r="I5745" s="852"/>
      <c r="J5745" s="852"/>
      <c r="K5745" s="852"/>
      <c r="L5745" s="852"/>
      <c r="M5745" s="852"/>
    </row>
    <row r="5746" spans="5:13">
      <c r="E5746" s="852"/>
      <c r="F5746" s="852"/>
      <c r="G5746" s="852"/>
      <c r="H5746" s="852"/>
      <c r="I5746" s="852"/>
      <c r="J5746" s="852"/>
      <c r="K5746" s="852"/>
      <c r="L5746" s="852"/>
      <c r="M5746" s="852"/>
    </row>
    <row r="5747" spans="5:13">
      <c r="E5747" s="852"/>
      <c r="F5747" s="852"/>
      <c r="G5747" s="852"/>
      <c r="H5747" s="852"/>
      <c r="I5747" s="852"/>
      <c r="J5747" s="852"/>
      <c r="K5747" s="852"/>
      <c r="L5747" s="852"/>
      <c r="M5747" s="852"/>
    </row>
    <row r="5748" spans="5:13">
      <c r="E5748" s="852"/>
      <c r="F5748" s="852"/>
      <c r="G5748" s="852"/>
      <c r="H5748" s="852"/>
      <c r="I5748" s="852"/>
      <c r="J5748" s="852"/>
      <c r="K5748" s="852"/>
      <c r="L5748" s="852"/>
      <c r="M5748" s="852"/>
    </row>
    <row r="5749" spans="5:13">
      <c r="E5749" s="852"/>
      <c r="F5749" s="852"/>
      <c r="G5749" s="852"/>
      <c r="H5749" s="852"/>
      <c r="I5749" s="852"/>
      <c r="J5749" s="852"/>
      <c r="K5749" s="852"/>
      <c r="L5749" s="852"/>
      <c r="M5749" s="852"/>
    </row>
    <row r="5750" spans="5:13">
      <c r="E5750" s="852"/>
      <c r="F5750" s="852"/>
      <c r="G5750" s="852"/>
      <c r="H5750" s="852"/>
      <c r="I5750" s="852"/>
      <c r="J5750" s="852"/>
      <c r="K5750" s="852"/>
      <c r="L5750" s="852"/>
      <c r="M5750" s="852"/>
    </row>
    <row r="5751" spans="5:13">
      <c r="E5751" s="852"/>
      <c r="F5751" s="852"/>
      <c r="G5751" s="852"/>
      <c r="H5751" s="852"/>
      <c r="I5751" s="852"/>
      <c r="J5751" s="852"/>
      <c r="K5751" s="852"/>
      <c r="L5751" s="852"/>
      <c r="M5751" s="852"/>
    </row>
    <row r="5752" spans="5:13">
      <c r="E5752" s="852"/>
      <c r="F5752" s="852"/>
      <c r="G5752" s="852"/>
      <c r="H5752" s="852"/>
      <c r="I5752" s="852"/>
      <c r="J5752" s="852"/>
      <c r="K5752" s="852"/>
      <c r="L5752" s="852"/>
      <c r="M5752" s="852"/>
    </row>
    <row r="5753" spans="5:13">
      <c r="E5753" s="852"/>
      <c r="F5753" s="852"/>
      <c r="G5753" s="852"/>
      <c r="H5753" s="852"/>
      <c r="I5753" s="852"/>
      <c r="J5753" s="852"/>
      <c r="K5753" s="852"/>
      <c r="L5753" s="852"/>
      <c r="M5753" s="852"/>
    </row>
    <row r="5754" spans="5:13">
      <c r="E5754" s="852"/>
      <c r="F5754" s="852"/>
      <c r="G5754" s="852"/>
      <c r="H5754" s="852"/>
      <c r="I5754" s="852"/>
      <c r="J5754" s="852"/>
      <c r="K5754" s="852"/>
      <c r="L5754" s="852"/>
      <c r="M5754" s="852"/>
    </row>
    <row r="5755" spans="5:13">
      <c r="E5755" s="852"/>
      <c r="F5755" s="852"/>
      <c r="G5755" s="852"/>
      <c r="H5755" s="852"/>
      <c r="I5755" s="852"/>
      <c r="J5755" s="852"/>
      <c r="K5755" s="852"/>
      <c r="L5755" s="852"/>
      <c r="M5755" s="852"/>
    </row>
    <row r="5756" spans="5:13">
      <c r="E5756" s="852"/>
      <c r="F5756" s="852"/>
      <c r="G5756" s="852"/>
      <c r="H5756" s="852"/>
      <c r="I5756" s="852"/>
      <c r="J5756" s="852"/>
      <c r="K5756" s="852"/>
      <c r="L5756" s="852"/>
      <c r="M5756" s="852"/>
    </row>
    <row r="5757" spans="5:13">
      <c r="E5757" s="852"/>
      <c r="F5757" s="852"/>
      <c r="G5757" s="852"/>
      <c r="H5757" s="852"/>
      <c r="I5757" s="852"/>
      <c r="J5757" s="852"/>
      <c r="K5757" s="852"/>
      <c r="L5757" s="852"/>
      <c r="M5757" s="852"/>
    </row>
    <row r="5758" spans="5:13">
      <c r="E5758" s="852"/>
      <c r="F5758" s="852"/>
      <c r="G5758" s="852"/>
      <c r="H5758" s="852"/>
      <c r="I5758" s="852"/>
      <c r="J5758" s="852"/>
      <c r="K5758" s="852"/>
      <c r="L5758" s="852"/>
      <c r="M5758" s="852"/>
    </row>
    <row r="5759" spans="5:13">
      <c r="E5759" s="852"/>
      <c r="F5759" s="852"/>
      <c r="G5759" s="852"/>
      <c r="H5759" s="852"/>
      <c r="I5759" s="852"/>
      <c r="J5759" s="852"/>
      <c r="K5759" s="852"/>
      <c r="L5759" s="852"/>
      <c r="M5759" s="852"/>
    </row>
    <row r="5760" spans="5:13">
      <c r="E5760" s="852"/>
      <c r="F5760" s="852"/>
      <c r="G5760" s="852"/>
      <c r="H5760" s="852"/>
      <c r="I5760" s="852"/>
      <c r="J5760" s="852"/>
      <c r="K5760" s="852"/>
      <c r="L5760" s="852"/>
      <c r="M5760" s="852"/>
    </row>
    <row r="5761" spans="5:13">
      <c r="E5761" s="852"/>
      <c r="F5761" s="852"/>
      <c r="G5761" s="852"/>
      <c r="H5761" s="852"/>
      <c r="I5761" s="852"/>
      <c r="J5761" s="852"/>
      <c r="K5761" s="852"/>
      <c r="L5761" s="852"/>
      <c r="M5761" s="852"/>
    </row>
    <row r="5762" spans="5:13">
      <c r="E5762" s="852"/>
      <c r="F5762" s="852"/>
      <c r="G5762" s="852"/>
      <c r="H5762" s="852"/>
      <c r="I5762" s="852"/>
      <c r="J5762" s="852"/>
      <c r="K5762" s="852"/>
      <c r="L5762" s="852"/>
      <c r="M5762" s="852"/>
    </row>
    <row r="5763" spans="5:13">
      <c r="E5763" s="852"/>
      <c r="F5763" s="852"/>
      <c r="G5763" s="852"/>
      <c r="H5763" s="852"/>
      <c r="I5763" s="852"/>
      <c r="J5763" s="852"/>
      <c r="K5763" s="852"/>
      <c r="L5763" s="852"/>
      <c r="M5763" s="852"/>
    </row>
    <row r="5764" spans="5:13">
      <c r="E5764" s="852"/>
      <c r="F5764" s="852"/>
      <c r="G5764" s="852"/>
      <c r="H5764" s="852"/>
      <c r="I5764" s="852"/>
      <c r="J5764" s="852"/>
      <c r="K5764" s="852"/>
      <c r="L5764" s="852"/>
      <c r="M5764" s="852"/>
    </row>
    <row r="5765" spans="5:13">
      <c r="E5765" s="852"/>
      <c r="F5765" s="852"/>
      <c r="G5765" s="852"/>
      <c r="H5765" s="852"/>
      <c r="I5765" s="852"/>
      <c r="J5765" s="852"/>
      <c r="K5765" s="852"/>
      <c r="L5765" s="852"/>
      <c r="M5765" s="852"/>
    </row>
    <row r="5766" spans="5:13">
      <c r="E5766" s="852"/>
      <c r="F5766" s="852"/>
      <c r="G5766" s="852"/>
      <c r="H5766" s="852"/>
      <c r="I5766" s="852"/>
      <c r="J5766" s="852"/>
      <c r="K5766" s="852"/>
      <c r="L5766" s="852"/>
      <c r="M5766" s="852"/>
    </row>
    <row r="5767" spans="5:13">
      <c r="E5767" s="852"/>
      <c r="F5767" s="852"/>
      <c r="G5767" s="852"/>
      <c r="H5767" s="852"/>
      <c r="I5767" s="852"/>
      <c r="J5767" s="852"/>
      <c r="K5767" s="852"/>
      <c r="L5767" s="852"/>
      <c r="M5767" s="852"/>
    </row>
    <row r="5768" spans="5:13">
      <c r="E5768" s="852"/>
      <c r="F5768" s="852"/>
      <c r="G5768" s="852"/>
      <c r="H5768" s="852"/>
      <c r="I5768" s="852"/>
      <c r="J5768" s="852"/>
      <c r="K5768" s="852"/>
      <c r="L5768" s="852"/>
      <c r="M5768" s="852"/>
    </row>
    <row r="5769" spans="5:13">
      <c r="E5769" s="852"/>
      <c r="F5769" s="852"/>
      <c r="G5769" s="852"/>
      <c r="H5769" s="852"/>
      <c r="I5769" s="852"/>
      <c r="J5769" s="852"/>
      <c r="K5769" s="852"/>
      <c r="L5769" s="852"/>
      <c r="M5769" s="852"/>
    </row>
    <row r="5770" spans="5:13">
      <c r="E5770" s="852"/>
      <c r="F5770" s="852"/>
      <c r="G5770" s="852"/>
      <c r="H5770" s="852"/>
      <c r="I5770" s="852"/>
      <c r="J5770" s="852"/>
      <c r="K5770" s="852"/>
      <c r="L5770" s="852"/>
      <c r="M5770" s="852"/>
    </row>
    <row r="5771" spans="5:13">
      <c r="E5771" s="852"/>
      <c r="F5771" s="852"/>
      <c r="G5771" s="852"/>
      <c r="H5771" s="852"/>
      <c r="I5771" s="852"/>
      <c r="J5771" s="852"/>
      <c r="K5771" s="852"/>
      <c r="L5771" s="852"/>
      <c r="M5771" s="852"/>
    </row>
    <row r="5772" spans="5:13">
      <c r="E5772" s="852"/>
      <c r="F5772" s="852"/>
      <c r="G5772" s="852"/>
      <c r="H5772" s="852"/>
      <c r="I5772" s="852"/>
      <c r="J5772" s="852"/>
      <c r="K5772" s="852"/>
      <c r="L5772" s="852"/>
      <c r="M5772" s="852"/>
    </row>
    <row r="5773" spans="5:13">
      <c r="E5773" s="852"/>
      <c r="F5773" s="852"/>
      <c r="G5773" s="852"/>
      <c r="H5773" s="852"/>
      <c r="I5773" s="852"/>
      <c r="J5773" s="852"/>
      <c r="K5773" s="852"/>
      <c r="L5773" s="852"/>
      <c r="M5773" s="852"/>
    </row>
    <row r="5774" spans="5:13">
      <c r="E5774" s="852"/>
      <c r="F5774" s="852"/>
      <c r="G5774" s="852"/>
      <c r="H5774" s="852"/>
      <c r="I5774" s="852"/>
      <c r="J5774" s="852"/>
      <c r="K5774" s="852"/>
      <c r="L5774" s="852"/>
      <c r="M5774" s="852"/>
    </row>
    <row r="5775" spans="5:13">
      <c r="E5775" s="852"/>
      <c r="F5775" s="852"/>
      <c r="G5775" s="852"/>
      <c r="H5775" s="852"/>
      <c r="I5775" s="852"/>
      <c r="J5775" s="852"/>
      <c r="K5775" s="852"/>
      <c r="L5775" s="852"/>
      <c r="M5775" s="852"/>
    </row>
    <row r="5776" spans="5:13">
      <c r="E5776" s="852"/>
      <c r="F5776" s="852"/>
      <c r="G5776" s="852"/>
      <c r="H5776" s="852"/>
      <c r="I5776" s="852"/>
      <c r="J5776" s="852"/>
      <c r="K5776" s="852"/>
      <c r="L5776" s="852"/>
      <c r="M5776" s="852"/>
    </row>
    <row r="5777" spans="5:13">
      <c r="E5777" s="852"/>
      <c r="F5777" s="852"/>
      <c r="G5777" s="852"/>
      <c r="H5777" s="852"/>
      <c r="I5777" s="852"/>
      <c r="J5777" s="852"/>
      <c r="K5777" s="852"/>
      <c r="L5777" s="852"/>
      <c r="M5777" s="852"/>
    </row>
    <row r="5778" spans="5:13">
      <c r="E5778" s="852"/>
      <c r="F5778" s="852"/>
      <c r="G5778" s="852"/>
      <c r="H5778" s="852"/>
      <c r="I5778" s="852"/>
      <c r="J5778" s="852"/>
      <c r="K5778" s="852"/>
      <c r="L5778" s="852"/>
      <c r="M5778" s="852"/>
    </row>
    <row r="5779" spans="5:13">
      <c r="E5779" s="852"/>
      <c r="F5779" s="852"/>
      <c r="G5779" s="852"/>
      <c r="H5779" s="852"/>
      <c r="I5779" s="852"/>
      <c r="J5779" s="852"/>
      <c r="K5779" s="852"/>
      <c r="L5779" s="852"/>
      <c r="M5779" s="852"/>
    </row>
    <row r="5780" spans="5:13">
      <c r="E5780" s="852"/>
      <c r="F5780" s="852"/>
      <c r="G5780" s="852"/>
      <c r="H5780" s="852"/>
      <c r="I5780" s="852"/>
      <c r="J5780" s="852"/>
      <c r="K5780" s="852"/>
      <c r="L5780" s="852"/>
      <c r="M5780" s="852"/>
    </row>
    <row r="5781" spans="5:13">
      <c r="E5781" s="852"/>
      <c r="F5781" s="852"/>
      <c r="G5781" s="852"/>
      <c r="H5781" s="852"/>
      <c r="I5781" s="852"/>
      <c r="J5781" s="852"/>
      <c r="K5781" s="852"/>
      <c r="L5781" s="852"/>
      <c r="M5781" s="852"/>
    </row>
    <row r="5782" spans="5:13">
      <c r="E5782" s="852"/>
      <c r="F5782" s="852"/>
      <c r="G5782" s="852"/>
      <c r="H5782" s="852"/>
      <c r="I5782" s="852"/>
      <c r="J5782" s="852"/>
      <c r="K5782" s="852"/>
      <c r="L5782" s="852"/>
      <c r="M5782" s="852"/>
    </row>
    <row r="5783" spans="5:13">
      <c r="E5783" s="852"/>
      <c r="F5783" s="852"/>
      <c r="G5783" s="852"/>
      <c r="H5783" s="852"/>
      <c r="I5783" s="852"/>
      <c r="J5783" s="852"/>
      <c r="K5783" s="852"/>
      <c r="L5783" s="852"/>
      <c r="M5783" s="852"/>
    </row>
    <row r="5784" spans="5:13">
      <c r="E5784" s="852"/>
      <c r="F5784" s="852"/>
      <c r="G5784" s="852"/>
      <c r="H5784" s="852"/>
      <c r="I5784" s="852"/>
      <c r="J5784" s="852"/>
      <c r="K5784" s="852"/>
      <c r="L5784" s="852"/>
      <c r="M5784" s="852"/>
    </row>
    <row r="5785" spans="5:13">
      <c r="E5785" s="852"/>
      <c r="F5785" s="852"/>
      <c r="G5785" s="852"/>
      <c r="H5785" s="852"/>
      <c r="I5785" s="852"/>
      <c r="J5785" s="852"/>
      <c r="K5785" s="852"/>
      <c r="L5785" s="852"/>
      <c r="M5785" s="852"/>
    </row>
    <row r="5786" spans="5:13">
      <c r="E5786" s="852"/>
      <c r="F5786" s="852"/>
      <c r="G5786" s="852"/>
      <c r="H5786" s="852"/>
      <c r="I5786" s="852"/>
      <c r="J5786" s="852"/>
      <c r="K5786" s="852"/>
      <c r="L5786" s="852"/>
      <c r="M5786" s="852"/>
    </row>
    <row r="5787" spans="5:13">
      <c r="E5787" s="852"/>
      <c r="F5787" s="852"/>
      <c r="G5787" s="852"/>
      <c r="H5787" s="852"/>
      <c r="I5787" s="852"/>
      <c r="J5787" s="852"/>
      <c r="K5787" s="852"/>
      <c r="L5787" s="852"/>
      <c r="M5787" s="852"/>
    </row>
    <row r="5788" spans="5:13">
      <c r="E5788" s="852"/>
      <c r="F5788" s="852"/>
      <c r="G5788" s="852"/>
      <c r="H5788" s="852"/>
      <c r="I5788" s="852"/>
      <c r="J5788" s="852"/>
      <c r="K5788" s="852"/>
      <c r="L5788" s="852"/>
      <c r="M5788" s="852"/>
    </row>
    <row r="5789" spans="5:13">
      <c r="E5789" s="852"/>
      <c r="F5789" s="852"/>
      <c r="G5789" s="852"/>
      <c r="H5789" s="852"/>
      <c r="I5789" s="852"/>
      <c r="J5789" s="852"/>
      <c r="K5789" s="852"/>
      <c r="L5789" s="852"/>
      <c r="M5789" s="852"/>
    </row>
    <row r="5790" spans="5:13">
      <c r="E5790" s="852"/>
      <c r="F5790" s="852"/>
      <c r="G5790" s="852"/>
      <c r="H5790" s="852"/>
      <c r="I5790" s="852"/>
      <c r="J5790" s="852"/>
      <c r="K5790" s="852"/>
      <c r="L5790" s="852"/>
      <c r="M5790" s="852"/>
    </row>
    <row r="5791" spans="5:13">
      <c r="E5791" s="852"/>
      <c r="F5791" s="852"/>
      <c r="G5791" s="852"/>
      <c r="H5791" s="852"/>
      <c r="I5791" s="852"/>
      <c r="J5791" s="852"/>
      <c r="K5791" s="852"/>
      <c r="L5791" s="852"/>
      <c r="M5791" s="852"/>
    </row>
    <row r="5792" spans="5:13">
      <c r="E5792" s="852"/>
      <c r="F5792" s="852"/>
      <c r="G5792" s="852"/>
      <c r="H5792" s="852"/>
      <c r="I5792" s="852"/>
      <c r="J5792" s="852"/>
      <c r="K5792" s="852"/>
      <c r="L5792" s="852"/>
      <c r="M5792" s="852"/>
    </row>
    <row r="5793" spans="5:13">
      <c r="E5793" s="852"/>
      <c r="F5793" s="852"/>
      <c r="G5793" s="852"/>
      <c r="H5793" s="852"/>
      <c r="I5793" s="852"/>
      <c r="J5793" s="852"/>
      <c r="K5793" s="852"/>
      <c r="L5793" s="852"/>
      <c r="M5793" s="852"/>
    </row>
    <row r="5794" spans="5:13">
      <c r="E5794" s="852"/>
      <c r="F5794" s="852"/>
      <c r="G5794" s="852"/>
      <c r="H5794" s="852"/>
      <c r="I5794" s="852"/>
      <c r="J5794" s="852"/>
      <c r="K5794" s="852"/>
      <c r="L5794" s="852"/>
      <c r="M5794" s="852"/>
    </row>
    <row r="5795" spans="5:13">
      <c r="E5795" s="852"/>
      <c r="F5795" s="852"/>
      <c r="G5795" s="852"/>
      <c r="H5795" s="852"/>
      <c r="I5795" s="852"/>
      <c r="J5795" s="852"/>
      <c r="K5795" s="852"/>
      <c r="L5795" s="852"/>
      <c r="M5795" s="852"/>
    </row>
    <row r="5796" spans="5:13">
      <c r="E5796" s="852"/>
      <c r="F5796" s="852"/>
      <c r="G5796" s="852"/>
      <c r="H5796" s="852"/>
      <c r="I5796" s="852"/>
      <c r="J5796" s="852"/>
      <c r="K5796" s="852"/>
      <c r="L5796" s="852"/>
      <c r="M5796" s="852"/>
    </row>
    <row r="5797" spans="5:13">
      <c r="E5797" s="852"/>
      <c r="F5797" s="852"/>
      <c r="G5797" s="852"/>
      <c r="H5797" s="852"/>
      <c r="I5797" s="852"/>
      <c r="J5797" s="852"/>
      <c r="K5797" s="852"/>
      <c r="L5797" s="852"/>
      <c r="M5797" s="852"/>
    </row>
    <row r="5798" spans="5:13">
      <c r="E5798" s="852"/>
      <c r="F5798" s="852"/>
      <c r="G5798" s="852"/>
      <c r="H5798" s="852"/>
      <c r="I5798" s="852"/>
      <c r="J5798" s="852"/>
      <c r="K5798" s="852"/>
      <c r="L5798" s="852"/>
      <c r="M5798" s="852"/>
    </row>
    <row r="5799" spans="5:13">
      <c r="E5799" s="852"/>
      <c r="F5799" s="852"/>
      <c r="G5799" s="852"/>
      <c r="H5799" s="852"/>
      <c r="I5799" s="852"/>
      <c r="J5799" s="852"/>
      <c r="K5799" s="852"/>
      <c r="L5799" s="852"/>
      <c r="M5799" s="852"/>
    </row>
    <row r="5800" spans="5:13">
      <c r="E5800" s="852"/>
      <c r="F5800" s="852"/>
      <c r="G5800" s="852"/>
      <c r="H5800" s="852"/>
      <c r="I5800" s="852"/>
      <c r="J5800" s="852"/>
      <c r="K5800" s="852"/>
      <c r="L5800" s="852"/>
      <c r="M5800" s="852"/>
    </row>
    <row r="5801" spans="5:13">
      <c r="E5801" s="852"/>
      <c r="F5801" s="852"/>
      <c r="G5801" s="852"/>
      <c r="H5801" s="852"/>
      <c r="I5801" s="852"/>
      <c r="J5801" s="852"/>
      <c r="K5801" s="852"/>
      <c r="L5801" s="852"/>
      <c r="M5801" s="852"/>
    </row>
    <row r="5802" spans="5:13">
      <c r="E5802" s="852"/>
      <c r="F5802" s="852"/>
      <c r="G5802" s="852"/>
      <c r="H5802" s="852"/>
      <c r="I5802" s="852"/>
      <c r="J5802" s="852"/>
      <c r="K5802" s="852"/>
      <c r="L5802" s="852"/>
      <c r="M5802" s="852"/>
    </row>
    <row r="5803" spans="5:13">
      <c r="E5803" s="852"/>
      <c r="F5803" s="852"/>
      <c r="G5803" s="852"/>
      <c r="H5803" s="852"/>
      <c r="I5803" s="852"/>
      <c r="J5803" s="852"/>
      <c r="K5803" s="852"/>
      <c r="L5803" s="852"/>
      <c r="M5803" s="852"/>
    </row>
    <row r="5804" spans="5:13">
      <c r="E5804" s="852"/>
      <c r="F5804" s="852"/>
      <c r="G5804" s="852"/>
      <c r="H5804" s="852"/>
      <c r="I5804" s="852"/>
      <c r="J5804" s="852"/>
      <c r="K5804" s="852"/>
      <c r="L5804" s="852"/>
      <c r="M5804" s="852"/>
    </row>
    <row r="5805" spans="5:13">
      <c r="E5805" s="852"/>
      <c r="F5805" s="852"/>
      <c r="G5805" s="852"/>
      <c r="H5805" s="852"/>
      <c r="I5805" s="852"/>
      <c r="J5805" s="852"/>
      <c r="K5805" s="852"/>
      <c r="L5805" s="852"/>
      <c r="M5805" s="852"/>
    </row>
    <row r="5806" spans="5:13">
      <c r="E5806" s="852"/>
      <c r="F5806" s="852"/>
      <c r="G5806" s="852"/>
      <c r="H5806" s="852"/>
      <c r="I5806" s="852"/>
      <c r="J5806" s="852"/>
      <c r="K5806" s="852"/>
      <c r="L5806" s="852"/>
      <c r="M5806" s="852"/>
    </row>
    <row r="5807" spans="5:13">
      <c r="E5807" s="852"/>
      <c r="F5807" s="852"/>
      <c r="G5807" s="852"/>
      <c r="H5807" s="852"/>
      <c r="I5807" s="852"/>
      <c r="J5807" s="852"/>
      <c r="K5807" s="852"/>
      <c r="L5807" s="852"/>
      <c r="M5807" s="852"/>
    </row>
    <row r="5808" spans="5:13">
      <c r="E5808" s="852"/>
      <c r="F5808" s="852"/>
      <c r="G5808" s="852"/>
      <c r="H5808" s="852"/>
      <c r="I5808" s="852"/>
      <c r="J5808" s="852"/>
      <c r="K5808" s="852"/>
      <c r="L5808" s="852"/>
      <c r="M5808" s="852"/>
    </row>
    <row r="5809" spans="5:13">
      <c r="E5809" s="852"/>
      <c r="F5809" s="852"/>
      <c r="G5809" s="852"/>
      <c r="H5809" s="852"/>
      <c r="I5809" s="852"/>
      <c r="J5809" s="852"/>
      <c r="K5809" s="852"/>
      <c r="L5809" s="852"/>
      <c r="M5809" s="852"/>
    </row>
    <row r="5810" spans="5:13">
      <c r="E5810" s="852"/>
      <c r="F5810" s="852"/>
      <c r="G5810" s="852"/>
      <c r="H5810" s="852"/>
      <c r="I5810" s="852"/>
      <c r="J5810" s="852"/>
      <c r="K5810" s="852"/>
      <c r="L5810" s="852"/>
      <c r="M5810" s="852"/>
    </row>
    <row r="5811" spans="5:13">
      <c r="E5811" s="852"/>
      <c r="F5811" s="852"/>
      <c r="G5811" s="852"/>
      <c r="H5811" s="852"/>
      <c r="I5811" s="852"/>
      <c r="J5811" s="852"/>
      <c r="K5811" s="852"/>
      <c r="L5811" s="852"/>
      <c r="M5811" s="852"/>
    </row>
    <row r="5812" spans="5:13">
      <c r="E5812" s="852"/>
      <c r="F5812" s="852"/>
      <c r="G5812" s="852"/>
      <c r="H5812" s="852"/>
      <c r="I5812" s="852"/>
      <c r="J5812" s="852"/>
      <c r="K5812" s="852"/>
      <c r="L5812" s="852"/>
      <c r="M5812" s="852"/>
    </row>
    <row r="5813" spans="5:13">
      <c r="E5813" s="852"/>
      <c r="F5813" s="852"/>
      <c r="G5813" s="852"/>
      <c r="H5813" s="852"/>
      <c r="I5813" s="852"/>
      <c r="J5813" s="852"/>
      <c r="K5813" s="852"/>
      <c r="L5813" s="852"/>
      <c r="M5813" s="852"/>
    </row>
    <row r="5814" spans="5:13">
      <c r="E5814" s="852"/>
      <c r="F5814" s="852"/>
      <c r="G5814" s="852"/>
      <c r="H5814" s="852"/>
      <c r="I5814" s="852"/>
      <c r="J5814" s="852"/>
      <c r="K5814" s="852"/>
      <c r="L5814" s="852"/>
      <c r="M5814" s="852"/>
    </row>
    <row r="5815" spans="5:13">
      <c r="E5815" s="852"/>
      <c r="F5815" s="852"/>
      <c r="G5815" s="852"/>
      <c r="H5815" s="852"/>
      <c r="I5815" s="852"/>
      <c r="J5815" s="852"/>
      <c r="K5815" s="852"/>
      <c r="L5815" s="852"/>
      <c r="M5815" s="852"/>
    </row>
    <row r="5816" spans="5:13">
      <c r="E5816" s="852"/>
      <c r="F5816" s="852"/>
      <c r="G5816" s="852"/>
      <c r="H5816" s="852"/>
      <c r="I5816" s="852"/>
      <c r="J5816" s="852"/>
      <c r="K5816" s="852"/>
      <c r="L5816" s="852"/>
      <c r="M5816" s="852"/>
    </row>
    <row r="5817" spans="5:13">
      <c r="E5817" s="852"/>
      <c r="F5817" s="852"/>
      <c r="G5817" s="852"/>
      <c r="H5817" s="852"/>
      <c r="I5817" s="852"/>
      <c r="J5817" s="852"/>
      <c r="K5817" s="852"/>
      <c r="L5817" s="852"/>
      <c r="M5817" s="852"/>
    </row>
    <row r="5818" spans="5:13">
      <c r="E5818" s="852"/>
      <c r="F5818" s="852"/>
      <c r="G5818" s="852"/>
      <c r="H5818" s="852"/>
      <c r="I5818" s="852"/>
      <c r="J5818" s="852"/>
      <c r="K5818" s="852"/>
      <c r="L5818" s="852"/>
      <c r="M5818" s="852"/>
    </row>
    <row r="5819" spans="5:13">
      <c r="E5819" s="852"/>
      <c r="F5819" s="852"/>
      <c r="G5819" s="852"/>
      <c r="H5819" s="852"/>
      <c r="I5819" s="852"/>
      <c r="J5819" s="852"/>
      <c r="K5819" s="852"/>
      <c r="L5819" s="852"/>
      <c r="M5819" s="852"/>
    </row>
    <row r="5820" spans="5:13">
      <c r="E5820" s="852"/>
      <c r="F5820" s="852"/>
      <c r="G5820" s="852"/>
      <c r="H5820" s="852"/>
      <c r="I5820" s="852"/>
      <c r="J5820" s="852"/>
      <c r="K5820" s="852"/>
      <c r="L5820" s="852"/>
      <c r="M5820" s="852"/>
    </row>
    <row r="5821" spans="5:13">
      <c r="E5821" s="852"/>
      <c r="F5821" s="852"/>
      <c r="G5821" s="852"/>
      <c r="H5821" s="852"/>
      <c r="I5821" s="852"/>
      <c r="J5821" s="852"/>
      <c r="K5821" s="852"/>
      <c r="L5821" s="852"/>
      <c r="M5821" s="852"/>
    </row>
    <row r="5822" spans="5:13">
      <c r="E5822" s="852"/>
      <c r="F5822" s="852"/>
      <c r="G5822" s="852"/>
      <c r="H5822" s="852"/>
      <c r="I5822" s="852"/>
      <c r="J5822" s="852"/>
      <c r="K5822" s="852"/>
      <c r="L5822" s="852"/>
      <c r="M5822" s="852"/>
    </row>
    <row r="5823" spans="5:13">
      <c r="E5823" s="852"/>
      <c r="F5823" s="852"/>
      <c r="G5823" s="852"/>
      <c r="H5823" s="852"/>
      <c r="I5823" s="852"/>
      <c r="J5823" s="852"/>
      <c r="K5823" s="852"/>
      <c r="L5823" s="852"/>
      <c r="M5823" s="852"/>
    </row>
    <row r="5824" spans="5:13">
      <c r="E5824" s="852"/>
      <c r="F5824" s="852"/>
      <c r="G5824" s="852"/>
      <c r="H5824" s="852"/>
      <c r="I5824" s="852"/>
      <c r="J5824" s="852"/>
      <c r="K5824" s="852"/>
      <c r="L5824" s="852"/>
      <c r="M5824" s="852"/>
    </row>
    <row r="5825" spans="5:13">
      <c r="E5825" s="852"/>
      <c r="F5825" s="852"/>
      <c r="G5825" s="852"/>
      <c r="H5825" s="852"/>
      <c r="I5825" s="852"/>
      <c r="J5825" s="852"/>
      <c r="K5825" s="852"/>
      <c r="L5825" s="852"/>
      <c r="M5825" s="852"/>
    </row>
    <row r="5826" spans="5:13">
      <c r="E5826" s="852"/>
      <c r="F5826" s="852"/>
      <c r="G5826" s="852"/>
      <c r="H5826" s="852"/>
      <c r="I5826" s="852"/>
      <c r="J5826" s="852"/>
      <c r="K5826" s="852"/>
      <c r="L5826" s="852"/>
      <c r="M5826" s="852"/>
    </row>
    <row r="5827" spans="5:13">
      <c r="E5827" s="852"/>
      <c r="F5827" s="852"/>
      <c r="G5827" s="852"/>
      <c r="H5827" s="852"/>
      <c r="I5827" s="852"/>
      <c r="J5827" s="852"/>
      <c r="K5827" s="852"/>
      <c r="L5827" s="852"/>
      <c r="M5827" s="852"/>
    </row>
    <row r="5828" spans="5:13">
      <c r="E5828" s="852"/>
      <c r="F5828" s="852"/>
      <c r="G5828" s="852"/>
      <c r="H5828" s="852"/>
      <c r="I5828" s="852"/>
      <c r="J5828" s="852"/>
      <c r="K5828" s="852"/>
      <c r="L5828" s="852"/>
      <c r="M5828" s="852"/>
    </row>
    <row r="5829" spans="5:13">
      <c r="E5829" s="852"/>
      <c r="F5829" s="852"/>
      <c r="G5829" s="852"/>
      <c r="H5829" s="852"/>
      <c r="I5829" s="852"/>
      <c r="J5829" s="852"/>
      <c r="K5829" s="852"/>
      <c r="L5829" s="852"/>
      <c r="M5829" s="852"/>
    </row>
    <row r="5830" spans="5:13">
      <c r="E5830" s="852"/>
      <c r="F5830" s="852"/>
      <c r="G5830" s="852"/>
      <c r="H5830" s="852"/>
      <c r="I5830" s="852"/>
      <c r="J5830" s="852"/>
      <c r="K5830" s="852"/>
      <c r="L5830" s="852"/>
      <c r="M5830" s="852"/>
    </row>
    <row r="5831" spans="5:13">
      <c r="E5831" s="852"/>
      <c r="F5831" s="852"/>
      <c r="G5831" s="852"/>
      <c r="H5831" s="852"/>
      <c r="I5831" s="852"/>
      <c r="J5831" s="852"/>
      <c r="K5831" s="852"/>
      <c r="L5831" s="852"/>
      <c r="M5831" s="852"/>
    </row>
    <row r="5832" spans="5:13">
      <c r="E5832" s="852"/>
      <c r="F5832" s="852"/>
      <c r="G5832" s="852"/>
      <c r="H5832" s="852"/>
      <c r="I5832" s="852"/>
      <c r="J5832" s="852"/>
      <c r="K5832" s="852"/>
      <c r="L5832" s="852"/>
      <c r="M5832" s="852"/>
    </row>
    <row r="5833" spans="5:13">
      <c r="E5833" s="852"/>
      <c r="F5833" s="852"/>
      <c r="G5833" s="852"/>
      <c r="H5833" s="852"/>
      <c r="I5833" s="852"/>
      <c r="J5833" s="852"/>
      <c r="K5833" s="852"/>
      <c r="L5833" s="852"/>
      <c r="M5833" s="852"/>
    </row>
    <row r="5834" spans="5:13">
      <c r="E5834" s="852"/>
      <c r="F5834" s="852"/>
      <c r="G5834" s="852"/>
      <c r="H5834" s="852"/>
      <c r="I5834" s="852"/>
      <c r="J5834" s="852"/>
      <c r="K5834" s="852"/>
      <c r="L5834" s="852"/>
      <c r="M5834" s="852"/>
    </row>
    <row r="5835" spans="5:13">
      <c r="E5835" s="852"/>
      <c r="F5835" s="852"/>
      <c r="G5835" s="852"/>
      <c r="H5835" s="852"/>
      <c r="I5835" s="852"/>
      <c r="J5835" s="852"/>
      <c r="K5835" s="852"/>
      <c r="L5835" s="852"/>
      <c r="M5835" s="852"/>
    </row>
    <row r="5836" spans="5:13">
      <c r="E5836" s="852"/>
      <c r="F5836" s="852"/>
      <c r="G5836" s="852"/>
      <c r="H5836" s="852"/>
      <c r="I5836" s="852"/>
      <c r="J5836" s="852"/>
      <c r="K5836" s="852"/>
      <c r="L5836" s="852"/>
      <c r="M5836" s="852"/>
    </row>
    <row r="5837" spans="5:13">
      <c r="E5837" s="852"/>
      <c r="F5837" s="852"/>
      <c r="G5837" s="852"/>
      <c r="H5837" s="852"/>
      <c r="I5837" s="852"/>
      <c r="J5837" s="852"/>
      <c r="K5837" s="852"/>
      <c r="L5837" s="852"/>
      <c r="M5837" s="852"/>
    </row>
    <row r="5838" spans="5:13">
      <c r="E5838" s="852"/>
      <c r="F5838" s="852"/>
      <c r="G5838" s="852"/>
      <c r="H5838" s="852"/>
      <c r="I5838" s="852"/>
      <c r="J5838" s="852"/>
      <c r="K5838" s="852"/>
      <c r="L5838" s="852"/>
      <c r="M5838" s="852"/>
    </row>
    <row r="5839" spans="5:13">
      <c r="E5839" s="852"/>
      <c r="F5839" s="852"/>
      <c r="G5839" s="852"/>
      <c r="H5839" s="852"/>
      <c r="I5839" s="852"/>
      <c r="J5839" s="852"/>
      <c r="K5839" s="852"/>
      <c r="L5839" s="852"/>
      <c r="M5839" s="852"/>
    </row>
    <row r="5840" spans="5:13">
      <c r="E5840" s="852"/>
      <c r="F5840" s="852"/>
      <c r="G5840" s="852"/>
      <c r="H5840" s="852"/>
      <c r="I5840" s="852"/>
      <c r="J5840" s="852"/>
      <c r="K5840" s="852"/>
      <c r="L5840" s="852"/>
      <c r="M5840" s="852"/>
    </row>
    <row r="5841" spans="5:13">
      <c r="E5841" s="852"/>
      <c r="F5841" s="852"/>
      <c r="G5841" s="852"/>
      <c r="H5841" s="852"/>
      <c r="I5841" s="852"/>
      <c r="J5841" s="852"/>
      <c r="K5841" s="852"/>
      <c r="L5841" s="852"/>
      <c r="M5841" s="852"/>
    </row>
    <row r="5842" spans="5:13">
      <c r="E5842" s="852"/>
      <c r="F5842" s="852"/>
      <c r="G5842" s="852"/>
      <c r="H5842" s="852"/>
      <c r="I5842" s="852"/>
      <c r="J5842" s="852"/>
      <c r="K5842" s="852"/>
      <c r="L5842" s="852"/>
      <c r="M5842" s="852"/>
    </row>
    <row r="5843" spans="5:13">
      <c r="E5843" s="852"/>
      <c r="F5843" s="852"/>
      <c r="G5843" s="852"/>
      <c r="H5843" s="852"/>
      <c r="I5843" s="852"/>
      <c r="J5843" s="852"/>
      <c r="K5843" s="852"/>
      <c r="L5843" s="852"/>
      <c r="M5843" s="852"/>
    </row>
    <row r="5844" spans="5:13">
      <c r="E5844" s="852"/>
      <c r="F5844" s="852"/>
      <c r="G5844" s="852"/>
      <c r="H5844" s="852"/>
      <c r="I5844" s="852"/>
      <c r="J5844" s="852"/>
      <c r="K5844" s="852"/>
      <c r="L5844" s="852"/>
      <c r="M5844" s="852"/>
    </row>
    <row r="5845" spans="5:13">
      <c r="E5845" s="852"/>
      <c r="F5845" s="852"/>
      <c r="G5845" s="852"/>
      <c r="H5845" s="852"/>
      <c r="I5845" s="852"/>
      <c r="J5845" s="852"/>
      <c r="K5845" s="852"/>
      <c r="L5845" s="852"/>
      <c r="M5845" s="852"/>
    </row>
    <row r="5846" spans="5:13">
      <c r="E5846" s="852"/>
      <c r="F5846" s="852"/>
      <c r="G5846" s="852"/>
      <c r="H5846" s="852"/>
      <c r="I5846" s="852"/>
      <c r="J5846" s="852"/>
      <c r="K5846" s="852"/>
      <c r="L5846" s="852"/>
      <c r="M5846" s="852"/>
    </row>
    <row r="5847" spans="5:13">
      <c r="E5847" s="852"/>
      <c r="F5847" s="852"/>
      <c r="G5847" s="852"/>
      <c r="H5847" s="852"/>
      <c r="I5847" s="852"/>
      <c r="J5847" s="852"/>
      <c r="K5847" s="852"/>
      <c r="L5847" s="852"/>
      <c r="M5847" s="852"/>
    </row>
    <row r="5848" spans="5:13">
      <c r="E5848" s="852"/>
      <c r="F5848" s="852"/>
      <c r="G5848" s="852"/>
      <c r="H5848" s="852"/>
      <c r="I5848" s="852"/>
      <c r="J5848" s="852"/>
      <c r="K5848" s="852"/>
      <c r="L5848" s="852"/>
      <c r="M5848" s="852"/>
    </row>
    <row r="5849" spans="5:13">
      <c r="E5849" s="852"/>
      <c r="F5849" s="852"/>
      <c r="G5849" s="852"/>
      <c r="H5849" s="852"/>
      <c r="I5849" s="852"/>
      <c r="J5849" s="852"/>
      <c r="K5849" s="852"/>
      <c r="L5849" s="852"/>
      <c r="M5849" s="852"/>
    </row>
    <row r="5850" spans="5:13">
      <c r="E5850" s="852"/>
      <c r="F5850" s="852"/>
      <c r="G5850" s="852"/>
      <c r="H5850" s="852"/>
      <c r="I5850" s="852"/>
      <c r="J5850" s="852"/>
      <c r="K5850" s="852"/>
      <c r="L5850" s="852"/>
      <c r="M5850" s="852"/>
    </row>
    <row r="5851" spans="5:13">
      <c r="E5851" s="852"/>
      <c r="F5851" s="852"/>
      <c r="G5851" s="852"/>
      <c r="H5851" s="852"/>
      <c r="I5851" s="852"/>
      <c r="J5851" s="852"/>
      <c r="K5851" s="852"/>
      <c r="L5851" s="852"/>
      <c r="M5851" s="852"/>
    </row>
    <row r="5852" spans="5:13">
      <c r="E5852" s="852"/>
      <c r="F5852" s="852"/>
      <c r="G5852" s="852"/>
      <c r="H5852" s="852"/>
      <c r="I5852" s="852"/>
      <c r="J5852" s="852"/>
      <c r="K5852" s="852"/>
      <c r="L5852" s="852"/>
      <c r="M5852" s="852"/>
    </row>
    <row r="5853" spans="5:13">
      <c r="E5853" s="852"/>
      <c r="F5853" s="852"/>
      <c r="G5853" s="852"/>
      <c r="H5853" s="852"/>
      <c r="I5853" s="852"/>
      <c r="J5853" s="852"/>
      <c r="K5853" s="852"/>
      <c r="L5853" s="852"/>
      <c r="M5853" s="852"/>
    </row>
    <row r="5854" spans="5:13">
      <c r="E5854" s="852"/>
      <c r="F5854" s="852"/>
      <c r="G5854" s="852"/>
      <c r="H5854" s="852"/>
      <c r="I5854" s="852"/>
      <c r="J5854" s="852"/>
      <c r="K5854" s="852"/>
      <c r="L5854" s="852"/>
      <c r="M5854" s="852"/>
    </row>
    <row r="5855" spans="5:13">
      <c r="E5855" s="852"/>
      <c r="F5855" s="852"/>
      <c r="G5855" s="852"/>
      <c r="H5855" s="852"/>
      <c r="I5855" s="852"/>
      <c r="J5855" s="852"/>
      <c r="K5855" s="852"/>
      <c r="L5855" s="852"/>
      <c r="M5855" s="852"/>
    </row>
    <row r="5856" spans="5:13">
      <c r="E5856" s="852"/>
      <c r="F5856" s="852"/>
      <c r="G5856" s="852"/>
      <c r="H5856" s="852"/>
      <c r="I5856" s="852"/>
      <c r="J5856" s="852"/>
      <c r="K5856" s="852"/>
      <c r="L5856" s="852"/>
      <c r="M5856" s="852"/>
    </row>
    <row r="5857" spans="5:13">
      <c r="E5857" s="852"/>
      <c r="F5857" s="852"/>
      <c r="G5857" s="852"/>
      <c r="H5857" s="852"/>
      <c r="I5857" s="852"/>
      <c r="J5857" s="852"/>
      <c r="K5857" s="852"/>
      <c r="L5857" s="852"/>
      <c r="M5857" s="852"/>
    </row>
    <row r="5858" spans="5:13">
      <c r="E5858" s="852"/>
      <c r="F5858" s="852"/>
      <c r="G5858" s="852"/>
      <c r="H5858" s="852"/>
      <c r="I5858" s="852"/>
      <c r="J5858" s="852"/>
      <c r="K5858" s="852"/>
      <c r="L5858" s="852"/>
      <c r="M5858" s="852"/>
    </row>
    <row r="5859" spans="5:13">
      <c r="E5859" s="852"/>
      <c r="F5859" s="852"/>
      <c r="G5859" s="852"/>
      <c r="H5859" s="852"/>
      <c r="I5859" s="852"/>
      <c r="J5859" s="852"/>
      <c r="K5859" s="852"/>
      <c r="L5859" s="852"/>
      <c r="M5859" s="852"/>
    </row>
    <row r="5860" spans="5:13">
      <c r="E5860" s="852"/>
      <c r="F5860" s="852"/>
      <c r="G5860" s="852"/>
      <c r="H5860" s="852"/>
      <c r="I5860" s="852"/>
      <c r="J5860" s="852"/>
      <c r="K5860" s="852"/>
      <c r="L5860" s="852"/>
      <c r="M5860" s="852"/>
    </row>
    <row r="5861" spans="5:13">
      <c r="E5861" s="852"/>
      <c r="F5861" s="852"/>
      <c r="G5861" s="852"/>
      <c r="H5861" s="852"/>
      <c r="I5861" s="852"/>
      <c r="J5861" s="852"/>
      <c r="K5861" s="852"/>
      <c r="L5861" s="852"/>
      <c r="M5861" s="852"/>
    </row>
    <row r="5862" spans="5:13">
      <c r="E5862" s="852"/>
      <c r="F5862" s="852"/>
      <c r="G5862" s="852"/>
      <c r="H5862" s="852"/>
      <c r="I5862" s="852"/>
      <c r="J5862" s="852"/>
      <c r="K5862" s="852"/>
      <c r="L5862" s="852"/>
      <c r="M5862" s="852"/>
    </row>
    <row r="5863" spans="5:13">
      <c r="E5863" s="852"/>
      <c r="F5863" s="852"/>
      <c r="G5863" s="852"/>
      <c r="H5863" s="852"/>
      <c r="I5863" s="852"/>
      <c r="J5863" s="852"/>
      <c r="K5863" s="852"/>
      <c r="L5863" s="852"/>
      <c r="M5863" s="852"/>
    </row>
    <row r="5864" spans="5:13">
      <c r="E5864" s="852"/>
      <c r="F5864" s="852"/>
      <c r="G5864" s="852"/>
      <c r="H5864" s="852"/>
      <c r="I5864" s="852"/>
      <c r="J5864" s="852"/>
      <c r="K5864" s="852"/>
      <c r="L5864" s="852"/>
      <c r="M5864" s="852"/>
    </row>
    <row r="5865" spans="5:13">
      <c r="E5865" s="852"/>
      <c r="F5865" s="852"/>
      <c r="G5865" s="852"/>
      <c r="H5865" s="852"/>
      <c r="I5865" s="852"/>
      <c r="J5865" s="852"/>
      <c r="K5865" s="852"/>
      <c r="L5865" s="852"/>
      <c r="M5865" s="852"/>
    </row>
    <row r="5866" spans="5:13">
      <c r="E5866" s="852"/>
      <c r="F5866" s="852"/>
      <c r="G5866" s="852"/>
      <c r="H5866" s="852"/>
      <c r="I5866" s="852"/>
      <c r="J5866" s="852"/>
      <c r="K5866" s="852"/>
      <c r="L5866" s="852"/>
      <c r="M5866" s="852"/>
    </row>
    <row r="5867" spans="5:13">
      <c r="E5867" s="852"/>
      <c r="F5867" s="852"/>
      <c r="G5867" s="852"/>
      <c r="H5867" s="852"/>
      <c r="I5867" s="852"/>
      <c r="J5867" s="852"/>
      <c r="K5867" s="852"/>
      <c r="L5867" s="852"/>
      <c r="M5867" s="852"/>
    </row>
    <row r="5868" spans="5:13">
      <c r="E5868" s="852"/>
      <c r="F5868" s="852"/>
      <c r="G5868" s="852"/>
      <c r="H5868" s="852"/>
      <c r="I5868" s="852"/>
      <c r="J5868" s="852"/>
      <c r="K5868" s="852"/>
      <c r="L5868" s="852"/>
      <c r="M5868" s="852"/>
    </row>
    <row r="5869" spans="5:13">
      <c r="E5869" s="852"/>
      <c r="F5869" s="852"/>
      <c r="G5869" s="852"/>
      <c r="H5869" s="852"/>
      <c r="I5869" s="852"/>
      <c r="J5869" s="852"/>
      <c r="K5869" s="852"/>
      <c r="L5869" s="852"/>
      <c r="M5869" s="852"/>
    </row>
    <row r="5870" spans="5:13">
      <c r="E5870" s="852"/>
      <c r="F5870" s="852"/>
      <c r="G5870" s="852"/>
      <c r="H5870" s="852"/>
      <c r="I5870" s="852"/>
      <c r="J5870" s="852"/>
      <c r="K5870" s="852"/>
      <c r="L5870" s="852"/>
      <c r="M5870" s="852"/>
    </row>
    <row r="5871" spans="5:13">
      <c r="E5871" s="852"/>
      <c r="F5871" s="852"/>
      <c r="G5871" s="852"/>
      <c r="H5871" s="852"/>
      <c r="I5871" s="852"/>
      <c r="J5871" s="852"/>
      <c r="K5871" s="852"/>
      <c r="L5871" s="852"/>
      <c r="M5871" s="852"/>
    </row>
    <row r="5872" spans="5:13">
      <c r="E5872" s="852"/>
      <c r="F5872" s="852"/>
      <c r="G5872" s="852"/>
      <c r="H5872" s="852"/>
      <c r="I5872" s="852"/>
      <c r="J5872" s="852"/>
      <c r="K5872" s="852"/>
      <c r="L5872" s="852"/>
      <c r="M5872" s="852"/>
    </row>
    <row r="5873" spans="5:13">
      <c r="E5873" s="852"/>
      <c r="F5873" s="852"/>
      <c r="G5873" s="852"/>
      <c r="H5873" s="852"/>
      <c r="I5873" s="852"/>
      <c r="J5873" s="852"/>
      <c r="K5873" s="852"/>
      <c r="L5873" s="852"/>
      <c r="M5873" s="852"/>
    </row>
    <row r="5874" spans="5:13">
      <c r="E5874" s="852"/>
      <c r="F5874" s="852"/>
      <c r="G5874" s="852"/>
      <c r="H5874" s="852"/>
      <c r="I5874" s="852"/>
      <c r="J5874" s="852"/>
      <c r="K5874" s="852"/>
      <c r="L5874" s="852"/>
      <c r="M5874" s="852"/>
    </row>
    <row r="5875" spans="5:13">
      <c r="E5875" s="852"/>
      <c r="F5875" s="852"/>
      <c r="G5875" s="852"/>
      <c r="H5875" s="852"/>
      <c r="I5875" s="852"/>
      <c r="J5875" s="852"/>
      <c r="K5875" s="852"/>
      <c r="L5875" s="852"/>
      <c r="M5875" s="852"/>
    </row>
    <row r="5876" spans="5:13">
      <c r="E5876" s="852"/>
      <c r="F5876" s="852"/>
      <c r="G5876" s="852"/>
      <c r="H5876" s="852"/>
      <c r="I5876" s="852"/>
      <c r="J5876" s="852"/>
      <c r="K5876" s="852"/>
      <c r="L5876" s="852"/>
      <c r="M5876" s="852"/>
    </row>
    <row r="5877" spans="5:13">
      <c r="E5877" s="852"/>
      <c r="F5877" s="852"/>
      <c r="G5877" s="852"/>
      <c r="H5877" s="852"/>
      <c r="I5877" s="852"/>
      <c r="J5877" s="852"/>
      <c r="K5877" s="852"/>
      <c r="L5877" s="852"/>
      <c r="M5877" s="852"/>
    </row>
    <row r="5878" spans="5:13">
      <c r="E5878" s="852"/>
      <c r="F5878" s="852"/>
      <c r="G5878" s="852"/>
      <c r="H5878" s="852"/>
      <c r="I5878" s="852"/>
      <c r="J5878" s="852"/>
      <c r="K5878" s="852"/>
      <c r="L5878" s="852"/>
      <c r="M5878" s="852"/>
    </row>
    <row r="5879" spans="5:13">
      <c r="E5879" s="852"/>
      <c r="F5879" s="852"/>
      <c r="G5879" s="852"/>
      <c r="H5879" s="852"/>
      <c r="I5879" s="852"/>
      <c r="J5879" s="852"/>
      <c r="K5879" s="852"/>
      <c r="L5879" s="852"/>
      <c r="M5879" s="852"/>
    </row>
    <row r="5880" spans="5:13">
      <c r="E5880" s="852"/>
      <c r="F5880" s="852"/>
      <c r="G5880" s="852"/>
      <c r="H5880" s="852"/>
      <c r="I5880" s="852"/>
      <c r="J5880" s="852"/>
      <c r="K5880" s="852"/>
      <c r="L5880" s="852"/>
      <c r="M5880" s="852"/>
    </row>
    <row r="5881" spans="5:13">
      <c r="E5881" s="852"/>
      <c r="F5881" s="852"/>
      <c r="G5881" s="852"/>
      <c r="H5881" s="852"/>
      <c r="I5881" s="852"/>
      <c r="J5881" s="852"/>
      <c r="K5881" s="852"/>
      <c r="L5881" s="852"/>
      <c r="M5881" s="852"/>
    </row>
    <row r="5882" spans="5:13">
      <c r="E5882" s="852"/>
      <c r="F5882" s="852"/>
      <c r="G5882" s="852"/>
      <c r="H5882" s="852"/>
      <c r="I5882" s="852"/>
      <c r="J5882" s="852"/>
      <c r="K5882" s="852"/>
      <c r="L5882" s="852"/>
      <c r="M5882" s="852"/>
    </row>
    <row r="5883" spans="5:13">
      <c r="E5883" s="852"/>
      <c r="F5883" s="852"/>
      <c r="G5883" s="852"/>
      <c r="H5883" s="852"/>
      <c r="I5883" s="852"/>
      <c r="J5883" s="852"/>
      <c r="K5883" s="852"/>
      <c r="L5883" s="852"/>
      <c r="M5883" s="852"/>
    </row>
    <row r="5884" spans="5:13">
      <c r="E5884" s="852"/>
      <c r="F5884" s="852"/>
      <c r="G5884" s="852"/>
      <c r="H5884" s="852"/>
      <c r="I5884" s="852"/>
      <c r="J5884" s="852"/>
      <c r="K5884" s="852"/>
      <c r="L5884" s="852"/>
      <c r="M5884" s="852"/>
    </row>
    <row r="5885" spans="5:13">
      <c r="E5885" s="852"/>
      <c r="F5885" s="852"/>
      <c r="G5885" s="852"/>
      <c r="H5885" s="852"/>
      <c r="I5885" s="852"/>
      <c r="J5885" s="852"/>
      <c r="K5885" s="852"/>
      <c r="L5885" s="852"/>
      <c r="M5885" s="852"/>
    </row>
    <row r="5886" spans="5:13">
      <c r="E5886" s="852"/>
      <c r="F5886" s="852"/>
      <c r="G5886" s="852"/>
      <c r="H5886" s="852"/>
      <c r="I5886" s="852"/>
      <c r="J5886" s="852"/>
      <c r="K5886" s="852"/>
      <c r="L5886" s="852"/>
      <c r="M5886" s="852"/>
    </row>
    <row r="5887" spans="5:13">
      <c r="E5887" s="852"/>
      <c r="F5887" s="852"/>
      <c r="G5887" s="852"/>
      <c r="H5887" s="852"/>
      <c r="I5887" s="852"/>
      <c r="J5887" s="852"/>
      <c r="K5887" s="852"/>
      <c r="L5887" s="852"/>
      <c r="M5887" s="852"/>
    </row>
    <row r="5888" spans="5:13">
      <c r="E5888" s="852"/>
      <c r="F5888" s="852"/>
      <c r="G5888" s="852"/>
      <c r="H5888" s="852"/>
      <c r="I5888" s="852"/>
      <c r="J5888" s="852"/>
      <c r="K5888" s="852"/>
      <c r="L5888" s="852"/>
      <c r="M5888" s="852"/>
    </row>
    <row r="5889" spans="5:13">
      <c r="E5889" s="852"/>
      <c r="F5889" s="852"/>
      <c r="G5889" s="852"/>
      <c r="H5889" s="852"/>
      <c r="I5889" s="852"/>
      <c r="J5889" s="852"/>
      <c r="K5889" s="852"/>
      <c r="L5889" s="852"/>
      <c r="M5889" s="852"/>
    </row>
    <row r="5890" spans="5:13">
      <c r="E5890" s="852"/>
      <c r="F5890" s="852"/>
      <c r="G5890" s="852"/>
      <c r="H5890" s="852"/>
      <c r="I5890" s="852"/>
      <c r="J5890" s="852"/>
      <c r="K5890" s="852"/>
      <c r="L5890" s="852"/>
      <c r="M5890" s="852"/>
    </row>
    <row r="5891" spans="5:13">
      <c r="E5891" s="852"/>
      <c r="F5891" s="852"/>
      <c r="G5891" s="852"/>
      <c r="H5891" s="852"/>
      <c r="I5891" s="852"/>
      <c r="J5891" s="852"/>
      <c r="K5891" s="852"/>
      <c r="L5891" s="852"/>
      <c r="M5891" s="852"/>
    </row>
    <row r="5892" spans="5:13">
      <c r="E5892" s="852"/>
      <c r="F5892" s="852"/>
      <c r="G5892" s="852"/>
      <c r="H5892" s="852"/>
      <c r="I5892" s="852"/>
      <c r="J5892" s="852"/>
      <c r="K5892" s="852"/>
      <c r="L5892" s="852"/>
      <c r="M5892" s="852"/>
    </row>
    <row r="5893" spans="5:13">
      <c r="E5893" s="852"/>
      <c r="F5893" s="852"/>
      <c r="G5893" s="852"/>
      <c r="H5893" s="852"/>
      <c r="I5893" s="852"/>
      <c r="J5893" s="852"/>
      <c r="K5893" s="852"/>
      <c r="L5893" s="852"/>
      <c r="M5893" s="852"/>
    </row>
    <row r="5894" spans="5:13">
      <c r="E5894" s="852"/>
      <c r="F5894" s="852"/>
      <c r="G5894" s="852"/>
      <c r="H5894" s="852"/>
      <c r="I5894" s="852"/>
      <c r="J5894" s="852"/>
      <c r="K5894" s="852"/>
      <c r="L5894" s="852"/>
      <c r="M5894" s="852"/>
    </row>
    <row r="5895" spans="5:13">
      <c r="E5895" s="852"/>
      <c r="F5895" s="852"/>
      <c r="G5895" s="852"/>
      <c r="H5895" s="852"/>
      <c r="I5895" s="852"/>
      <c r="J5895" s="852"/>
      <c r="K5895" s="852"/>
      <c r="L5895" s="852"/>
      <c r="M5895" s="852"/>
    </row>
    <row r="5896" spans="5:13">
      <c r="E5896" s="852"/>
      <c r="F5896" s="852"/>
      <c r="G5896" s="852"/>
      <c r="H5896" s="852"/>
      <c r="I5896" s="852"/>
      <c r="J5896" s="852"/>
      <c r="K5896" s="852"/>
      <c r="L5896" s="852"/>
      <c r="M5896" s="852"/>
    </row>
    <row r="5897" spans="5:13">
      <c r="E5897" s="852"/>
      <c r="F5897" s="852"/>
      <c r="G5897" s="852"/>
      <c r="H5897" s="852"/>
      <c r="I5897" s="852"/>
      <c r="J5897" s="852"/>
      <c r="K5897" s="852"/>
      <c r="L5897" s="852"/>
      <c r="M5897" s="852"/>
    </row>
    <row r="5898" spans="5:13">
      <c r="E5898" s="852"/>
      <c r="F5898" s="852"/>
      <c r="G5898" s="852"/>
      <c r="H5898" s="852"/>
      <c r="I5898" s="852"/>
      <c r="J5898" s="852"/>
      <c r="K5898" s="852"/>
      <c r="L5898" s="852"/>
      <c r="M5898" s="852"/>
    </row>
    <row r="5899" spans="5:13">
      <c r="E5899" s="852"/>
      <c r="F5899" s="852"/>
      <c r="G5899" s="852"/>
      <c r="H5899" s="852"/>
      <c r="I5899" s="852"/>
      <c r="J5899" s="852"/>
      <c r="K5899" s="852"/>
      <c r="L5899" s="852"/>
      <c r="M5899" s="852"/>
    </row>
    <row r="5900" spans="5:13">
      <c r="E5900" s="852"/>
      <c r="F5900" s="852"/>
      <c r="G5900" s="852"/>
      <c r="H5900" s="852"/>
      <c r="I5900" s="852"/>
      <c r="J5900" s="852"/>
      <c r="K5900" s="852"/>
      <c r="L5900" s="852"/>
      <c r="M5900" s="852"/>
    </row>
    <row r="5901" spans="5:13">
      <c r="E5901" s="852"/>
      <c r="F5901" s="852"/>
      <c r="G5901" s="852"/>
      <c r="H5901" s="852"/>
      <c r="I5901" s="852"/>
      <c r="J5901" s="852"/>
      <c r="K5901" s="852"/>
      <c r="L5901" s="852"/>
      <c r="M5901" s="852"/>
    </row>
    <row r="5902" spans="5:13">
      <c r="E5902" s="852"/>
      <c r="F5902" s="852"/>
      <c r="G5902" s="852"/>
      <c r="H5902" s="852"/>
      <c r="I5902" s="852"/>
      <c r="J5902" s="852"/>
      <c r="K5902" s="852"/>
      <c r="L5902" s="852"/>
      <c r="M5902" s="852"/>
    </row>
    <row r="5903" spans="5:13">
      <c r="E5903" s="852"/>
      <c r="F5903" s="852"/>
      <c r="G5903" s="852"/>
      <c r="H5903" s="852"/>
      <c r="I5903" s="852"/>
      <c r="J5903" s="852"/>
      <c r="K5903" s="852"/>
      <c r="L5903" s="852"/>
      <c r="M5903" s="852"/>
    </row>
    <row r="5904" spans="5:13">
      <c r="E5904" s="852"/>
      <c r="F5904" s="852"/>
      <c r="G5904" s="852"/>
      <c r="H5904" s="852"/>
      <c r="I5904" s="852"/>
      <c r="J5904" s="852"/>
      <c r="K5904" s="852"/>
      <c r="L5904" s="852"/>
      <c r="M5904" s="852"/>
    </row>
    <row r="5905" spans="5:13">
      <c r="E5905" s="852"/>
      <c r="F5905" s="852"/>
      <c r="G5905" s="852"/>
      <c r="H5905" s="852"/>
      <c r="I5905" s="852"/>
      <c r="J5905" s="852"/>
      <c r="K5905" s="852"/>
      <c r="L5905" s="852"/>
      <c r="M5905" s="852"/>
    </row>
    <row r="5906" spans="5:13">
      <c r="E5906" s="852"/>
      <c r="F5906" s="852"/>
      <c r="G5906" s="852"/>
      <c r="H5906" s="852"/>
      <c r="I5906" s="852"/>
      <c r="J5906" s="852"/>
      <c r="K5906" s="852"/>
      <c r="L5906" s="852"/>
      <c r="M5906" s="852"/>
    </row>
    <row r="5907" spans="5:13">
      <c r="E5907" s="852"/>
      <c r="F5907" s="852"/>
      <c r="G5907" s="852"/>
      <c r="H5907" s="852"/>
      <c r="I5907" s="852"/>
      <c r="J5907" s="852"/>
      <c r="K5907" s="852"/>
      <c r="L5907" s="852"/>
      <c r="M5907" s="852"/>
    </row>
    <row r="5908" spans="5:13">
      <c r="E5908" s="852"/>
      <c r="F5908" s="852"/>
      <c r="G5908" s="852"/>
      <c r="H5908" s="852"/>
      <c r="I5908" s="852"/>
      <c r="J5908" s="852"/>
      <c r="K5908" s="852"/>
      <c r="L5908" s="852"/>
      <c r="M5908" s="852"/>
    </row>
    <row r="5909" spans="5:13">
      <c r="E5909" s="852"/>
      <c r="F5909" s="852"/>
      <c r="G5909" s="852"/>
      <c r="H5909" s="852"/>
      <c r="I5909" s="852"/>
      <c r="J5909" s="852"/>
      <c r="K5909" s="852"/>
      <c r="L5909" s="852"/>
      <c r="M5909" s="852"/>
    </row>
    <row r="5910" spans="5:13">
      <c r="E5910" s="852"/>
      <c r="F5910" s="852"/>
      <c r="G5910" s="852"/>
      <c r="H5910" s="852"/>
      <c r="I5910" s="852"/>
      <c r="J5910" s="852"/>
      <c r="K5910" s="852"/>
      <c r="L5910" s="852"/>
      <c r="M5910" s="852"/>
    </row>
    <row r="5911" spans="5:13">
      <c r="E5911" s="852"/>
      <c r="F5911" s="852"/>
      <c r="G5911" s="852"/>
      <c r="H5911" s="852"/>
      <c r="I5911" s="852"/>
      <c r="J5911" s="852"/>
      <c r="K5911" s="852"/>
      <c r="L5911" s="852"/>
      <c r="M5911" s="852"/>
    </row>
    <row r="5912" spans="5:13">
      <c r="E5912" s="852"/>
      <c r="F5912" s="852"/>
      <c r="G5912" s="852"/>
      <c r="H5912" s="852"/>
      <c r="I5912" s="852"/>
      <c r="J5912" s="852"/>
      <c r="K5912" s="852"/>
      <c r="L5912" s="852"/>
      <c r="M5912" s="852"/>
    </row>
    <row r="5913" spans="5:13">
      <c r="E5913" s="852"/>
      <c r="F5913" s="852"/>
      <c r="G5913" s="852"/>
      <c r="H5913" s="852"/>
      <c r="I5913" s="852"/>
      <c r="J5913" s="852"/>
      <c r="K5913" s="852"/>
      <c r="L5913" s="852"/>
      <c r="M5913" s="852"/>
    </row>
    <row r="5914" spans="5:13">
      <c r="E5914" s="852"/>
      <c r="F5914" s="852"/>
      <c r="G5914" s="852"/>
      <c r="H5914" s="852"/>
      <c r="I5914" s="852"/>
      <c r="J5914" s="852"/>
      <c r="K5914" s="852"/>
      <c r="L5914" s="852"/>
      <c r="M5914" s="852"/>
    </row>
    <row r="5915" spans="5:13">
      <c r="E5915" s="852"/>
      <c r="F5915" s="852"/>
      <c r="G5915" s="852"/>
      <c r="H5915" s="852"/>
      <c r="I5915" s="852"/>
      <c r="J5915" s="852"/>
      <c r="K5915" s="852"/>
      <c r="L5915" s="852"/>
      <c r="M5915" s="852"/>
    </row>
    <row r="5916" spans="5:13">
      <c r="E5916" s="852"/>
      <c r="F5916" s="852"/>
      <c r="G5916" s="852"/>
      <c r="H5916" s="852"/>
      <c r="I5916" s="852"/>
      <c r="J5916" s="852"/>
      <c r="K5916" s="852"/>
      <c r="L5916" s="852"/>
      <c r="M5916" s="852"/>
    </row>
    <row r="5917" spans="5:13">
      <c r="E5917" s="852"/>
      <c r="F5917" s="852"/>
      <c r="G5917" s="852"/>
      <c r="H5917" s="852"/>
      <c r="I5917" s="852"/>
      <c r="J5917" s="852"/>
      <c r="K5917" s="852"/>
      <c r="L5917" s="852"/>
      <c r="M5917" s="852"/>
    </row>
    <row r="5918" spans="5:13">
      <c r="E5918" s="852"/>
      <c r="F5918" s="852"/>
      <c r="G5918" s="852"/>
      <c r="H5918" s="852"/>
      <c r="I5918" s="852"/>
      <c r="J5918" s="852"/>
      <c r="K5918" s="852"/>
      <c r="L5918" s="852"/>
      <c r="M5918" s="852"/>
    </row>
    <row r="5919" spans="5:13">
      <c r="E5919" s="852"/>
      <c r="F5919" s="852"/>
      <c r="G5919" s="852"/>
      <c r="H5919" s="852"/>
      <c r="I5919" s="852"/>
      <c r="J5919" s="852"/>
      <c r="K5919" s="852"/>
      <c r="L5919" s="852"/>
      <c r="M5919" s="852"/>
    </row>
    <row r="5920" spans="5:13">
      <c r="E5920" s="852"/>
      <c r="F5920" s="852"/>
      <c r="G5920" s="852"/>
      <c r="H5920" s="852"/>
      <c r="I5920" s="852"/>
      <c r="J5920" s="852"/>
      <c r="K5920" s="852"/>
      <c r="L5920" s="852"/>
      <c r="M5920" s="852"/>
    </row>
    <row r="5921" spans="5:13">
      <c r="E5921" s="852"/>
      <c r="F5921" s="852"/>
      <c r="G5921" s="852"/>
      <c r="H5921" s="852"/>
      <c r="I5921" s="852"/>
      <c r="J5921" s="852"/>
      <c r="K5921" s="852"/>
      <c r="L5921" s="852"/>
      <c r="M5921" s="852"/>
    </row>
    <row r="5922" spans="5:13">
      <c r="E5922" s="852"/>
      <c r="F5922" s="852"/>
      <c r="G5922" s="852"/>
      <c r="H5922" s="852"/>
      <c r="I5922" s="852"/>
      <c r="J5922" s="852"/>
      <c r="K5922" s="852"/>
      <c r="L5922" s="852"/>
      <c r="M5922" s="852"/>
    </row>
    <row r="5923" spans="5:13">
      <c r="E5923" s="852"/>
      <c r="F5923" s="852"/>
      <c r="G5923" s="852"/>
      <c r="H5923" s="852"/>
      <c r="I5923" s="852"/>
      <c r="J5923" s="852"/>
      <c r="K5923" s="852"/>
      <c r="L5923" s="852"/>
      <c r="M5923" s="852"/>
    </row>
    <row r="5924" spans="5:13">
      <c r="E5924" s="852"/>
      <c r="F5924" s="852"/>
      <c r="G5924" s="852"/>
      <c r="H5924" s="852"/>
      <c r="I5924" s="852"/>
      <c r="J5924" s="852"/>
      <c r="K5924" s="852"/>
      <c r="L5924" s="852"/>
      <c r="M5924" s="852"/>
    </row>
    <row r="5925" spans="5:13">
      <c r="E5925" s="852"/>
      <c r="F5925" s="852"/>
      <c r="G5925" s="852"/>
      <c r="H5925" s="852"/>
      <c r="I5925" s="852"/>
      <c r="J5925" s="852"/>
      <c r="K5925" s="852"/>
      <c r="L5925" s="852"/>
      <c r="M5925" s="852"/>
    </row>
    <row r="5926" spans="5:13">
      <c r="E5926" s="852"/>
      <c r="F5926" s="852"/>
      <c r="G5926" s="852"/>
      <c r="H5926" s="852"/>
      <c r="I5926" s="852"/>
      <c r="J5926" s="852"/>
      <c r="K5926" s="852"/>
      <c r="L5926" s="852"/>
      <c r="M5926" s="852"/>
    </row>
    <row r="5927" spans="5:13">
      <c r="E5927" s="852"/>
      <c r="F5927" s="852"/>
      <c r="G5927" s="852"/>
      <c r="H5927" s="852"/>
      <c r="I5927" s="852"/>
      <c r="J5927" s="852"/>
      <c r="K5927" s="852"/>
      <c r="L5927" s="852"/>
      <c r="M5927" s="852"/>
    </row>
    <row r="5928" spans="5:13">
      <c r="E5928" s="852"/>
      <c r="F5928" s="852"/>
      <c r="G5928" s="852"/>
      <c r="H5928" s="852"/>
      <c r="I5928" s="852"/>
      <c r="J5928" s="852"/>
      <c r="K5928" s="852"/>
      <c r="L5928" s="852"/>
      <c r="M5928" s="852"/>
    </row>
    <row r="5929" spans="5:13">
      <c r="E5929" s="852"/>
      <c r="F5929" s="852"/>
      <c r="G5929" s="852"/>
      <c r="H5929" s="852"/>
      <c r="I5929" s="852"/>
      <c r="J5929" s="852"/>
      <c r="K5929" s="852"/>
      <c r="L5929" s="852"/>
      <c r="M5929" s="852"/>
    </row>
    <row r="5930" spans="5:13">
      <c r="E5930" s="852"/>
      <c r="F5930" s="852"/>
      <c r="G5930" s="852"/>
      <c r="H5930" s="852"/>
      <c r="I5930" s="852"/>
      <c r="J5930" s="852"/>
      <c r="K5930" s="852"/>
      <c r="L5930" s="852"/>
      <c r="M5930" s="852"/>
    </row>
    <row r="5931" spans="5:13">
      <c r="E5931" s="852"/>
      <c r="F5931" s="852"/>
      <c r="G5931" s="852"/>
      <c r="H5931" s="852"/>
      <c r="I5931" s="852"/>
      <c r="J5931" s="852"/>
      <c r="K5931" s="852"/>
      <c r="L5931" s="852"/>
      <c r="M5931" s="852"/>
    </row>
    <row r="5932" spans="5:13">
      <c r="E5932" s="852"/>
      <c r="F5932" s="852"/>
      <c r="G5932" s="852"/>
      <c r="H5932" s="852"/>
      <c r="I5932" s="852"/>
      <c r="J5932" s="852"/>
      <c r="K5932" s="852"/>
      <c r="L5932" s="852"/>
      <c r="M5932" s="852"/>
    </row>
    <row r="5933" spans="5:13">
      <c r="E5933" s="852"/>
      <c r="F5933" s="852"/>
      <c r="G5933" s="852"/>
      <c r="H5933" s="852"/>
      <c r="I5933" s="852"/>
      <c r="J5933" s="852"/>
      <c r="K5933" s="852"/>
      <c r="L5933" s="852"/>
      <c r="M5933" s="852"/>
    </row>
    <row r="5934" spans="5:13">
      <c r="E5934" s="852"/>
      <c r="F5934" s="852"/>
      <c r="G5934" s="852"/>
      <c r="H5934" s="852"/>
      <c r="I5934" s="852"/>
      <c r="J5934" s="852"/>
      <c r="K5934" s="852"/>
      <c r="L5934" s="852"/>
      <c r="M5934" s="852"/>
    </row>
    <row r="5935" spans="5:13">
      <c r="E5935" s="852"/>
      <c r="F5935" s="852"/>
      <c r="G5935" s="852"/>
      <c r="H5935" s="852"/>
      <c r="I5935" s="852"/>
      <c r="J5935" s="852"/>
      <c r="K5935" s="852"/>
      <c r="L5935" s="852"/>
      <c r="M5935" s="852"/>
    </row>
    <row r="5936" spans="5:13">
      <c r="E5936" s="852"/>
      <c r="F5936" s="852"/>
      <c r="G5936" s="852"/>
      <c r="H5936" s="852"/>
      <c r="I5936" s="852"/>
      <c r="J5936" s="852"/>
      <c r="K5936" s="852"/>
      <c r="L5936" s="852"/>
      <c r="M5936" s="852"/>
    </row>
    <row r="5937" spans="5:13">
      <c r="E5937" s="852"/>
      <c r="F5937" s="852"/>
      <c r="G5937" s="852"/>
      <c r="H5937" s="852"/>
      <c r="I5937" s="852"/>
      <c r="J5937" s="852"/>
      <c r="K5937" s="852"/>
      <c r="L5937" s="852"/>
      <c r="M5937" s="852"/>
    </row>
    <row r="5938" spans="5:13">
      <c r="E5938" s="852"/>
      <c r="F5938" s="852"/>
      <c r="G5938" s="852"/>
      <c r="H5938" s="852"/>
      <c r="I5938" s="852"/>
      <c r="J5938" s="852"/>
      <c r="K5938" s="852"/>
      <c r="L5938" s="852"/>
      <c r="M5938" s="852"/>
    </row>
    <row r="5939" spans="5:13">
      <c r="E5939" s="852"/>
      <c r="F5939" s="852"/>
      <c r="G5939" s="852"/>
      <c r="H5939" s="852"/>
      <c r="I5939" s="852"/>
      <c r="J5939" s="852"/>
      <c r="K5939" s="852"/>
      <c r="L5939" s="852"/>
      <c r="M5939" s="852"/>
    </row>
    <row r="5940" spans="5:13">
      <c r="E5940" s="852"/>
      <c r="F5940" s="852"/>
      <c r="G5940" s="852"/>
      <c r="H5940" s="852"/>
      <c r="I5940" s="852"/>
      <c r="J5940" s="852"/>
      <c r="K5940" s="852"/>
      <c r="L5940" s="852"/>
      <c r="M5940" s="852"/>
    </row>
    <row r="5941" spans="5:13">
      <c r="E5941" s="852"/>
      <c r="F5941" s="852"/>
      <c r="G5941" s="852"/>
      <c r="H5941" s="852"/>
      <c r="I5941" s="852"/>
      <c r="J5941" s="852"/>
      <c r="K5941" s="852"/>
      <c r="L5941" s="852"/>
      <c r="M5941" s="852"/>
    </row>
    <row r="5942" spans="5:13">
      <c r="E5942" s="852"/>
      <c r="F5942" s="852"/>
      <c r="G5942" s="852"/>
      <c r="H5942" s="852"/>
      <c r="I5942" s="852"/>
      <c r="J5942" s="852"/>
      <c r="K5942" s="852"/>
      <c r="L5942" s="852"/>
      <c r="M5942" s="852"/>
    </row>
    <row r="5943" spans="5:13">
      <c r="E5943" s="852"/>
      <c r="F5943" s="852"/>
      <c r="G5943" s="852"/>
      <c r="H5943" s="852"/>
      <c r="I5943" s="852"/>
      <c r="J5943" s="852"/>
      <c r="K5943" s="852"/>
      <c r="L5943" s="852"/>
      <c r="M5943" s="852"/>
    </row>
    <row r="5944" spans="5:13">
      <c r="E5944" s="852"/>
      <c r="F5944" s="852"/>
      <c r="G5944" s="852"/>
      <c r="H5944" s="852"/>
      <c r="I5944" s="852"/>
      <c r="J5944" s="852"/>
      <c r="K5944" s="852"/>
      <c r="L5944" s="852"/>
      <c r="M5944" s="852"/>
    </row>
    <row r="5945" spans="5:13">
      <c r="E5945" s="852"/>
      <c r="F5945" s="852"/>
      <c r="G5945" s="852"/>
      <c r="H5945" s="852"/>
      <c r="I5945" s="852"/>
      <c r="J5945" s="852"/>
      <c r="K5945" s="852"/>
      <c r="L5945" s="852"/>
      <c r="M5945" s="852"/>
    </row>
    <row r="5946" spans="5:13">
      <c r="E5946" s="852"/>
      <c r="F5946" s="852"/>
      <c r="G5946" s="852"/>
      <c r="H5946" s="852"/>
      <c r="I5946" s="852"/>
      <c r="J5946" s="852"/>
      <c r="K5946" s="852"/>
      <c r="L5946" s="852"/>
      <c r="M5946" s="852"/>
    </row>
    <row r="5947" spans="5:13">
      <c r="E5947" s="852"/>
      <c r="F5947" s="852"/>
      <c r="G5947" s="852"/>
      <c r="H5947" s="852"/>
      <c r="I5947" s="852"/>
      <c r="J5947" s="852"/>
      <c r="K5947" s="852"/>
      <c r="L5947" s="852"/>
      <c r="M5947" s="852"/>
    </row>
    <row r="5948" spans="5:13">
      <c r="E5948" s="852"/>
      <c r="F5948" s="852"/>
      <c r="G5948" s="852"/>
      <c r="H5948" s="852"/>
      <c r="I5948" s="852"/>
      <c r="J5948" s="852"/>
      <c r="K5948" s="852"/>
      <c r="L5948" s="852"/>
      <c r="M5948" s="852"/>
    </row>
    <row r="5949" spans="5:13">
      <c r="E5949" s="852"/>
      <c r="F5949" s="852"/>
      <c r="G5949" s="852"/>
      <c r="H5949" s="852"/>
      <c r="I5949" s="852"/>
      <c r="J5949" s="852"/>
      <c r="K5949" s="852"/>
      <c r="L5949" s="852"/>
      <c r="M5949" s="852"/>
    </row>
    <row r="5950" spans="5:13">
      <c r="E5950" s="852"/>
      <c r="F5950" s="852"/>
      <c r="G5950" s="852"/>
      <c r="H5950" s="852"/>
      <c r="I5950" s="852"/>
      <c r="J5950" s="852"/>
      <c r="K5950" s="852"/>
      <c r="L5950" s="852"/>
      <c r="M5950" s="852"/>
    </row>
    <row r="5951" spans="5:13">
      <c r="E5951" s="852"/>
      <c r="F5951" s="852"/>
      <c r="G5951" s="852"/>
      <c r="H5951" s="852"/>
      <c r="I5951" s="852"/>
      <c r="J5951" s="852"/>
      <c r="K5951" s="852"/>
      <c r="L5951" s="852"/>
      <c r="M5951" s="852"/>
    </row>
    <row r="5952" spans="5:13">
      <c r="E5952" s="852"/>
      <c r="F5952" s="852"/>
      <c r="G5952" s="852"/>
      <c r="H5952" s="852"/>
      <c r="I5952" s="852"/>
      <c r="J5952" s="852"/>
      <c r="K5952" s="852"/>
      <c r="L5952" s="852"/>
      <c r="M5952" s="852"/>
    </row>
    <row r="5953" spans="5:13">
      <c r="E5953" s="852"/>
      <c r="F5953" s="852"/>
      <c r="G5953" s="852"/>
      <c r="H5953" s="852"/>
      <c r="I5953" s="852"/>
      <c r="J5953" s="852"/>
      <c r="K5953" s="852"/>
      <c r="L5953" s="852"/>
      <c r="M5953" s="852"/>
    </row>
    <row r="5954" spans="5:13">
      <c r="E5954" s="852"/>
      <c r="F5954" s="852"/>
      <c r="G5954" s="852"/>
      <c r="H5954" s="852"/>
      <c r="I5954" s="852"/>
      <c r="J5954" s="852"/>
      <c r="K5954" s="852"/>
      <c r="L5954" s="852"/>
      <c r="M5954" s="852"/>
    </row>
    <row r="5955" spans="5:13">
      <c r="E5955" s="852"/>
      <c r="F5955" s="852"/>
      <c r="G5955" s="852"/>
      <c r="H5955" s="852"/>
      <c r="I5955" s="852"/>
      <c r="J5955" s="852"/>
      <c r="K5955" s="852"/>
      <c r="L5955" s="852"/>
      <c r="M5955" s="852"/>
    </row>
    <row r="5956" spans="5:13">
      <c r="E5956" s="852"/>
      <c r="F5956" s="852"/>
      <c r="G5956" s="852"/>
      <c r="H5956" s="852"/>
      <c r="I5956" s="852"/>
      <c r="J5956" s="852"/>
      <c r="K5956" s="852"/>
      <c r="L5956" s="852"/>
      <c r="M5956" s="852"/>
    </row>
    <row r="5957" spans="5:13">
      <c r="E5957" s="852"/>
      <c r="F5957" s="852"/>
      <c r="G5957" s="852"/>
      <c r="H5957" s="852"/>
      <c r="I5957" s="852"/>
      <c r="J5957" s="852"/>
      <c r="K5957" s="852"/>
      <c r="L5957" s="852"/>
      <c r="M5957" s="852"/>
    </row>
    <row r="5958" spans="5:13">
      <c r="E5958" s="852"/>
      <c r="F5958" s="852"/>
      <c r="G5958" s="852"/>
      <c r="H5958" s="852"/>
      <c r="I5958" s="852"/>
      <c r="J5958" s="852"/>
      <c r="K5958" s="852"/>
      <c r="L5958" s="852"/>
      <c r="M5958" s="852"/>
    </row>
    <row r="5959" spans="5:13">
      <c r="E5959" s="852"/>
      <c r="F5959" s="852"/>
      <c r="G5959" s="852"/>
      <c r="H5959" s="852"/>
      <c r="I5959" s="852"/>
      <c r="J5959" s="852"/>
      <c r="K5959" s="852"/>
      <c r="L5959" s="852"/>
      <c r="M5959" s="852"/>
    </row>
    <row r="5960" spans="5:13">
      <c r="E5960" s="852"/>
      <c r="F5960" s="852"/>
      <c r="G5960" s="852"/>
      <c r="H5960" s="852"/>
      <c r="I5960" s="852"/>
      <c r="J5960" s="852"/>
      <c r="K5960" s="852"/>
      <c r="L5960" s="852"/>
      <c r="M5960" s="852"/>
    </row>
    <row r="5961" spans="5:13">
      <c r="E5961" s="852"/>
      <c r="F5961" s="852"/>
      <c r="G5961" s="852"/>
      <c r="H5961" s="852"/>
      <c r="I5961" s="852"/>
      <c r="J5961" s="852"/>
      <c r="K5961" s="852"/>
      <c r="L5961" s="852"/>
      <c r="M5961" s="852"/>
    </row>
    <row r="5962" spans="5:13">
      <c r="E5962" s="852"/>
      <c r="F5962" s="852"/>
      <c r="G5962" s="852"/>
      <c r="H5962" s="852"/>
      <c r="I5962" s="852"/>
      <c r="J5962" s="852"/>
      <c r="K5962" s="852"/>
      <c r="L5962" s="852"/>
      <c r="M5962" s="852"/>
    </row>
    <row r="5963" spans="5:13">
      <c r="E5963" s="852"/>
      <c r="F5963" s="852"/>
      <c r="G5963" s="852"/>
      <c r="H5963" s="852"/>
      <c r="I5963" s="852"/>
      <c r="J5963" s="852"/>
      <c r="K5963" s="852"/>
      <c r="L5963" s="852"/>
      <c r="M5963" s="852"/>
    </row>
    <row r="5964" spans="5:13">
      <c r="E5964" s="852"/>
      <c r="F5964" s="852"/>
      <c r="G5964" s="852"/>
      <c r="H5964" s="852"/>
      <c r="I5964" s="852"/>
      <c r="J5964" s="852"/>
      <c r="K5964" s="852"/>
      <c r="L5964" s="852"/>
      <c r="M5964" s="852"/>
    </row>
    <row r="5965" spans="5:13">
      <c r="E5965" s="852"/>
      <c r="F5965" s="852"/>
      <c r="G5965" s="852"/>
      <c r="H5965" s="852"/>
      <c r="I5965" s="852"/>
      <c r="J5965" s="852"/>
      <c r="K5965" s="852"/>
      <c r="L5965" s="852"/>
      <c r="M5965" s="852"/>
    </row>
    <row r="5966" spans="5:13">
      <c r="E5966" s="852"/>
      <c r="F5966" s="852"/>
      <c r="G5966" s="852"/>
      <c r="H5966" s="852"/>
      <c r="I5966" s="852"/>
      <c r="J5966" s="852"/>
      <c r="K5966" s="852"/>
      <c r="L5966" s="852"/>
      <c r="M5966" s="852"/>
    </row>
    <row r="5967" spans="5:13">
      <c r="E5967" s="852"/>
      <c r="F5967" s="852"/>
      <c r="G5967" s="852"/>
      <c r="H5967" s="852"/>
      <c r="I5967" s="852"/>
      <c r="J5967" s="852"/>
      <c r="K5967" s="852"/>
      <c r="L5967" s="852"/>
      <c r="M5967" s="852"/>
    </row>
    <row r="5968" spans="5:13">
      <c r="E5968" s="852"/>
      <c r="F5968" s="852"/>
      <c r="G5968" s="852"/>
      <c r="H5968" s="852"/>
      <c r="I5968" s="852"/>
      <c r="J5968" s="852"/>
      <c r="K5968" s="852"/>
      <c r="L5968" s="852"/>
      <c r="M5968" s="852"/>
    </row>
    <row r="5969" spans="5:13">
      <c r="E5969" s="852"/>
      <c r="F5969" s="852"/>
      <c r="G5969" s="852"/>
      <c r="H5969" s="852"/>
      <c r="I5969" s="852"/>
      <c r="J5969" s="852"/>
      <c r="K5969" s="852"/>
      <c r="L5969" s="852"/>
      <c r="M5969" s="852"/>
    </row>
    <row r="5970" spans="5:13">
      <c r="E5970" s="852"/>
      <c r="F5970" s="852"/>
      <c r="G5970" s="852"/>
      <c r="H5970" s="852"/>
      <c r="I5970" s="852"/>
      <c r="J5970" s="852"/>
      <c r="K5970" s="852"/>
      <c r="L5970" s="852"/>
      <c r="M5970" s="852"/>
    </row>
    <row r="5971" spans="5:13">
      <c r="E5971" s="852"/>
      <c r="F5971" s="852"/>
      <c r="G5971" s="852"/>
      <c r="H5971" s="852"/>
      <c r="I5971" s="852"/>
      <c r="J5971" s="852"/>
      <c r="K5971" s="852"/>
      <c r="L5971" s="852"/>
      <c r="M5971" s="852"/>
    </row>
    <row r="5972" spans="5:13">
      <c r="E5972" s="852"/>
      <c r="F5972" s="852"/>
      <c r="G5972" s="852"/>
      <c r="H5972" s="852"/>
      <c r="I5972" s="852"/>
      <c r="J5972" s="852"/>
      <c r="K5972" s="852"/>
      <c r="L5972" s="852"/>
      <c r="M5972" s="852"/>
    </row>
    <row r="5973" spans="5:13">
      <c r="E5973" s="852"/>
      <c r="F5973" s="852"/>
      <c r="G5973" s="852"/>
      <c r="H5973" s="852"/>
      <c r="I5973" s="852"/>
      <c r="J5973" s="852"/>
      <c r="K5973" s="852"/>
      <c r="L5973" s="852"/>
      <c r="M5973" s="852"/>
    </row>
    <row r="5974" spans="5:13">
      <c r="E5974" s="852"/>
      <c r="F5974" s="852"/>
      <c r="G5974" s="852"/>
      <c r="H5974" s="852"/>
      <c r="I5974" s="852"/>
      <c r="J5974" s="852"/>
      <c r="K5974" s="852"/>
      <c r="L5974" s="852"/>
      <c r="M5974" s="852"/>
    </row>
    <row r="5975" spans="5:13">
      <c r="E5975" s="852"/>
      <c r="F5975" s="852"/>
      <c r="G5975" s="852"/>
      <c r="H5975" s="852"/>
      <c r="I5975" s="852"/>
      <c r="J5975" s="852"/>
      <c r="K5975" s="852"/>
      <c r="L5975" s="852"/>
      <c r="M5975" s="852"/>
    </row>
    <row r="5976" spans="5:13">
      <c r="E5976" s="852"/>
      <c r="F5976" s="852"/>
      <c r="G5976" s="852"/>
      <c r="H5976" s="852"/>
      <c r="I5976" s="852"/>
      <c r="J5976" s="852"/>
      <c r="K5976" s="852"/>
      <c r="L5976" s="852"/>
      <c r="M5976" s="852"/>
    </row>
    <row r="5977" spans="5:13">
      <c r="E5977" s="852"/>
      <c r="F5977" s="852"/>
      <c r="G5977" s="852"/>
      <c r="H5977" s="852"/>
      <c r="I5977" s="852"/>
      <c r="J5977" s="852"/>
      <c r="K5977" s="852"/>
      <c r="L5977" s="852"/>
      <c r="M5977" s="852"/>
    </row>
    <row r="5978" spans="5:13">
      <c r="E5978" s="852"/>
      <c r="F5978" s="852"/>
      <c r="G5978" s="852"/>
      <c r="H5978" s="852"/>
      <c r="I5978" s="852"/>
      <c r="J5978" s="852"/>
      <c r="K5978" s="852"/>
      <c r="L5978" s="852"/>
      <c r="M5978" s="852"/>
    </row>
    <row r="5979" spans="5:13">
      <c r="E5979" s="852"/>
      <c r="F5979" s="852"/>
      <c r="G5979" s="852"/>
      <c r="H5979" s="852"/>
      <c r="I5979" s="852"/>
      <c r="J5979" s="852"/>
      <c r="K5979" s="852"/>
      <c r="L5979" s="852"/>
      <c r="M5979" s="852"/>
    </row>
    <row r="5980" spans="5:13">
      <c r="E5980" s="852"/>
      <c r="F5980" s="852"/>
      <c r="G5980" s="852"/>
      <c r="H5980" s="852"/>
      <c r="I5980" s="852"/>
      <c r="J5980" s="852"/>
      <c r="K5980" s="852"/>
      <c r="L5980" s="852"/>
      <c r="M5980" s="852"/>
    </row>
    <row r="5981" spans="5:13">
      <c r="E5981" s="852"/>
      <c r="F5981" s="852"/>
      <c r="G5981" s="852"/>
      <c r="H5981" s="852"/>
      <c r="I5981" s="852"/>
      <c r="J5981" s="852"/>
      <c r="K5981" s="852"/>
      <c r="L5981" s="852"/>
      <c r="M5981" s="852"/>
    </row>
    <row r="5982" spans="5:13">
      <c r="E5982" s="852"/>
      <c r="F5982" s="852"/>
      <c r="G5982" s="852"/>
      <c r="H5982" s="852"/>
      <c r="I5982" s="852"/>
      <c r="J5982" s="852"/>
      <c r="K5982" s="852"/>
      <c r="L5982" s="852"/>
      <c r="M5982" s="852"/>
    </row>
    <row r="5983" spans="5:13">
      <c r="E5983" s="852"/>
      <c r="F5983" s="852"/>
      <c r="G5983" s="852"/>
      <c r="H5983" s="852"/>
      <c r="I5983" s="852"/>
      <c r="J5983" s="852"/>
      <c r="K5983" s="852"/>
      <c r="L5983" s="852"/>
      <c r="M5983" s="852"/>
    </row>
    <row r="5984" spans="5:13">
      <c r="E5984" s="852"/>
      <c r="F5984" s="852"/>
      <c r="G5984" s="852"/>
      <c r="H5984" s="852"/>
      <c r="I5984" s="852"/>
      <c r="J5984" s="852"/>
      <c r="K5984" s="852"/>
      <c r="L5984" s="852"/>
      <c r="M5984" s="852"/>
    </row>
    <row r="5985" spans="5:13">
      <c r="E5985" s="852"/>
      <c r="F5985" s="852"/>
      <c r="G5985" s="852"/>
      <c r="H5985" s="852"/>
      <c r="I5985" s="852"/>
      <c r="J5985" s="852"/>
      <c r="K5985" s="852"/>
      <c r="L5985" s="852"/>
      <c r="M5985" s="852"/>
    </row>
    <row r="5986" spans="5:13">
      <c r="E5986" s="852"/>
      <c r="F5986" s="852"/>
      <c r="G5986" s="852"/>
      <c r="H5986" s="852"/>
      <c r="I5986" s="852"/>
      <c r="J5986" s="852"/>
      <c r="K5986" s="852"/>
      <c r="L5986" s="852"/>
      <c r="M5986" s="852"/>
    </row>
    <row r="5987" spans="5:13">
      <c r="E5987" s="852"/>
      <c r="F5987" s="852"/>
      <c r="G5987" s="852"/>
      <c r="H5987" s="852"/>
      <c r="I5987" s="852"/>
      <c r="J5987" s="852"/>
      <c r="K5987" s="852"/>
      <c r="L5987" s="852"/>
      <c r="M5987" s="852"/>
    </row>
    <row r="5988" spans="5:13">
      <c r="E5988" s="852"/>
      <c r="F5988" s="852"/>
      <c r="G5988" s="852"/>
      <c r="H5988" s="852"/>
      <c r="I5988" s="852"/>
      <c r="J5988" s="852"/>
      <c r="K5988" s="852"/>
      <c r="L5988" s="852"/>
      <c r="M5988" s="852"/>
    </row>
    <row r="5989" spans="5:13">
      <c r="E5989" s="852"/>
      <c r="F5989" s="852"/>
      <c r="G5989" s="852"/>
      <c r="H5989" s="852"/>
      <c r="I5989" s="852"/>
      <c r="J5989" s="852"/>
      <c r="K5989" s="852"/>
      <c r="L5989" s="852"/>
      <c r="M5989" s="852"/>
    </row>
    <row r="5990" spans="5:13">
      <c r="E5990" s="852"/>
      <c r="F5990" s="852"/>
      <c r="G5990" s="852"/>
      <c r="H5990" s="852"/>
      <c r="I5990" s="852"/>
      <c r="J5990" s="852"/>
      <c r="K5990" s="852"/>
      <c r="L5990" s="852"/>
      <c r="M5990" s="852"/>
    </row>
    <row r="5991" spans="5:13">
      <c r="E5991" s="852"/>
      <c r="F5991" s="852"/>
      <c r="G5991" s="852"/>
      <c r="H5991" s="852"/>
      <c r="I5991" s="852"/>
      <c r="J5991" s="852"/>
      <c r="K5991" s="852"/>
      <c r="L5991" s="852"/>
      <c r="M5991" s="852"/>
    </row>
    <row r="5992" spans="5:13">
      <c r="E5992" s="852"/>
      <c r="F5992" s="852"/>
      <c r="G5992" s="852"/>
      <c r="H5992" s="852"/>
      <c r="I5992" s="852"/>
      <c r="J5992" s="852"/>
      <c r="K5992" s="852"/>
      <c r="L5992" s="852"/>
      <c r="M5992" s="852"/>
    </row>
    <row r="5993" spans="5:13">
      <c r="E5993" s="852"/>
      <c r="F5993" s="852"/>
      <c r="G5993" s="852"/>
      <c r="H5993" s="852"/>
      <c r="I5993" s="852"/>
      <c r="J5993" s="852"/>
      <c r="K5993" s="852"/>
      <c r="L5993" s="852"/>
      <c r="M5993" s="852"/>
    </row>
    <row r="5994" spans="5:13">
      <c r="E5994" s="852"/>
      <c r="F5994" s="852"/>
      <c r="G5994" s="852"/>
      <c r="H5994" s="852"/>
      <c r="I5994" s="852"/>
      <c r="J5994" s="852"/>
      <c r="K5994" s="852"/>
      <c r="L5994" s="852"/>
      <c r="M5994" s="852"/>
    </row>
    <row r="5995" spans="5:13">
      <c r="E5995" s="852"/>
      <c r="F5995" s="852"/>
      <c r="G5995" s="852"/>
      <c r="H5995" s="852"/>
      <c r="I5995" s="852"/>
      <c r="J5995" s="852"/>
      <c r="K5995" s="852"/>
      <c r="L5995" s="852"/>
      <c r="M5995" s="852"/>
    </row>
    <row r="5996" spans="5:13">
      <c r="E5996" s="852"/>
      <c r="F5996" s="852"/>
      <c r="G5996" s="852"/>
      <c r="H5996" s="852"/>
      <c r="I5996" s="852"/>
      <c r="J5996" s="852"/>
      <c r="K5996" s="852"/>
      <c r="L5996" s="852"/>
      <c r="M5996" s="852"/>
    </row>
    <row r="5997" spans="5:13">
      <c r="E5997" s="852"/>
      <c r="F5997" s="852"/>
      <c r="G5997" s="852"/>
      <c r="H5997" s="852"/>
      <c r="I5997" s="852"/>
      <c r="J5997" s="852"/>
      <c r="K5997" s="852"/>
      <c r="L5997" s="852"/>
      <c r="M5997" s="852"/>
    </row>
    <row r="5998" spans="5:13">
      <c r="E5998" s="852"/>
      <c r="F5998" s="852"/>
      <c r="G5998" s="852"/>
      <c r="H5998" s="852"/>
      <c r="I5998" s="852"/>
      <c r="J5998" s="852"/>
      <c r="K5998" s="852"/>
      <c r="L5998" s="852"/>
      <c r="M5998" s="852"/>
    </row>
    <row r="5999" spans="5:13">
      <c r="E5999" s="852"/>
      <c r="F5999" s="852"/>
      <c r="G5999" s="852"/>
      <c r="H5999" s="852"/>
      <c r="I5999" s="852"/>
      <c r="J5999" s="852"/>
      <c r="K5999" s="852"/>
      <c r="L5999" s="852"/>
      <c r="M5999" s="852"/>
    </row>
    <row r="6000" spans="5:13">
      <c r="E6000" s="852"/>
      <c r="F6000" s="852"/>
      <c r="G6000" s="852"/>
      <c r="H6000" s="852"/>
      <c r="I6000" s="852"/>
      <c r="J6000" s="852"/>
      <c r="K6000" s="852"/>
      <c r="L6000" s="852"/>
      <c r="M6000" s="852"/>
    </row>
    <row r="6001" spans="5:13">
      <c r="E6001" s="852"/>
      <c r="F6001" s="852"/>
      <c r="G6001" s="852"/>
      <c r="H6001" s="852"/>
      <c r="I6001" s="852"/>
      <c r="J6001" s="852"/>
      <c r="K6001" s="852"/>
      <c r="L6001" s="852"/>
      <c r="M6001" s="852"/>
    </row>
    <row r="6002" spans="5:13">
      <c r="E6002" s="852"/>
      <c r="F6002" s="852"/>
      <c r="G6002" s="852"/>
      <c r="H6002" s="852"/>
      <c r="I6002" s="852"/>
      <c r="J6002" s="852"/>
      <c r="K6002" s="852"/>
      <c r="L6002" s="852"/>
      <c r="M6002" s="852"/>
    </row>
    <row r="6003" spans="5:13">
      <c r="E6003" s="852"/>
      <c r="F6003" s="852"/>
      <c r="G6003" s="852"/>
      <c r="H6003" s="852"/>
      <c r="I6003" s="852"/>
      <c r="J6003" s="852"/>
      <c r="K6003" s="852"/>
      <c r="L6003" s="852"/>
      <c r="M6003" s="852"/>
    </row>
    <row r="6004" spans="5:13">
      <c r="E6004" s="852"/>
      <c r="F6004" s="852"/>
      <c r="G6004" s="852"/>
      <c r="H6004" s="852"/>
      <c r="I6004" s="852"/>
      <c r="J6004" s="852"/>
      <c r="K6004" s="852"/>
      <c r="L6004" s="852"/>
      <c r="M6004" s="852"/>
    </row>
    <row r="6005" spans="5:13">
      <c r="E6005" s="852"/>
      <c r="F6005" s="852"/>
      <c r="G6005" s="852"/>
      <c r="H6005" s="852"/>
      <c r="I6005" s="852"/>
      <c r="J6005" s="852"/>
      <c r="K6005" s="852"/>
      <c r="L6005" s="852"/>
      <c r="M6005" s="852"/>
    </row>
    <row r="6006" spans="5:13">
      <c r="E6006" s="852"/>
      <c r="F6006" s="852"/>
      <c r="G6006" s="852"/>
      <c r="H6006" s="852"/>
      <c r="I6006" s="852"/>
      <c r="J6006" s="852"/>
      <c r="K6006" s="852"/>
      <c r="L6006" s="852"/>
      <c r="M6006" s="852"/>
    </row>
    <row r="6007" spans="5:13">
      <c r="E6007" s="852"/>
      <c r="F6007" s="852"/>
      <c r="G6007" s="852"/>
      <c r="H6007" s="852"/>
      <c r="I6007" s="852"/>
      <c r="J6007" s="852"/>
      <c r="K6007" s="852"/>
      <c r="L6007" s="852"/>
      <c r="M6007" s="852"/>
    </row>
    <row r="6008" spans="5:13">
      <c r="E6008" s="852"/>
      <c r="F6008" s="852"/>
      <c r="G6008" s="852"/>
      <c r="H6008" s="852"/>
      <c r="I6008" s="852"/>
      <c r="J6008" s="852"/>
      <c r="K6008" s="852"/>
      <c r="L6008" s="852"/>
      <c r="M6008" s="852"/>
    </row>
    <row r="6009" spans="5:13">
      <c r="E6009" s="852"/>
      <c r="F6009" s="852"/>
      <c r="G6009" s="852"/>
      <c r="H6009" s="852"/>
      <c r="I6009" s="852"/>
      <c r="J6009" s="852"/>
      <c r="K6009" s="852"/>
      <c r="L6009" s="852"/>
      <c r="M6009" s="852"/>
    </row>
    <row r="6010" spans="5:13">
      <c r="E6010" s="852"/>
      <c r="F6010" s="852"/>
      <c r="G6010" s="852"/>
      <c r="H6010" s="852"/>
      <c r="I6010" s="852"/>
      <c r="J6010" s="852"/>
      <c r="K6010" s="852"/>
      <c r="L6010" s="852"/>
      <c r="M6010" s="852"/>
    </row>
    <row r="6011" spans="5:13">
      <c r="E6011" s="852"/>
      <c r="F6011" s="852"/>
      <c r="G6011" s="852"/>
      <c r="H6011" s="852"/>
      <c r="I6011" s="852"/>
      <c r="J6011" s="852"/>
      <c r="K6011" s="852"/>
      <c r="L6011" s="852"/>
      <c r="M6011" s="852"/>
    </row>
    <row r="6012" spans="5:13">
      <c r="E6012" s="852"/>
      <c r="F6012" s="852"/>
      <c r="G6012" s="852"/>
      <c r="H6012" s="852"/>
      <c r="I6012" s="852"/>
      <c r="J6012" s="852"/>
      <c r="K6012" s="852"/>
      <c r="L6012" s="852"/>
      <c r="M6012" s="852"/>
    </row>
    <row r="6013" spans="5:13">
      <c r="E6013" s="852"/>
      <c r="F6013" s="852"/>
      <c r="G6013" s="852"/>
      <c r="H6013" s="852"/>
      <c r="I6013" s="852"/>
      <c r="J6013" s="852"/>
      <c r="K6013" s="852"/>
      <c r="L6013" s="852"/>
      <c r="M6013" s="852"/>
    </row>
    <row r="6014" spans="5:13">
      <c r="E6014" s="852"/>
      <c r="F6014" s="852"/>
      <c r="G6014" s="852"/>
      <c r="H6014" s="852"/>
      <c r="I6014" s="852"/>
      <c r="J6014" s="852"/>
      <c r="K6014" s="852"/>
      <c r="L6014" s="852"/>
      <c r="M6014" s="852"/>
    </row>
    <row r="6015" spans="5:13">
      <c r="E6015" s="852"/>
      <c r="F6015" s="852"/>
      <c r="G6015" s="852"/>
      <c r="H6015" s="852"/>
      <c r="I6015" s="852"/>
      <c r="J6015" s="852"/>
      <c r="K6015" s="852"/>
      <c r="L6015" s="852"/>
      <c r="M6015" s="852"/>
    </row>
    <row r="6016" spans="5:13">
      <c r="E6016" s="852"/>
      <c r="F6016" s="852"/>
      <c r="G6016" s="852"/>
      <c r="H6016" s="852"/>
      <c r="I6016" s="852"/>
      <c r="J6016" s="852"/>
      <c r="K6016" s="852"/>
      <c r="L6016" s="852"/>
      <c r="M6016" s="852"/>
    </row>
    <row r="6017" spans="5:13">
      <c r="E6017" s="852"/>
      <c r="F6017" s="852"/>
      <c r="G6017" s="852"/>
      <c r="H6017" s="852"/>
      <c r="I6017" s="852"/>
      <c r="J6017" s="852"/>
      <c r="K6017" s="852"/>
      <c r="L6017" s="852"/>
      <c r="M6017" s="852"/>
    </row>
    <row r="6018" spans="5:13">
      <c r="E6018" s="852"/>
      <c r="F6018" s="852"/>
      <c r="G6018" s="852"/>
      <c r="H6018" s="852"/>
      <c r="I6018" s="852"/>
      <c r="J6018" s="852"/>
      <c r="K6018" s="852"/>
      <c r="L6018" s="852"/>
      <c r="M6018" s="852"/>
    </row>
    <row r="6019" spans="5:13">
      <c r="E6019" s="852"/>
      <c r="F6019" s="852"/>
      <c r="G6019" s="852"/>
      <c r="H6019" s="852"/>
      <c r="I6019" s="852"/>
      <c r="J6019" s="852"/>
      <c r="K6019" s="852"/>
      <c r="L6019" s="852"/>
      <c r="M6019" s="852"/>
    </row>
    <row r="6020" spans="5:13">
      <c r="E6020" s="852"/>
      <c r="F6020" s="852"/>
      <c r="G6020" s="852"/>
      <c r="H6020" s="852"/>
      <c r="I6020" s="852"/>
      <c r="J6020" s="852"/>
      <c r="K6020" s="852"/>
      <c r="L6020" s="852"/>
      <c r="M6020" s="852"/>
    </row>
    <row r="6021" spans="5:13">
      <c r="E6021" s="852"/>
      <c r="F6021" s="852"/>
      <c r="G6021" s="852"/>
      <c r="H6021" s="852"/>
      <c r="I6021" s="852"/>
      <c r="J6021" s="852"/>
      <c r="K6021" s="852"/>
      <c r="L6021" s="852"/>
      <c r="M6021" s="852"/>
    </row>
    <row r="6022" spans="5:13">
      <c r="E6022" s="852"/>
      <c r="F6022" s="852"/>
      <c r="G6022" s="852"/>
      <c r="H6022" s="852"/>
      <c r="I6022" s="852"/>
      <c r="J6022" s="852"/>
      <c r="K6022" s="852"/>
      <c r="L6022" s="852"/>
      <c r="M6022" s="852"/>
    </row>
    <row r="6023" spans="5:13">
      <c r="E6023" s="852"/>
      <c r="F6023" s="852"/>
      <c r="G6023" s="852"/>
      <c r="H6023" s="852"/>
      <c r="I6023" s="852"/>
      <c r="J6023" s="852"/>
      <c r="K6023" s="852"/>
      <c r="L6023" s="852"/>
      <c r="M6023" s="852"/>
    </row>
    <row r="6024" spans="5:13">
      <c r="E6024" s="852"/>
      <c r="F6024" s="852"/>
      <c r="G6024" s="852"/>
      <c r="H6024" s="852"/>
      <c r="I6024" s="852"/>
      <c r="J6024" s="852"/>
      <c r="K6024" s="852"/>
      <c r="L6024" s="852"/>
      <c r="M6024" s="852"/>
    </row>
    <row r="6025" spans="5:13">
      <c r="E6025" s="852"/>
      <c r="F6025" s="852"/>
      <c r="G6025" s="852"/>
      <c r="H6025" s="852"/>
      <c r="I6025" s="852"/>
      <c r="J6025" s="852"/>
      <c r="K6025" s="852"/>
      <c r="L6025" s="852"/>
      <c r="M6025" s="852"/>
    </row>
    <row r="6026" spans="5:13">
      <c r="E6026" s="852"/>
      <c r="F6026" s="852"/>
      <c r="G6026" s="852"/>
      <c r="H6026" s="852"/>
      <c r="I6026" s="852"/>
      <c r="J6026" s="852"/>
      <c r="K6026" s="852"/>
      <c r="L6026" s="852"/>
      <c r="M6026" s="852"/>
    </row>
    <row r="6027" spans="5:13">
      <c r="E6027" s="852"/>
      <c r="F6027" s="852"/>
      <c r="G6027" s="852"/>
      <c r="H6027" s="852"/>
      <c r="I6027" s="852"/>
      <c r="J6027" s="852"/>
      <c r="K6027" s="852"/>
      <c r="L6027" s="852"/>
      <c r="M6027" s="852"/>
    </row>
    <row r="6028" spans="5:13">
      <c r="E6028" s="852"/>
      <c r="F6028" s="852"/>
      <c r="G6028" s="852"/>
      <c r="H6028" s="852"/>
      <c r="I6028" s="852"/>
      <c r="J6028" s="852"/>
      <c r="K6028" s="852"/>
      <c r="L6028" s="852"/>
      <c r="M6028" s="852"/>
    </row>
    <row r="6029" spans="5:13">
      <c r="E6029" s="852"/>
      <c r="F6029" s="852"/>
      <c r="G6029" s="852"/>
      <c r="H6029" s="852"/>
      <c r="I6029" s="852"/>
      <c r="J6029" s="852"/>
      <c r="K6029" s="852"/>
      <c r="L6029" s="852"/>
      <c r="M6029" s="852"/>
    </row>
    <row r="6030" spans="5:13">
      <c r="E6030" s="852"/>
      <c r="F6030" s="852"/>
      <c r="G6030" s="852"/>
      <c r="H6030" s="852"/>
      <c r="I6030" s="852"/>
      <c r="J6030" s="852"/>
      <c r="K6030" s="852"/>
      <c r="L6030" s="852"/>
      <c r="M6030" s="852"/>
    </row>
    <row r="6031" spans="5:13">
      <c r="E6031" s="852"/>
      <c r="F6031" s="852"/>
      <c r="G6031" s="852"/>
      <c r="H6031" s="852"/>
      <c r="I6031" s="852"/>
      <c r="J6031" s="852"/>
      <c r="K6031" s="852"/>
      <c r="L6031" s="852"/>
      <c r="M6031" s="852"/>
    </row>
    <row r="6032" spans="5:13">
      <c r="E6032" s="852"/>
      <c r="F6032" s="852"/>
      <c r="G6032" s="852"/>
      <c r="H6032" s="852"/>
      <c r="I6032" s="852"/>
      <c r="J6032" s="852"/>
      <c r="K6032" s="852"/>
      <c r="L6032" s="852"/>
      <c r="M6032" s="852"/>
    </row>
    <row r="6033" spans="5:13">
      <c r="E6033" s="852"/>
      <c r="F6033" s="852"/>
      <c r="G6033" s="852"/>
      <c r="H6033" s="852"/>
      <c r="I6033" s="852"/>
      <c r="J6033" s="852"/>
      <c r="K6033" s="852"/>
      <c r="L6033" s="852"/>
      <c r="M6033" s="852"/>
    </row>
    <row r="6034" spans="5:13">
      <c r="E6034" s="852"/>
      <c r="F6034" s="852"/>
      <c r="G6034" s="852"/>
      <c r="H6034" s="852"/>
      <c r="I6034" s="852"/>
      <c r="J6034" s="852"/>
      <c r="K6034" s="852"/>
      <c r="L6034" s="852"/>
      <c r="M6034" s="852"/>
    </row>
    <row r="6035" spans="5:13">
      <c r="E6035" s="852"/>
      <c r="F6035" s="852"/>
      <c r="G6035" s="852"/>
      <c r="H6035" s="852"/>
      <c r="I6035" s="852"/>
      <c r="J6035" s="852"/>
      <c r="K6035" s="852"/>
      <c r="L6035" s="852"/>
      <c r="M6035" s="852"/>
    </row>
    <row r="6036" spans="5:13">
      <c r="E6036" s="852"/>
      <c r="F6036" s="852"/>
      <c r="G6036" s="852"/>
      <c r="H6036" s="852"/>
      <c r="I6036" s="852"/>
      <c r="J6036" s="852"/>
      <c r="K6036" s="852"/>
      <c r="L6036" s="852"/>
      <c r="M6036" s="852"/>
    </row>
    <row r="6037" spans="5:13">
      <c r="E6037" s="852"/>
      <c r="F6037" s="852"/>
      <c r="G6037" s="852"/>
      <c r="H6037" s="852"/>
      <c r="I6037" s="852"/>
      <c r="J6037" s="852"/>
      <c r="K6037" s="852"/>
      <c r="L6037" s="852"/>
      <c r="M6037" s="852"/>
    </row>
    <row r="6038" spans="5:13">
      <c r="E6038" s="852"/>
      <c r="F6038" s="852"/>
      <c r="G6038" s="852"/>
      <c r="H6038" s="852"/>
      <c r="I6038" s="852"/>
      <c r="J6038" s="852"/>
      <c r="K6038" s="852"/>
      <c r="L6038" s="852"/>
      <c r="M6038" s="852"/>
    </row>
    <row r="6039" spans="5:13">
      <c r="E6039" s="852"/>
      <c r="F6039" s="852"/>
      <c r="G6039" s="852"/>
      <c r="H6039" s="852"/>
      <c r="I6039" s="852"/>
      <c r="J6039" s="852"/>
      <c r="K6039" s="852"/>
      <c r="L6039" s="852"/>
      <c r="M6039" s="852"/>
    </row>
    <row r="6040" spans="5:13">
      <c r="E6040" s="852"/>
      <c r="F6040" s="852"/>
      <c r="G6040" s="852"/>
      <c r="H6040" s="852"/>
      <c r="I6040" s="852"/>
      <c r="J6040" s="852"/>
      <c r="K6040" s="852"/>
      <c r="L6040" s="852"/>
      <c r="M6040" s="852"/>
    </row>
    <row r="6041" spans="5:13">
      <c r="E6041" s="852"/>
      <c r="F6041" s="852"/>
      <c r="G6041" s="852"/>
      <c r="H6041" s="852"/>
      <c r="I6041" s="852"/>
      <c r="J6041" s="852"/>
      <c r="K6041" s="852"/>
      <c r="L6041" s="852"/>
      <c r="M6041" s="852"/>
    </row>
    <row r="6042" spans="5:13">
      <c r="E6042" s="852"/>
      <c r="F6042" s="852"/>
      <c r="G6042" s="852"/>
      <c r="H6042" s="852"/>
      <c r="I6042" s="852"/>
      <c r="J6042" s="852"/>
      <c r="K6042" s="852"/>
      <c r="L6042" s="852"/>
      <c r="M6042" s="852"/>
    </row>
    <row r="6043" spans="5:13">
      <c r="E6043" s="852"/>
      <c r="F6043" s="852"/>
      <c r="G6043" s="852"/>
      <c r="H6043" s="852"/>
      <c r="I6043" s="852"/>
      <c r="J6043" s="852"/>
      <c r="K6043" s="852"/>
      <c r="L6043" s="852"/>
      <c r="M6043" s="852"/>
    </row>
    <row r="6044" spans="5:13">
      <c r="E6044" s="852"/>
      <c r="F6044" s="852"/>
      <c r="G6044" s="852"/>
      <c r="H6044" s="852"/>
      <c r="I6044" s="852"/>
      <c r="J6044" s="852"/>
      <c r="K6044" s="852"/>
      <c r="L6044" s="852"/>
      <c r="M6044" s="852"/>
    </row>
    <row r="6045" spans="5:13">
      <c r="E6045" s="852"/>
      <c r="F6045" s="852"/>
      <c r="G6045" s="852"/>
      <c r="H6045" s="852"/>
      <c r="I6045" s="852"/>
      <c r="J6045" s="852"/>
      <c r="K6045" s="852"/>
      <c r="L6045" s="852"/>
      <c r="M6045" s="852"/>
    </row>
    <row r="6046" spans="5:13">
      <c r="E6046" s="852"/>
      <c r="F6046" s="852"/>
      <c r="G6046" s="852"/>
      <c r="H6046" s="852"/>
      <c r="I6046" s="852"/>
      <c r="J6046" s="852"/>
      <c r="K6046" s="852"/>
      <c r="L6046" s="852"/>
      <c r="M6046" s="852"/>
    </row>
    <row r="6047" spans="5:13">
      <c r="E6047" s="852"/>
      <c r="F6047" s="852"/>
      <c r="G6047" s="852"/>
      <c r="H6047" s="852"/>
      <c r="I6047" s="852"/>
      <c r="J6047" s="852"/>
      <c r="K6047" s="852"/>
      <c r="L6047" s="852"/>
      <c r="M6047" s="852"/>
    </row>
    <row r="6048" spans="5:13">
      <c r="E6048" s="852"/>
      <c r="F6048" s="852"/>
      <c r="G6048" s="852"/>
      <c r="H6048" s="852"/>
      <c r="I6048" s="852"/>
      <c r="J6048" s="852"/>
      <c r="K6048" s="852"/>
      <c r="L6048" s="852"/>
      <c r="M6048" s="852"/>
    </row>
    <row r="6049" spans="5:13">
      <c r="E6049" s="852"/>
      <c r="F6049" s="852"/>
      <c r="G6049" s="852"/>
      <c r="H6049" s="852"/>
      <c r="I6049" s="852"/>
      <c r="J6049" s="852"/>
      <c r="K6049" s="852"/>
      <c r="L6049" s="852"/>
      <c r="M6049" s="852"/>
    </row>
    <row r="6050" spans="5:13">
      <c r="E6050" s="852"/>
      <c r="F6050" s="852"/>
      <c r="G6050" s="852"/>
      <c r="H6050" s="852"/>
      <c r="I6050" s="852"/>
      <c r="J6050" s="852"/>
      <c r="K6050" s="852"/>
      <c r="L6050" s="852"/>
      <c r="M6050" s="852"/>
    </row>
    <row r="6051" spans="5:13">
      <c r="E6051" s="852"/>
      <c r="F6051" s="852"/>
      <c r="G6051" s="852"/>
      <c r="H6051" s="852"/>
      <c r="I6051" s="852"/>
      <c r="J6051" s="852"/>
      <c r="K6051" s="852"/>
      <c r="L6051" s="852"/>
      <c r="M6051" s="852"/>
    </row>
    <row r="6052" spans="5:13">
      <c r="E6052" s="852"/>
      <c r="F6052" s="852"/>
      <c r="G6052" s="852"/>
      <c r="H6052" s="852"/>
      <c r="I6052" s="852"/>
      <c r="J6052" s="852"/>
      <c r="K6052" s="852"/>
      <c r="L6052" s="852"/>
      <c r="M6052" s="852"/>
    </row>
    <row r="6053" spans="5:13">
      <c r="E6053" s="852"/>
      <c r="F6053" s="852"/>
      <c r="G6053" s="852"/>
      <c r="H6053" s="852"/>
      <c r="I6053" s="852"/>
      <c r="J6053" s="852"/>
      <c r="K6053" s="852"/>
      <c r="L6053" s="852"/>
      <c r="M6053" s="852"/>
    </row>
    <row r="6054" spans="5:13">
      <c r="E6054" s="852"/>
      <c r="F6054" s="852"/>
      <c r="G6054" s="852"/>
      <c r="H6054" s="852"/>
      <c r="I6054" s="852"/>
      <c r="J6054" s="852"/>
      <c r="K6054" s="852"/>
      <c r="L6054" s="852"/>
      <c r="M6054" s="852"/>
    </row>
    <row r="6055" spans="5:13">
      <c r="E6055" s="852"/>
      <c r="F6055" s="852"/>
      <c r="G6055" s="852"/>
      <c r="H6055" s="852"/>
      <c r="I6055" s="852"/>
      <c r="J6055" s="852"/>
      <c r="K6055" s="852"/>
      <c r="L6055" s="852"/>
      <c r="M6055" s="852"/>
    </row>
    <row r="6056" spans="5:13">
      <c r="E6056" s="852"/>
      <c r="F6056" s="852"/>
      <c r="G6056" s="852"/>
      <c r="H6056" s="852"/>
      <c r="I6056" s="852"/>
      <c r="J6056" s="852"/>
      <c r="K6056" s="852"/>
      <c r="L6056" s="852"/>
      <c r="M6056" s="852"/>
    </row>
    <row r="6057" spans="5:13">
      <c r="E6057" s="852"/>
      <c r="F6057" s="852"/>
      <c r="G6057" s="852"/>
      <c r="H6057" s="852"/>
      <c r="I6057" s="852"/>
      <c r="J6057" s="852"/>
      <c r="K6057" s="852"/>
      <c r="L6057" s="852"/>
      <c r="M6057" s="852"/>
    </row>
    <row r="6058" spans="5:13">
      <c r="E6058" s="852"/>
      <c r="F6058" s="852"/>
      <c r="G6058" s="852"/>
      <c r="H6058" s="852"/>
      <c r="I6058" s="852"/>
      <c r="J6058" s="852"/>
      <c r="K6058" s="852"/>
      <c r="L6058" s="852"/>
      <c r="M6058" s="852"/>
    </row>
    <row r="6059" spans="5:13">
      <c r="E6059" s="852"/>
      <c r="F6059" s="852"/>
      <c r="G6059" s="852"/>
      <c r="H6059" s="852"/>
      <c r="I6059" s="852"/>
      <c r="J6059" s="852"/>
      <c r="K6059" s="852"/>
      <c r="L6059" s="852"/>
      <c r="M6059" s="852"/>
    </row>
    <row r="6060" spans="5:13">
      <c r="E6060" s="852"/>
      <c r="F6060" s="852"/>
      <c r="G6060" s="852"/>
      <c r="H6060" s="852"/>
      <c r="I6060" s="852"/>
      <c r="J6060" s="852"/>
      <c r="K6060" s="852"/>
      <c r="L6060" s="852"/>
      <c r="M6060" s="852"/>
    </row>
    <row r="6061" spans="5:13">
      <c r="E6061" s="852"/>
      <c r="F6061" s="852"/>
      <c r="G6061" s="852"/>
      <c r="H6061" s="852"/>
      <c r="I6061" s="852"/>
      <c r="J6061" s="852"/>
      <c r="K6061" s="852"/>
      <c r="L6061" s="852"/>
      <c r="M6061" s="852"/>
    </row>
    <row r="6062" spans="5:13">
      <c r="E6062" s="852"/>
      <c r="F6062" s="852"/>
      <c r="G6062" s="852"/>
      <c r="H6062" s="852"/>
      <c r="I6062" s="852"/>
      <c r="J6062" s="852"/>
      <c r="K6062" s="852"/>
      <c r="L6062" s="852"/>
      <c r="M6062" s="852"/>
    </row>
    <row r="6063" spans="5:13">
      <c r="E6063" s="852"/>
      <c r="F6063" s="852"/>
      <c r="G6063" s="852"/>
      <c r="H6063" s="852"/>
      <c r="I6063" s="852"/>
      <c r="J6063" s="852"/>
      <c r="K6063" s="852"/>
      <c r="L6063" s="852"/>
      <c r="M6063" s="852"/>
    </row>
    <row r="6064" spans="5:13">
      <c r="E6064" s="852"/>
      <c r="F6064" s="852"/>
      <c r="G6064" s="852"/>
      <c r="H6064" s="852"/>
      <c r="I6064" s="852"/>
      <c r="J6064" s="852"/>
      <c r="K6064" s="852"/>
      <c r="L6064" s="852"/>
      <c r="M6064" s="852"/>
    </row>
    <row r="6065" spans="5:13">
      <c r="E6065" s="852"/>
      <c r="F6065" s="852"/>
      <c r="G6065" s="852"/>
      <c r="H6065" s="852"/>
      <c r="I6065" s="852"/>
      <c r="J6065" s="852"/>
      <c r="K6065" s="852"/>
      <c r="L6065" s="852"/>
      <c r="M6065" s="852"/>
    </row>
    <row r="6066" spans="5:13">
      <c r="E6066" s="852"/>
      <c r="F6066" s="852"/>
      <c r="G6066" s="852"/>
      <c r="H6066" s="852"/>
      <c r="I6066" s="852"/>
      <c r="J6066" s="852"/>
      <c r="K6066" s="852"/>
      <c r="L6066" s="852"/>
      <c r="M6066" s="852"/>
    </row>
    <row r="6067" spans="5:13">
      <c r="E6067" s="852"/>
      <c r="F6067" s="852"/>
      <c r="G6067" s="852"/>
      <c r="H6067" s="852"/>
      <c r="I6067" s="852"/>
      <c r="J6067" s="852"/>
      <c r="K6067" s="852"/>
      <c r="L6067" s="852"/>
      <c r="M6067" s="852"/>
    </row>
    <row r="6068" spans="5:13">
      <c r="E6068" s="852"/>
      <c r="F6068" s="852"/>
      <c r="G6068" s="852"/>
      <c r="H6068" s="852"/>
      <c r="I6068" s="852"/>
      <c r="J6068" s="852"/>
      <c r="K6068" s="852"/>
      <c r="L6068" s="852"/>
      <c r="M6068" s="852"/>
    </row>
    <row r="6069" spans="5:13">
      <c r="E6069" s="852"/>
      <c r="F6069" s="852"/>
      <c r="G6069" s="852"/>
      <c r="H6069" s="852"/>
      <c r="I6069" s="852"/>
      <c r="J6069" s="852"/>
      <c r="K6069" s="852"/>
      <c r="L6069" s="852"/>
      <c r="M6069" s="852"/>
    </row>
    <row r="6070" spans="5:13">
      <c r="E6070" s="852"/>
      <c r="F6070" s="852"/>
      <c r="G6070" s="852"/>
      <c r="H6070" s="852"/>
      <c r="I6070" s="852"/>
      <c r="J6070" s="852"/>
      <c r="K6070" s="852"/>
      <c r="L6070" s="852"/>
      <c r="M6070" s="852"/>
    </row>
    <row r="6071" spans="5:13">
      <c r="E6071" s="852"/>
      <c r="F6071" s="852"/>
      <c r="G6071" s="852"/>
      <c r="H6071" s="852"/>
      <c r="I6071" s="852"/>
      <c r="J6071" s="852"/>
      <c r="K6071" s="852"/>
      <c r="L6071" s="852"/>
      <c r="M6071" s="852"/>
    </row>
    <row r="6072" spans="5:13">
      <c r="E6072" s="852"/>
      <c r="F6072" s="852"/>
      <c r="G6072" s="852"/>
      <c r="H6072" s="852"/>
      <c r="I6072" s="852"/>
      <c r="J6072" s="852"/>
      <c r="K6072" s="852"/>
      <c r="L6072" s="852"/>
      <c r="M6072" s="852"/>
    </row>
    <row r="6073" spans="5:13">
      <c r="E6073" s="852"/>
      <c r="F6073" s="852"/>
      <c r="G6073" s="852"/>
      <c r="H6073" s="852"/>
      <c r="I6073" s="852"/>
      <c r="J6073" s="852"/>
      <c r="K6073" s="852"/>
      <c r="L6073" s="852"/>
      <c r="M6073" s="852"/>
    </row>
    <row r="6074" spans="5:13">
      <c r="E6074" s="852"/>
      <c r="F6074" s="852"/>
      <c r="G6074" s="852"/>
      <c r="H6074" s="852"/>
      <c r="I6074" s="852"/>
      <c r="J6074" s="852"/>
      <c r="K6074" s="852"/>
      <c r="L6074" s="852"/>
      <c r="M6074" s="852"/>
    </row>
    <row r="6075" spans="5:13">
      <c r="E6075" s="852"/>
      <c r="F6075" s="852"/>
      <c r="G6075" s="852"/>
      <c r="H6075" s="852"/>
      <c r="I6075" s="852"/>
      <c r="J6075" s="852"/>
      <c r="K6075" s="852"/>
      <c r="L6075" s="852"/>
      <c r="M6075" s="852"/>
    </row>
    <row r="6076" spans="5:13">
      <c r="E6076" s="852"/>
      <c r="F6076" s="852"/>
      <c r="G6076" s="852"/>
      <c r="H6076" s="852"/>
      <c r="I6076" s="852"/>
      <c r="J6076" s="852"/>
      <c r="K6076" s="852"/>
      <c r="L6076" s="852"/>
      <c r="M6076" s="852"/>
    </row>
    <row r="6077" spans="5:13">
      <c r="E6077" s="852"/>
      <c r="F6077" s="852"/>
      <c r="G6077" s="852"/>
      <c r="H6077" s="852"/>
      <c r="I6077" s="852"/>
      <c r="J6077" s="852"/>
      <c r="K6077" s="852"/>
      <c r="L6077" s="852"/>
      <c r="M6077" s="852"/>
    </row>
    <row r="6078" spans="5:13">
      <c r="E6078" s="852"/>
      <c r="F6078" s="852"/>
      <c r="G6078" s="852"/>
      <c r="H6078" s="852"/>
      <c r="I6078" s="852"/>
      <c r="J6078" s="852"/>
      <c r="K6078" s="852"/>
      <c r="L6078" s="852"/>
      <c r="M6078" s="852"/>
    </row>
    <row r="6079" spans="5:13">
      <c r="E6079" s="852"/>
      <c r="F6079" s="852"/>
      <c r="G6079" s="852"/>
      <c r="H6079" s="852"/>
      <c r="I6079" s="852"/>
      <c r="J6079" s="852"/>
      <c r="K6079" s="852"/>
      <c r="L6079" s="852"/>
      <c r="M6079" s="852"/>
    </row>
    <row r="6080" spans="5:13">
      <c r="E6080" s="852"/>
      <c r="F6080" s="852"/>
      <c r="G6080" s="852"/>
      <c r="H6080" s="852"/>
      <c r="I6080" s="852"/>
      <c r="J6080" s="852"/>
      <c r="K6080" s="852"/>
      <c r="L6080" s="852"/>
      <c r="M6080" s="852"/>
    </row>
    <row r="6081" spans="5:13">
      <c r="E6081" s="852"/>
      <c r="F6081" s="852"/>
      <c r="G6081" s="852"/>
      <c r="H6081" s="852"/>
      <c r="I6081" s="852"/>
      <c r="J6081" s="852"/>
      <c r="K6081" s="852"/>
      <c r="L6081" s="852"/>
      <c r="M6081" s="852"/>
    </row>
    <row r="6082" spans="5:13">
      <c r="E6082" s="852"/>
      <c r="F6082" s="852"/>
      <c r="G6082" s="852"/>
      <c r="H6082" s="852"/>
      <c r="I6082" s="852"/>
      <c r="J6082" s="852"/>
      <c r="K6082" s="852"/>
      <c r="L6082" s="852"/>
      <c r="M6082" s="852"/>
    </row>
    <row r="6083" spans="5:13">
      <c r="E6083" s="852"/>
      <c r="F6083" s="852"/>
      <c r="G6083" s="852"/>
      <c r="H6083" s="852"/>
      <c r="I6083" s="852"/>
      <c r="J6083" s="852"/>
      <c r="K6083" s="852"/>
      <c r="L6083" s="852"/>
      <c r="M6083" s="852"/>
    </row>
    <row r="6084" spans="5:13">
      <c r="E6084" s="852"/>
      <c r="F6084" s="852"/>
      <c r="G6084" s="852"/>
      <c r="H6084" s="852"/>
      <c r="I6084" s="852"/>
      <c r="J6084" s="852"/>
      <c r="K6084" s="852"/>
      <c r="L6084" s="852"/>
      <c r="M6084" s="852"/>
    </row>
    <row r="6085" spans="5:13">
      <c r="E6085" s="852"/>
      <c r="F6085" s="852"/>
      <c r="G6085" s="852"/>
      <c r="H6085" s="852"/>
      <c r="I6085" s="852"/>
      <c r="J6085" s="852"/>
      <c r="K6085" s="852"/>
      <c r="L6085" s="852"/>
      <c r="M6085" s="852"/>
    </row>
    <row r="6086" spans="5:13">
      <c r="E6086" s="852"/>
      <c r="F6086" s="852"/>
      <c r="G6086" s="852"/>
      <c r="H6086" s="852"/>
      <c r="I6086" s="852"/>
      <c r="J6086" s="852"/>
      <c r="K6086" s="852"/>
      <c r="L6086" s="852"/>
      <c r="M6086" s="852"/>
    </row>
    <row r="6087" spans="5:13">
      <c r="E6087" s="852"/>
      <c r="F6087" s="852"/>
      <c r="G6087" s="852"/>
      <c r="H6087" s="852"/>
      <c r="I6087" s="852"/>
      <c r="J6087" s="852"/>
      <c r="K6087" s="852"/>
      <c r="L6087" s="852"/>
      <c r="M6087" s="852"/>
    </row>
    <row r="6088" spans="5:13">
      <c r="E6088" s="852"/>
      <c r="F6088" s="852"/>
      <c r="G6088" s="852"/>
      <c r="H6088" s="852"/>
      <c r="I6088" s="852"/>
      <c r="J6088" s="852"/>
      <c r="K6088" s="852"/>
      <c r="L6088" s="852"/>
      <c r="M6088" s="852"/>
    </row>
    <row r="6089" spans="5:13">
      <c r="E6089" s="852"/>
      <c r="F6089" s="852"/>
      <c r="G6089" s="852"/>
      <c r="H6089" s="852"/>
      <c r="I6089" s="852"/>
      <c r="J6089" s="852"/>
      <c r="K6089" s="852"/>
      <c r="L6089" s="852"/>
      <c r="M6089" s="852"/>
    </row>
    <row r="6090" spans="5:13">
      <c r="E6090" s="852"/>
      <c r="F6090" s="852"/>
      <c r="G6090" s="852"/>
      <c r="H6090" s="852"/>
      <c r="I6090" s="852"/>
      <c r="J6090" s="852"/>
      <c r="K6090" s="852"/>
      <c r="L6090" s="852"/>
      <c r="M6090" s="852"/>
    </row>
    <row r="6091" spans="5:13">
      <c r="E6091" s="852"/>
      <c r="F6091" s="852"/>
      <c r="G6091" s="852"/>
      <c r="H6091" s="852"/>
      <c r="I6091" s="852"/>
      <c r="J6091" s="852"/>
      <c r="K6091" s="852"/>
      <c r="L6091" s="852"/>
      <c r="M6091" s="852"/>
    </row>
    <row r="6092" spans="5:13">
      <c r="E6092" s="852"/>
      <c r="F6092" s="852"/>
      <c r="G6092" s="852"/>
      <c r="H6092" s="852"/>
      <c r="I6092" s="852"/>
      <c r="J6092" s="852"/>
      <c r="K6092" s="852"/>
      <c r="L6092" s="852"/>
      <c r="M6092" s="852"/>
    </row>
    <row r="6093" spans="5:13">
      <c r="E6093" s="852"/>
      <c r="F6093" s="852"/>
      <c r="G6093" s="852"/>
      <c r="H6093" s="852"/>
      <c r="I6093" s="852"/>
      <c r="J6093" s="852"/>
      <c r="K6093" s="852"/>
      <c r="L6093" s="852"/>
      <c r="M6093" s="852"/>
    </row>
    <row r="6094" spans="5:13">
      <c r="E6094" s="852"/>
      <c r="F6094" s="852"/>
      <c r="G6094" s="852"/>
      <c r="H6094" s="852"/>
      <c r="I6094" s="852"/>
      <c r="J6094" s="852"/>
      <c r="K6094" s="852"/>
      <c r="L6094" s="852"/>
      <c r="M6094" s="852"/>
    </row>
    <row r="6095" spans="5:13">
      <c r="E6095" s="852"/>
      <c r="F6095" s="852"/>
      <c r="G6095" s="852"/>
      <c r="H6095" s="852"/>
      <c r="I6095" s="852"/>
      <c r="J6095" s="852"/>
      <c r="K6095" s="852"/>
      <c r="L6095" s="852"/>
      <c r="M6095" s="852"/>
    </row>
    <row r="6096" spans="5:13">
      <c r="E6096" s="852"/>
      <c r="F6096" s="852"/>
      <c r="G6096" s="852"/>
      <c r="H6096" s="852"/>
      <c r="I6096" s="852"/>
      <c r="J6096" s="852"/>
      <c r="K6096" s="852"/>
      <c r="L6096" s="852"/>
      <c r="M6096" s="852"/>
    </row>
    <row r="6097" spans="5:13">
      <c r="E6097" s="852"/>
      <c r="F6097" s="852"/>
      <c r="G6097" s="852"/>
      <c r="H6097" s="852"/>
      <c r="I6097" s="852"/>
      <c r="J6097" s="852"/>
      <c r="K6097" s="852"/>
      <c r="L6097" s="852"/>
      <c r="M6097" s="852"/>
    </row>
    <row r="6098" spans="5:13">
      <c r="E6098" s="852"/>
      <c r="F6098" s="852"/>
      <c r="G6098" s="852"/>
      <c r="H6098" s="852"/>
      <c r="I6098" s="852"/>
      <c r="J6098" s="852"/>
      <c r="K6098" s="852"/>
      <c r="L6098" s="852"/>
      <c r="M6098" s="852"/>
    </row>
    <row r="6099" spans="5:13">
      <c r="E6099" s="852"/>
      <c r="F6099" s="852"/>
      <c r="G6099" s="852"/>
      <c r="H6099" s="852"/>
      <c r="I6099" s="852"/>
      <c r="J6099" s="852"/>
      <c r="K6099" s="852"/>
      <c r="L6099" s="852"/>
      <c r="M6099" s="852"/>
    </row>
    <row r="6100" spans="5:13">
      <c r="E6100" s="852"/>
      <c r="F6100" s="852"/>
      <c r="G6100" s="852"/>
      <c r="H6100" s="852"/>
      <c r="I6100" s="852"/>
      <c r="J6100" s="852"/>
      <c r="K6100" s="852"/>
      <c r="L6100" s="852"/>
      <c r="M6100" s="852"/>
    </row>
    <row r="6101" spans="5:13">
      <c r="E6101" s="852"/>
      <c r="F6101" s="852"/>
      <c r="G6101" s="852"/>
      <c r="H6101" s="852"/>
      <c r="I6101" s="852"/>
      <c r="J6101" s="852"/>
      <c r="K6101" s="852"/>
      <c r="L6101" s="852"/>
      <c r="M6101" s="852"/>
    </row>
    <row r="6102" spans="5:13">
      <c r="E6102" s="852"/>
      <c r="F6102" s="852"/>
      <c r="G6102" s="852"/>
      <c r="H6102" s="852"/>
      <c r="I6102" s="852"/>
      <c r="J6102" s="852"/>
      <c r="K6102" s="852"/>
      <c r="L6102" s="852"/>
      <c r="M6102" s="852"/>
    </row>
    <row r="6103" spans="5:13">
      <c r="E6103" s="852"/>
      <c r="F6103" s="852"/>
      <c r="G6103" s="852"/>
      <c r="H6103" s="852"/>
      <c r="I6103" s="852"/>
      <c r="J6103" s="852"/>
      <c r="K6103" s="852"/>
      <c r="L6103" s="852"/>
      <c r="M6103" s="852"/>
    </row>
    <row r="6104" spans="5:13">
      <c r="E6104" s="852"/>
      <c r="F6104" s="852"/>
      <c r="G6104" s="852"/>
      <c r="H6104" s="852"/>
      <c r="I6104" s="852"/>
      <c r="J6104" s="852"/>
      <c r="K6104" s="852"/>
      <c r="L6104" s="852"/>
      <c r="M6104" s="852"/>
    </row>
    <row r="6105" spans="5:13">
      <c r="E6105" s="852"/>
      <c r="F6105" s="852"/>
      <c r="G6105" s="852"/>
      <c r="H6105" s="852"/>
      <c r="I6105" s="852"/>
      <c r="J6105" s="852"/>
      <c r="K6105" s="852"/>
      <c r="L6105" s="852"/>
      <c r="M6105" s="852"/>
    </row>
    <row r="6106" spans="5:13">
      <c r="E6106" s="852"/>
      <c r="F6106" s="852"/>
      <c r="G6106" s="852"/>
      <c r="H6106" s="852"/>
      <c r="I6106" s="852"/>
      <c r="J6106" s="852"/>
      <c r="K6106" s="852"/>
      <c r="L6106" s="852"/>
      <c r="M6106" s="852"/>
    </row>
    <row r="6107" spans="5:13">
      <c r="E6107" s="852"/>
      <c r="F6107" s="852"/>
      <c r="G6107" s="852"/>
      <c r="H6107" s="852"/>
      <c r="I6107" s="852"/>
      <c r="J6107" s="852"/>
      <c r="K6107" s="852"/>
      <c r="L6107" s="852"/>
      <c r="M6107" s="852"/>
    </row>
    <row r="6108" spans="5:13">
      <c r="E6108" s="852"/>
      <c r="F6108" s="852"/>
      <c r="G6108" s="852"/>
      <c r="H6108" s="852"/>
      <c r="I6108" s="852"/>
      <c r="J6108" s="852"/>
      <c r="K6108" s="852"/>
      <c r="L6108" s="852"/>
      <c r="M6108" s="852"/>
    </row>
    <row r="6109" spans="5:13">
      <c r="E6109" s="852"/>
      <c r="F6109" s="852"/>
      <c r="G6109" s="852"/>
      <c r="H6109" s="852"/>
      <c r="I6109" s="852"/>
      <c r="J6109" s="852"/>
      <c r="K6109" s="852"/>
      <c r="L6109" s="852"/>
      <c r="M6109" s="852"/>
    </row>
    <row r="6110" spans="5:13">
      <c r="E6110" s="852"/>
      <c r="F6110" s="852"/>
      <c r="G6110" s="852"/>
      <c r="H6110" s="852"/>
      <c r="I6110" s="852"/>
      <c r="J6110" s="852"/>
      <c r="K6110" s="852"/>
      <c r="L6110" s="852"/>
      <c r="M6110" s="852"/>
    </row>
    <row r="6111" spans="5:13">
      <c r="E6111" s="852"/>
      <c r="F6111" s="852"/>
      <c r="G6111" s="852"/>
      <c r="H6111" s="852"/>
      <c r="I6111" s="852"/>
      <c r="J6111" s="852"/>
      <c r="K6111" s="852"/>
      <c r="L6111" s="852"/>
      <c r="M6111" s="852"/>
    </row>
    <row r="6112" spans="5:13">
      <c r="E6112" s="852"/>
      <c r="F6112" s="852"/>
      <c r="G6112" s="852"/>
      <c r="H6112" s="852"/>
      <c r="I6112" s="852"/>
      <c r="J6112" s="852"/>
      <c r="K6112" s="852"/>
      <c r="L6112" s="852"/>
      <c r="M6112" s="852"/>
    </row>
    <row r="6113" spans="5:13">
      <c r="E6113" s="852"/>
      <c r="F6113" s="852"/>
      <c r="G6113" s="852"/>
      <c r="H6113" s="852"/>
      <c r="I6113" s="852"/>
      <c r="J6113" s="852"/>
      <c r="K6113" s="852"/>
      <c r="L6113" s="852"/>
      <c r="M6113" s="852"/>
    </row>
    <row r="6114" spans="5:13">
      <c r="E6114" s="852"/>
      <c r="F6114" s="852"/>
      <c r="G6114" s="852"/>
      <c r="H6114" s="852"/>
      <c r="I6114" s="852"/>
      <c r="J6114" s="852"/>
      <c r="K6114" s="852"/>
      <c r="L6114" s="852"/>
      <c r="M6114" s="852"/>
    </row>
    <row r="6115" spans="5:13">
      <c r="E6115" s="852"/>
      <c r="F6115" s="852"/>
      <c r="G6115" s="852"/>
      <c r="H6115" s="852"/>
      <c r="I6115" s="852"/>
      <c r="J6115" s="852"/>
      <c r="K6115" s="852"/>
      <c r="L6115" s="852"/>
      <c r="M6115" s="852"/>
    </row>
    <row r="6116" spans="5:13">
      <c r="E6116" s="852"/>
      <c r="F6116" s="852"/>
      <c r="G6116" s="852"/>
      <c r="H6116" s="852"/>
      <c r="I6116" s="852"/>
      <c r="J6116" s="852"/>
      <c r="K6116" s="852"/>
      <c r="L6116" s="852"/>
      <c r="M6116" s="852"/>
    </row>
    <row r="6117" spans="5:13">
      <c r="E6117" s="852"/>
      <c r="F6117" s="852"/>
      <c r="G6117" s="852"/>
      <c r="H6117" s="852"/>
      <c r="I6117" s="852"/>
      <c r="J6117" s="852"/>
      <c r="K6117" s="852"/>
      <c r="L6117" s="852"/>
      <c r="M6117" s="852"/>
    </row>
    <row r="6118" spans="5:13">
      <c r="E6118" s="852"/>
      <c r="F6118" s="852"/>
      <c r="G6118" s="852"/>
      <c r="H6118" s="852"/>
      <c r="I6118" s="852"/>
      <c r="J6118" s="852"/>
      <c r="K6118" s="852"/>
      <c r="L6118" s="852"/>
      <c r="M6118" s="852"/>
    </row>
    <row r="6119" spans="5:13">
      <c r="E6119" s="852"/>
      <c r="F6119" s="852"/>
      <c r="G6119" s="852"/>
      <c r="H6119" s="852"/>
      <c r="I6119" s="852"/>
      <c r="J6119" s="852"/>
      <c r="K6119" s="852"/>
      <c r="L6119" s="852"/>
      <c r="M6119" s="852"/>
    </row>
    <row r="6120" spans="5:13">
      <c r="E6120" s="852"/>
      <c r="F6120" s="852"/>
      <c r="G6120" s="852"/>
      <c r="H6120" s="852"/>
      <c r="I6120" s="852"/>
      <c r="J6120" s="852"/>
      <c r="K6120" s="852"/>
      <c r="L6120" s="852"/>
      <c r="M6120" s="852"/>
    </row>
    <row r="6121" spans="5:13">
      <c r="E6121" s="852"/>
      <c r="F6121" s="852"/>
      <c r="G6121" s="852"/>
      <c r="H6121" s="852"/>
      <c r="I6121" s="852"/>
      <c r="J6121" s="852"/>
      <c r="K6121" s="852"/>
      <c r="L6121" s="852"/>
      <c r="M6121" s="852"/>
    </row>
    <row r="6122" spans="5:13">
      <c r="E6122" s="852"/>
      <c r="F6122" s="852"/>
      <c r="G6122" s="852"/>
      <c r="H6122" s="852"/>
      <c r="I6122" s="852"/>
      <c r="J6122" s="852"/>
      <c r="K6122" s="852"/>
      <c r="L6122" s="852"/>
      <c r="M6122" s="852"/>
    </row>
    <row r="6123" spans="5:13">
      <c r="E6123" s="852"/>
      <c r="F6123" s="852"/>
      <c r="G6123" s="852"/>
      <c r="H6123" s="852"/>
      <c r="I6123" s="852"/>
      <c r="J6123" s="852"/>
      <c r="K6123" s="852"/>
      <c r="L6123" s="852"/>
      <c r="M6123" s="852"/>
    </row>
    <row r="6124" spans="5:13">
      <c r="E6124" s="852"/>
      <c r="F6124" s="852"/>
      <c r="G6124" s="852"/>
      <c r="H6124" s="852"/>
      <c r="I6124" s="852"/>
      <c r="J6124" s="852"/>
      <c r="K6124" s="852"/>
      <c r="L6124" s="852"/>
      <c r="M6124" s="852"/>
    </row>
    <row r="6125" spans="5:13">
      <c r="E6125" s="852"/>
      <c r="F6125" s="852"/>
      <c r="G6125" s="852"/>
      <c r="H6125" s="852"/>
      <c r="I6125" s="852"/>
      <c r="J6125" s="852"/>
      <c r="K6125" s="852"/>
      <c r="L6125" s="852"/>
      <c r="M6125" s="852"/>
    </row>
    <row r="6126" spans="5:13">
      <c r="E6126" s="852"/>
      <c r="F6126" s="852"/>
      <c r="G6126" s="852"/>
      <c r="H6126" s="852"/>
      <c r="I6126" s="852"/>
      <c r="J6126" s="852"/>
      <c r="K6126" s="852"/>
      <c r="L6126" s="852"/>
      <c r="M6126" s="852"/>
    </row>
    <row r="6127" spans="5:13">
      <c r="E6127" s="852"/>
      <c r="F6127" s="852"/>
      <c r="G6127" s="852"/>
      <c r="H6127" s="852"/>
      <c r="I6127" s="852"/>
      <c r="J6127" s="852"/>
      <c r="K6127" s="852"/>
      <c r="L6127" s="852"/>
      <c r="M6127" s="852"/>
    </row>
    <row r="6128" spans="5:13">
      <c r="E6128" s="852"/>
      <c r="F6128" s="852"/>
      <c r="G6128" s="852"/>
      <c r="H6128" s="852"/>
      <c r="I6128" s="852"/>
      <c r="J6128" s="852"/>
      <c r="K6128" s="852"/>
      <c r="L6128" s="852"/>
      <c r="M6128" s="852"/>
    </row>
    <row r="6129" spans="5:13">
      <c r="E6129" s="852"/>
      <c r="F6129" s="852"/>
      <c r="G6129" s="852"/>
      <c r="H6129" s="852"/>
      <c r="I6129" s="852"/>
      <c r="J6129" s="852"/>
      <c r="K6129" s="852"/>
      <c r="L6129" s="852"/>
      <c r="M6129" s="852"/>
    </row>
    <row r="6130" spans="5:13">
      <c r="E6130" s="852"/>
      <c r="F6130" s="852"/>
      <c r="G6130" s="852"/>
      <c r="H6130" s="852"/>
      <c r="I6130" s="852"/>
      <c r="J6130" s="852"/>
      <c r="K6130" s="852"/>
      <c r="L6130" s="852"/>
      <c r="M6130" s="852"/>
    </row>
    <row r="6131" spans="5:13">
      <c r="E6131" s="852"/>
      <c r="F6131" s="852"/>
      <c r="G6131" s="852"/>
      <c r="H6131" s="852"/>
      <c r="I6131" s="852"/>
      <c r="J6131" s="852"/>
      <c r="K6131" s="852"/>
      <c r="L6131" s="852"/>
      <c r="M6131" s="852"/>
    </row>
    <row r="6132" spans="5:13">
      <c r="E6132" s="852"/>
      <c r="F6132" s="852"/>
      <c r="G6132" s="852"/>
      <c r="H6132" s="852"/>
      <c r="I6132" s="852"/>
      <c r="J6132" s="852"/>
      <c r="K6132" s="852"/>
      <c r="L6132" s="852"/>
      <c r="M6132" s="852"/>
    </row>
    <row r="6133" spans="5:13">
      <c r="E6133" s="852"/>
      <c r="F6133" s="852"/>
      <c r="G6133" s="852"/>
      <c r="H6133" s="852"/>
      <c r="I6133" s="852"/>
      <c r="J6133" s="852"/>
      <c r="K6133" s="852"/>
      <c r="L6133" s="852"/>
      <c r="M6133" s="852"/>
    </row>
    <row r="6134" spans="5:13">
      <c r="E6134" s="852"/>
      <c r="F6134" s="852"/>
      <c r="G6134" s="852"/>
      <c r="H6134" s="852"/>
      <c r="I6134" s="852"/>
      <c r="J6134" s="852"/>
      <c r="K6134" s="852"/>
      <c r="L6134" s="852"/>
      <c r="M6134" s="852"/>
    </row>
    <row r="6135" spans="5:13">
      <c r="E6135" s="852"/>
      <c r="F6135" s="852"/>
      <c r="G6135" s="852"/>
      <c r="H6135" s="852"/>
      <c r="I6135" s="852"/>
      <c r="J6135" s="852"/>
      <c r="K6135" s="852"/>
      <c r="L6135" s="852"/>
      <c r="M6135" s="852"/>
    </row>
    <row r="6136" spans="5:13">
      <c r="E6136" s="852"/>
      <c r="F6136" s="852"/>
      <c r="G6136" s="852"/>
      <c r="H6136" s="852"/>
      <c r="I6136" s="852"/>
      <c r="J6136" s="852"/>
      <c r="K6136" s="852"/>
      <c r="L6136" s="852"/>
      <c r="M6136" s="852"/>
    </row>
    <row r="6137" spans="5:13">
      <c r="E6137" s="852"/>
      <c r="F6137" s="852"/>
      <c r="G6137" s="852"/>
      <c r="H6137" s="852"/>
      <c r="I6137" s="852"/>
      <c r="J6137" s="852"/>
      <c r="K6137" s="852"/>
      <c r="L6137" s="852"/>
      <c r="M6137" s="852"/>
    </row>
    <row r="6138" spans="5:13">
      <c r="E6138" s="852"/>
      <c r="F6138" s="852"/>
      <c r="G6138" s="852"/>
      <c r="H6138" s="852"/>
      <c r="I6138" s="852"/>
      <c r="J6138" s="852"/>
      <c r="K6138" s="852"/>
      <c r="L6138" s="852"/>
      <c r="M6138" s="852"/>
    </row>
    <row r="6139" spans="5:13">
      <c r="E6139" s="852"/>
      <c r="F6139" s="852"/>
      <c r="G6139" s="852"/>
      <c r="H6139" s="852"/>
      <c r="I6139" s="852"/>
      <c r="J6139" s="852"/>
      <c r="K6139" s="852"/>
      <c r="L6139" s="852"/>
      <c r="M6139" s="852"/>
    </row>
    <row r="6140" spans="5:13">
      <c r="E6140" s="852"/>
      <c r="F6140" s="852"/>
      <c r="G6140" s="852"/>
      <c r="H6140" s="852"/>
      <c r="I6140" s="852"/>
      <c r="J6140" s="852"/>
      <c r="K6140" s="852"/>
      <c r="L6140" s="852"/>
      <c r="M6140" s="852"/>
    </row>
    <row r="6141" spans="5:13">
      <c r="E6141" s="852"/>
      <c r="F6141" s="852"/>
      <c r="G6141" s="852"/>
      <c r="H6141" s="852"/>
      <c r="I6141" s="852"/>
      <c r="J6141" s="852"/>
      <c r="K6141" s="852"/>
      <c r="L6141" s="852"/>
      <c r="M6141" s="852"/>
    </row>
    <row r="6142" spans="5:13">
      <c r="E6142" s="852"/>
      <c r="F6142" s="852"/>
      <c r="G6142" s="852"/>
      <c r="H6142" s="852"/>
      <c r="I6142" s="852"/>
      <c r="J6142" s="852"/>
      <c r="K6142" s="852"/>
      <c r="L6142" s="852"/>
      <c r="M6142" s="852"/>
    </row>
    <row r="6143" spans="5:13">
      <c r="E6143" s="852"/>
      <c r="F6143" s="852"/>
      <c r="G6143" s="852"/>
      <c r="H6143" s="852"/>
      <c r="I6143" s="852"/>
      <c r="J6143" s="852"/>
      <c r="K6143" s="852"/>
      <c r="L6143" s="852"/>
      <c r="M6143" s="852"/>
    </row>
    <row r="6144" spans="5:13">
      <c r="E6144" s="852"/>
      <c r="F6144" s="852"/>
      <c r="G6144" s="852"/>
      <c r="H6144" s="852"/>
      <c r="I6144" s="852"/>
      <c r="J6144" s="852"/>
      <c r="K6144" s="852"/>
      <c r="L6144" s="852"/>
      <c r="M6144" s="852"/>
    </row>
    <row r="6145" spans="5:13">
      <c r="E6145" s="852"/>
      <c r="F6145" s="852"/>
      <c r="G6145" s="852"/>
      <c r="H6145" s="852"/>
      <c r="I6145" s="852"/>
      <c r="J6145" s="852"/>
      <c r="K6145" s="852"/>
      <c r="L6145" s="852"/>
      <c r="M6145" s="852"/>
    </row>
    <row r="6146" spans="5:13">
      <c r="E6146" s="852"/>
      <c r="F6146" s="852"/>
      <c r="G6146" s="852"/>
      <c r="H6146" s="852"/>
      <c r="I6146" s="852"/>
      <c r="J6146" s="852"/>
      <c r="K6146" s="852"/>
      <c r="L6146" s="852"/>
      <c r="M6146" s="852"/>
    </row>
    <row r="6147" spans="5:13">
      <c r="E6147" s="852"/>
      <c r="F6147" s="852"/>
      <c r="G6147" s="852"/>
      <c r="H6147" s="852"/>
      <c r="I6147" s="852"/>
      <c r="J6147" s="852"/>
      <c r="K6147" s="852"/>
      <c r="L6147" s="852"/>
      <c r="M6147" s="852"/>
    </row>
    <row r="6148" spans="5:13">
      <c r="E6148" s="852"/>
      <c r="F6148" s="852"/>
      <c r="G6148" s="852"/>
      <c r="H6148" s="852"/>
      <c r="I6148" s="852"/>
      <c r="J6148" s="852"/>
      <c r="K6148" s="852"/>
      <c r="L6148" s="852"/>
      <c r="M6148" s="852"/>
    </row>
    <row r="6149" spans="5:13">
      <c r="E6149" s="852"/>
      <c r="F6149" s="852"/>
      <c r="G6149" s="852"/>
      <c r="H6149" s="852"/>
      <c r="I6149" s="852"/>
      <c r="J6149" s="852"/>
      <c r="K6149" s="852"/>
      <c r="L6149" s="852"/>
      <c r="M6149" s="852"/>
    </row>
    <row r="6150" spans="5:13">
      <c r="E6150" s="852"/>
      <c r="F6150" s="852"/>
      <c r="G6150" s="852"/>
      <c r="H6150" s="852"/>
      <c r="I6150" s="852"/>
      <c r="J6150" s="852"/>
      <c r="K6150" s="852"/>
      <c r="L6150" s="852"/>
      <c r="M6150" s="852"/>
    </row>
    <row r="6151" spans="5:13">
      <c r="E6151" s="852"/>
      <c r="F6151" s="852"/>
      <c r="G6151" s="852"/>
      <c r="H6151" s="852"/>
      <c r="I6151" s="852"/>
      <c r="J6151" s="852"/>
      <c r="K6151" s="852"/>
      <c r="L6151" s="852"/>
      <c r="M6151" s="852"/>
    </row>
    <row r="6152" spans="5:13">
      <c r="E6152" s="852"/>
      <c r="F6152" s="852"/>
      <c r="G6152" s="852"/>
      <c r="H6152" s="852"/>
      <c r="I6152" s="852"/>
      <c r="J6152" s="852"/>
      <c r="K6152" s="852"/>
      <c r="L6152" s="852"/>
      <c r="M6152" s="852"/>
    </row>
    <row r="6153" spans="5:13">
      <c r="E6153" s="852"/>
      <c r="F6153" s="852"/>
      <c r="G6153" s="852"/>
      <c r="H6153" s="852"/>
      <c r="I6153" s="852"/>
      <c r="J6153" s="852"/>
      <c r="K6153" s="852"/>
      <c r="L6153" s="852"/>
      <c r="M6153" s="852"/>
    </row>
    <row r="6154" spans="5:13">
      <c r="E6154" s="852"/>
      <c r="F6154" s="852"/>
      <c r="G6154" s="852"/>
      <c r="H6154" s="852"/>
      <c r="I6154" s="852"/>
      <c r="J6154" s="852"/>
      <c r="K6154" s="852"/>
      <c r="L6154" s="852"/>
      <c r="M6154" s="852"/>
    </row>
    <row r="6155" spans="5:13">
      <c r="E6155" s="852"/>
      <c r="F6155" s="852"/>
      <c r="G6155" s="852"/>
      <c r="H6155" s="852"/>
      <c r="I6155" s="852"/>
      <c r="J6155" s="852"/>
      <c r="K6155" s="852"/>
      <c r="L6155" s="852"/>
      <c r="M6155" s="852"/>
    </row>
    <row r="6156" spans="5:13">
      <c r="E6156" s="852"/>
      <c r="F6156" s="852"/>
      <c r="G6156" s="852"/>
      <c r="H6156" s="852"/>
      <c r="I6156" s="852"/>
      <c r="J6156" s="852"/>
      <c r="K6156" s="852"/>
      <c r="L6156" s="852"/>
      <c r="M6156" s="852"/>
    </row>
    <row r="6157" spans="5:13">
      <c r="E6157" s="852"/>
      <c r="F6157" s="852"/>
      <c r="G6157" s="852"/>
      <c r="H6157" s="852"/>
      <c r="I6157" s="852"/>
      <c r="J6157" s="852"/>
      <c r="K6157" s="852"/>
      <c r="L6157" s="852"/>
      <c r="M6157" s="852"/>
    </row>
    <row r="6158" spans="5:13">
      <c r="E6158" s="852"/>
      <c r="F6158" s="852"/>
      <c r="G6158" s="852"/>
      <c r="H6158" s="852"/>
      <c r="I6158" s="852"/>
      <c r="J6158" s="852"/>
      <c r="K6158" s="852"/>
      <c r="L6158" s="852"/>
      <c r="M6158" s="852"/>
    </row>
    <row r="6159" spans="5:13">
      <c r="E6159" s="852"/>
      <c r="F6159" s="852"/>
      <c r="G6159" s="852"/>
      <c r="H6159" s="852"/>
      <c r="I6159" s="852"/>
      <c r="J6159" s="852"/>
      <c r="K6159" s="852"/>
      <c r="L6159" s="852"/>
      <c r="M6159" s="852"/>
    </row>
    <row r="6160" spans="5:13">
      <c r="E6160" s="852"/>
      <c r="F6160" s="852"/>
      <c r="G6160" s="852"/>
      <c r="H6160" s="852"/>
      <c r="I6160" s="852"/>
      <c r="J6160" s="852"/>
      <c r="K6160" s="852"/>
      <c r="L6160" s="852"/>
      <c r="M6160" s="852"/>
    </row>
    <row r="6161" spans="5:13">
      <c r="E6161" s="852"/>
      <c r="F6161" s="852"/>
      <c r="G6161" s="852"/>
      <c r="H6161" s="852"/>
      <c r="I6161" s="852"/>
      <c r="J6161" s="852"/>
      <c r="K6161" s="852"/>
      <c r="L6161" s="852"/>
      <c r="M6161" s="852"/>
    </row>
    <row r="6162" spans="5:13">
      <c r="E6162" s="852"/>
      <c r="F6162" s="852"/>
      <c r="G6162" s="852"/>
      <c r="H6162" s="852"/>
      <c r="I6162" s="852"/>
      <c r="J6162" s="852"/>
      <c r="K6162" s="852"/>
      <c r="L6162" s="852"/>
      <c r="M6162" s="852"/>
    </row>
    <row r="6163" spans="5:13">
      <c r="E6163" s="852"/>
      <c r="F6163" s="852"/>
      <c r="G6163" s="852"/>
      <c r="H6163" s="852"/>
      <c r="I6163" s="852"/>
      <c r="J6163" s="852"/>
      <c r="K6163" s="852"/>
      <c r="L6163" s="852"/>
      <c r="M6163" s="852"/>
    </row>
    <row r="6164" spans="5:13">
      <c r="E6164" s="852"/>
      <c r="F6164" s="852"/>
      <c r="G6164" s="852"/>
      <c r="H6164" s="852"/>
      <c r="I6164" s="852"/>
      <c r="J6164" s="852"/>
      <c r="K6164" s="852"/>
      <c r="L6164" s="852"/>
      <c r="M6164" s="852"/>
    </row>
    <row r="6165" spans="5:13">
      <c r="E6165" s="852"/>
      <c r="F6165" s="852"/>
      <c r="G6165" s="852"/>
      <c r="H6165" s="852"/>
      <c r="I6165" s="852"/>
      <c r="J6165" s="852"/>
      <c r="K6165" s="852"/>
      <c r="L6165" s="852"/>
      <c r="M6165" s="852"/>
    </row>
    <row r="6166" spans="5:13">
      <c r="E6166" s="852"/>
      <c r="F6166" s="852"/>
      <c r="G6166" s="852"/>
      <c r="H6166" s="852"/>
      <c r="I6166" s="852"/>
      <c r="J6166" s="852"/>
      <c r="K6166" s="852"/>
      <c r="L6166" s="852"/>
      <c r="M6166" s="852"/>
    </row>
    <row r="6167" spans="5:13">
      <c r="E6167" s="852"/>
      <c r="F6167" s="852"/>
      <c r="G6167" s="852"/>
      <c r="H6167" s="852"/>
      <c r="I6167" s="852"/>
      <c r="J6167" s="852"/>
      <c r="K6167" s="852"/>
      <c r="L6167" s="852"/>
      <c r="M6167" s="852"/>
    </row>
    <row r="6168" spans="5:13">
      <c r="E6168" s="852"/>
      <c r="F6168" s="852"/>
      <c r="G6168" s="852"/>
      <c r="H6168" s="852"/>
      <c r="I6168" s="852"/>
      <c r="J6168" s="852"/>
      <c r="K6168" s="852"/>
      <c r="L6168" s="852"/>
      <c r="M6168" s="852"/>
    </row>
    <row r="6169" spans="5:13">
      <c r="E6169" s="852"/>
      <c r="F6169" s="852"/>
      <c r="G6169" s="852"/>
      <c r="H6169" s="852"/>
      <c r="I6169" s="852"/>
      <c r="J6169" s="852"/>
      <c r="K6169" s="852"/>
      <c r="L6169" s="852"/>
      <c r="M6169" s="852"/>
    </row>
    <row r="6170" spans="5:13">
      <c r="E6170" s="852"/>
      <c r="F6170" s="852"/>
      <c r="G6170" s="852"/>
      <c r="H6170" s="852"/>
      <c r="I6170" s="852"/>
      <c r="J6170" s="852"/>
      <c r="K6170" s="852"/>
      <c r="L6170" s="852"/>
      <c r="M6170" s="852"/>
    </row>
    <row r="6171" spans="5:13">
      <c r="E6171" s="852"/>
      <c r="F6171" s="852"/>
      <c r="G6171" s="852"/>
      <c r="H6171" s="852"/>
      <c r="I6171" s="852"/>
      <c r="J6171" s="852"/>
      <c r="K6171" s="852"/>
      <c r="L6171" s="852"/>
      <c r="M6171" s="852"/>
    </row>
    <row r="6172" spans="5:13">
      <c r="E6172" s="852"/>
      <c r="F6172" s="852"/>
      <c r="G6172" s="852"/>
      <c r="H6172" s="852"/>
      <c r="I6172" s="852"/>
      <c r="J6172" s="852"/>
      <c r="K6172" s="852"/>
      <c r="L6172" s="852"/>
      <c r="M6172" s="852"/>
    </row>
    <row r="6173" spans="5:13">
      <c r="E6173" s="852"/>
      <c r="F6173" s="852"/>
      <c r="G6173" s="852"/>
      <c r="H6173" s="852"/>
      <c r="I6173" s="852"/>
      <c r="J6173" s="852"/>
      <c r="K6173" s="852"/>
      <c r="L6173" s="852"/>
      <c r="M6173" s="852"/>
    </row>
    <row r="6174" spans="5:13">
      <c r="E6174" s="852"/>
      <c r="F6174" s="852"/>
      <c r="G6174" s="852"/>
      <c r="H6174" s="852"/>
      <c r="I6174" s="852"/>
      <c r="J6174" s="852"/>
      <c r="K6174" s="852"/>
      <c r="L6174" s="852"/>
      <c r="M6174" s="852"/>
    </row>
    <row r="6175" spans="5:13">
      <c r="E6175" s="852"/>
      <c r="F6175" s="852"/>
      <c r="G6175" s="852"/>
      <c r="H6175" s="852"/>
      <c r="I6175" s="852"/>
      <c r="J6175" s="852"/>
      <c r="K6175" s="852"/>
      <c r="L6175" s="852"/>
      <c r="M6175" s="852"/>
    </row>
    <row r="6176" spans="5:13">
      <c r="E6176" s="852"/>
      <c r="F6176" s="852"/>
      <c r="G6176" s="852"/>
      <c r="H6176" s="852"/>
      <c r="I6176" s="852"/>
      <c r="J6176" s="852"/>
      <c r="K6176" s="852"/>
      <c r="L6176" s="852"/>
      <c r="M6176" s="852"/>
    </row>
    <row r="6177" spans="5:13">
      <c r="E6177" s="852"/>
      <c r="F6177" s="852"/>
      <c r="G6177" s="852"/>
      <c r="H6177" s="852"/>
      <c r="I6177" s="852"/>
      <c r="J6177" s="852"/>
      <c r="K6177" s="852"/>
      <c r="L6177" s="852"/>
      <c r="M6177" s="852"/>
    </row>
    <row r="6178" spans="5:13">
      <c r="E6178" s="852"/>
      <c r="F6178" s="852"/>
      <c r="G6178" s="852"/>
      <c r="H6178" s="852"/>
      <c r="I6178" s="852"/>
      <c r="J6178" s="852"/>
      <c r="K6178" s="852"/>
      <c r="L6178" s="852"/>
      <c r="M6178" s="852"/>
    </row>
    <row r="6179" spans="5:13">
      <c r="E6179" s="852"/>
      <c r="F6179" s="852"/>
      <c r="G6179" s="852"/>
      <c r="H6179" s="852"/>
      <c r="I6179" s="852"/>
      <c r="J6179" s="852"/>
      <c r="K6179" s="852"/>
      <c r="L6179" s="852"/>
      <c r="M6179" s="852"/>
    </row>
    <row r="6180" spans="5:13">
      <c r="E6180" s="852"/>
      <c r="F6180" s="852"/>
      <c r="G6180" s="852"/>
      <c r="H6180" s="852"/>
      <c r="I6180" s="852"/>
      <c r="J6180" s="852"/>
      <c r="K6180" s="852"/>
      <c r="L6180" s="852"/>
      <c r="M6180" s="852"/>
    </row>
    <row r="6181" spans="5:13">
      <c r="E6181" s="852"/>
      <c r="F6181" s="852"/>
      <c r="G6181" s="852"/>
      <c r="H6181" s="852"/>
      <c r="I6181" s="852"/>
      <c r="J6181" s="852"/>
      <c r="K6181" s="852"/>
      <c r="L6181" s="852"/>
      <c r="M6181" s="852"/>
    </row>
    <row r="6182" spans="5:13">
      <c r="E6182" s="852"/>
      <c r="F6182" s="852"/>
      <c r="G6182" s="852"/>
      <c r="H6182" s="852"/>
      <c r="I6182" s="852"/>
      <c r="J6182" s="852"/>
      <c r="K6182" s="852"/>
      <c r="L6182" s="852"/>
      <c r="M6182" s="852"/>
    </row>
    <row r="6183" spans="5:13">
      <c r="E6183" s="852"/>
      <c r="F6183" s="852"/>
      <c r="G6183" s="852"/>
      <c r="H6183" s="852"/>
      <c r="I6183" s="852"/>
      <c r="J6183" s="852"/>
      <c r="K6183" s="852"/>
      <c r="L6183" s="852"/>
      <c r="M6183" s="852"/>
    </row>
    <row r="6184" spans="5:13">
      <c r="E6184" s="852"/>
      <c r="F6184" s="852"/>
      <c r="G6184" s="852"/>
      <c r="H6184" s="852"/>
      <c r="I6184" s="852"/>
      <c r="J6184" s="852"/>
      <c r="K6184" s="852"/>
      <c r="L6184" s="852"/>
      <c r="M6184" s="852"/>
    </row>
    <row r="6185" spans="5:13">
      <c r="E6185" s="852"/>
      <c r="F6185" s="852"/>
      <c r="G6185" s="852"/>
      <c r="H6185" s="852"/>
      <c r="I6185" s="852"/>
      <c r="J6185" s="852"/>
      <c r="K6185" s="852"/>
      <c r="L6185" s="852"/>
      <c r="M6185" s="852"/>
    </row>
    <row r="6186" spans="5:13">
      <c r="E6186" s="852"/>
      <c r="F6186" s="852"/>
      <c r="G6186" s="852"/>
      <c r="H6186" s="852"/>
      <c r="I6186" s="852"/>
      <c r="J6186" s="852"/>
      <c r="K6186" s="852"/>
      <c r="L6186" s="852"/>
      <c r="M6186" s="852"/>
    </row>
    <row r="6187" spans="5:13">
      <c r="E6187" s="852"/>
      <c r="F6187" s="852"/>
      <c r="G6187" s="852"/>
      <c r="H6187" s="852"/>
      <c r="I6187" s="852"/>
      <c r="J6187" s="852"/>
      <c r="K6187" s="852"/>
      <c r="L6187" s="852"/>
      <c r="M6187" s="852"/>
    </row>
    <row r="6188" spans="5:13">
      <c r="E6188" s="852"/>
      <c r="F6188" s="852"/>
      <c r="G6188" s="852"/>
      <c r="H6188" s="852"/>
      <c r="I6188" s="852"/>
      <c r="J6188" s="852"/>
      <c r="K6188" s="852"/>
      <c r="L6188" s="852"/>
      <c r="M6188" s="852"/>
    </row>
    <row r="6189" spans="5:13">
      <c r="E6189" s="852"/>
      <c r="F6189" s="852"/>
      <c r="G6189" s="852"/>
      <c r="H6189" s="852"/>
      <c r="I6189" s="852"/>
      <c r="J6189" s="852"/>
      <c r="K6189" s="852"/>
      <c r="L6189" s="852"/>
      <c r="M6189" s="852"/>
    </row>
    <row r="6190" spans="5:13">
      <c r="E6190" s="852"/>
      <c r="F6190" s="852"/>
      <c r="G6190" s="852"/>
      <c r="H6190" s="852"/>
      <c r="I6190" s="852"/>
      <c r="J6190" s="852"/>
      <c r="K6190" s="852"/>
      <c r="L6190" s="852"/>
      <c r="M6190" s="852"/>
    </row>
    <row r="6191" spans="5:13">
      <c r="E6191" s="852"/>
      <c r="F6191" s="852"/>
      <c r="G6191" s="852"/>
      <c r="H6191" s="852"/>
      <c r="I6191" s="852"/>
      <c r="J6191" s="852"/>
      <c r="K6191" s="852"/>
      <c r="L6191" s="852"/>
      <c r="M6191" s="852"/>
    </row>
    <row r="6192" spans="5:13">
      <c r="E6192" s="852"/>
      <c r="F6192" s="852"/>
      <c r="G6192" s="852"/>
      <c r="H6192" s="852"/>
      <c r="I6192" s="852"/>
      <c r="J6192" s="852"/>
      <c r="K6192" s="852"/>
      <c r="L6192" s="852"/>
      <c r="M6192" s="852"/>
    </row>
    <row r="6193" spans="5:13">
      <c r="E6193" s="852"/>
      <c r="F6193" s="852"/>
      <c r="G6193" s="852"/>
      <c r="H6193" s="852"/>
      <c r="I6193" s="852"/>
      <c r="J6193" s="852"/>
      <c r="K6193" s="852"/>
      <c r="L6193" s="852"/>
      <c r="M6193" s="852"/>
    </row>
    <row r="6194" spans="5:13">
      <c r="E6194" s="852"/>
      <c r="F6194" s="852"/>
      <c r="G6194" s="852"/>
      <c r="H6194" s="852"/>
      <c r="I6194" s="852"/>
      <c r="J6194" s="852"/>
      <c r="K6194" s="852"/>
      <c r="L6194" s="852"/>
      <c r="M6194" s="852"/>
    </row>
    <row r="6195" spans="5:13">
      <c r="E6195" s="852"/>
      <c r="F6195" s="852"/>
      <c r="G6195" s="852"/>
      <c r="H6195" s="852"/>
      <c r="I6195" s="852"/>
      <c r="J6195" s="852"/>
      <c r="K6195" s="852"/>
      <c r="L6195" s="852"/>
      <c r="M6195" s="852"/>
    </row>
    <row r="6196" spans="5:13">
      <c r="E6196" s="852"/>
      <c r="F6196" s="852"/>
      <c r="G6196" s="852"/>
      <c r="H6196" s="852"/>
      <c r="I6196" s="852"/>
      <c r="J6196" s="852"/>
      <c r="K6196" s="852"/>
      <c r="L6196" s="852"/>
      <c r="M6196" s="852"/>
    </row>
    <row r="6197" spans="5:13">
      <c r="E6197" s="852"/>
      <c r="F6197" s="852"/>
      <c r="G6197" s="852"/>
      <c r="H6197" s="852"/>
      <c r="I6197" s="852"/>
      <c r="J6197" s="852"/>
      <c r="K6197" s="852"/>
      <c r="L6197" s="852"/>
      <c r="M6197" s="852"/>
    </row>
    <row r="6198" spans="5:13">
      <c r="E6198" s="852"/>
      <c r="F6198" s="852"/>
      <c r="G6198" s="852"/>
      <c r="H6198" s="852"/>
      <c r="I6198" s="852"/>
      <c r="J6198" s="852"/>
      <c r="K6198" s="852"/>
      <c r="L6198" s="852"/>
      <c r="M6198" s="852"/>
    </row>
    <row r="6199" spans="5:13">
      <c r="E6199" s="852"/>
      <c r="F6199" s="852"/>
      <c r="G6199" s="852"/>
      <c r="H6199" s="852"/>
      <c r="I6199" s="852"/>
      <c r="J6199" s="852"/>
      <c r="K6199" s="852"/>
      <c r="L6199" s="852"/>
      <c r="M6199" s="852"/>
    </row>
    <row r="6200" spans="5:13">
      <c r="E6200" s="852"/>
      <c r="F6200" s="852"/>
      <c r="G6200" s="852"/>
      <c r="H6200" s="852"/>
      <c r="I6200" s="852"/>
      <c r="J6200" s="852"/>
      <c r="K6200" s="852"/>
      <c r="L6200" s="852"/>
      <c r="M6200" s="852"/>
    </row>
    <row r="6201" spans="5:13">
      <c r="E6201" s="852"/>
      <c r="F6201" s="852"/>
      <c r="G6201" s="852"/>
      <c r="H6201" s="852"/>
      <c r="I6201" s="852"/>
      <c r="J6201" s="852"/>
      <c r="K6201" s="852"/>
      <c r="L6201" s="852"/>
      <c r="M6201" s="852"/>
    </row>
    <row r="6202" spans="5:13">
      <c r="E6202" s="852"/>
      <c r="F6202" s="852"/>
      <c r="G6202" s="852"/>
      <c r="H6202" s="852"/>
      <c r="I6202" s="852"/>
      <c r="J6202" s="852"/>
      <c r="K6202" s="852"/>
      <c r="L6202" s="852"/>
      <c r="M6202" s="852"/>
    </row>
    <row r="6203" spans="5:13">
      <c r="E6203" s="852"/>
      <c r="F6203" s="852"/>
      <c r="G6203" s="852"/>
      <c r="H6203" s="852"/>
      <c r="I6203" s="852"/>
      <c r="J6203" s="852"/>
      <c r="K6203" s="852"/>
      <c r="L6203" s="852"/>
      <c r="M6203" s="852"/>
    </row>
    <row r="6204" spans="5:13">
      <c r="E6204" s="852"/>
      <c r="F6204" s="852"/>
      <c r="G6204" s="852"/>
      <c r="H6204" s="852"/>
      <c r="I6204" s="852"/>
      <c r="J6204" s="852"/>
      <c r="K6204" s="852"/>
      <c r="L6204" s="852"/>
      <c r="M6204" s="852"/>
    </row>
    <row r="6205" spans="5:13">
      <c r="E6205" s="852"/>
      <c r="F6205" s="852"/>
      <c r="G6205" s="852"/>
      <c r="H6205" s="852"/>
      <c r="I6205" s="852"/>
      <c r="J6205" s="852"/>
      <c r="K6205" s="852"/>
      <c r="L6205" s="852"/>
      <c r="M6205" s="852"/>
    </row>
    <row r="6206" spans="5:13">
      <c r="E6206" s="852"/>
      <c r="F6206" s="852"/>
      <c r="G6206" s="852"/>
      <c r="H6206" s="852"/>
      <c r="I6206" s="852"/>
      <c r="J6206" s="852"/>
      <c r="K6206" s="852"/>
      <c r="L6206" s="852"/>
      <c r="M6206" s="852"/>
    </row>
    <row r="6207" spans="5:13">
      <c r="E6207" s="852"/>
      <c r="F6207" s="852"/>
      <c r="G6207" s="852"/>
      <c r="H6207" s="852"/>
      <c r="I6207" s="852"/>
      <c r="J6207" s="852"/>
      <c r="K6207" s="852"/>
      <c r="L6207" s="852"/>
      <c r="M6207" s="852"/>
    </row>
    <row r="6208" spans="5:13">
      <c r="E6208" s="852"/>
      <c r="F6208" s="852"/>
      <c r="G6208" s="852"/>
      <c r="H6208" s="852"/>
      <c r="I6208" s="852"/>
      <c r="J6208" s="852"/>
      <c r="K6208" s="852"/>
      <c r="L6208" s="852"/>
      <c r="M6208" s="852"/>
    </row>
    <row r="6209" spans="5:13">
      <c r="E6209" s="852"/>
      <c r="F6209" s="852"/>
      <c r="G6209" s="852"/>
      <c r="H6209" s="852"/>
      <c r="I6209" s="852"/>
      <c r="J6209" s="852"/>
      <c r="K6209" s="852"/>
      <c r="L6209" s="852"/>
      <c r="M6209" s="852"/>
    </row>
    <row r="6210" spans="5:13">
      <c r="E6210" s="852"/>
      <c r="F6210" s="852"/>
      <c r="G6210" s="852"/>
      <c r="H6210" s="852"/>
      <c r="I6210" s="852"/>
      <c r="J6210" s="852"/>
      <c r="K6210" s="852"/>
      <c r="L6210" s="852"/>
      <c r="M6210" s="852"/>
    </row>
    <row r="6211" spans="5:13">
      <c r="E6211" s="852"/>
      <c r="F6211" s="852"/>
      <c r="G6211" s="852"/>
      <c r="H6211" s="852"/>
      <c r="I6211" s="852"/>
      <c r="J6211" s="852"/>
      <c r="K6211" s="852"/>
      <c r="L6211" s="852"/>
      <c r="M6211" s="852"/>
    </row>
    <row r="6212" spans="5:13">
      <c r="E6212" s="852"/>
      <c r="F6212" s="852"/>
      <c r="G6212" s="852"/>
      <c r="H6212" s="852"/>
      <c r="I6212" s="852"/>
      <c r="J6212" s="852"/>
      <c r="K6212" s="852"/>
      <c r="L6212" s="852"/>
      <c r="M6212" s="852"/>
    </row>
    <row r="6213" spans="5:13">
      <c r="E6213" s="852"/>
      <c r="F6213" s="852"/>
      <c r="G6213" s="852"/>
      <c r="H6213" s="852"/>
      <c r="I6213" s="852"/>
      <c r="J6213" s="852"/>
      <c r="K6213" s="852"/>
      <c r="L6213" s="852"/>
      <c r="M6213" s="852"/>
    </row>
    <row r="6214" spans="5:13">
      <c r="E6214" s="852"/>
      <c r="F6214" s="852"/>
      <c r="G6214" s="852"/>
      <c r="H6214" s="852"/>
      <c r="I6214" s="852"/>
      <c r="J6214" s="852"/>
      <c r="K6214" s="852"/>
      <c r="L6214" s="852"/>
      <c r="M6214" s="852"/>
    </row>
    <row r="6215" spans="5:13">
      <c r="E6215" s="852"/>
      <c r="F6215" s="852"/>
      <c r="G6215" s="852"/>
      <c r="H6215" s="852"/>
      <c r="I6215" s="852"/>
      <c r="J6215" s="852"/>
      <c r="K6215" s="852"/>
      <c r="L6215" s="852"/>
      <c r="M6215" s="852"/>
    </row>
    <row r="6216" spans="5:13">
      <c r="E6216" s="852"/>
      <c r="F6216" s="852"/>
      <c r="G6216" s="852"/>
      <c r="H6216" s="852"/>
      <c r="I6216" s="852"/>
      <c r="J6216" s="852"/>
      <c r="K6216" s="852"/>
      <c r="L6216" s="852"/>
      <c r="M6216" s="852"/>
    </row>
    <row r="6217" spans="5:13">
      <c r="E6217" s="852"/>
      <c r="F6217" s="852"/>
      <c r="G6217" s="852"/>
      <c r="H6217" s="852"/>
      <c r="I6217" s="852"/>
      <c r="J6217" s="852"/>
      <c r="K6217" s="852"/>
      <c r="L6217" s="852"/>
      <c r="M6217" s="852"/>
    </row>
    <row r="6218" spans="5:13">
      <c r="E6218" s="852"/>
      <c r="F6218" s="852"/>
      <c r="G6218" s="852"/>
      <c r="H6218" s="852"/>
      <c r="I6218" s="852"/>
      <c r="J6218" s="852"/>
      <c r="K6218" s="852"/>
      <c r="L6218" s="852"/>
      <c r="M6218" s="852"/>
    </row>
    <row r="6219" spans="5:13">
      <c r="E6219" s="852"/>
      <c r="F6219" s="852"/>
      <c r="G6219" s="852"/>
      <c r="H6219" s="852"/>
      <c r="I6219" s="852"/>
      <c r="J6219" s="852"/>
      <c r="K6219" s="852"/>
      <c r="L6219" s="852"/>
      <c r="M6219" s="852"/>
    </row>
    <row r="6220" spans="5:13">
      <c r="E6220" s="852"/>
      <c r="F6220" s="852"/>
      <c r="G6220" s="852"/>
      <c r="H6220" s="852"/>
      <c r="I6220" s="852"/>
      <c r="J6220" s="852"/>
      <c r="K6220" s="852"/>
      <c r="L6220" s="852"/>
      <c r="M6220" s="852"/>
    </row>
    <row r="6221" spans="5:13">
      <c r="E6221" s="852"/>
      <c r="F6221" s="852"/>
      <c r="G6221" s="852"/>
      <c r="H6221" s="852"/>
      <c r="I6221" s="852"/>
      <c r="J6221" s="852"/>
      <c r="K6221" s="852"/>
      <c r="L6221" s="852"/>
      <c r="M6221" s="852"/>
    </row>
    <row r="6222" spans="5:13">
      <c r="E6222" s="852"/>
      <c r="F6222" s="852"/>
      <c r="G6222" s="852"/>
      <c r="H6222" s="852"/>
      <c r="I6222" s="852"/>
      <c r="J6222" s="852"/>
      <c r="K6222" s="852"/>
      <c r="L6222" s="852"/>
      <c r="M6222" s="852"/>
    </row>
    <row r="6223" spans="5:13">
      <c r="E6223" s="852"/>
      <c r="F6223" s="852"/>
      <c r="G6223" s="852"/>
      <c r="H6223" s="852"/>
      <c r="I6223" s="852"/>
      <c r="J6223" s="852"/>
      <c r="K6223" s="852"/>
      <c r="L6223" s="852"/>
      <c r="M6223" s="852"/>
    </row>
    <row r="6224" spans="5:13">
      <c r="E6224" s="852"/>
      <c r="F6224" s="852"/>
      <c r="G6224" s="852"/>
      <c r="H6224" s="852"/>
      <c r="I6224" s="852"/>
      <c r="J6224" s="852"/>
      <c r="K6224" s="852"/>
      <c r="L6224" s="852"/>
      <c r="M6224" s="852"/>
    </row>
    <row r="6225" spans="5:13">
      <c r="E6225" s="852"/>
      <c r="F6225" s="852"/>
      <c r="G6225" s="852"/>
      <c r="H6225" s="852"/>
      <c r="I6225" s="852"/>
      <c r="J6225" s="852"/>
      <c r="K6225" s="852"/>
      <c r="L6225" s="852"/>
      <c r="M6225" s="852"/>
    </row>
    <row r="6226" spans="5:13">
      <c r="E6226" s="852"/>
      <c r="F6226" s="852"/>
      <c r="G6226" s="852"/>
      <c r="H6226" s="852"/>
      <c r="I6226" s="852"/>
      <c r="J6226" s="852"/>
      <c r="K6226" s="852"/>
      <c r="L6226" s="852"/>
      <c r="M6226" s="852"/>
    </row>
    <row r="6227" spans="5:13">
      <c r="E6227" s="852"/>
      <c r="F6227" s="852"/>
      <c r="G6227" s="852"/>
      <c r="H6227" s="852"/>
      <c r="I6227" s="852"/>
      <c r="J6227" s="852"/>
      <c r="K6227" s="852"/>
      <c r="L6227" s="852"/>
      <c r="M6227" s="852"/>
    </row>
    <row r="6228" spans="5:13">
      <c r="E6228" s="852"/>
      <c r="F6228" s="852"/>
      <c r="G6228" s="852"/>
      <c r="H6228" s="852"/>
      <c r="I6228" s="852"/>
      <c r="J6228" s="852"/>
      <c r="K6228" s="852"/>
      <c r="L6228" s="852"/>
      <c r="M6228" s="852"/>
    </row>
    <row r="6229" spans="5:13">
      <c r="E6229" s="852"/>
      <c r="F6229" s="852"/>
      <c r="G6229" s="852"/>
      <c r="H6229" s="852"/>
      <c r="I6229" s="852"/>
      <c r="J6229" s="852"/>
      <c r="K6229" s="852"/>
      <c r="L6229" s="852"/>
      <c r="M6229" s="852"/>
    </row>
    <row r="6230" spans="5:13">
      <c r="E6230" s="852"/>
      <c r="F6230" s="852"/>
      <c r="G6230" s="852"/>
      <c r="H6230" s="852"/>
      <c r="I6230" s="852"/>
      <c r="J6230" s="852"/>
      <c r="K6230" s="852"/>
      <c r="L6230" s="852"/>
      <c r="M6230" s="852"/>
    </row>
    <row r="6231" spans="5:13">
      <c r="E6231" s="852"/>
      <c r="F6231" s="852"/>
      <c r="G6231" s="852"/>
      <c r="H6231" s="852"/>
      <c r="I6231" s="852"/>
      <c r="J6231" s="852"/>
      <c r="K6231" s="852"/>
      <c r="L6231" s="852"/>
      <c r="M6231" s="852"/>
    </row>
    <row r="6232" spans="5:13">
      <c r="E6232" s="852"/>
      <c r="F6232" s="852"/>
      <c r="G6232" s="852"/>
      <c r="H6232" s="852"/>
      <c r="I6232" s="852"/>
      <c r="J6232" s="852"/>
      <c r="K6232" s="852"/>
      <c r="L6232" s="852"/>
      <c r="M6232" s="852"/>
    </row>
    <row r="6233" spans="5:13">
      <c r="E6233" s="852"/>
      <c r="F6233" s="852"/>
      <c r="G6233" s="852"/>
      <c r="H6233" s="852"/>
      <c r="I6233" s="852"/>
      <c r="J6233" s="852"/>
      <c r="K6233" s="852"/>
      <c r="L6233" s="852"/>
      <c r="M6233" s="852"/>
    </row>
    <row r="6234" spans="5:13">
      <c r="E6234" s="852"/>
      <c r="F6234" s="852"/>
      <c r="G6234" s="852"/>
      <c r="H6234" s="852"/>
      <c r="I6234" s="852"/>
      <c r="J6234" s="852"/>
      <c r="K6234" s="852"/>
      <c r="L6234" s="852"/>
      <c r="M6234" s="852"/>
    </row>
    <row r="6235" spans="5:13">
      <c r="E6235" s="852"/>
      <c r="F6235" s="852"/>
      <c r="G6235" s="852"/>
      <c r="H6235" s="852"/>
      <c r="I6235" s="852"/>
      <c r="J6235" s="852"/>
      <c r="K6235" s="852"/>
      <c r="L6235" s="852"/>
      <c r="M6235" s="852"/>
    </row>
    <row r="6236" spans="5:13">
      <c r="E6236" s="852"/>
      <c r="F6236" s="852"/>
      <c r="G6236" s="852"/>
      <c r="H6236" s="852"/>
      <c r="I6236" s="852"/>
      <c r="J6236" s="852"/>
      <c r="K6236" s="852"/>
      <c r="L6236" s="852"/>
      <c r="M6236" s="852"/>
    </row>
    <row r="6237" spans="5:13">
      <c r="E6237" s="852"/>
      <c r="F6237" s="852"/>
      <c r="G6237" s="852"/>
      <c r="H6237" s="852"/>
      <c r="I6237" s="852"/>
      <c r="J6237" s="852"/>
      <c r="K6237" s="852"/>
      <c r="L6237" s="852"/>
      <c r="M6237" s="852"/>
    </row>
    <row r="6238" spans="5:13">
      <c r="E6238" s="852"/>
      <c r="F6238" s="852"/>
      <c r="G6238" s="852"/>
      <c r="H6238" s="852"/>
      <c r="I6238" s="852"/>
      <c r="J6238" s="852"/>
      <c r="K6238" s="852"/>
      <c r="L6238" s="852"/>
      <c r="M6238" s="852"/>
    </row>
    <row r="6239" spans="5:13">
      <c r="E6239" s="852"/>
      <c r="F6239" s="852"/>
      <c r="G6239" s="852"/>
      <c r="H6239" s="852"/>
      <c r="I6239" s="852"/>
      <c r="J6239" s="852"/>
      <c r="K6239" s="852"/>
      <c r="L6239" s="852"/>
      <c r="M6239" s="852"/>
    </row>
    <row r="6240" spans="5:13">
      <c r="E6240" s="852"/>
      <c r="F6240" s="852"/>
      <c r="G6240" s="852"/>
      <c r="H6240" s="852"/>
      <c r="I6240" s="852"/>
      <c r="J6240" s="852"/>
      <c r="K6240" s="852"/>
      <c r="L6240" s="852"/>
      <c r="M6240" s="852"/>
    </row>
    <row r="6241" spans="5:13">
      <c r="E6241" s="852"/>
      <c r="F6241" s="852"/>
      <c r="G6241" s="852"/>
      <c r="H6241" s="852"/>
      <c r="I6241" s="852"/>
      <c r="J6241" s="852"/>
      <c r="K6241" s="852"/>
      <c r="L6241" s="852"/>
      <c r="M6241" s="852"/>
    </row>
    <row r="6242" spans="5:13">
      <c r="E6242" s="852"/>
      <c r="F6242" s="852"/>
      <c r="G6242" s="852"/>
      <c r="H6242" s="852"/>
      <c r="I6242" s="852"/>
      <c r="J6242" s="852"/>
      <c r="K6242" s="852"/>
      <c r="L6242" s="852"/>
      <c r="M6242" s="852"/>
    </row>
    <row r="6243" spans="5:13">
      <c r="E6243" s="852"/>
      <c r="F6243" s="852"/>
      <c r="G6243" s="852"/>
      <c r="H6243" s="852"/>
      <c r="I6243" s="852"/>
      <c r="J6243" s="852"/>
      <c r="K6243" s="852"/>
      <c r="L6243" s="852"/>
      <c r="M6243" s="852"/>
    </row>
    <row r="6244" spans="5:13">
      <c r="E6244" s="852"/>
      <c r="F6244" s="852"/>
      <c r="G6244" s="852"/>
      <c r="H6244" s="852"/>
      <c r="I6244" s="852"/>
      <c r="J6244" s="852"/>
      <c r="K6244" s="852"/>
      <c r="L6244" s="852"/>
      <c r="M6244" s="852"/>
    </row>
    <row r="6245" spans="5:13">
      <c r="E6245" s="852"/>
      <c r="F6245" s="852"/>
      <c r="G6245" s="852"/>
      <c r="H6245" s="852"/>
      <c r="I6245" s="852"/>
      <c r="J6245" s="852"/>
      <c r="K6245" s="852"/>
      <c r="L6245" s="852"/>
      <c r="M6245" s="852"/>
    </row>
    <row r="6246" spans="5:13">
      <c r="E6246" s="852"/>
      <c r="F6246" s="852"/>
      <c r="G6246" s="852"/>
      <c r="H6246" s="852"/>
      <c r="I6246" s="852"/>
      <c r="J6246" s="852"/>
      <c r="K6246" s="852"/>
      <c r="L6246" s="852"/>
      <c r="M6246" s="852"/>
    </row>
    <row r="6247" spans="5:13">
      <c r="E6247" s="852"/>
      <c r="F6247" s="852"/>
      <c r="G6247" s="852"/>
      <c r="H6247" s="852"/>
      <c r="I6247" s="852"/>
      <c r="J6247" s="852"/>
      <c r="K6247" s="852"/>
      <c r="L6247" s="852"/>
      <c r="M6247" s="852"/>
    </row>
    <row r="6248" spans="5:13">
      <c r="E6248" s="852"/>
      <c r="F6248" s="852"/>
      <c r="G6248" s="852"/>
      <c r="H6248" s="852"/>
      <c r="I6248" s="852"/>
      <c r="J6248" s="852"/>
      <c r="K6248" s="852"/>
      <c r="L6248" s="852"/>
      <c r="M6248" s="852"/>
    </row>
    <row r="6249" spans="5:13">
      <c r="E6249" s="852"/>
      <c r="F6249" s="852"/>
      <c r="G6249" s="852"/>
      <c r="H6249" s="852"/>
      <c r="I6249" s="852"/>
      <c r="J6249" s="852"/>
      <c r="K6249" s="852"/>
      <c r="L6249" s="852"/>
      <c r="M6249" s="852"/>
    </row>
    <row r="6250" spans="5:13">
      <c r="E6250" s="852"/>
      <c r="F6250" s="852"/>
      <c r="G6250" s="852"/>
      <c r="H6250" s="852"/>
      <c r="I6250" s="852"/>
      <c r="J6250" s="852"/>
      <c r="K6250" s="852"/>
      <c r="L6250" s="852"/>
      <c r="M6250" s="852"/>
    </row>
    <row r="6251" spans="5:13">
      <c r="E6251" s="852"/>
      <c r="F6251" s="852"/>
      <c r="G6251" s="852"/>
      <c r="H6251" s="852"/>
      <c r="I6251" s="852"/>
      <c r="J6251" s="852"/>
      <c r="K6251" s="852"/>
      <c r="L6251" s="852"/>
      <c r="M6251" s="852"/>
    </row>
    <row r="6252" spans="5:13">
      <c r="E6252" s="852"/>
      <c r="F6252" s="852"/>
      <c r="G6252" s="852"/>
      <c r="H6252" s="852"/>
      <c r="I6252" s="852"/>
      <c r="J6252" s="852"/>
      <c r="K6252" s="852"/>
      <c r="L6252" s="852"/>
      <c r="M6252" s="852"/>
    </row>
    <row r="6253" spans="5:13">
      <c r="E6253" s="852"/>
      <c r="F6253" s="852"/>
      <c r="G6253" s="852"/>
      <c r="H6253" s="852"/>
      <c r="I6253" s="852"/>
      <c r="J6253" s="852"/>
      <c r="K6253" s="852"/>
      <c r="L6253" s="852"/>
      <c r="M6253" s="852"/>
    </row>
    <row r="6254" spans="5:13">
      <c r="E6254" s="852"/>
      <c r="F6254" s="852"/>
      <c r="G6254" s="852"/>
      <c r="H6254" s="852"/>
      <c r="I6254" s="852"/>
      <c r="J6254" s="852"/>
      <c r="K6254" s="852"/>
      <c r="L6254" s="852"/>
      <c r="M6254" s="852"/>
    </row>
    <row r="6255" spans="5:13">
      <c r="E6255" s="852"/>
      <c r="F6255" s="852"/>
      <c r="G6255" s="852"/>
      <c r="H6255" s="852"/>
      <c r="I6255" s="852"/>
      <c r="J6255" s="852"/>
      <c r="K6255" s="852"/>
      <c r="L6255" s="852"/>
      <c r="M6255" s="852"/>
    </row>
    <row r="6256" spans="5:13">
      <c r="E6256" s="852"/>
      <c r="F6256" s="852"/>
      <c r="G6256" s="852"/>
      <c r="H6256" s="852"/>
      <c r="I6256" s="852"/>
      <c r="J6256" s="852"/>
      <c r="K6256" s="852"/>
      <c r="L6256" s="852"/>
      <c r="M6256" s="852"/>
    </row>
    <row r="6257" spans="5:13">
      <c r="E6257" s="852"/>
      <c r="F6257" s="852"/>
      <c r="G6257" s="852"/>
      <c r="H6257" s="852"/>
      <c r="I6257" s="852"/>
      <c r="J6257" s="852"/>
      <c r="K6257" s="852"/>
      <c r="L6257" s="852"/>
      <c r="M6257" s="852"/>
    </row>
    <row r="6258" spans="5:13">
      <c r="E6258" s="852"/>
      <c r="F6258" s="852"/>
      <c r="G6258" s="852"/>
      <c r="H6258" s="852"/>
      <c r="I6258" s="852"/>
      <c r="J6258" s="852"/>
      <c r="K6258" s="852"/>
      <c r="L6258" s="852"/>
      <c r="M6258" s="852"/>
    </row>
    <row r="6259" spans="5:13">
      <c r="E6259" s="852"/>
      <c r="F6259" s="852"/>
      <c r="G6259" s="852"/>
      <c r="H6259" s="852"/>
      <c r="I6259" s="852"/>
      <c r="J6259" s="852"/>
      <c r="K6259" s="852"/>
      <c r="L6259" s="852"/>
      <c r="M6259" s="852"/>
    </row>
    <row r="6260" spans="5:13">
      <c r="E6260" s="852"/>
      <c r="F6260" s="852"/>
      <c r="G6260" s="852"/>
      <c r="H6260" s="852"/>
      <c r="I6260" s="852"/>
      <c r="J6260" s="852"/>
      <c r="K6260" s="852"/>
      <c r="L6260" s="852"/>
      <c r="M6260" s="852"/>
    </row>
    <row r="6261" spans="5:13">
      <c r="E6261" s="852"/>
      <c r="F6261" s="852"/>
      <c r="G6261" s="852"/>
      <c r="H6261" s="852"/>
      <c r="I6261" s="852"/>
      <c r="J6261" s="852"/>
      <c r="K6261" s="852"/>
      <c r="L6261" s="852"/>
      <c r="M6261" s="852"/>
    </row>
    <row r="6262" spans="5:13">
      <c r="E6262" s="852"/>
      <c r="F6262" s="852"/>
      <c r="G6262" s="852"/>
      <c r="H6262" s="852"/>
      <c r="I6262" s="852"/>
      <c r="J6262" s="852"/>
      <c r="K6262" s="852"/>
      <c r="L6262" s="852"/>
      <c r="M6262" s="852"/>
    </row>
    <row r="6263" spans="5:13">
      <c r="E6263" s="852"/>
      <c r="F6263" s="852"/>
      <c r="G6263" s="852"/>
      <c r="H6263" s="852"/>
      <c r="I6263" s="852"/>
      <c r="J6263" s="852"/>
      <c r="K6263" s="852"/>
      <c r="L6263" s="852"/>
      <c r="M6263" s="852"/>
    </row>
    <row r="6264" spans="5:13">
      <c r="E6264" s="852"/>
      <c r="F6264" s="852"/>
      <c r="G6264" s="852"/>
      <c r="H6264" s="852"/>
      <c r="I6264" s="852"/>
      <c r="J6264" s="852"/>
      <c r="K6264" s="852"/>
      <c r="L6264" s="852"/>
      <c r="M6264" s="852"/>
    </row>
    <row r="6265" spans="5:13">
      <c r="E6265" s="852"/>
      <c r="F6265" s="852"/>
      <c r="G6265" s="852"/>
      <c r="H6265" s="852"/>
      <c r="I6265" s="852"/>
      <c r="J6265" s="852"/>
      <c r="K6265" s="852"/>
      <c r="L6265" s="852"/>
      <c r="M6265" s="852"/>
    </row>
    <row r="6266" spans="5:13">
      <c r="E6266" s="852"/>
      <c r="F6266" s="852"/>
      <c r="G6266" s="852"/>
      <c r="H6266" s="852"/>
      <c r="I6266" s="852"/>
      <c r="J6266" s="852"/>
      <c r="K6266" s="852"/>
      <c r="L6266" s="852"/>
      <c r="M6266" s="852"/>
    </row>
    <row r="6267" spans="5:13">
      <c r="E6267" s="852"/>
      <c r="F6267" s="852"/>
      <c r="G6267" s="852"/>
      <c r="H6267" s="852"/>
      <c r="I6267" s="852"/>
      <c r="J6267" s="852"/>
      <c r="K6267" s="852"/>
      <c r="L6267" s="852"/>
      <c r="M6267" s="852"/>
    </row>
    <row r="6268" spans="5:13">
      <c r="E6268" s="852"/>
      <c r="F6268" s="852"/>
      <c r="G6268" s="852"/>
      <c r="H6268" s="852"/>
      <c r="I6268" s="852"/>
      <c r="J6268" s="852"/>
      <c r="K6268" s="852"/>
      <c r="L6268" s="852"/>
      <c r="M6268" s="852"/>
    </row>
    <row r="6269" spans="5:13">
      <c r="E6269" s="852"/>
      <c r="F6269" s="852"/>
      <c r="G6269" s="852"/>
      <c r="H6269" s="852"/>
      <c r="I6269" s="852"/>
      <c r="J6269" s="852"/>
      <c r="K6269" s="852"/>
      <c r="L6269" s="852"/>
      <c r="M6269" s="852"/>
    </row>
    <row r="6270" spans="5:13">
      <c r="E6270" s="852"/>
      <c r="F6270" s="852"/>
      <c r="G6270" s="852"/>
      <c r="H6270" s="852"/>
      <c r="I6270" s="852"/>
      <c r="J6270" s="852"/>
      <c r="K6270" s="852"/>
      <c r="L6270" s="852"/>
      <c r="M6270" s="852"/>
    </row>
    <row r="6271" spans="5:13">
      <c r="E6271" s="852"/>
      <c r="F6271" s="852"/>
      <c r="G6271" s="852"/>
      <c r="H6271" s="852"/>
      <c r="I6271" s="852"/>
      <c r="J6271" s="852"/>
      <c r="K6271" s="852"/>
      <c r="L6271" s="852"/>
      <c r="M6271" s="852"/>
    </row>
    <row r="6272" spans="5:13">
      <c r="E6272" s="852"/>
      <c r="F6272" s="852"/>
      <c r="G6272" s="852"/>
      <c r="H6272" s="852"/>
      <c r="I6272" s="852"/>
      <c r="J6272" s="852"/>
      <c r="K6272" s="852"/>
      <c r="L6272" s="852"/>
      <c r="M6272" s="852"/>
    </row>
    <row r="6273" spans="5:13">
      <c r="E6273" s="852"/>
      <c r="F6273" s="852"/>
      <c r="G6273" s="852"/>
      <c r="H6273" s="852"/>
      <c r="I6273" s="852"/>
      <c r="J6273" s="852"/>
      <c r="K6273" s="852"/>
      <c r="L6273" s="852"/>
      <c r="M6273" s="852"/>
    </row>
    <row r="6274" spans="5:13">
      <c r="E6274" s="852"/>
      <c r="F6274" s="852"/>
      <c r="G6274" s="852"/>
      <c r="H6274" s="852"/>
      <c r="I6274" s="852"/>
      <c r="J6274" s="852"/>
      <c r="K6274" s="852"/>
      <c r="L6274" s="852"/>
      <c r="M6274" s="852"/>
    </row>
    <row r="6275" spans="5:13">
      <c r="E6275" s="852"/>
      <c r="F6275" s="852"/>
      <c r="G6275" s="852"/>
      <c r="H6275" s="852"/>
      <c r="I6275" s="852"/>
      <c r="J6275" s="852"/>
      <c r="K6275" s="852"/>
      <c r="L6275" s="852"/>
      <c r="M6275" s="852"/>
    </row>
    <row r="6276" spans="5:13">
      <c r="E6276" s="852"/>
      <c r="F6276" s="852"/>
      <c r="G6276" s="852"/>
      <c r="H6276" s="852"/>
      <c r="I6276" s="852"/>
      <c r="J6276" s="852"/>
      <c r="K6276" s="852"/>
      <c r="L6276" s="852"/>
      <c r="M6276" s="852"/>
    </row>
    <row r="6277" spans="5:13">
      <c r="E6277" s="852"/>
      <c r="F6277" s="852"/>
      <c r="G6277" s="852"/>
      <c r="H6277" s="852"/>
      <c r="I6277" s="852"/>
      <c r="J6277" s="852"/>
      <c r="K6277" s="852"/>
      <c r="L6277" s="852"/>
      <c r="M6277" s="852"/>
    </row>
    <row r="6278" spans="5:13">
      <c r="E6278" s="852"/>
      <c r="F6278" s="852"/>
      <c r="G6278" s="852"/>
      <c r="H6278" s="852"/>
      <c r="I6278" s="852"/>
      <c r="J6278" s="852"/>
      <c r="K6278" s="852"/>
      <c r="L6278" s="852"/>
      <c r="M6278" s="852"/>
    </row>
    <row r="6279" spans="5:13">
      <c r="E6279" s="852"/>
      <c r="F6279" s="852"/>
      <c r="G6279" s="852"/>
      <c r="H6279" s="852"/>
      <c r="I6279" s="852"/>
      <c r="J6279" s="852"/>
      <c r="K6279" s="852"/>
      <c r="L6279" s="852"/>
      <c r="M6279" s="852"/>
    </row>
    <row r="6280" spans="5:13">
      <c r="E6280" s="852"/>
      <c r="F6280" s="852"/>
      <c r="G6280" s="852"/>
      <c r="H6280" s="852"/>
      <c r="I6280" s="852"/>
      <c r="J6280" s="852"/>
      <c r="K6280" s="852"/>
      <c r="L6280" s="852"/>
      <c r="M6280" s="852"/>
    </row>
    <row r="6281" spans="5:13">
      <c r="E6281" s="852"/>
      <c r="F6281" s="852"/>
      <c r="G6281" s="852"/>
      <c r="H6281" s="852"/>
      <c r="I6281" s="852"/>
      <c r="J6281" s="852"/>
      <c r="K6281" s="852"/>
      <c r="L6281" s="852"/>
      <c r="M6281" s="852"/>
    </row>
    <row r="6282" spans="5:13">
      <c r="E6282" s="852"/>
      <c r="F6282" s="852"/>
      <c r="G6282" s="852"/>
      <c r="H6282" s="852"/>
      <c r="I6282" s="852"/>
      <c r="J6282" s="852"/>
      <c r="K6282" s="852"/>
      <c r="L6282" s="852"/>
      <c r="M6282" s="852"/>
    </row>
    <row r="6283" spans="5:13">
      <c r="E6283" s="852"/>
      <c r="F6283" s="852"/>
      <c r="G6283" s="852"/>
      <c r="H6283" s="852"/>
      <c r="I6283" s="852"/>
      <c r="J6283" s="852"/>
      <c r="K6283" s="852"/>
      <c r="L6283" s="852"/>
      <c r="M6283" s="852"/>
    </row>
    <row r="6284" spans="5:13">
      <c r="E6284" s="852"/>
      <c r="F6284" s="852"/>
      <c r="G6284" s="852"/>
      <c r="H6284" s="852"/>
      <c r="I6284" s="852"/>
      <c r="J6284" s="852"/>
      <c r="K6284" s="852"/>
      <c r="L6284" s="852"/>
      <c r="M6284" s="852"/>
    </row>
    <row r="6285" spans="5:13">
      <c r="E6285" s="852"/>
      <c r="F6285" s="852"/>
      <c r="G6285" s="852"/>
      <c r="H6285" s="852"/>
      <c r="I6285" s="852"/>
      <c r="J6285" s="852"/>
      <c r="K6285" s="852"/>
      <c r="L6285" s="852"/>
      <c r="M6285" s="852"/>
    </row>
    <row r="6286" spans="5:13">
      <c r="E6286" s="852"/>
      <c r="F6286" s="852"/>
      <c r="G6286" s="852"/>
      <c r="H6286" s="852"/>
      <c r="I6286" s="852"/>
      <c r="J6286" s="852"/>
      <c r="K6286" s="852"/>
      <c r="L6286" s="852"/>
      <c r="M6286" s="852"/>
    </row>
    <row r="6287" spans="5:13">
      <c r="E6287" s="852"/>
      <c r="F6287" s="852"/>
      <c r="G6287" s="852"/>
      <c r="H6287" s="852"/>
      <c r="I6287" s="852"/>
      <c r="J6287" s="852"/>
      <c r="K6287" s="852"/>
      <c r="L6287" s="852"/>
      <c r="M6287" s="852"/>
    </row>
    <row r="6288" spans="5:13">
      <c r="E6288" s="852"/>
      <c r="F6288" s="852"/>
      <c r="G6288" s="852"/>
      <c r="H6288" s="852"/>
      <c r="I6288" s="852"/>
      <c r="J6288" s="852"/>
      <c r="K6288" s="852"/>
      <c r="L6288" s="852"/>
      <c r="M6288" s="852"/>
    </row>
    <row r="6289" spans="5:13">
      <c r="E6289" s="852"/>
      <c r="F6289" s="852"/>
      <c r="G6289" s="852"/>
      <c r="H6289" s="852"/>
      <c r="I6289" s="852"/>
      <c r="J6289" s="852"/>
      <c r="K6289" s="852"/>
      <c r="L6289" s="852"/>
      <c r="M6289" s="852"/>
    </row>
    <row r="6290" spans="5:13">
      <c r="E6290" s="852"/>
      <c r="F6290" s="852"/>
      <c r="G6290" s="852"/>
      <c r="H6290" s="852"/>
      <c r="I6290" s="852"/>
      <c r="J6290" s="852"/>
      <c r="K6290" s="852"/>
      <c r="L6290" s="852"/>
      <c r="M6290" s="852"/>
    </row>
    <row r="6291" spans="5:13">
      <c r="E6291" s="852"/>
      <c r="F6291" s="852"/>
      <c r="G6291" s="852"/>
      <c r="H6291" s="852"/>
      <c r="I6291" s="852"/>
      <c r="J6291" s="852"/>
      <c r="K6291" s="852"/>
      <c r="L6291" s="852"/>
      <c r="M6291" s="852"/>
    </row>
    <row r="6292" spans="5:13">
      <c r="E6292" s="852"/>
      <c r="F6292" s="852"/>
      <c r="G6292" s="852"/>
      <c r="H6292" s="852"/>
      <c r="I6292" s="852"/>
      <c r="J6292" s="852"/>
      <c r="K6292" s="852"/>
      <c r="L6292" s="852"/>
      <c r="M6292" s="852"/>
    </row>
    <row r="6293" spans="5:13">
      <c r="E6293" s="852"/>
      <c r="F6293" s="852"/>
      <c r="G6293" s="852"/>
      <c r="H6293" s="852"/>
      <c r="I6293" s="852"/>
      <c r="J6293" s="852"/>
      <c r="K6293" s="852"/>
      <c r="L6293" s="852"/>
      <c r="M6293" s="852"/>
    </row>
    <row r="6294" spans="5:13">
      <c r="E6294" s="852"/>
      <c r="F6294" s="852"/>
      <c r="G6294" s="852"/>
      <c r="H6294" s="852"/>
      <c r="I6294" s="852"/>
      <c r="J6294" s="852"/>
      <c r="K6294" s="852"/>
      <c r="L6294" s="852"/>
      <c r="M6294" s="852"/>
    </row>
    <row r="6295" spans="5:13">
      <c r="E6295" s="852"/>
      <c r="F6295" s="852"/>
      <c r="G6295" s="852"/>
      <c r="H6295" s="852"/>
      <c r="I6295" s="852"/>
      <c r="J6295" s="852"/>
      <c r="K6295" s="852"/>
      <c r="L6295" s="852"/>
      <c r="M6295" s="852"/>
    </row>
    <row r="6296" spans="5:13">
      <c r="E6296" s="852"/>
      <c r="F6296" s="852"/>
      <c r="G6296" s="852"/>
      <c r="H6296" s="852"/>
      <c r="I6296" s="852"/>
      <c r="J6296" s="852"/>
      <c r="K6296" s="852"/>
      <c r="L6296" s="852"/>
      <c r="M6296" s="852"/>
    </row>
    <row r="6297" spans="5:13">
      <c r="E6297" s="852"/>
      <c r="F6297" s="852"/>
      <c r="G6297" s="852"/>
      <c r="H6297" s="852"/>
      <c r="I6297" s="852"/>
      <c r="J6297" s="852"/>
      <c r="K6297" s="852"/>
      <c r="L6297" s="852"/>
      <c r="M6297" s="852"/>
    </row>
    <row r="6298" spans="5:13">
      <c r="E6298" s="852"/>
      <c r="F6298" s="852"/>
      <c r="G6298" s="852"/>
      <c r="H6298" s="852"/>
      <c r="I6298" s="852"/>
      <c r="J6298" s="852"/>
      <c r="K6298" s="852"/>
      <c r="L6298" s="852"/>
      <c r="M6298" s="852"/>
    </row>
    <row r="6299" spans="5:13">
      <c r="E6299" s="852"/>
      <c r="F6299" s="852"/>
      <c r="G6299" s="852"/>
      <c r="H6299" s="852"/>
      <c r="I6299" s="852"/>
      <c r="J6299" s="852"/>
      <c r="K6299" s="852"/>
      <c r="L6299" s="852"/>
      <c r="M6299" s="852"/>
    </row>
    <row r="6300" spans="5:13">
      <c r="E6300" s="852"/>
      <c r="F6300" s="852"/>
      <c r="G6300" s="852"/>
      <c r="H6300" s="852"/>
      <c r="I6300" s="852"/>
      <c r="J6300" s="852"/>
      <c r="K6300" s="852"/>
      <c r="L6300" s="852"/>
      <c r="M6300" s="852"/>
    </row>
    <row r="6301" spans="5:13">
      <c r="E6301" s="852"/>
      <c r="F6301" s="852"/>
      <c r="G6301" s="852"/>
      <c r="H6301" s="852"/>
      <c r="I6301" s="852"/>
      <c r="J6301" s="852"/>
      <c r="K6301" s="852"/>
      <c r="L6301" s="852"/>
      <c r="M6301" s="852"/>
    </row>
    <row r="6302" spans="5:13">
      <c r="E6302" s="852"/>
      <c r="F6302" s="852"/>
      <c r="G6302" s="852"/>
      <c r="H6302" s="852"/>
      <c r="I6302" s="852"/>
      <c r="J6302" s="852"/>
      <c r="K6302" s="852"/>
      <c r="L6302" s="852"/>
      <c r="M6302" s="852"/>
    </row>
    <row r="6303" spans="5:13">
      <c r="E6303" s="852"/>
      <c r="F6303" s="852"/>
      <c r="G6303" s="852"/>
      <c r="H6303" s="852"/>
      <c r="I6303" s="852"/>
      <c r="J6303" s="852"/>
      <c r="K6303" s="852"/>
      <c r="L6303" s="852"/>
      <c r="M6303" s="852"/>
    </row>
    <row r="6304" spans="5:13">
      <c r="E6304" s="852"/>
      <c r="F6304" s="852"/>
      <c r="G6304" s="852"/>
      <c r="H6304" s="852"/>
      <c r="I6304" s="852"/>
      <c r="J6304" s="852"/>
      <c r="K6304" s="852"/>
      <c r="L6304" s="852"/>
      <c r="M6304" s="852"/>
    </row>
    <row r="6305" spans="5:13">
      <c r="E6305" s="852"/>
      <c r="F6305" s="852"/>
      <c r="G6305" s="852"/>
      <c r="H6305" s="852"/>
      <c r="I6305" s="852"/>
      <c r="J6305" s="852"/>
      <c r="K6305" s="852"/>
      <c r="L6305" s="852"/>
      <c r="M6305" s="852"/>
    </row>
    <row r="6306" spans="5:13">
      <c r="E6306" s="852"/>
      <c r="F6306" s="852"/>
      <c r="G6306" s="852"/>
      <c r="H6306" s="852"/>
      <c r="I6306" s="852"/>
      <c r="J6306" s="852"/>
      <c r="K6306" s="852"/>
      <c r="L6306" s="852"/>
      <c r="M6306" s="852"/>
    </row>
    <row r="6307" spans="5:13">
      <c r="E6307" s="852"/>
      <c r="F6307" s="852"/>
      <c r="G6307" s="852"/>
      <c r="H6307" s="852"/>
      <c r="I6307" s="852"/>
      <c r="J6307" s="852"/>
      <c r="K6307" s="852"/>
      <c r="L6307" s="852"/>
      <c r="M6307" s="852"/>
    </row>
    <row r="6308" spans="5:13">
      <c r="E6308" s="852"/>
      <c r="F6308" s="852"/>
      <c r="G6308" s="852"/>
      <c r="H6308" s="852"/>
      <c r="I6308" s="852"/>
      <c r="J6308" s="852"/>
      <c r="K6308" s="852"/>
      <c r="L6308" s="852"/>
      <c r="M6308" s="852"/>
    </row>
    <row r="6309" spans="5:13">
      <c r="E6309" s="852"/>
      <c r="F6309" s="852"/>
      <c r="G6309" s="852"/>
      <c r="H6309" s="852"/>
      <c r="I6309" s="852"/>
      <c r="J6309" s="852"/>
      <c r="K6309" s="852"/>
      <c r="L6309" s="852"/>
      <c r="M6309" s="852"/>
    </row>
    <row r="6310" spans="5:13">
      <c r="E6310" s="852"/>
      <c r="F6310" s="852"/>
      <c r="G6310" s="852"/>
      <c r="H6310" s="852"/>
      <c r="I6310" s="852"/>
      <c r="J6310" s="852"/>
      <c r="K6310" s="852"/>
      <c r="L6310" s="852"/>
      <c r="M6310" s="852"/>
    </row>
    <row r="6311" spans="5:13">
      <c r="E6311" s="852"/>
      <c r="F6311" s="852"/>
      <c r="G6311" s="852"/>
      <c r="H6311" s="852"/>
      <c r="I6311" s="852"/>
      <c r="J6311" s="852"/>
      <c r="K6311" s="852"/>
      <c r="L6311" s="852"/>
      <c r="M6311" s="852"/>
    </row>
    <row r="6312" spans="5:13">
      <c r="E6312" s="852"/>
      <c r="F6312" s="852"/>
      <c r="G6312" s="852"/>
      <c r="H6312" s="852"/>
      <c r="I6312" s="852"/>
      <c r="J6312" s="852"/>
      <c r="K6312" s="852"/>
      <c r="L6312" s="852"/>
      <c r="M6312" s="852"/>
    </row>
    <row r="6313" spans="5:13">
      <c r="E6313" s="852"/>
      <c r="F6313" s="852"/>
      <c r="G6313" s="852"/>
      <c r="H6313" s="852"/>
      <c r="I6313" s="852"/>
      <c r="J6313" s="852"/>
      <c r="K6313" s="852"/>
      <c r="L6313" s="852"/>
      <c r="M6313" s="852"/>
    </row>
    <row r="6314" spans="5:13">
      <c r="E6314" s="852"/>
      <c r="F6314" s="852"/>
      <c r="G6314" s="852"/>
      <c r="H6314" s="852"/>
      <c r="I6314" s="852"/>
      <c r="J6314" s="852"/>
      <c r="K6314" s="852"/>
      <c r="L6314" s="852"/>
      <c r="M6314" s="852"/>
    </row>
    <row r="6315" spans="5:13">
      <c r="E6315" s="852"/>
      <c r="F6315" s="852"/>
      <c r="G6315" s="852"/>
      <c r="H6315" s="852"/>
      <c r="I6315" s="852"/>
      <c r="J6315" s="852"/>
      <c r="K6315" s="852"/>
      <c r="L6315" s="852"/>
      <c r="M6315" s="852"/>
    </row>
    <row r="6316" spans="5:13">
      <c r="E6316" s="852"/>
      <c r="F6316" s="852"/>
      <c r="G6316" s="852"/>
      <c r="H6316" s="852"/>
      <c r="I6316" s="852"/>
      <c r="J6316" s="852"/>
      <c r="K6316" s="852"/>
      <c r="L6316" s="852"/>
      <c r="M6316" s="852"/>
    </row>
    <row r="6317" spans="5:13">
      <c r="E6317" s="852"/>
      <c r="F6317" s="852"/>
      <c r="G6317" s="852"/>
      <c r="H6317" s="852"/>
      <c r="I6317" s="852"/>
      <c r="J6317" s="852"/>
      <c r="K6317" s="852"/>
      <c r="L6317" s="852"/>
      <c r="M6317" s="852"/>
    </row>
    <row r="6318" spans="5:13">
      <c r="E6318" s="852"/>
      <c r="F6318" s="852"/>
      <c r="G6318" s="852"/>
      <c r="H6318" s="852"/>
      <c r="I6318" s="852"/>
      <c r="J6318" s="852"/>
      <c r="K6318" s="852"/>
      <c r="L6318" s="852"/>
      <c r="M6318" s="852"/>
    </row>
    <row r="6319" spans="5:13">
      <c r="E6319" s="852"/>
      <c r="F6319" s="852"/>
      <c r="G6319" s="852"/>
      <c r="H6319" s="852"/>
      <c r="I6319" s="852"/>
      <c r="J6319" s="852"/>
      <c r="K6319" s="852"/>
      <c r="L6319" s="852"/>
      <c r="M6319" s="852"/>
    </row>
    <row r="6320" spans="5:13">
      <c r="E6320" s="852"/>
      <c r="F6320" s="852"/>
      <c r="G6320" s="852"/>
      <c r="H6320" s="852"/>
      <c r="I6320" s="852"/>
      <c r="J6320" s="852"/>
      <c r="K6320" s="852"/>
      <c r="L6320" s="852"/>
      <c r="M6320" s="852"/>
    </row>
    <row r="6321" spans="5:13">
      <c r="E6321" s="852"/>
      <c r="F6321" s="852"/>
      <c r="G6321" s="852"/>
      <c r="H6321" s="852"/>
      <c r="I6321" s="852"/>
      <c r="J6321" s="852"/>
      <c r="K6321" s="852"/>
      <c r="L6321" s="852"/>
      <c r="M6321" s="852"/>
    </row>
    <row r="6322" spans="5:13">
      <c r="E6322" s="852"/>
      <c r="F6322" s="852"/>
      <c r="G6322" s="852"/>
      <c r="H6322" s="852"/>
      <c r="I6322" s="852"/>
      <c r="J6322" s="852"/>
      <c r="K6322" s="852"/>
      <c r="L6322" s="852"/>
      <c r="M6322" s="852"/>
    </row>
    <row r="6323" spans="5:13">
      <c r="E6323" s="852"/>
      <c r="F6323" s="852"/>
      <c r="G6323" s="852"/>
      <c r="H6323" s="852"/>
      <c r="I6323" s="852"/>
      <c r="J6323" s="852"/>
      <c r="K6323" s="852"/>
      <c r="L6323" s="852"/>
      <c r="M6323" s="852"/>
    </row>
    <row r="6324" spans="5:13">
      <c r="E6324" s="852"/>
      <c r="F6324" s="852"/>
      <c r="G6324" s="852"/>
      <c r="H6324" s="852"/>
      <c r="I6324" s="852"/>
      <c r="J6324" s="852"/>
      <c r="K6324" s="852"/>
      <c r="L6324" s="852"/>
      <c r="M6324" s="852"/>
    </row>
    <row r="6325" spans="5:13">
      <c r="E6325" s="852"/>
      <c r="F6325" s="852"/>
      <c r="G6325" s="852"/>
      <c r="H6325" s="852"/>
      <c r="I6325" s="852"/>
      <c r="J6325" s="852"/>
      <c r="K6325" s="852"/>
      <c r="L6325" s="852"/>
      <c r="M6325" s="852"/>
    </row>
    <row r="6326" spans="5:13">
      <c r="E6326" s="852"/>
      <c r="F6326" s="852"/>
      <c r="G6326" s="852"/>
      <c r="H6326" s="852"/>
      <c r="I6326" s="852"/>
      <c r="J6326" s="852"/>
      <c r="K6326" s="852"/>
      <c r="L6326" s="852"/>
      <c r="M6326" s="852"/>
    </row>
    <row r="6327" spans="5:13">
      <c r="E6327" s="852"/>
      <c r="F6327" s="852"/>
      <c r="G6327" s="852"/>
      <c r="H6327" s="852"/>
      <c r="I6327" s="852"/>
      <c r="J6327" s="852"/>
      <c r="K6327" s="852"/>
      <c r="L6327" s="852"/>
      <c r="M6327" s="852"/>
    </row>
    <row r="6328" spans="5:13">
      <c r="E6328" s="852"/>
      <c r="F6328" s="852"/>
      <c r="G6328" s="852"/>
      <c r="H6328" s="852"/>
      <c r="I6328" s="852"/>
      <c r="J6328" s="852"/>
      <c r="K6328" s="852"/>
      <c r="L6328" s="852"/>
      <c r="M6328" s="852"/>
    </row>
    <row r="6329" spans="5:13">
      <c r="E6329" s="852"/>
      <c r="F6329" s="852"/>
      <c r="G6329" s="852"/>
      <c r="H6329" s="852"/>
      <c r="I6329" s="852"/>
      <c r="J6329" s="852"/>
      <c r="K6329" s="852"/>
      <c r="L6329" s="852"/>
      <c r="M6329" s="852"/>
    </row>
    <row r="6330" spans="5:13">
      <c r="E6330" s="852"/>
      <c r="F6330" s="852"/>
      <c r="G6330" s="852"/>
      <c r="H6330" s="852"/>
      <c r="I6330" s="852"/>
      <c r="J6330" s="852"/>
      <c r="K6330" s="852"/>
      <c r="L6330" s="852"/>
      <c r="M6330" s="852"/>
    </row>
    <row r="6331" spans="5:13">
      <c r="E6331" s="852"/>
      <c r="F6331" s="852"/>
      <c r="G6331" s="852"/>
      <c r="H6331" s="852"/>
      <c r="I6331" s="852"/>
      <c r="J6331" s="852"/>
      <c r="K6331" s="852"/>
      <c r="L6331" s="852"/>
      <c r="M6331" s="852"/>
    </row>
    <row r="6332" spans="5:13">
      <c r="E6332" s="852"/>
      <c r="F6332" s="852"/>
      <c r="G6332" s="852"/>
      <c r="H6332" s="852"/>
      <c r="I6332" s="852"/>
      <c r="J6332" s="852"/>
      <c r="K6332" s="852"/>
      <c r="L6332" s="852"/>
      <c r="M6332" s="852"/>
    </row>
    <row r="6333" spans="5:13">
      <c r="E6333" s="852"/>
      <c r="F6333" s="852"/>
      <c r="G6333" s="852"/>
      <c r="H6333" s="852"/>
      <c r="I6333" s="852"/>
      <c r="J6333" s="852"/>
      <c r="K6333" s="852"/>
      <c r="L6333" s="852"/>
      <c r="M6333" s="852"/>
    </row>
    <row r="6334" spans="5:13">
      <c r="E6334" s="852"/>
      <c r="F6334" s="852"/>
      <c r="G6334" s="852"/>
      <c r="H6334" s="852"/>
      <c r="I6334" s="852"/>
      <c r="J6334" s="852"/>
      <c r="K6334" s="852"/>
      <c r="L6334" s="852"/>
      <c r="M6334" s="852"/>
    </row>
    <row r="6335" spans="5:13">
      <c r="E6335" s="852"/>
      <c r="F6335" s="852"/>
      <c r="G6335" s="852"/>
      <c r="H6335" s="852"/>
      <c r="I6335" s="852"/>
      <c r="J6335" s="852"/>
      <c r="K6335" s="852"/>
      <c r="L6335" s="852"/>
      <c r="M6335" s="852"/>
    </row>
    <row r="6336" spans="5:13">
      <c r="E6336" s="852"/>
      <c r="F6336" s="852"/>
      <c r="G6336" s="852"/>
      <c r="H6336" s="852"/>
      <c r="I6336" s="852"/>
      <c r="J6336" s="852"/>
      <c r="K6336" s="852"/>
      <c r="L6336" s="852"/>
      <c r="M6336" s="852"/>
    </row>
    <row r="6337" spans="5:13">
      <c r="E6337" s="852"/>
      <c r="F6337" s="852"/>
      <c r="G6337" s="852"/>
      <c r="H6337" s="852"/>
      <c r="I6337" s="852"/>
      <c r="J6337" s="852"/>
      <c r="K6337" s="852"/>
      <c r="L6337" s="852"/>
      <c r="M6337" s="852"/>
    </row>
    <row r="6338" spans="5:13">
      <c r="E6338" s="852"/>
      <c r="F6338" s="852"/>
      <c r="G6338" s="852"/>
      <c r="H6338" s="852"/>
      <c r="I6338" s="852"/>
      <c r="J6338" s="852"/>
      <c r="K6338" s="852"/>
      <c r="L6338" s="852"/>
      <c r="M6338" s="852"/>
    </row>
    <row r="6339" spans="5:13">
      <c r="E6339" s="852"/>
      <c r="F6339" s="852"/>
      <c r="G6339" s="852"/>
      <c r="H6339" s="852"/>
      <c r="I6339" s="852"/>
      <c r="J6339" s="852"/>
      <c r="K6339" s="852"/>
      <c r="L6339" s="852"/>
      <c r="M6339" s="852"/>
    </row>
    <row r="6340" spans="5:13">
      <c r="E6340" s="852"/>
      <c r="F6340" s="852"/>
      <c r="G6340" s="852"/>
      <c r="H6340" s="852"/>
      <c r="I6340" s="852"/>
      <c r="J6340" s="852"/>
      <c r="K6340" s="852"/>
      <c r="L6340" s="852"/>
      <c r="M6340" s="852"/>
    </row>
    <row r="6341" spans="5:13">
      <c r="E6341" s="852"/>
      <c r="F6341" s="852"/>
      <c r="G6341" s="852"/>
      <c r="H6341" s="852"/>
      <c r="I6341" s="852"/>
      <c r="J6341" s="852"/>
      <c r="K6341" s="852"/>
      <c r="L6341" s="852"/>
      <c r="M6341" s="852"/>
    </row>
    <row r="6342" spans="5:13">
      <c r="E6342" s="852"/>
      <c r="F6342" s="852"/>
      <c r="G6342" s="852"/>
      <c r="H6342" s="852"/>
      <c r="I6342" s="852"/>
      <c r="J6342" s="852"/>
      <c r="K6342" s="852"/>
      <c r="L6342" s="852"/>
      <c r="M6342" s="852"/>
    </row>
    <row r="6343" spans="5:13">
      <c r="E6343" s="852"/>
      <c r="F6343" s="852"/>
      <c r="G6343" s="852"/>
      <c r="H6343" s="852"/>
      <c r="I6343" s="852"/>
      <c r="J6343" s="852"/>
      <c r="K6343" s="852"/>
      <c r="L6343" s="852"/>
      <c r="M6343" s="852"/>
    </row>
    <row r="6344" spans="5:13">
      <c r="E6344" s="852"/>
      <c r="F6344" s="852"/>
      <c r="G6344" s="852"/>
      <c r="H6344" s="852"/>
      <c r="I6344" s="852"/>
      <c r="J6344" s="852"/>
      <c r="K6344" s="852"/>
      <c r="L6344" s="852"/>
      <c r="M6344" s="852"/>
    </row>
    <row r="6345" spans="5:13">
      <c r="E6345" s="852"/>
      <c r="F6345" s="852"/>
      <c r="G6345" s="852"/>
      <c r="H6345" s="852"/>
      <c r="I6345" s="852"/>
      <c r="J6345" s="852"/>
      <c r="K6345" s="852"/>
      <c r="L6345" s="852"/>
      <c r="M6345" s="852"/>
    </row>
    <row r="6346" spans="5:13">
      <c r="E6346" s="852"/>
      <c r="F6346" s="852"/>
      <c r="G6346" s="852"/>
      <c r="H6346" s="852"/>
      <c r="I6346" s="852"/>
      <c r="J6346" s="852"/>
      <c r="K6346" s="852"/>
      <c r="L6346" s="852"/>
      <c r="M6346" s="852"/>
    </row>
    <row r="6347" spans="5:13">
      <c r="E6347" s="852"/>
      <c r="F6347" s="852"/>
      <c r="G6347" s="852"/>
      <c r="H6347" s="852"/>
      <c r="I6347" s="852"/>
      <c r="J6347" s="852"/>
      <c r="K6347" s="852"/>
      <c r="L6347" s="852"/>
      <c r="M6347" s="852"/>
    </row>
    <row r="6348" spans="5:13">
      <c r="E6348" s="852"/>
      <c r="F6348" s="852"/>
      <c r="G6348" s="852"/>
      <c r="H6348" s="852"/>
      <c r="I6348" s="852"/>
      <c r="J6348" s="852"/>
      <c r="K6348" s="852"/>
      <c r="L6348" s="852"/>
      <c r="M6348" s="852"/>
    </row>
    <row r="6349" spans="5:13">
      <c r="E6349" s="852"/>
      <c r="F6349" s="852"/>
      <c r="G6349" s="852"/>
      <c r="H6349" s="852"/>
      <c r="I6349" s="852"/>
      <c r="J6349" s="852"/>
      <c r="K6349" s="852"/>
      <c r="L6349" s="852"/>
      <c r="M6349" s="852"/>
    </row>
    <row r="6350" spans="5:13">
      <c r="E6350" s="852"/>
      <c r="F6350" s="852"/>
      <c r="G6350" s="852"/>
      <c r="H6350" s="852"/>
      <c r="I6350" s="852"/>
      <c r="J6350" s="852"/>
      <c r="K6350" s="852"/>
      <c r="L6350" s="852"/>
      <c r="M6350" s="852"/>
    </row>
    <row r="6351" spans="5:13">
      <c r="E6351" s="852"/>
      <c r="F6351" s="852"/>
      <c r="G6351" s="852"/>
      <c r="H6351" s="852"/>
      <c r="I6351" s="852"/>
      <c r="J6351" s="852"/>
      <c r="K6351" s="852"/>
      <c r="L6351" s="852"/>
      <c r="M6351" s="852"/>
    </row>
    <row r="6352" spans="5:13">
      <c r="E6352" s="852"/>
      <c r="F6352" s="852"/>
      <c r="G6352" s="852"/>
      <c r="H6352" s="852"/>
      <c r="I6352" s="852"/>
      <c r="J6352" s="852"/>
      <c r="K6352" s="852"/>
      <c r="L6352" s="852"/>
      <c r="M6352" s="852"/>
    </row>
    <row r="6353" spans="5:13">
      <c r="E6353" s="852"/>
      <c r="F6353" s="852"/>
      <c r="G6353" s="852"/>
      <c r="H6353" s="852"/>
      <c r="I6353" s="852"/>
      <c r="J6353" s="852"/>
      <c r="K6353" s="852"/>
      <c r="L6353" s="852"/>
      <c r="M6353" s="852"/>
    </row>
    <row r="6354" spans="5:13">
      <c r="E6354" s="852"/>
      <c r="F6354" s="852"/>
      <c r="G6354" s="852"/>
      <c r="H6354" s="852"/>
      <c r="I6354" s="852"/>
      <c r="J6354" s="852"/>
      <c r="K6354" s="852"/>
      <c r="L6354" s="852"/>
      <c r="M6354" s="852"/>
    </row>
    <row r="6355" spans="5:13">
      <c r="E6355" s="852"/>
      <c r="F6355" s="852"/>
      <c r="G6355" s="852"/>
      <c r="H6355" s="852"/>
      <c r="I6355" s="852"/>
      <c r="J6355" s="852"/>
      <c r="K6355" s="852"/>
      <c r="L6355" s="852"/>
      <c r="M6355" s="852"/>
    </row>
    <row r="6356" spans="5:13">
      <c r="E6356" s="852"/>
      <c r="F6356" s="852"/>
      <c r="G6356" s="852"/>
      <c r="H6356" s="852"/>
      <c r="I6356" s="852"/>
      <c r="J6356" s="852"/>
      <c r="K6356" s="852"/>
      <c r="L6356" s="852"/>
      <c r="M6356" s="852"/>
    </row>
    <row r="6357" spans="5:13">
      <c r="E6357" s="852"/>
      <c r="F6357" s="852"/>
      <c r="G6357" s="852"/>
      <c r="H6357" s="852"/>
      <c r="I6357" s="852"/>
      <c r="J6357" s="852"/>
      <c r="K6357" s="852"/>
      <c r="L6357" s="852"/>
      <c r="M6357" s="852"/>
    </row>
    <row r="6358" spans="5:13">
      <c r="E6358" s="852"/>
      <c r="F6358" s="852"/>
      <c r="G6358" s="852"/>
      <c r="H6358" s="852"/>
      <c r="I6358" s="852"/>
      <c r="J6358" s="852"/>
      <c r="K6358" s="852"/>
      <c r="L6358" s="852"/>
      <c r="M6358" s="852"/>
    </row>
    <row r="6359" spans="5:13">
      <c r="E6359" s="852"/>
      <c r="F6359" s="852"/>
      <c r="G6359" s="852"/>
      <c r="H6359" s="852"/>
      <c r="I6359" s="852"/>
      <c r="J6359" s="852"/>
      <c r="K6359" s="852"/>
      <c r="L6359" s="852"/>
      <c r="M6359" s="852"/>
    </row>
    <row r="6360" spans="5:13">
      <c r="E6360" s="852"/>
      <c r="F6360" s="852"/>
      <c r="G6360" s="852"/>
      <c r="H6360" s="852"/>
      <c r="I6360" s="852"/>
      <c r="J6360" s="852"/>
      <c r="K6360" s="852"/>
      <c r="L6360" s="852"/>
      <c r="M6360" s="852"/>
    </row>
    <row r="6361" spans="5:13">
      <c r="E6361" s="852"/>
      <c r="F6361" s="852"/>
      <c r="G6361" s="852"/>
      <c r="H6361" s="852"/>
      <c r="I6361" s="852"/>
      <c r="J6361" s="852"/>
      <c r="K6361" s="852"/>
      <c r="L6361" s="852"/>
      <c r="M6361" s="852"/>
    </row>
    <row r="6362" spans="5:13">
      <c r="E6362" s="852"/>
      <c r="F6362" s="852"/>
      <c r="G6362" s="852"/>
      <c r="H6362" s="852"/>
      <c r="I6362" s="852"/>
      <c r="J6362" s="852"/>
      <c r="K6362" s="852"/>
      <c r="L6362" s="852"/>
      <c r="M6362" s="852"/>
    </row>
    <row r="6363" spans="5:13">
      <c r="E6363" s="852"/>
      <c r="F6363" s="852"/>
      <c r="G6363" s="852"/>
      <c r="H6363" s="852"/>
      <c r="I6363" s="852"/>
      <c r="J6363" s="852"/>
      <c r="K6363" s="852"/>
      <c r="L6363" s="852"/>
      <c r="M6363" s="852"/>
    </row>
    <row r="6364" spans="5:13">
      <c r="E6364" s="852"/>
      <c r="F6364" s="852"/>
      <c r="G6364" s="852"/>
      <c r="H6364" s="852"/>
      <c r="I6364" s="852"/>
      <c r="J6364" s="852"/>
      <c r="K6364" s="852"/>
      <c r="L6364" s="852"/>
      <c r="M6364" s="852"/>
    </row>
    <row r="6365" spans="5:13">
      <c r="E6365" s="852"/>
      <c r="F6365" s="852"/>
      <c r="G6365" s="852"/>
      <c r="H6365" s="852"/>
      <c r="I6365" s="852"/>
      <c r="J6365" s="852"/>
      <c r="K6365" s="852"/>
      <c r="L6365" s="852"/>
      <c r="M6365" s="852"/>
    </row>
    <row r="6366" spans="5:13">
      <c r="E6366" s="852"/>
      <c r="F6366" s="852"/>
      <c r="G6366" s="852"/>
      <c r="H6366" s="852"/>
      <c r="I6366" s="852"/>
      <c r="J6366" s="852"/>
      <c r="K6366" s="852"/>
      <c r="L6366" s="852"/>
      <c r="M6366" s="852"/>
    </row>
    <row r="6367" spans="5:13">
      <c r="E6367" s="852"/>
      <c r="F6367" s="852"/>
      <c r="G6367" s="852"/>
      <c r="H6367" s="852"/>
      <c r="I6367" s="852"/>
      <c r="J6367" s="852"/>
      <c r="K6367" s="852"/>
      <c r="L6367" s="852"/>
      <c r="M6367" s="852"/>
    </row>
    <row r="6368" spans="5:13">
      <c r="E6368" s="852"/>
      <c r="F6368" s="852"/>
      <c r="G6368" s="852"/>
      <c r="H6368" s="852"/>
      <c r="I6368" s="852"/>
      <c r="J6368" s="852"/>
      <c r="K6368" s="852"/>
      <c r="L6368" s="852"/>
      <c r="M6368" s="852"/>
    </row>
    <row r="6369" spans="5:13">
      <c r="E6369" s="852"/>
      <c r="F6369" s="852"/>
      <c r="G6369" s="852"/>
      <c r="H6369" s="852"/>
      <c r="I6369" s="852"/>
      <c r="J6369" s="852"/>
      <c r="K6369" s="852"/>
      <c r="L6369" s="852"/>
      <c r="M6369" s="852"/>
    </row>
    <row r="6370" spans="5:13">
      <c r="E6370" s="852"/>
      <c r="F6370" s="852"/>
      <c r="G6370" s="852"/>
      <c r="H6370" s="852"/>
      <c r="I6370" s="852"/>
      <c r="J6370" s="852"/>
      <c r="K6370" s="852"/>
      <c r="L6370" s="852"/>
      <c r="M6370" s="852"/>
    </row>
    <row r="6371" spans="5:13">
      <c r="E6371" s="852"/>
      <c r="F6371" s="852"/>
      <c r="G6371" s="852"/>
      <c r="H6371" s="852"/>
      <c r="I6371" s="852"/>
      <c r="J6371" s="852"/>
      <c r="K6371" s="852"/>
      <c r="L6371" s="852"/>
      <c r="M6371" s="852"/>
    </row>
    <row r="6372" spans="5:13">
      <c r="E6372" s="852"/>
      <c r="F6372" s="852"/>
      <c r="G6372" s="852"/>
      <c r="H6372" s="852"/>
      <c r="I6372" s="852"/>
      <c r="J6372" s="852"/>
      <c r="K6372" s="852"/>
      <c r="L6372" s="852"/>
      <c r="M6372" s="852"/>
    </row>
    <row r="6373" spans="5:13">
      <c r="E6373" s="852"/>
      <c r="F6373" s="852"/>
      <c r="G6373" s="852"/>
      <c r="H6373" s="852"/>
      <c r="I6373" s="852"/>
      <c r="J6373" s="852"/>
      <c r="K6373" s="852"/>
      <c r="L6373" s="852"/>
      <c r="M6373" s="852"/>
    </row>
    <row r="6374" spans="5:13">
      <c r="E6374" s="852"/>
      <c r="F6374" s="852"/>
      <c r="G6374" s="852"/>
      <c r="H6374" s="852"/>
      <c r="I6374" s="852"/>
      <c r="J6374" s="852"/>
      <c r="K6374" s="852"/>
      <c r="L6374" s="852"/>
      <c r="M6374" s="852"/>
    </row>
    <row r="6375" spans="5:13">
      <c r="E6375" s="852"/>
      <c r="F6375" s="852"/>
      <c r="G6375" s="852"/>
      <c r="H6375" s="852"/>
      <c r="I6375" s="852"/>
      <c r="J6375" s="852"/>
      <c r="K6375" s="852"/>
      <c r="L6375" s="852"/>
      <c r="M6375" s="852"/>
    </row>
    <row r="6376" spans="5:13">
      <c r="E6376" s="852"/>
      <c r="F6376" s="852"/>
      <c r="G6376" s="852"/>
      <c r="H6376" s="852"/>
      <c r="I6376" s="852"/>
      <c r="J6376" s="852"/>
      <c r="K6376" s="852"/>
      <c r="L6376" s="852"/>
      <c r="M6376" s="852"/>
    </row>
    <row r="6377" spans="5:13">
      <c r="E6377" s="852"/>
      <c r="F6377" s="852"/>
      <c r="G6377" s="852"/>
      <c r="H6377" s="852"/>
      <c r="I6377" s="852"/>
      <c r="J6377" s="852"/>
      <c r="K6377" s="852"/>
      <c r="L6377" s="852"/>
      <c r="M6377" s="852"/>
    </row>
    <row r="6378" spans="5:13">
      <c r="E6378" s="852"/>
      <c r="F6378" s="852"/>
      <c r="G6378" s="852"/>
      <c r="H6378" s="852"/>
      <c r="I6378" s="852"/>
      <c r="J6378" s="852"/>
      <c r="K6378" s="852"/>
      <c r="L6378" s="852"/>
      <c r="M6378" s="852"/>
    </row>
    <row r="6379" spans="5:13">
      <c r="E6379" s="852"/>
      <c r="F6379" s="852"/>
      <c r="G6379" s="852"/>
      <c r="H6379" s="852"/>
      <c r="I6379" s="852"/>
      <c r="J6379" s="852"/>
      <c r="K6379" s="852"/>
      <c r="L6379" s="852"/>
      <c r="M6379" s="852"/>
    </row>
    <row r="6380" spans="5:13">
      <c r="E6380" s="852"/>
      <c r="F6380" s="852"/>
      <c r="G6380" s="852"/>
      <c r="H6380" s="852"/>
      <c r="I6380" s="852"/>
      <c r="J6380" s="852"/>
      <c r="K6380" s="852"/>
      <c r="L6380" s="852"/>
      <c r="M6380" s="852"/>
    </row>
    <row r="6381" spans="5:13">
      <c r="E6381" s="852"/>
      <c r="F6381" s="852"/>
      <c r="G6381" s="852"/>
      <c r="H6381" s="852"/>
      <c r="I6381" s="852"/>
      <c r="J6381" s="852"/>
      <c r="K6381" s="852"/>
      <c r="L6381" s="852"/>
      <c r="M6381" s="852"/>
    </row>
    <row r="6382" spans="5:13">
      <c r="E6382" s="852"/>
      <c r="F6382" s="852"/>
      <c r="G6382" s="852"/>
      <c r="H6382" s="852"/>
      <c r="I6382" s="852"/>
      <c r="J6382" s="852"/>
      <c r="K6382" s="852"/>
      <c r="L6382" s="852"/>
      <c r="M6382" s="852"/>
    </row>
    <row r="6383" spans="5:13">
      <c r="E6383" s="852"/>
      <c r="F6383" s="852"/>
      <c r="G6383" s="852"/>
      <c r="H6383" s="852"/>
      <c r="I6383" s="852"/>
      <c r="J6383" s="852"/>
      <c r="K6383" s="852"/>
      <c r="L6383" s="852"/>
      <c r="M6383" s="852"/>
    </row>
    <row r="6384" spans="5:13">
      <c r="E6384" s="852"/>
      <c r="F6384" s="852"/>
      <c r="G6384" s="852"/>
      <c r="H6384" s="852"/>
      <c r="I6384" s="852"/>
      <c r="J6384" s="852"/>
      <c r="K6384" s="852"/>
      <c r="L6384" s="852"/>
      <c r="M6384" s="852"/>
    </row>
    <row r="6385" spans="5:13">
      <c r="E6385" s="852"/>
      <c r="F6385" s="852"/>
      <c r="G6385" s="852"/>
      <c r="H6385" s="852"/>
      <c r="I6385" s="852"/>
      <c r="J6385" s="852"/>
      <c r="K6385" s="852"/>
      <c r="L6385" s="852"/>
      <c r="M6385" s="852"/>
    </row>
    <row r="6386" spans="5:13">
      <c r="E6386" s="852"/>
      <c r="F6386" s="852"/>
      <c r="G6386" s="852"/>
      <c r="H6386" s="852"/>
      <c r="I6386" s="852"/>
      <c r="J6386" s="852"/>
      <c r="K6386" s="852"/>
      <c r="L6386" s="852"/>
      <c r="M6386" s="852"/>
    </row>
    <row r="6387" spans="5:13">
      <c r="E6387" s="852"/>
      <c r="F6387" s="852"/>
      <c r="G6387" s="852"/>
      <c r="H6387" s="852"/>
      <c r="I6387" s="852"/>
      <c r="J6387" s="852"/>
      <c r="K6387" s="852"/>
      <c r="L6387" s="852"/>
      <c r="M6387" s="852"/>
    </row>
    <row r="6388" spans="5:13">
      <c r="E6388" s="852"/>
      <c r="F6388" s="852"/>
      <c r="G6388" s="852"/>
      <c r="H6388" s="852"/>
      <c r="I6388" s="852"/>
      <c r="J6388" s="852"/>
      <c r="K6388" s="852"/>
      <c r="L6388" s="852"/>
      <c r="M6388" s="852"/>
    </row>
    <row r="6389" spans="5:13">
      <c r="E6389" s="852"/>
      <c r="F6389" s="852"/>
      <c r="G6389" s="852"/>
      <c r="H6389" s="852"/>
      <c r="I6389" s="852"/>
      <c r="J6389" s="852"/>
      <c r="K6389" s="852"/>
      <c r="L6389" s="852"/>
      <c r="M6389" s="852"/>
    </row>
    <row r="6390" spans="5:13">
      <c r="E6390" s="852"/>
      <c r="F6390" s="852"/>
      <c r="G6390" s="852"/>
      <c r="H6390" s="852"/>
      <c r="I6390" s="852"/>
      <c r="J6390" s="852"/>
      <c r="K6390" s="852"/>
      <c r="L6390" s="852"/>
      <c r="M6390" s="852"/>
    </row>
    <row r="6391" spans="5:13">
      <c r="E6391" s="852"/>
      <c r="F6391" s="852"/>
      <c r="G6391" s="852"/>
      <c r="H6391" s="852"/>
      <c r="I6391" s="852"/>
      <c r="J6391" s="852"/>
      <c r="K6391" s="852"/>
      <c r="L6391" s="852"/>
      <c r="M6391" s="852"/>
    </row>
    <row r="6392" spans="5:13">
      <c r="E6392" s="852"/>
      <c r="F6392" s="852"/>
      <c r="G6392" s="852"/>
      <c r="H6392" s="852"/>
      <c r="I6392" s="852"/>
      <c r="J6392" s="852"/>
      <c r="K6392" s="852"/>
      <c r="L6392" s="852"/>
      <c r="M6392" s="852"/>
    </row>
    <row r="6393" spans="5:13">
      <c r="E6393" s="852"/>
      <c r="F6393" s="852"/>
      <c r="G6393" s="852"/>
      <c r="H6393" s="852"/>
      <c r="I6393" s="852"/>
      <c r="J6393" s="852"/>
      <c r="K6393" s="852"/>
      <c r="L6393" s="852"/>
      <c r="M6393" s="852"/>
    </row>
    <row r="6394" spans="5:13">
      <c r="E6394" s="852"/>
      <c r="F6394" s="852"/>
      <c r="G6394" s="852"/>
      <c r="H6394" s="852"/>
      <c r="I6394" s="852"/>
      <c r="J6394" s="852"/>
      <c r="K6394" s="852"/>
      <c r="L6394" s="852"/>
      <c r="M6394" s="852"/>
    </row>
    <row r="6395" spans="5:13">
      <c r="E6395" s="852"/>
      <c r="F6395" s="852"/>
      <c r="G6395" s="852"/>
      <c r="H6395" s="852"/>
      <c r="I6395" s="852"/>
      <c r="J6395" s="852"/>
      <c r="K6395" s="852"/>
      <c r="L6395" s="852"/>
      <c r="M6395" s="852"/>
    </row>
    <row r="6396" spans="5:13">
      <c r="E6396" s="852"/>
      <c r="F6396" s="852"/>
      <c r="G6396" s="852"/>
      <c r="H6396" s="852"/>
      <c r="I6396" s="852"/>
      <c r="J6396" s="852"/>
      <c r="K6396" s="852"/>
      <c r="L6396" s="852"/>
      <c r="M6396" s="852"/>
    </row>
    <row r="6397" spans="5:13">
      <c r="E6397" s="852"/>
      <c r="F6397" s="852"/>
      <c r="G6397" s="852"/>
      <c r="H6397" s="852"/>
      <c r="I6397" s="852"/>
      <c r="J6397" s="852"/>
      <c r="K6397" s="852"/>
      <c r="L6397" s="852"/>
      <c r="M6397" s="852"/>
    </row>
    <row r="6398" spans="5:13">
      <c r="E6398" s="852"/>
      <c r="F6398" s="852"/>
      <c r="G6398" s="852"/>
      <c r="H6398" s="852"/>
      <c r="I6398" s="852"/>
      <c r="J6398" s="852"/>
      <c r="K6398" s="852"/>
      <c r="L6398" s="852"/>
      <c r="M6398" s="852"/>
    </row>
    <row r="6399" spans="5:13">
      <c r="E6399" s="852"/>
      <c r="F6399" s="852"/>
      <c r="G6399" s="852"/>
      <c r="H6399" s="852"/>
      <c r="I6399" s="852"/>
      <c r="J6399" s="852"/>
      <c r="K6399" s="852"/>
      <c r="L6399" s="852"/>
      <c r="M6399" s="852"/>
    </row>
    <row r="6400" spans="5:13">
      <c r="E6400" s="852"/>
      <c r="F6400" s="852"/>
      <c r="G6400" s="852"/>
      <c r="H6400" s="852"/>
      <c r="I6400" s="852"/>
      <c r="J6400" s="852"/>
      <c r="K6400" s="852"/>
      <c r="L6400" s="852"/>
      <c r="M6400" s="852"/>
    </row>
    <row r="6401" spans="5:13">
      <c r="E6401" s="852"/>
      <c r="F6401" s="852"/>
      <c r="G6401" s="852"/>
      <c r="H6401" s="852"/>
      <c r="I6401" s="852"/>
      <c r="J6401" s="852"/>
      <c r="K6401" s="852"/>
      <c r="L6401" s="852"/>
      <c r="M6401" s="852"/>
    </row>
    <row r="6402" spans="5:13">
      <c r="E6402" s="852"/>
      <c r="F6402" s="852"/>
      <c r="G6402" s="852"/>
      <c r="H6402" s="852"/>
      <c r="I6402" s="852"/>
      <c r="J6402" s="852"/>
      <c r="K6402" s="852"/>
      <c r="L6402" s="852"/>
      <c r="M6402" s="852"/>
    </row>
    <row r="6403" spans="5:13">
      <c r="E6403" s="852"/>
      <c r="F6403" s="852"/>
      <c r="G6403" s="852"/>
      <c r="H6403" s="852"/>
      <c r="I6403" s="852"/>
      <c r="J6403" s="852"/>
      <c r="K6403" s="852"/>
      <c r="L6403" s="852"/>
      <c r="M6403" s="852"/>
    </row>
    <row r="6404" spans="5:13">
      <c r="E6404" s="852"/>
      <c r="F6404" s="852"/>
      <c r="G6404" s="852"/>
      <c r="H6404" s="852"/>
      <c r="I6404" s="852"/>
      <c r="J6404" s="852"/>
      <c r="K6404" s="852"/>
      <c r="L6404" s="852"/>
      <c r="M6404" s="852"/>
    </row>
    <row r="6405" spans="5:13">
      <c r="E6405" s="852"/>
      <c r="F6405" s="852"/>
      <c r="G6405" s="852"/>
      <c r="H6405" s="852"/>
      <c r="I6405" s="852"/>
      <c r="J6405" s="852"/>
      <c r="K6405" s="852"/>
      <c r="L6405" s="852"/>
      <c r="M6405" s="852"/>
    </row>
    <row r="6406" spans="5:13">
      <c r="E6406" s="852"/>
      <c r="F6406" s="852"/>
      <c r="G6406" s="852"/>
      <c r="H6406" s="852"/>
      <c r="I6406" s="852"/>
      <c r="J6406" s="852"/>
      <c r="K6406" s="852"/>
      <c r="L6406" s="852"/>
      <c r="M6406" s="852"/>
    </row>
    <row r="6407" spans="5:13">
      <c r="E6407" s="852"/>
      <c r="F6407" s="852"/>
      <c r="G6407" s="852"/>
      <c r="H6407" s="852"/>
      <c r="I6407" s="852"/>
      <c r="J6407" s="852"/>
      <c r="K6407" s="852"/>
      <c r="L6407" s="852"/>
      <c r="M6407" s="852"/>
    </row>
    <row r="6408" spans="5:13">
      <c r="E6408" s="852"/>
      <c r="F6408" s="852"/>
      <c r="G6408" s="852"/>
      <c r="H6408" s="852"/>
      <c r="I6408" s="852"/>
      <c r="J6408" s="852"/>
      <c r="K6408" s="852"/>
      <c r="L6408" s="852"/>
      <c r="M6408" s="852"/>
    </row>
    <row r="6409" spans="5:13">
      <c r="E6409" s="852"/>
      <c r="F6409" s="852"/>
      <c r="G6409" s="852"/>
      <c r="H6409" s="852"/>
      <c r="I6409" s="852"/>
      <c r="J6409" s="852"/>
      <c r="K6409" s="852"/>
      <c r="L6409" s="852"/>
      <c r="M6409" s="852"/>
    </row>
    <row r="6410" spans="5:13">
      <c r="E6410" s="852"/>
      <c r="F6410" s="852"/>
      <c r="G6410" s="852"/>
      <c r="H6410" s="852"/>
      <c r="I6410" s="852"/>
      <c r="J6410" s="852"/>
      <c r="K6410" s="852"/>
      <c r="L6410" s="852"/>
      <c r="M6410" s="852"/>
    </row>
    <row r="6411" spans="5:13">
      <c r="E6411" s="852"/>
      <c r="F6411" s="852"/>
      <c r="G6411" s="852"/>
      <c r="H6411" s="852"/>
      <c r="I6411" s="852"/>
      <c r="J6411" s="852"/>
      <c r="K6411" s="852"/>
      <c r="L6411" s="852"/>
      <c r="M6411" s="852"/>
    </row>
    <row r="6412" spans="5:13">
      <c r="E6412" s="852"/>
      <c r="F6412" s="852"/>
      <c r="G6412" s="852"/>
      <c r="H6412" s="852"/>
      <c r="I6412" s="852"/>
      <c r="J6412" s="852"/>
      <c r="K6412" s="852"/>
      <c r="L6412" s="852"/>
      <c r="M6412" s="852"/>
    </row>
    <row r="6413" spans="5:13">
      <c r="E6413" s="852"/>
      <c r="F6413" s="852"/>
      <c r="G6413" s="852"/>
      <c r="H6413" s="852"/>
      <c r="I6413" s="852"/>
      <c r="J6413" s="852"/>
      <c r="K6413" s="852"/>
      <c r="L6413" s="852"/>
      <c r="M6413" s="852"/>
    </row>
    <row r="6414" spans="5:13">
      <c r="E6414" s="852"/>
      <c r="F6414" s="852"/>
      <c r="G6414" s="852"/>
      <c r="H6414" s="852"/>
      <c r="I6414" s="852"/>
      <c r="J6414" s="852"/>
      <c r="K6414" s="852"/>
      <c r="L6414" s="852"/>
      <c r="M6414" s="852"/>
    </row>
    <row r="6415" spans="5:13">
      <c r="E6415" s="852"/>
      <c r="F6415" s="852"/>
      <c r="G6415" s="852"/>
      <c r="H6415" s="852"/>
      <c r="I6415" s="852"/>
      <c r="J6415" s="852"/>
      <c r="K6415" s="852"/>
      <c r="L6415" s="852"/>
      <c r="M6415" s="852"/>
    </row>
    <row r="6416" spans="5:13">
      <c r="E6416" s="852"/>
      <c r="F6416" s="852"/>
      <c r="G6416" s="852"/>
      <c r="H6416" s="852"/>
      <c r="I6416" s="852"/>
      <c r="J6416" s="852"/>
      <c r="K6416" s="852"/>
      <c r="L6416" s="852"/>
      <c r="M6416" s="852"/>
    </row>
    <row r="6417" spans="5:13">
      <c r="E6417" s="852"/>
      <c r="F6417" s="852"/>
      <c r="G6417" s="852"/>
      <c r="H6417" s="852"/>
      <c r="I6417" s="852"/>
      <c r="J6417" s="852"/>
      <c r="K6417" s="852"/>
      <c r="L6417" s="852"/>
      <c r="M6417" s="852"/>
    </row>
    <row r="6418" spans="5:13">
      <c r="E6418" s="852"/>
      <c r="F6418" s="852"/>
      <c r="G6418" s="852"/>
      <c r="H6418" s="852"/>
      <c r="I6418" s="852"/>
      <c r="J6418" s="852"/>
      <c r="K6418" s="852"/>
      <c r="L6418" s="852"/>
      <c r="M6418" s="852"/>
    </row>
    <row r="6419" spans="5:13">
      <c r="E6419" s="852"/>
      <c r="F6419" s="852"/>
      <c r="G6419" s="852"/>
      <c r="H6419" s="852"/>
      <c r="I6419" s="852"/>
      <c r="J6419" s="852"/>
      <c r="K6419" s="852"/>
      <c r="L6419" s="852"/>
      <c r="M6419" s="852"/>
    </row>
    <row r="6420" spans="5:13">
      <c r="E6420" s="852"/>
      <c r="F6420" s="852"/>
      <c r="G6420" s="852"/>
      <c r="H6420" s="852"/>
      <c r="I6420" s="852"/>
      <c r="J6420" s="852"/>
      <c r="K6420" s="852"/>
      <c r="L6420" s="852"/>
      <c r="M6420" s="852"/>
    </row>
    <row r="6421" spans="5:13">
      <c r="E6421" s="852"/>
      <c r="F6421" s="852"/>
      <c r="G6421" s="852"/>
      <c r="H6421" s="852"/>
      <c r="I6421" s="852"/>
      <c r="J6421" s="852"/>
      <c r="K6421" s="852"/>
      <c r="L6421" s="852"/>
      <c r="M6421" s="852"/>
    </row>
    <row r="6422" spans="5:13">
      <c r="E6422" s="852"/>
      <c r="F6422" s="852"/>
      <c r="G6422" s="852"/>
      <c r="H6422" s="852"/>
      <c r="I6422" s="852"/>
      <c r="J6422" s="852"/>
      <c r="K6422" s="852"/>
      <c r="L6422" s="852"/>
      <c r="M6422" s="852"/>
    </row>
    <row r="6423" spans="5:13">
      <c r="E6423" s="852"/>
      <c r="F6423" s="852"/>
      <c r="G6423" s="852"/>
      <c r="H6423" s="852"/>
      <c r="I6423" s="852"/>
      <c r="J6423" s="852"/>
      <c r="K6423" s="852"/>
      <c r="L6423" s="852"/>
      <c r="M6423" s="852"/>
    </row>
    <row r="6424" spans="5:13">
      <c r="E6424" s="852"/>
      <c r="F6424" s="852"/>
      <c r="G6424" s="852"/>
      <c r="H6424" s="852"/>
      <c r="I6424" s="852"/>
      <c r="J6424" s="852"/>
      <c r="K6424" s="852"/>
      <c r="L6424" s="852"/>
      <c r="M6424" s="852"/>
    </row>
    <row r="6425" spans="5:13">
      <c r="E6425" s="852"/>
      <c r="F6425" s="852"/>
      <c r="G6425" s="852"/>
      <c r="H6425" s="852"/>
      <c r="I6425" s="852"/>
      <c r="J6425" s="852"/>
      <c r="K6425" s="852"/>
      <c r="L6425" s="852"/>
      <c r="M6425" s="852"/>
    </row>
    <row r="6426" spans="5:13">
      <c r="E6426" s="852"/>
      <c r="F6426" s="852"/>
      <c r="G6426" s="852"/>
      <c r="H6426" s="852"/>
      <c r="I6426" s="852"/>
      <c r="J6426" s="852"/>
      <c r="K6426" s="852"/>
      <c r="L6426" s="852"/>
      <c r="M6426" s="852"/>
    </row>
    <row r="6427" spans="5:13">
      <c r="E6427" s="852"/>
      <c r="F6427" s="852"/>
      <c r="G6427" s="852"/>
      <c r="H6427" s="852"/>
      <c r="I6427" s="852"/>
      <c r="J6427" s="852"/>
      <c r="K6427" s="852"/>
      <c r="L6427" s="852"/>
      <c r="M6427" s="852"/>
    </row>
    <row r="6428" spans="5:13">
      <c r="E6428" s="852"/>
      <c r="F6428" s="852"/>
      <c r="G6428" s="852"/>
      <c r="H6428" s="852"/>
      <c r="I6428" s="852"/>
      <c r="J6428" s="852"/>
      <c r="K6428" s="852"/>
      <c r="L6428" s="852"/>
      <c r="M6428" s="852"/>
    </row>
    <row r="6429" spans="5:13">
      <c r="E6429" s="852"/>
      <c r="F6429" s="852"/>
      <c r="G6429" s="852"/>
      <c r="H6429" s="852"/>
      <c r="I6429" s="852"/>
      <c r="J6429" s="852"/>
      <c r="K6429" s="852"/>
      <c r="L6429" s="852"/>
      <c r="M6429" s="852"/>
    </row>
    <row r="6430" spans="5:13">
      <c r="E6430" s="852"/>
      <c r="F6430" s="852"/>
      <c r="G6430" s="852"/>
      <c r="H6430" s="852"/>
      <c r="I6430" s="852"/>
      <c r="J6430" s="852"/>
      <c r="K6430" s="852"/>
      <c r="L6430" s="852"/>
      <c r="M6430" s="852"/>
    </row>
    <row r="6431" spans="5:13">
      <c r="E6431" s="852"/>
      <c r="F6431" s="852"/>
      <c r="G6431" s="852"/>
      <c r="H6431" s="852"/>
      <c r="I6431" s="852"/>
      <c r="J6431" s="852"/>
      <c r="K6431" s="852"/>
      <c r="L6431" s="852"/>
      <c r="M6431" s="852"/>
    </row>
    <row r="6432" spans="5:13">
      <c r="E6432" s="852"/>
      <c r="F6432" s="852"/>
      <c r="G6432" s="852"/>
      <c r="H6432" s="852"/>
      <c r="I6432" s="852"/>
      <c r="J6432" s="852"/>
      <c r="K6432" s="852"/>
      <c r="L6432" s="852"/>
      <c r="M6432" s="852"/>
    </row>
    <row r="6433" spans="5:13">
      <c r="E6433" s="852"/>
      <c r="F6433" s="852"/>
      <c r="G6433" s="852"/>
      <c r="H6433" s="852"/>
      <c r="I6433" s="852"/>
      <c r="J6433" s="852"/>
      <c r="K6433" s="852"/>
      <c r="L6433" s="852"/>
      <c r="M6433" s="852"/>
    </row>
    <row r="6434" spans="5:13">
      <c r="E6434" s="852"/>
      <c r="F6434" s="852"/>
      <c r="G6434" s="852"/>
      <c r="H6434" s="852"/>
      <c r="I6434" s="852"/>
      <c r="J6434" s="852"/>
      <c r="K6434" s="852"/>
      <c r="L6434" s="852"/>
      <c r="M6434" s="852"/>
    </row>
    <row r="6435" spans="5:13">
      <c r="E6435" s="852"/>
      <c r="F6435" s="852"/>
      <c r="G6435" s="852"/>
      <c r="H6435" s="852"/>
      <c r="I6435" s="852"/>
      <c r="J6435" s="852"/>
      <c r="K6435" s="852"/>
      <c r="L6435" s="852"/>
      <c r="M6435" s="852"/>
    </row>
    <row r="6436" spans="5:13">
      <c r="E6436" s="852"/>
      <c r="F6436" s="852"/>
      <c r="G6436" s="852"/>
      <c r="H6436" s="852"/>
      <c r="I6436" s="852"/>
      <c r="J6436" s="852"/>
      <c r="K6436" s="852"/>
      <c r="L6436" s="852"/>
      <c r="M6436" s="852"/>
    </row>
    <row r="6437" spans="5:13">
      <c r="E6437" s="852"/>
      <c r="F6437" s="852"/>
      <c r="G6437" s="852"/>
      <c r="H6437" s="852"/>
      <c r="I6437" s="852"/>
      <c r="J6437" s="852"/>
      <c r="K6437" s="852"/>
      <c r="L6437" s="852"/>
      <c r="M6437" s="852"/>
    </row>
    <row r="6438" spans="5:13">
      <c r="E6438" s="852"/>
      <c r="F6438" s="852"/>
      <c r="G6438" s="852"/>
      <c r="H6438" s="852"/>
      <c r="I6438" s="852"/>
      <c r="J6438" s="852"/>
      <c r="K6438" s="852"/>
      <c r="L6438" s="852"/>
      <c r="M6438" s="852"/>
    </row>
    <row r="6439" spans="5:13">
      <c r="E6439" s="852"/>
      <c r="F6439" s="852"/>
      <c r="G6439" s="852"/>
      <c r="H6439" s="852"/>
      <c r="I6439" s="852"/>
      <c r="J6439" s="852"/>
      <c r="K6439" s="852"/>
      <c r="L6439" s="852"/>
      <c r="M6439" s="852"/>
    </row>
    <row r="6440" spans="5:13">
      <c r="E6440" s="852"/>
      <c r="F6440" s="852"/>
      <c r="G6440" s="852"/>
      <c r="H6440" s="852"/>
      <c r="I6440" s="852"/>
      <c r="J6440" s="852"/>
      <c r="K6440" s="852"/>
      <c r="L6440" s="852"/>
      <c r="M6440" s="852"/>
    </row>
    <row r="6441" spans="5:13">
      <c r="E6441" s="852"/>
      <c r="F6441" s="852"/>
      <c r="G6441" s="852"/>
      <c r="H6441" s="852"/>
      <c r="I6441" s="852"/>
      <c r="J6441" s="852"/>
      <c r="K6441" s="852"/>
      <c r="L6441" s="852"/>
      <c r="M6441" s="852"/>
    </row>
    <row r="6442" spans="5:13">
      <c r="E6442" s="852"/>
      <c r="F6442" s="852"/>
      <c r="G6442" s="852"/>
      <c r="H6442" s="852"/>
      <c r="I6442" s="852"/>
      <c r="J6442" s="852"/>
      <c r="K6442" s="852"/>
      <c r="L6442" s="852"/>
      <c r="M6442" s="852"/>
    </row>
    <row r="6443" spans="5:13">
      <c r="E6443" s="852"/>
      <c r="F6443" s="852"/>
      <c r="G6443" s="852"/>
      <c r="H6443" s="852"/>
      <c r="I6443" s="852"/>
      <c r="J6443" s="852"/>
      <c r="K6443" s="852"/>
      <c r="L6443" s="852"/>
      <c r="M6443" s="852"/>
    </row>
    <row r="6444" spans="5:13">
      <c r="E6444" s="852"/>
      <c r="F6444" s="852"/>
      <c r="G6444" s="852"/>
      <c r="H6444" s="852"/>
      <c r="I6444" s="852"/>
      <c r="J6444" s="852"/>
      <c r="K6444" s="852"/>
      <c r="L6444" s="852"/>
      <c r="M6444" s="852"/>
    </row>
    <row r="6445" spans="5:13">
      <c r="E6445" s="852"/>
      <c r="F6445" s="852"/>
      <c r="G6445" s="852"/>
      <c r="H6445" s="852"/>
      <c r="I6445" s="852"/>
      <c r="J6445" s="852"/>
      <c r="K6445" s="852"/>
      <c r="L6445" s="852"/>
      <c r="M6445" s="852"/>
    </row>
    <row r="6446" spans="5:13">
      <c r="E6446" s="852"/>
      <c r="F6446" s="852"/>
      <c r="G6446" s="852"/>
      <c r="H6446" s="852"/>
      <c r="I6446" s="852"/>
      <c r="J6446" s="852"/>
      <c r="K6446" s="852"/>
      <c r="L6446" s="852"/>
      <c r="M6446" s="852"/>
    </row>
    <row r="6447" spans="5:13">
      <c r="E6447" s="852"/>
      <c r="F6447" s="852"/>
      <c r="G6447" s="852"/>
      <c r="H6447" s="852"/>
      <c r="I6447" s="852"/>
      <c r="J6447" s="852"/>
      <c r="K6447" s="852"/>
      <c r="L6447" s="852"/>
      <c r="M6447" s="852"/>
    </row>
    <row r="6448" spans="5:13">
      <c r="E6448" s="852"/>
      <c r="F6448" s="852"/>
      <c r="G6448" s="852"/>
      <c r="H6448" s="852"/>
      <c r="I6448" s="852"/>
      <c r="J6448" s="852"/>
      <c r="K6448" s="852"/>
      <c r="L6448" s="852"/>
      <c r="M6448" s="852"/>
    </row>
    <row r="6449" spans="5:13">
      <c r="E6449" s="852"/>
      <c r="F6449" s="852"/>
      <c r="G6449" s="852"/>
      <c r="H6449" s="852"/>
      <c r="I6449" s="852"/>
      <c r="J6449" s="852"/>
      <c r="K6449" s="852"/>
      <c r="L6449" s="852"/>
      <c r="M6449" s="852"/>
    </row>
    <row r="6450" spans="5:13">
      <c r="E6450" s="852"/>
      <c r="F6450" s="852"/>
      <c r="G6450" s="852"/>
      <c r="H6450" s="852"/>
      <c r="I6450" s="852"/>
      <c r="J6450" s="852"/>
      <c r="K6450" s="852"/>
      <c r="L6450" s="852"/>
      <c r="M6450" s="852"/>
    </row>
    <row r="6451" spans="5:13">
      <c r="E6451" s="852"/>
      <c r="F6451" s="852"/>
      <c r="G6451" s="852"/>
      <c r="H6451" s="852"/>
      <c r="I6451" s="852"/>
      <c r="J6451" s="852"/>
      <c r="K6451" s="852"/>
      <c r="L6451" s="852"/>
      <c r="M6451" s="852"/>
    </row>
    <row r="6452" spans="5:13">
      <c r="E6452" s="852"/>
      <c r="F6452" s="852"/>
      <c r="G6452" s="852"/>
      <c r="H6452" s="852"/>
      <c r="I6452" s="852"/>
      <c r="J6452" s="852"/>
      <c r="K6452" s="852"/>
      <c r="L6452" s="852"/>
      <c r="M6452" s="852"/>
    </row>
    <row r="6453" spans="5:13">
      <c r="E6453" s="852"/>
      <c r="F6453" s="852"/>
      <c r="G6453" s="852"/>
      <c r="H6453" s="852"/>
      <c r="I6453" s="852"/>
      <c r="J6453" s="852"/>
      <c r="K6453" s="852"/>
      <c r="L6453" s="852"/>
      <c r="M6453" s="852"/>
    </row>
    <row r="6454" spans="5:13">
      <c r="E6454" s="852"/>
      <c r="F6454" s="852"/>
      <c r="G6454" s="852"/>
      <c r="H6454" s="852"/>
      <c r="I6454" s="852"/>
      <c r="J6454" s="852"/>
      <c r="K6454" s="852"/>
      <c r="L6454" s="852"/>
      <c r="M6454" s="852"/>
    </row>
    <row r="6455" spans="5:13">
      <c r="E6455" s="852"/>
      <c r="F6455" s="852"/>
      <c r="G6455" s="852"/>
      <c r="H6455" s="852"/>
      <c r="I6455" s="852"/>
      <c r="J6455" s="852"/>
      <c r="K6455" s="852"/>
      <c r="L6455" s="852"/>
      <c r="M6455" s="852"/>
    </row>
    <row r="6456" spans="5:13">
      <c r="E6456" s="852"/>
      <c r="F6456" s="852"/>
      <c r="G6456" s="852"/>
      <c r="H6456" s="852"/>
      <c r="I6456" s="852"/>
      <c r="J6456" s="852"/>
      <c r="K6456" s="852"/>
      <c r="L6456" s="852"/>
      <c r="M6456" s="852"/>
    </row>
    <row r="6457" spans="5:13">
      <c r="E6457" s="852"/>
      <c r="F6457" s="852"/>
      <c r="G6457" s="852"/>
      <c r="H6457" s="852"/>
      <c r="I6457" s="852"/>
      <c r="J6457" s="852"/>
      <c r="K6457" s="852"/>
      <c r="L6457" s="852"/>
      <c r="M6457" s="852"/>
    </row>
    <row r="6458" spans="5:13">
      <c r="E6458" s="852"/>
      <c r="F6458" s="852"/>
      <c r="G6458" s="852"/>
      <c r="H6458" s="852"/>
      <c r="I6458" s="852"/>
      <c r="J6458" s="852"/>
      <c r="K6458" s="852"/>
      <c r="L6458" s="852"/>
      <c r="M6458" s="852"/>
    </row>
    <row r="6459" spans="5:13">
      <c r="E6459" s="852"/>
      <c r="F6459" s="852"/>
      <c r="G6459" s="852"/>
      <c r="H6459" s="852"/>
      <c r="I6459" s="852"/>
      <c r="J6459" s="852"/>
      <c r="K6459" s="852"/>
      <c r="L6459" s="852"/>
      <c r="M6459" s="852"/>
    </row>
    <row r="6460" spans="5:13">
      <c r="E6460" s="852"/>
      <c r="F6460" s="852"/>
      <c r="G6460" s="852"/>
      <c r="H6460" s="852"/>
      <c r="I6460" s="852"/>
      <c r="J6460" s="852"/>
      <c r="K6460" s="852"/>
      <c r="L6460" s="852"/>
      <c r="M6460" s="852"/>
    </row>
    <row r="6461" spans="5:13">
      <c r="E6461" s="852"/>
      <c r="F6461" s="852"/>
      <c r="G6461" s="852"/>
      <c r="H6461" s="852"/>
      <c r="I6461" s="852"/>
      <c r="J6461" s="852"/>
      <c r="K6461" s="852"/>
      <c r="L6461" s="852"/>
      <c r="M6461" s="852"/>
    </row>
    <row r="6462" spans="5:13">
      <c r="E6462" s="852"/>
      <c r="F6462" s="852"/>
      <c r="G6462" s="852"/>
      <c r="H6462" s="852"/>
      <c r="I6462" s="852"/>
      <c r="J6462" s="852"/>
      <c r="K6462" s="852"/>
      <c r="L6462" s="852"/>
      <c r="M6462" s="852"/>
    </row>
    <row r="6463" spans="5:13">
      <c r="E6463" s="852"/>
      <c r="F6463" s="852"/>
      <c r="G6463" s="852"/>
      <c r="H6463" s="852"/>
      <c r="I6463" s="852"/>
      <c r="J6463" s="852"/>
      <c r="K6463" s="852"/>
      <c r="L6463" s="852"/>
      <c r="M6463" s="852"/>
    </row>
    <row r="6464" spans="5:13">
      <c r="E6464" s="852"/>
      <c r="F6464" s="852"/>
      <c r="G6464" s="852"/>
      <c r="H6464" s="852"/>
      <c r="I6464" s="852"/>
      <c r="J6464" s="852"/>
      <c r="K6464" s="852"/>
      <c r="L6464" s="852"/>
      <c r="M6464" s="852"/>
    </row>
    <row r="6465" spans="5:13">
      <c r="E6465" s="852"/>
      <c r="F6465" s="852"/>
      <c r="G6465" s="852"/>
      <c r="H6465" s="852"/>
      <c r="I6465" s="852"/>
      <c r="J6465" s="852"/>
      <c r="K6465" s="852"/>
      <c r="L6465" s="852"/>
      <c r="M6465" s="852"/>
    </row>
    <row r="6466" spans="5:13">
      <c r="E6466" s="852"/>
      <c r="F6466" s="852"/>
      <c r="G6466" s="852"/>
      <c r="H6466" s="852"/>
      <c r="I6466" s="852"/>
      <c r="J6466" s="852"/>
      <c r="K6466" s="852"/>
      <c r="L6466" s="852"/>
      <c r="M6466" s="852"/>
    </row>
    <row r="6467" spans="5:13">
      <c r="E6467" s="852"/>
      <c r="F6467" s="852"/>
      <c r="G6467" s="852"/>
      <c r="H6467" s="852"/>
      <c r="I6467" s="852"/>
      <c r="J6467" s="852"/>
      <c r="K6467" s="852"/>
      <c r="L6467" s="852"/>
      <c r="M6467" s="852"/>
    </row>
    <row r="6468" spans="5:13">
      <c r="E6468" s="852"/>
      <c r="F6468" s="852"/>
      <c r="G6468" s="852"/>
      <c r="H6468" s="852"/>
      <c r="I6468" s="852"/>
      <c r="J6468" s="852"/>
      <c r="K6468" s="852"/>
      <c r="L6468" s="852"/>
      <c r="M6468" s="852"/>
    </row>
    <row r="6469" spans="5:13">
      <c r="E6469" s="852"/>
      <c r="F6469" s="852"/>
      <c r="G6469" s="852"/>
      <c r="H6469" s="852"/>
      <c r="I6469" s="852"/>
      <c r="J6469" s="852"/>
      <c r="K6469" s="852"/>
      <c r="L6469" s="852"/>
      <c r="M6469" s="852"/>
    </row>
    <row r="6470" spans="5:13">
      <c r="E6470" s="852"/>
      <c r="F6470" s="852"/>
      <c r="G6470" s="852"/>
      <c r="H6470" s="852"/>
      <c r="I6470" s="852"/>
      <c r="J6470" s="852"/>
      <c r="K6470" s="852"/>
      <c r="L6470" s="852"/>
      <c r="M6470" s="852"/>
    </row>
    <row r="6471" spans="5:13">
      <c r="E6471" s="852"/>
      <c r="F6471" s="852"/>
      <c r="G6471" s="852"/>
      <c r="H6471" s="852"/>
      <c r="I6471" s="852"/>
      <c r="J6471" s="852"/>
      <c r="K6471" s="852"/>
      <c r="L6471" s="852"/>
      <c r="M6471" s="852"/>
    </row>
    <row r="6472" spans="5:13">
      <c r="E6472" s="852"/>
      <c r="F6472" s="852"/>
      <c r="G6472" s="852"/>
      <c r="H6472" s="852"/>
      <c r="I6472" s="852"/>
      <c r="J6472" s="852"/>
      <c r="K6472" s="852"/>
      <c r="L6472" s="852"/>
      <c r="M6472" s="852"/>
    </row>
    <row r="6473" spans="5:13">
      <c r="E6473" s="852"/>
      <c r="F6473" s="852"/>
      <c r="G6473" s="852"/>
      <c r="H6473" s="852"/>
      <c r="I6473" s="852"/>
      <c r="J6473" s="852"/>
      <c r="K6473" s="852"/>
      <c r="L6473" s="852"/>
      <c r="M6473" s="852"/>
    </row>
    <row r="6474" spans="5:13">
      <c r="E6474" s="852"/>
      <c r="F6474" s="852"/>
      <c r="G6474" s="852"/>
      <c r="H6474" s="852"/>
      <c r="I6474" s="852"/>
      <c r="J6474" s="852"/>
      <c r="K6474" s="852"/>
      <c r="L6474" s="852"/>
      <c r="M6474" s="852"/>
    </row>
    <row r="6475" spans="5:13">
      <c r="E6475" s="852"/>
      <c r="F6475" s="852"/>
      <c r="G6475" s="852"/>
      <c r="H6475" s="852"/>
      <c r="I6475" s="852"/>
      <c r="J6475" s="852"/>
      <c r="K6475" s="852"/>
      <c r="L6475" s="852"/>
      <c r="M6475" s="852"/>
    </row>
    <row r="6476" spans="5:13">
      <c r="E6476" s="852"/>
      <c r="F6476" s="852"/>
      <c r="G6476" s="852"/>
      <c r="H6476" s="852"/>
      <c r="I6476" s="852"/>
      <c r="J6476" s="852"/>
      <c r="K6476" s="852"/>
      <c r="L6476" s="852"/>
      <c r="M6476" s="852"/>
    </row>
    <row r="6477" spans="5:13">
      <c r="E6477" s="852"/>
      <c r="F6477" s="852"/>
      <c r="G6477" s="852"/>
      <c r="H6477" s="852"/>
      <c r="I6477" s="852"/>
      <c r="J6477" s="852"/>
      <c r="K6477" s="852"/>
      <c r="L6477" s="852"/>
      <c r="M6477" s="852"/>
    </row>
    <row r="6478" spans="5:13">
      <c r="E6478" s="852"/>
      <c r="F6478" s="852"/>
      <c r="G6478" s="852"/>
      <c r="H6478" s="852"/>
      <c r="I6478" s="852"/>
      <c r="J6478" s="852"/>
      <c r="K6478" s="852"/>
      <c r="L6478" s="852"/>
      <c r="M6478" s="852"/>
    </row>
    <row r="6479" spans="5:13">
      <c r="E6479" s="852"/>
      <c r="F6479" s="852"/>
      <c r="G6479" s="852"/>
      <c r="H6479" s="852"/>
      <c r="I6479" s="852"/>
      <c r="J6479" s="852"/>
      <c r="K6479" s="852"/>
      <c r="L6479" s="852"/>
      <c r="M6479" s="852"/>
    </row>
    <row r="6480" spans="5:13">
      <c r="E6480" s="852"/>
      <c r="F6480" s="852"/>
      <c r="G6480" s="852"/>
      <c r="H6480" s="852"/>
      <c r="I6480" s="852"/>
      <c r="J6480" s="852"/>
      <c r="K6480" s="852"/>
      <c r="L6480" s="852"/>
      <c r="M6480" s="852"/>
    </row>
    <row r="6481" spans="5:13">
      <c r="E6481" s="852"/>
      <c r="F6481" s="852"/>
      <c r="G6481" s="852"/>
      <c r="H6481" s="852"/>
      <c r="I6481" s="852"/>
      <c r="J6481" s="852"/>
      <c r="K6481" s="852"/>
      <c r="L6481" s="852"/>
      <c r="M6481" s="852"/>
    </row>
    <row r="6482" spans="5:13">
      <c r="E6482" s="852"/>
      <c r="F6482" s="852"/>
      <c r="G6482" s="852"/>
      <c r="H6482" s="852"/>
      <c r="I6482" s="852"/>
      <c r="J6482" s="852"/>
      <c r="K6482" s="852"/>
      <c r="L6482" s="852"/>
      <c r="M6482" s="852"/>
    </row>
    <row r="6483" spans="5:13">
      <c r="E6483" s="852"/>
      <c r="F6483" s="852"/>
      <c r="G6483" s="852"/>
      <c r="H6483" s="852"/>
      <c r="I6483" s="852"/>
      <c r="J6483" s="852"/>
      <c r="K6483" s="852"/>
      <c r="L6483" s="852"/>
      <c r="M6483" s="852"/>
    </row>
    <row r="6484" spans="5:13">
      <c r="E6484" s="852"/>
      <c r="F6484" s="852"/>
      <c r="G6484" s="852"/>
      <c r="H6484" s="852"/>
      <c r="I6484" s="852"/>
      <c r="J6484" s="852"/>
      <c r="K6484" s="852"/>
      <c r="L6484" s="852"/>
      <c r="M6484" s="852"/>
    </row>
    <row r="6485" spans="5:13">
      <c r="E6485" s="852"/>
      <c r="F6485" s="852"/>
      <c r="G6485" s="852"/>
      <c r="H6485" s="852"/>
      <c r="I6485" s="852"/>
      <c r="J6485" s="852"/>
      <c r="K6485" s="852"/>
      <c r="L6485" s="852"/>
      <c r="M6485" s="852"/>
    </row>
    <row r="6486" spans="5:13">
      <c r="E6486" s="852"/>
      <c r="F6486" s="852"/>
      <c r="G6486" s="852"/>
      <c r="H6486" s="852"/>
      <c r="I6486" s="852"/>
      <c r="J6486" s="852"/>
      <c r="K6486" s="852"/>
      <c r="L6486" s="852"/>
      <c r="M6486" s="852"/>
    </row>
    <row r="6487" spans="5:13">
      <c r="E6487" s="852"/>
      <c r="F6487" s="852"/>
      <c r="G6487" s="852"/>
      <c r="H6487" s="852"/>
      <c r="I6487" s="852"/>
      <c r="J6487" s="852"/>
      <c r="K6487" s="852"/>
      <c r="L6487" s="852"/>
      <c r="M6487" s="852"/>
    </row>
    <row r="6488" spans="5:13">
      <c r="E6488" s="852"/>
      <c r="F6488" s="852"/>
      <c r="G6488" s="852"/>
      <c r="H6488" s="852"/>
      <c r="I6488" s="852"/>
      <c r="J6488" s="852"/>
      <c r="K6488" s="852"/>
      <c r="L6488" s="852"/>
      <c r="M6488" s="852"/>
    </row>
    <row r="6489" spans="5:13">
      <c r="E6489" s="852"/>
      <c r="F6489" s="852"/>
      <c r="G6489" s="852"/>
      <c r="H6489" s="852"/>
      <c r="I6489" s="852"/>
      <c r="J6489" s="852"/>
      <c r="K6489" s="852"/>
      <c r="L6489" s="852"/>
      <c r="M6489" s="852"/>
    </row>
    <row r="6490" spans="5:13">
      <c r="E6490" s="852"/>
      <c r="F6490" s="852"/>
      <c r="G6490" s="852"/>
      <c r="H6490" s="852"/>
      <c r="I6490" s="852"/>
      <c r="J6490" s="852"/>
      <c r="K6490" s="852"/>
      <c r="L6490" s="852"/>
      <c r="M6490" s="852"/>
    </row>
    <row r="6491" spans="5:13">
      <c r="E6491" s="852"/>
      <c r="F6491" s="852"/>
      <c r="G6491" s="852"/>
      <c r="H6491" s="852"/>
      <c r="I6491" s="852"/>
      <c r="J6491" s="852"/>
      <c r="K6491" s="852"/>
      <c r="L6491" s="852"/>
      <c r="M6491" s="852"/>
    </row>
    <row r="6492" spans="5:13">
      <c r="E6492" s="852"/>
      <c r="F6492" s="852"/>
      <c r="G6492" s="852"/>
      <c r="H6492" s="852"/>
      <c r="I6492" s="852"/>
      <c r="J6492" s="852"/>
      <c r="K6492" s="852"/>
      <c r="L6492" s="852"/>
      <c r="M6492" s="852"/>
    </row>
    <row r="6493" spans="5:13">
      <c r="E6493" s="852"/>
      <c r="F6493" s="852"/>
      <c r="G6493" s="852"/>
      <c r="H6493" s="852"/>
      <c r="I6493" s="852"/>
      <c r="J6493" s="852"/>
      <c r="K6493" s="852"/>
      <c r="L6493" s="852"/>
      <c r="M6493" s="852"/>
    </row>
    <row r="6494" spans="5:13">
      <c r="E6494" s="852"/>
      <c r="F6494" s="852"/>
      <c r="G6494" s="852"/>
      <c r="H6494" s="852"/>
      <c r="I6494" s="852"/>
      <c r="J6494" s="852"/>
      <c r="K6494" s="852"/>
      <c r="L6494" s="852"/>
      <c r="M6494" s="852"/>
    </row>
    <row r="6495" spans="5:13">
      <c r="E6495" s="852"/>
      <c r="F6495" s="852"/>
      <c r="G6495" s="852"/>
      <c r="H6495" s="852"/>
      <c r="I6495" s="852"/>
      <c r="J6495" s="852"/>
      <c r="K6495" s="852"/>
      <c r="L6495" s="852"/>
      <c r="M6495" s="852"/>
    </row>
    <row r="6496" spans="5:13">
      <c r="E6496" s="852"/>
      <c r="F6496" s="852"/>
      <c r="G6496" s="852"/>
      <c r="H6496" s="852"/>
      <c r="I6496" s="852"/>
      <c r="J6496" s="852"/>
      <c r="K6496" s="852"/>
      <c r="L6496" s="852"/>
      <c r="M6496" s="852"/>
    </row>
    <row r="6497" spans="5:13">
      <c r="E6497" s="852"/>
      <c r="F6497" s="852"/>
      <c r="G6497" s="852"/>
      <c r="H6497" s="852"/>
      <c r="I6497" s="852"/>
      <c r="J6497" s="852"/>
      <c r="K6497" s="852"/>
      <c r="L6497" s="852"/>
      <c r="M6497" s="852"/>
    </row>
    <row r="6498" spans="5:13">
      <c r="E6498" s="852"/>
      <c r="F6498" s="852"/>
      <c r="G6498" s="852"/>
      <c r="H6498" s="852"/>
      <c r="I6498" s="852"/>
      <c r="J6498" s="852"/>
      <c r="K6498" s="852"/>
      <c r="L6498" s="852"/>
      <c r="M6498" s="852"/>
    </row>
    <row r="6499" spans="5:13">
      <c r="E6499" s="852"/>
      <c r="F6499" s="852"/>
      <c r="G6499" s="852"/>
      <c r="H6499" s="852"/>
      <c r="I6499" s="852"/>
      <c r="J6499" s="852"/>
      <c r="K6499" s="852"/>
      <c r="L6499" s="852"/>
      <c r="M6499" s="852"/>
    </row>
    <row r="6500" spans="5:13">
      <c r="E6500" s="852"/>
      <c r="F6500" s="852"/>
      <c r="G6500" s="852"/>
      <c r="H6500" s="852"/>
      <c r="I6500" s="852"/>
      <c r="J6500" s="852"/>
      <c r="K6500" s="852"/>
      <c r="L6500" s="852"/>
      <c r="M6500" s="852"/>
    </row>
    <row r="6501" spans="5:13">
      <c r="E6501" s="852"/>
      <c r="F6501" s="852"/>
      <c r="G6501" s="852"/>
      <c r="H6501" s="852"/>
      <c r="I6501" s="852"/>
      <c r="J6501" s="852"/>
      <c r="K6501" s="852"/>
      <c r="L6501" s="852"/>
      <c r="M6501" s="852"/>
    </row>
    <row r="6502" spans="5:13">
      <c r="E6502" s="852"/>
      <c r="F6502" s="852"/>
      <c r="G6502" s="852"/>
      <c r="H6502" s="852"/>
      <c r="I6502" s="852"/>
      <c r="J6502" s="852"/>
      <c r="K6502" s="852"/>
      <c r="L6502" s="852"/>
      <c r="M6502" s="852"/>
    </row>
    <row r="6503" spans="5:13">
      <c r="E6503" s="852"/>
      <c r="F6503" s="852"/>
      <c r="G6503" s="852"/>
      <c r="H6503" s="852"/>
      <c r="I6503" s="852"/>
      <c r="J6503" s="852"/>
      <c r="K6503" s="852"/>
      <c r="L6503" s="852"/>
      <c r="M6503" s="852"/>
    </row>
    <row r="6504" spans="5:13">
      <c r="E6504" s="852"/>
      <c r="F6504" s="852"/>
      <c r="G6504" s="852"/>
      <c r="H6504" s="852"/>
      <c r="I6504" s="852"/>
      <c r="J6504" s="852"/>
      <c r="K6504" s="852"/>
      <c r="L6504" s="852"/>
      <c r="M6504" s="852"/>
    </row>
    <row r="6505" spans="5:13">
      <c r="E6505" s="852"/>
      <c r="F6505" s="852"/>
      <c r="G6505" s="852"/>
      <c r="H6505" s="852"/>
      <c r="I6505" s="852"/>
      <c r="J6505" s="852"/>
      <c r="K6505" s="852"/>
      <c r="L6505" s="852"/>
      <c r="M6505" s="852"/>
    </row>
    <row r="6506" spans="5:13">
      <c r="E6506" s="852"/>
      <c r="F6506" s="852"/>
      <c r="G6506" s="852"/>
      <c r="H6506" s="852"/>
      <c r="I6506" s="852"/>
      <c r="J6506" s="852"/>
      <c r="K6506" s="852"/>
      <c r="L6506" s="852"/>
      <c r="M6506" s="852"/>
    </row>
    <row r="6507" spans="5:13">
      <c r="E6507" s="852"/>
      <c r="F6507" s="852"/>
      <c r="G6507" s="852"/>
      <c r="H6507" s="852"/>
      <c r="I6507" s="852"/>
      <c r="J6507" s="852"/>
      <c r="K6507" s="852"/>
      <c r="L6507" s="852"/>
      <c r="M6507" s="852"/>
    </row>
    <row r="6508" spans="5:13">
      <c r="E6508" s="852"/>
      <c r="F6508" s="852"/>
      <c r="G6508" s="852"/>
      <c r="H6508" s="852"/>
      <c r="I6508" s="852"/>
      <c r="J6508" s="852"/>
      <c r="K6508" s="852"/>
      <c r="L6508" s="852"/>
      <c r="M6508" s="852"/>
    </row>
    <row r="6509" spans="5:13">
      <c r="E6509" s="852"/>
      <c r="F6509" s="852"/>
      <c r="G6509" s="852"/>
      <c r="H6509" s="852"/>
      <c r="I6509" s="852"/>
      <c r="J6509" s="852"/>
      <c r="K6509" s="852"/>
      <c r="L6509" s="852"/>
      <c r="M6509" s="852"/>
    </row>
    <row r="6510" spans="5:13">
      <c r="E6510" s="852"/>
      <c r="F6510" s="852"/>
      <c r="G6510" s="852"/>
      <c r="H6510" s="852"/>
      <c r="I6510" s="852"/>
      <c r="J6510" s="852"/>
      <c r="K6510" s="852"/>
      <c r="L6510" s="852"/>
      <c r="M6510" s="852"/>
    </row>
    <row r="6511" spans="5:13">
      <c r="E6511" s="852"/>
      <c r="F6511" s="852"/>
      <c r="G6511" s="852"/>
      <c r="H6511" s="852"/>
      <c r="I6511" s="852"/>
      <c r="J6511" s="852"/>
      <c r="K6511" s="852"/>
      <c r="L6511" s="852"/>
      <c r="M6511" s="852"/>
    </row>
    <row r="6512" spans="5:13">
      <c r="E6512" s="852"/>
      <c r="F6512" s="852"/>
      <c r="G6512" s="852"/>
      <c r="H6512" s="852"/>
      <c r="I6512" s="852"/>
      <c r="J6512" s="852"/>
      <c r="K6512" s="852"/>
      <c r="L6512" s="852"/>
      <c r="M6512" s="852"/>
    </row>
    <row r="6513" spans="5:13">
      <c r="E6513" s="852"/>
      <c r="F6513" s="852"/>
      <c r="G6513" s="852"/>
      <c r="H6513" s="852"/>
      <c r="I6513" s="852"/>
      <c r="J6513" s="852"/>
      <c r="K6513" s="852"/>
      <c r="L6513" s="852"/>
      <c r="M6513" s="852"/>
    </row>
    <row r="6514" spans="5:13">
      <c r="E6514" s="852"/>
      <c r="F6514" s="852"/>
      <c r="G6514" s="852"/>
      <c r="H6514" s="852"/>
      <c r="I6514" s="852"/>
      <c r="J6514" s="852"/>
      <c r="K6514" s="852"/>
      <c r="L6514" s="852"/>
      <c r="M6514" s="852"/>
    </row>
    <row r="6515" spans="5:13">
      <c r="E6515" s="852"/>
      <c r="F6515" s="852"/>
      <c r="G6515" s="852"/>
      <c r="H6515" s="852"/>
      <c r="I6515" s="852"/>
      <c r="J6515" s="852"/>
      <c r="K6515" s="852"/>
      <c r="L6515" s="852"/>
      <c r="M6515" s="852"/>
    </row>
    <row r="6516" spans="5:13">
      <c r="E6516" s="852"/>
      <c r="F6516" s="852"/>
      <c r="G6516" s="852"/>
      <c r="H6516" s="852"/>
      <c r="I6516" s="852"/>
      <c r="J6516" s="852"/>
      <c r="K6516" s="852"/>
      <c r="L6516" s="852"/>
      <c r="M6516" s="852"/>
    </row>
    <row r="6517" spans="5:13">
      <c r="E6517" s="852"/>
      <c r="F6517" s="852"/>
      <c r="G6517" s="852"/>
      <c r="H6517" s="852"/>
      <c r="I6517" s="852"/>
      <c r="J6517" s="852"/>
      <c r="K6517" s="852"/>
      <c r="L6517" s="852"/>
      <c r="M6517" s="852"/>
    </row>
    <row r="6518" spans="5:13">
      <c r="E6518" s="852"/>
      <c r="F6518" s="852"/>
      <c r="G6518" s="852"/>
      <c r="H6518" s="852"/>
      <c r="I6518" s="852"/>
      <c r="J6518" s="852"/>
      <c r="K6518" s="852"/>
      <c r="L6518" s="852"/>
      <c r="M6518" s="852"/>
    </row>
    <row r="6519" spans="5:13">
      <c r="E6519" s="852"/>
      <c r="F6519" s="852"/>
      <c r="G6519" s="852"/>
      <c r="H6519" s="852"/>
      <c r="I6519" s="852"/>
      <c r="J6519" s="852"/>
      <c r="K6519" s="852"/>
      <c r="L6519" s="852"/>
      <c r="M6519" s="852"/>
    </row>
    <row r="6520" spans="5:13">
      <c r="E6520" s="852"/>
      <c r="F6520" s="852"/>
      <c r="G6520" s="852"/>
      <c r="H6520" s="852"/>
      <c r="I6520" s="852"/>
      <c r="J6520" s="852"/>
      <c r="K6520" s="852"/>
      <c r="L6520" s="852"/>
      <c r="M6520" s="852"/>
    </row>
    <row r="6521" spans="5:13">
      <c r="E6521" s="852"/>
      <c r="F6521" s="852"/>
      <c r="G6521" s="852"/>
      <c r="H6521" s="852"/>
      <c r="I6521" s="852"/>
      <c r="J6521" s="852"/>
      <c r="K6521" s="852"/>
      <c r="L6521" s="852"/>
      <c r="M6521" s="852"/>
    </row>
    <row r="6522" spans="5:13">
      <c r="E6522" s="852"/>
      <c r="F6522" s="852"/>
      <c r="G6522" s="852"/>
      <c r="H6522" s="852"/>
      <c r="I6522" s="852"/>
      <c r="J6522" s="852"/>
      <c r="K6522" s="852"/>
      <c r="L6522" s="852"/>
      <c r="M6522" s="852"/>
    </row>
    <row r="6523" spans="5:13">
      <c r="E6523" s="852"/>
      <c r="F6523" s="852"/>
      <c r="G6523" s="852"/>
      <c r="H6523" s="852"/>
      <c r="I6523" s="852"/>
      <c r="J6523" s="852"/>
      <c r="K6523" s="852"/>
      <c r="L6523" s="852"/>
      <c r="M6523" s="852"/>
    </row>
    <row r="6524" spans="5:13">
      <c r="E6524" s="852"/>
      <c r="F6524" s="852"/>
      <c r="G6524" s="852"/>
      <c r="H6524" s="852"/>
      <c r="I6524" s="852"/>
      <c r="J6524" s="852"/>
      <c r="K6524" s="852"/>
      <c r="L6524" s="852"/>
      <c r="M6524" s="852"/>
    </row>
    <row r="6525" spans="5:13">
      <c r="E6525" s="852"/>
      <c r="F6525" s="852"/>
      <c r="G6525" s="852"/>
      <c r="H6525" s="852"/>
      <c r="I6525" s="852"/>
      <c r="J6525" s="852"/>
      <c r="K6525" s="852"/>
      <c r="L6525" s="852"/>
      <c r="M6525" s="852"/>
    </row>
    <row r="6526" spans="5:13">
      <c r="E6526" s="852"/>
      <c r="F6526" s="852"/>
      <c r="G6526" s="852"/>
      <c r="H6526" s="852"/>
      <c r="I6526" s="852"/>
      <c r="J6526" s="852"/>
      <c r="K6526" s="852"/>
      <c r="L6526" s="852"/>
      <c r="M6526" s="852"/>
    </row>
    <row r="6527" spans="5:13">
      <c r="E6527" s="852"/>
      <c r="F6527" s="852"/>
      <c r="G6527" s="852"/>
      <c r="H6527" s="852"/>
      <c r="I6527" s="852"/>
      <c r="J6527" s="852"/>
      <c r="K6527" s="852"/>
      <c r="L6527" s="852"/>
      <c r="M6527" s="852"/>
    </row>
    <row r="6528" spans="5:13">
      <c r="E6528" s="852"/>
      <c r="F6528" s="852"/>
      <c r="G6528" s="852"/>
      <c r="H6528" s="852"/>
      <c r="I6528" s="852"/>
      <c r="J6528" s="852"/>
      <c r="K6528" s="852"/>
      <c r="L6528" s="852"/>
      <c r="M6528" s="852"/>
    </row>
    <row r="6529" spans="5:13">
      <c r="E6529" s="852"/>
      <c r="F6529" s="852"/>
      <c r="G6529" s="852"/>
      <c r="H6529" s="852"/>
      <c r="I6529" s="852"/>
      <c r="J6529" s="852"/>
      <c r="K6529" s="852"/>
      <c r="L6529" s="852"/>
      <c r="M6529" s="852"/>
    </row>
    <row r="6530" spans="5:13">
      <c r="E6530" s="852"/>
      <c r="F6530" s="852"/>
      <c r="G6530" s="852"/>
      <c r="H6530" s="852"/>
      <c r="I6530" s="852"/>
      <c r="J6530" s="852"/>
      <c r="K6530" s="852"/>
      <c r="L6530" s="852"/>
      <c r="M6530" s="852"/>
    </row>
    <row r="6531" spans="5:13">
      <c r="E6531" s="852"/>
      <c r="F6531" s="852"/>
      <c r="G6531" s="852"/>
      <c r="H6531" s="852"/>
      <c r="I6531" s="852"/>
      <c r="J6531" s="852"/>
      <c r="K6531" s="852"/>
      <c r="L6531" s="852"/>
      <c r="M6531" s="852"/>
    </row>
    <row r="6532" spans="5:13">
      <c r="E6532" s="852"/>
      <c r="F6532" s="852"/>
      <c r="G6532" s="852"/>
      <c r="H6532" s="852"/>
      <c r="I6532" s="852"/>
      <c r="J6532" s="852"/>
      <c r="K6532" s="852"/>
      <c r="L6532" s="852"/>
      <c r="M6532" s="852"/>
    </row>
    <row r="6533" spans="5:13">
      <c r="E6533" s="852"/>
      <c r="F6533" s="852"/>
      <c r="G6533" s="852"/>
      <c r="H6533" s="852"/>
      <c r="I6533" s="852"/>
      <c r="J6533" s="852"/>
      <c r="K6533" s="852"/>
      <c r="L6533" s="852"/>
      <c r="M6533" s="852"/>
    </row>
    <row r="6534" spans="5:13">
      <c r="E6534" s="852"/>
      <c r="F6534" s="852"/>
      <c r="G6534" s="852"/>
      <c r="H6534" s="852"/>
      <c r="I6534" s="852"/>
      <c r="J6534" s="852"/>
      <c r="K6534" s="852"/>
      <c r="L6534" s="852"/>
      <c r="M6534" s="852"/>
    </row>
    <row r="6535" spans="5:13">
      <c r="E6535" s="852"/>
      <c r="F6535" s="852"/>
      <c r="G6535" s="852"/>
      <c r="H6535" s="852"/>
      <c r="I6535" s="852"/>
      <c r="J6535" s="852"/>
      <c r="K6535" s="852"/>
      <c r="L6535" s="852"/>
      <c r="M6535" s="852"/>
    </row>
    <row r="6536" spans="5:13">
      <c r="E6536" s="852"/>
      <c r="F6536" s="852"/>
      <c r="G6536" s="852"/>
      <c r="H6536" s="852"/>
      <c r="I6536" s="852"/>
      <c r="J6536" s="852"/>
      <c r="K6536" s="852"/>
      <c r="L6536" s="852"/>
      <c r="M6536" s="852"/>
    </row>
    <row r="6537" spans="5:13">
      <c r="E6537" s="852"/>
      <c r="F6537" s="852"/>
      <c r="G6537" s="852"/>
      <c r="H6537" s="852"/>
      <c r="I6537" s="852"/>
      <c r="J6537" s="852"/>
      <c r="K6537" s="852"/>
      <c r="L6537" s="852"/>
      <c r="M6537" s="852"/>
    </row>
    <row r="6538" spans="5:13">
      <c r="E6538" s="852"/>
      <c r="F6538" s="852"/>
      <c r="G6538" s="852"/>
      <c r="H6538" s="852"/>
      <c r="I6538" s="852"/>
      <c r="J6538" s="852"/>
      <c r="K6538" s="852"/>
      <c r="L6538" s="852"/>
      <c r="M6538" s="852"/>
    </row>
    <row r="6539" spans="5:13">
      <c r="E6539" s="852"/>
      <c r="F6539" s="852"/>
      <c r="G6539" s="852"/>
      <c r="H6539" s="852"/>
      <c r="I6539" s="852"/>
      <c r="J6539" s="852"/>
      <c r="K6539" s="852"/>
      <c r="L6539" s="852"/>
      <c r="M6539" s="852"/>
    </row>
    <row r="6540" spans="5:13">
      <c r="E6540" s="852"/>
      <c r="F6540" s="852"/>
      <c r="G6540" s="852"/>
      <c r="H6540" s="852"/>
      <c r="I6540" s="852"/>
      <c r="J6540" s="852"/>
      <c r="K6540" s="852"/>
      <c r="L6540" s="852"/>
      <c r="M6540" s="852"/>
    </row>
    <row r="6541" spans="5:13">
      <c r="E6541" s="852"/>
      <c r="F6541" s="852"/>
      <c r="G6541" s="852"/>
      <c r="H6541" s="852"/>
      <c r="I6541" s="852"/>
      <c r="J6541" s="852"/>
      <c r="K6541" s="852"/>
      <c r="L6541" s="852"/>
      <c r="M6541" s="852"/>
    </row>
    <row r="6542" spans="5:13">
      <c r="E6542" s="852"/>
      <c r="F6542" s="852"/>
      <c r="G6542" s="852"/>
      <c r="H6542" s="852"/>
      <c r="I6542" s="852"/>
      <c r="J6542" s="852"/>
      <c r="K6542" s="852"/>
      <c r="L6542" s="852"/>
      <c r="M6542" s="852"/>
    </row>
    <row r="6543" spans="5:13">
      <c r="E6543" s="852"/>
      <c r="F6543" s="852"/>
      <c r="G6543" s="852"/>
      <c r="H6543" s="852"/>
      <c r="I6543" s="852"/>
      <c r="J6543" s="852"/>
      <c r="K6543" s="852"/>
      <c r="L6543" s="852"/>
      <c r="M6543" s="852"/>
    </row>
    <row r="6544" spans="5:13">
      <c r="E6544" s="852"/>
      <c r="F6544" s="852"/>
      <c r="G6544" s="852"/>
      <c r="H6544" s="852"/>
      <c r="I6544" s="852"/>
      <c r="J6544" s="852"/>
      <c r="K6544" s="852"/>
      <c r="L6544" s="852"/>
      <c r="M6544" s="852"/>
    </row>
    <row r="6545" spans="5:13">
      <c r="E6545" s="852"/>
      <c r="F6545" s="852"/>
      <c r="G6545" s="852"/>
      <c r="H6545" s="852"/>
      <c r="I6545" s="852"/>
      <c r="J6545" s="852"/>
      <c r="K6545" s="852"/>
      <c r="L6545" s="852"/>
      <c r="M6545" s="852"/>
    </row>
    <row r="6546" spans="5:13">
      <c r="E6546" s="852"/>
      <c r="F6546" s="852"/>
      <c r="G6546" s="852"/>
      <c r="H6546" s="852"/>
      <c r="I6546" s="852"/>
      <c r="J6546" s="852"/>
      <c r="K6546" s="852"/>
      <c r="L6546" s="852"/>
      <c r="M6546" s="852"/>
    </row>
    <row r="6547" spans="5:13">
      <c r="E6547" s="852"/>
      <c r="F6547" s="852"/>
      <c r="G6547" s="852"/>
      <c r="H6547" s="852"/>
      <c r="I6547" s="852"/>
      <c r="J6547" s="852"/>
      <c r="K6547" s="852"/>
      <c r="L6547" s="852"/>
      <c r="M6547" s="852"/>
    </row>
    <row r="6548" spans="5:13">
      <c r="E6548" s="852"/>
      <c r="F6548" s="852"/>
      <c r="G6548" s="852"/>
      <c r="H6548" s="852"/>
      <c r="I6548" s="852"/>
      <c r="J6548" s="852"/>
      <c r="K6548" s="852"/>
      <c r="L6548" s="852"/>
      <c r="M6548" s="852"/>
    </row>
    <row r="6549" spans="5:13">
      <c r="E6549" s="852"/>
      <c r="F6549" s="852"/>
      <c r="G6549" s="852"/>
      <c r="H6549" s="852"/>
      <c r="I6549" s="852"/>
      <c r="J6549" s="852"/>
      <c r="K6549" s="852"/>
      <c r="L6549" s="852"/>
      <c r="M6549" s="852"/>
    </row>
    <row r="6550" spans="5:13">
      <c r="E6550" s="852"/>
      <c r="F6550" s="852"/>
      <c r="G6550" s="852"/>
      <c r="H6550" s="852"/>
      <c r="I6550" s="852"/>
      <c r="J6550" s="852"/>
      <c r="K6550" s="852"/>
      <c r="L6550" s="852"/>
      <c r="M6550" s="852"/>
    </row>
    <row r="6551" spans="5:13">
      <c r="E6551" s="852"/>
      <c r="F6551" s="852"/>
      <c r="G6551" s="852"/>
      <c r="H6551" s="852"/>
      <c r="I6551" s="852"/>
      <c r="J6551" s="852"/>
      <c r="K6551" s="852"/>
      <c r="L6551" s="852"/>
      <c r="M6551" s="852"/>
    </row>
    <row r="6552" spans="5:13">
      <c r="E6552" s="852"/>
      <c r="F6552" s="852"/>
      <c r="G6552" s="852"/>
      <c r="H6552" s="852"/>
      <c r="I6552" s="852"/>
      <c r="J6552" s="852"/>
      <c r="K6552" s="852"/>
      <c r="L6552" s="852"/>
      <c r="M6552" s="852"/>
    </row>
    <row r="6553" spans="5:13">
      <c r="E6553" s="852"/>
      <c r="F6553" s="852"/>
      <c r="G6553" s="852"/>
      <c r="H6553" s="852"/>
      <c r="I6553" s="852"/>
      <c r="J6553" s="852"/>
      <c r="K6553" s="852"/>
      <c r="L6553" s="852"/>
      <c r="M6553" s="852"/>
    </row>
    <row r="6554" spans="5:13">
      <c r="E6554" s="852"/>
      <c r="F6554" s="852"/>
      <c r="G6554" s="852"/>
      <c r="H6554" s="852"/>
      <c r="I6554" s="852"/>
      <c r="J6554" s="852"/>
      <c r="K6554" s="852"/>
      <c r="L6554" s="852"/>
      <c r="M6554" s="852"/>
    </row>
    <row r="6555" spans="5:13">
      <c r="E6555" s="852"/>
      <c r="F6555" s="852"/>
      <c r="G6555" s="852"/>
      <c r="H6555" s="852"/>
      <c r="I6555" s="852"/>
      <c r="J6555" s="852"/>
      <c r="K6555" s="852"/>
      <c r="L6555" s="852"/>
      <c r="M6555" s="852"/>
    </row>
    <row r="6556" spans="5:13">
      <c r="E6556" s="852"/>
      <c r="F6556" s="852"/>
      <c r="G6556" s="852"/>
      <c r="H6556" s="852"/>
      <c r="I6556" s="852"/>
      <c r="J6556" s="852"/>
      <c r="K6556" s="852"/>
      <c r="L6556" s="852"/>
      <c r="M6556" s="852"/>
    </row>
    <row r="6557" spans="5:13">
      <c r="E6557" s="852"/>
      <c r="F6557" s="852"/>
      <c r="G6557" s="852"/>
      <c r="H6557" s="852"/>
      <c r="I6557" s="852"/>
      <c r="J6557" s="852"/>
      <c r="K6557" s="852"/>
      <c r="L6557" s="852"/>
      <c r="M6557" s="852"/>
    </row>
    <row r="6558" spans="5:13">
      <c r="E6558" s="852"/>
      <c r="F6558" s="852"/>
      <c r="G6558" s="852"/>
      <c r="H6558" s="852"/>
      <c r="I6558" s="852"/>
      <c r="J6558" s="852"/>
      <c r="K6558" s="852"/>
      <c r="L6558" s="852"/>
      <c r="M6558" s="852"/>
    </row>
    <row r="6559" spans="5:13">
      <c r="E6559" s="852"/>
      <c r="F6559" s="852"/>
      <c r="G6559" s="852"/>
      <c r="H6559" s="852"/>
      <c r="I6559" s="852"/>
      <c r="J6559" s="852"/>
      <c r="K6559" s="852"/>
      <c r="L6559" s="852"/>
      <c r="M6559" s="852"/>
    </row>
    <row r="6560" spans="5:13">
      <c r="E6560" s="852"/>
      <c r="F6560" s="852"/>
      <c r="G6560" s="852"/>
      <c r="H6560" s="852"/>
      <c r="I6560" s="852"/>
      <c r="J6560" s="852"/>
      <c r="K6560" s="852"/>
      <c r="L6560" s="852"/>
      <c r="M6560" s="852"/>
    </row>
    <row r="6561" spans="5:13">
      <c r="E6561" s="852"/>
      <c r="F6561" s="852"/>
      <c r="G6561" s="852"/>
      <c r="H6561" s="852"/>
      <c r="I6561" s="852"/>
      <c r="J6561" s="852"/>
      <c r="K6561" s="852"/>
      <c r="L6561" s="852"/>
      <c r="M6561" s="852"/>
    </row>
    <row r="6562" spans="5:13">
      <c r="E6562" s="852"/>
      <c r="F6562" s="852"/>
      <c r="G6562" s="852"/>
      <c r="H6562" s="852"/>
      <c r="I6562" s="852"/>
      <c r="J6562" s="852"/>
      <c r="K6562" s="852"/>
      <c r="L6562" s="852"/>
      <c r="M6562" s="852"/>
    </row>
    <row r="6563" spans="5:13">
      <c r="E6563" s="852"/>
      <c r="F6563" s="852"/>
      <c r="G6563" s="852"/>
      <c r="H6563" s="852"/>
      <c r="I6563" s="852"/>
      <c r="J6563" s="852"/>
      <c r="K6563" s="852"/>
      <c r="L6563" s="852"/>
      <c r="M6563" s="852"/>
    </row>
    <row r="6564" spans="5:13">
      <c r="E6564" s="852"/>
      <c r="F6564" s="852"/>
      <c r="G6564" s="852"/>
      <c r="H6564" s="852"/>
      <c r="I6564" s="852"/>
      <c r="J6564" s="852"/>
      <c r="K6564" s="852"/>
      <c r="L6564" s="852"/>
      <c r="M6564" s="852"/>
    </row>
    <row r="6565" spans="5:13">
      <c r="E6565" s="852"/>
      <c r="F6565" s="852"/>
      <c r="G6565" s="852"/>
      <c r="H6565" s="852"/>
      <c r="I6565" s="852"/>
      <c r="J6565" s="852"/>
      <c r="K6565" s="852"/>
      <c r="L6565" s="852"/>
      <c r="M6565" s="852"/>
    </row>
    <row r="6566" spans="5:13">
      <c r="E6566" s="852"/>
      <c r="F6566" s="852"/>
      <c r="G6566" s="852"/>
      <c r="H6566" s="852"/>
      <c r="I6566" s="852"/>
      <c r="J6566" s="852"/>
      <c r="K6566" s="852"/>
      <c r="L6566" s="852"/>
      <c r="M6566" s="852"/>
    </row>
    <row r="6567" spans="5:13">
      <c r="E6567" s="852"/>
      <c r="F6567" s="852"/>
      <c r="G6567" s="852"/>
      <c r="H6567" s="852"/>
      <c r="I6567" s="852"/>
      <c r="J6567" s="852"/>
      <c r="K6567" s="852"/>
      <c r="L6567" s="852"/>
      <c r="M6567" s="852"/>
    </row>
    <row r="6568" spans="5:13">
      <c r="E6568" s="852"/>
      <c r="F6568" s="852"/>
      <c r="G6568" s="852"/>
      <c r="H6568" s="852"/>
      <c r="I6568" s="852"/>
      <c r="J6568" s="852"/>
      <c r="K6568" s="852"/>
      <c r="L6568" s="852"/>
      <c r="M6568" s="852"/>
    </row>
    <row r="6569" spans="5:13">
      <c r="E6569" s="852"/>
      <c r="F6569" s="852"/>
      <c r="G6569" s="852"/>
      <c r="H6569" s="852"/>
      <c r="I6569" s="852"/>
      <c r="J6569" s="852"/>
      <c r="K6569" s="852"/>
      <c r="L6569" s="852"/>
      <c r="M6569" s="852"/>
    </row>
    <row r="6570" spans="5:13">
      <c r="E6570" s="852"/>
      <c r="F6570" s="852"/>
      <c r="G6570" s="852"/>
      <c r="H6570" s="852"/>
      <c r="I6570" s="852"/>
      <c r="J6570" s="852"/>
      <c r="K6570" s="852"/>
      <c r="L6570" s="852"/>
      <c r="M6570" s="852"/>
    </row>
    <row r="6571" spans="5:13">
      <c r="E6571" s="852"/>
      <c r="F6571" s="852"/>
      <c r="G6571" s="852"/>
      <c r="H6571" s="852"/>
      <c r="I6571" s="852"/>
      <c r="J6571" s="852"/>
      <c r="K6571" s="852"/>
      <c r="L6571" s="852"/>
      <c r="M6571" s="852"/>
    </row>
    <row r="6572" spans="5:13">
      <c r="E6572" s="852"/>
      <c r="F6572" s="852"/>
      <c r="G6572" s="852"/>
      <c r="H6572" s="852"/>
      <c r="I6572" s="852"/>
      <c r="J6572" s="852"/>
      <c r="K6572" s="852"/>
      <c r="L6572" s="852"/>
      <c r="M6572" s="852"/>
    </row>
    <row r="6573" spans="5:13">
      <c r="E6573" s="852"/>
      <c r="F6573" s="852"/>
      <c r="G6573" s="852"/>
      <c r="H6573" s="852"/>
      <c r="I6573" s="852"/>
      <c r="J6573" s="852"/>
      <c r="K6573" s="852"/>
      <c r="L6573" s="852"/>
      <c r="M6573" s="852"/>
    </row>
    <row r="6574" spans="5:13">
      <c r="E6574" s="852"/>
      <c r="F6574" s="852"/>
      <c r="G6574" s="852"/>
      <c r="H6574" s="852"/>
      <c r="I6574" s="852"/>
      <c r="J6574" s="852"/>
      <c r="K6574" s="852"/>
      <c r="L6574" s="852"/>
      <c r="M6574" s="852"/>
    </row>
    <row r="6575" spans="5:13">
      <c r="E6575" s="852"/>
      <c r="F6575" s="852"/>
      <c r="G6575" s="852"/>
      <c r="H6575" s="852"/>
      <c r="I6575" s="852"/>
      <c r="J6575" s="852"/>
      <c r="K6575" s="852"/>
      <c r="L6575" s="852"/>
      <c r="M6575" s="852"/>
    </row>
    <row r="6576" spans="5:13">
      <c r="E6576" s="852"/>
      <c r="F6576" s="852"/>
      <c r="G6576" s="852"/>
      <c r="H6576" s="852"/>
      <c r="I6576" s="852"/>
      <c r="J6576" s="852"/>
      <c r="K6576" s="852"/>
      <c r="L6576" s="852"/>
      <c r="M6576" s="852"/>
    </row>
    <row r="6577" spans="5:13">
      <c r="E6577" s="852"/>
      <c r="F6577" s="852"/>
      <c r="G6577" s="852"/>
      <c r="H6577" s="852"/>
      <c r="I6577" s="852"/>
      <c r="J6577" s="852"/>
      <c r="K6577" s="852"/>
      <c r="L6577" s="852"/>
      <c r="M6577" s="852"/>
    </row>
    <row r="6578" spans="5:13">
      <c r="E6578" s="852"/>
      <c r="F6578" s="852"/>
      <c r="G6578" s="852"/>
      <c r="H6578" s="852"/>
      <c r="I6578" s="852"/>
      <c r="J6578" s="852"/>
      <c r="K6578" s="852"/>
      <c r="L6578" s="852"/>
      <c r="M6578" s="852"/>
    </row>
    <row r="6579" spans="5:13">
      <c r="E6579" s="852"/>
      <c r="F6579" s="852"/>
      <c r="G6579" s="852"/>
      <c r="H6579" s="852"/>
      <c r="I6579" s="852"/>
      <c r="J6579" s="852"/>
      <c r="K6579" s="852"/>
      <c r="L6579" s="852"/>
      <c r="M6579" s="852"/>
    </row>
    <row r="6580" spans="5:13">
      <c r="E6580" s="852"/>
      <c r="F6580" s="852"/>
      <c r="G6580" s="852"/>
      <c r="H6580" s="852"/>
      <c r="I6580" s="852"/>
      <c r="J6580" s="852"/>
      <c r="K6580" s="852"/>
      <c r="L6580" s="852"/>
      <c r="M6580" s="852"/>
    </row>
    <row r="6581" spans="5:13">
      <c r="E6581" s="852"/>
      <c r="F6581" s="852"/>
      <c r="G6581" s="852"/>
      <c r="H6581" s="852"/>
      <c r="I6581" s="852"/>
      <c r="J6581" s="852"/>
      <c r="K6581" s="852"/>
      <c r="L6581" s="852"/>
      <c r="M6581" s="852"/>
    </row>
    <row r="6582" spans="5:13">
      <c r="E6582" s="852"/>
      <c r="F6582" s="852"/>
      <c r="G6582" s="852"/>
      <c r="H6582" s="852"/>
      <c r="I6582" s="852"/>
      <c r="J6582" s="852"/>
      <c r="K6582" s="852"/>
      <c r="L6582" s="852"/>
      <c r="M6582" s="852"/>
    </row>
    <row r="6583" spans="5:13">
      <c r="E6583" s="852"/>
      <c r="F6583" s="852"/>
      <c r="G6583" s="852"/>
      <c r="H6583" s="852"/>
      <c r="I6583" s="852"/>
      <c r="J6583" s="852"/>
      <c r="K6583" s="852"/>
      <c r="L6583" s="852"/>
      <c r="M6583" s="852"/>
    </row>
    <row r="6584" spans="5:13">
      <c r="E6584" s="852"/>
      <c r="F6584" s="852"/>
      <c r="G6584" s="852"/>
      <c r="H6584" s="852"/>
      <c r="I6584" s="852"/>
      <c r="J6584" s="852"/>
      <c r="K6584" s="852"/>
      <c r="L6584" s="852"/>
      <c r="M6584" s="852"/>
    </row>
    <row r="6585" spans="5:13">
      <c r="E6585" s="852"/>
      <c r="F6585" s="852"/>
      <c r="G6585" s="852"/>
      <c r="H6585" s="852"/>
      <c r="I6585" s="852"/>
      <c r="J6585" s="852"/>
      <c r="K6585" s="852"/>
      <c r="L6585" s="852"/>
      <c r="M6585" s="852"/>
    </row>
    <row r="6586" spans="5:13">
      <c r="E6586" s="852"/>
      <c r="F6586" s="852"/>
      <c r="G6586" s="852"/>
      <c r="H6586" s="852"/>
      <c r="I6586" s="852"/>
      <c r="J6586" s="852"/>
      <c r="K6586" s="852"/>
      <c r="L6586" s="852"/>
      <c r="M6586" s="852"/>
    </row>
    <row r="6587" spans="5:13">
      <c r="E6587" s="852"/>
      <c r="F6587" s="852"/>
      <c r="G6587" s="852"/>
      <c r="H6587" s="852"/>
      <c r="I6587" s="852"/>
      <c r="J6587" s="852"/>
      <c r="K6587" s="852"/>
      <c r="L6587" s="852"/>
      <c r="M6587" s="852"/>
    </row>
    <row r="6588" spans="5:13">
      <c r="E6588" s="852"/>
      <c r="F6588" s="852"/>
      <c r="G6588" s="852"/>
      <c r="H6588" s="852"/>
      <c r="I6588" s="852"/>
      <c r="J6588" s="852"/>
      <c r="K6588" s="852"/>
      <c r="L6588" s="852"/>
      <c r="M6588" s="852"/>
    </row>
    <row r="6589" spans="5:13">
      <c r="E6589" s="852"/>
      <c r="F6589" s="852"/>
      <c r="G6589" s="852"/>
      <c r="H6589" s="852"/>
      <c r="I6589" s="852"/>
      <c r="J6589" s="852"/>
      <c r="K6589" s="852"/>
      <c r="L6589" s="852"/>
      <c r="M6589" s="852"/>
    </row>
    <row r="6590" spans="5:13">
      <c r="E6590" s="852"/>
      <c r="F6590" s="852"/>
      <c r="G6590" s="852"/>
      <c r="H6590" s="852"/>
      <c r="I6590" s="852"/>
      <c r="J6590" s="852"/>
      <c r="K6590" s="852"/>
      <c r="L6590" s="852"/>
      <c r="M6590" s="852"/>
    </row>
    <row r="6591" spans="5:13">
      <c r="E6591" s="852"/>
      <c r="F6591" s="852"/>
      <c r="G6591" s="852"/>
      <c r="H6591" s="852"/>
      <c r="I6591" s="852"/>
      <c r="J6591" s="852"/>
      <c r="K6591" s="852"/>
      <c r="L6591" s="852"/>
      <c r="M6591" s="852"/>
    </row>
    <row r="6592" spans="5:13">
      <c r="E6592" s="852"/>
      <c r="F6592" s="852"/>
      <c r="G6592" s="852"/>
      <c r="H6592" s="852"/>
      <c r="I6592" s="852"/>
      <c r="J6592" s="852"/>
      <c r="K6592" s="852"/>
      <c r="L6592" s="852"/>
      <c r="M6592" s="852"/>
    </row>
    <row r="6593" spans="5:13">
      <c r="E6593" s="852"/>
      <c r="F6593" s="852"/>
      <c r="G6593" s="852"/>
      <c r="H6593" s="852"/>
      <c r="I6593" s="852"/>
      <c r="J6593" s="852"/>
      <c r="K6593" s="852"/>
      <c r="L6593" s="852"/>
      <c r="M6593" s="852"/>
    </row>
    <row r="6594" spans="5:13">
      <c r="E6594" s="852"/>
      <c r="F6594" s="852"/>
      <c r="G6594" s="852"/>
      <c r="H6594" s="852"/>
      <c r="I6594" s="852"/>
      <c r="J6594" s="852"/>
      <c r="K6594" s="852"/>
      <c r="L6594" s="852"/>
      <c r="M6594" s="852"/>
    </row>
    <row r="6595" spans="5:13">
      <c r="E6595" s="852"/>
      <c r="F6595" s="852"/>
      <c r="G6595" s="852"/>
      <c r="H6595" s="852"/>
      <c r="I6595" s="852"/>
      <c r="J6595" s="852"/>
      <c r="K6595" s="852"/>
      <c r="L6595" s="852"/>
      <c r="M6595" s="852"/>
    </row>
    <row r="6596" spans="5:13">
      <c r="E6596" s="852"/>
      <c r="F6596" s="852"/>
      <c r="G6596" s="852"/>
      <c r="H6596" s="852"/>
      <c r="I6596" s="852"/>
      <c r="J6596" s="852"/>
      <c r="K6596" s="852"/>
      <c r="L6596" s="852"/>
      <c r="M6596" s="852"/>
    </row>
    <row r="6597" spans="5:13">
      <c r="E6597" s="852"/>
      <c r="F6597" s="852"/>
      <c r="G6597" s="852"/>
      <c r="H6597" s="852"/>
      <c r="I6597" s="852"/>
      <c r="J6597" s="852"/>
      <c r="K6597" s="852"/>
      <c r="L6597" s="852"/>
      <c r="M6597" s="852"/>
    </row>
    <row r="6598" spans="5:13">
      <c r="E6598" s="852"/>
      <c r="F6598" s="852"/>
      <c r="G6598" s="852"/>
      <c r="H6598" s="852"/>
      <c r="I6598" s="852"/>
      <c r="J6598" s="852"/>
      <c r="K6598" s="852"/>
      <c r="L6598" s="852"/>
      <c r="M6598" s="852"/>
    </row>
    <row r="6599" spans="5:13">
      <c r="E6599" s="852"/>
      <c r="F6599" s="852"/>
      <c r="G6599" s="852"/>
      <c r="H6599" s="852"/>
      <c r="I6599" s="852"/>
      <c r="J6599" s="852"/>
      <c r="K6599" s="852"/>
      <c r="L6599" s="852"/>
      <c r="M6599" s="852"/>
    </row>
    <row r="6600" spans="5:13">
      <c r="E6600" s="852"/>
      <c r="F6600" s="852"/>
      <c r="G6600" s="852"/>
      <c r="H6600" s="852"/>
      <c r="I6600" s="852"/>
      <c r="J6600" s="852"/>
      <c r="K6600" s="852"/>
      <c r="L6600" s="852"/>
      <c r="M6600" s="852"/>
    </row>
    <row r="6601" spans="5:13">
      <c r="E6601" s="852"/>
      <c r="F6601" s="852"/>
      <c r="G6601" s="852"/>
      <c r="H6601" s="852"/>
      <c r="I6601" s="852"/>
      <c r="J6601" s="852"/>
      <c r="K6601" s="852"/>
      <c r="L6601" s="852"/>
      <c r="M6601" s="852"/>
    </row>
    <row r="6602" spans="5:13">
      <c r="E6602" s="852"/>
      <c r="F6602" s="852"/>
      <c r="G6602" s="852"/>
      <c r="H6602" s="852"/>
      <c r="I6602" s="852"/>
      <c r="J6602" s="852"/>
      <c r="K6602" s="852"/>
      <c r="L6602" s="852"/>
      <c r="M6602" s="852"/>
    </row>
    <row r="6603" spans="5:13">
      <c r="E6603" s="852"/>
      <c r="F6603" s="852"/>
      <c r="G6603" s="852"/>
      <c r="H6603" s="852"/>
      <c r="I6603" s="852"/>
      <c r="J6603" s="852"/>
      <c r="K6603" s="852"/>
      <c r="L6603" s="852"/>
      <c r="M6603" s="852"/>
    </row>
    <row r="6604" spans="5:13">
      <c r="E6604" s="852"/>
      <c r="F6604" s="852"/>
      <c r="G6604" s="852"/>
      <c r="H6604" s="852"/>
      <c r="I6604" s="852"/>
      <c r="J6604" s="852"/>
      <c r="K6604" s="852"/>
      <c r="L6604" s="852"/>
      <c r="M6604" s="852"/>
    </row>
    <row r="6605" spans="5:13">
      <c r="E6605" s="852"/>
      <c r="F6605" s="852"/>
      <c r="G6605" s="852"/>
      <c r="H6605" s="852"/>
      <c r="I6605" s="852"/>
      <c r="J6605" s="852"/>
      <c r="K6605" s="852"/>
      <c r="L6605" s="852"/>
      <c r="M6605" s="852"/>
    </row>
    <row r="6606" spans="5:13">
      <c r="E6606" s="852"/>
      <c r="F6606" s="852"/>
      <c r="G6606" s="852"/>
      <c r="H6606" s="852"/>
      <c r="I6606" s="852"/>
      <c r="J6606" s="852"/>
      <c r="K6606" s="852"/>
      <c r="L6606" s="852"/>
      <c r="M6606" s="852"/>
    </row>
    <row r="6607" spans="5:13">
      <c r="E6607" s="852"/>
      <c r="F6607" s="852"/>
      <c r="G6607" s="852"/>
      <c r="H6607" s="852"/>
      <c r="I6607" s="852"/>
      <c r="J6607" s="852"/>
      <c r="K6607" s="852"/>
      <c r="L6607" s="852"/>
      <c r="M6607" s="852"/>
    </row>
    <row r="6608" spans="5:13">
      <c r="E6608" s="852"/>
      <c r="F6608" s="852"/>
      <c r="G6608" s="852"/>
      <c r="H6608" s="852"/>
      <c r="I6608" s="852"/>
      <c r="J6608" s="852"/>
      <c r="K6608" s="852"/>
      <c r="L6608" s="852"/>
      <c r="M6608" s="852"/>
    </row>
    <row r="6609" spans="5:13">
      <c r="E6609" s="852"/>
      <c r="F6609" s="852"/>
      <c r="G6609" s="852"/>
      <c r="H6609" s="852"/>
      <c r="I6609" s="852"/>
      <c r="J6609" s="852"/>
      <c r="K6609" s="852"/>
      <c r="L6609" s="852"/>
      <c r="M6609" s="852"/>
    </row>
    <row r="6610" spans="5:13">
      <c r="E6610" s="852"/>
      <c r="F6610" s="852"/>
      <c r="G6610" s="852"/>
      <c r="H6610" s="852"/>
      <c r="I6610" s="852"/>
      <c r="J6610" s="852"/>
      <c r="K6610" s="852"/>
      <c r="L6610" s="852"/>
      <c r="M6610" s="852"/>
    </row>
    <row r="6611" spans="5:13">
      <c r="E6611" s="852"/>
      <c r="F6611" s="852"/>
      <c r="G6611" s="852"/>
      <c r="H6611" s="852"/>
      <c r="I6611" s="852"/>
      <c r="J6611" s="852"/>
      <c r="K6611" s="852"/>
      <c r="L6611" s="852"/>
      <c r="M6611" s="852"/>
    </row>
    <row r="6612" spans="5:13">
      <c r="E6612" s="852"/>
      <c r="F6612" s="852"/>
      <c r="G6612" s="852"/>
      <c r="H6612" s="852"/>
      <c r="I6612" s="852"/>
      <c r="J6612" s="852"/>
      <c r="K6612" s="852"/>
      <c r="L6612" s="852"/>
      <c r="M6612" s="852"/>
    </row>
    <row r="6613" spans="5:13">
      <c r="E6613" s="852"/>
      <c r="F6613" s="852"/>
      <c r="G6613" s="852"/>
      <c r="H6613" s="852"/>
      <c r="I6613" s="852"/>
      <c r="J6613" s="852"/>
      <c r="K6613" s="852"/>
      <c r="L6613" s="852"/>
      <c r="M6613" s="852"/>
    </row>
    <row r="6614" spans="5:13">
      <c r="E6614" s="852"/>
      <c r="F6614" s="852"/>
      <c r="G6614" s="852"/>
      <c r="H6614" s="852"/>
      <c r="I6614" s="852"/>
      <c r="J6614" s="852"/>
      <c r="K6614" s="852"/>
      <c r="L6614" s="852"/>
      <c r="M6614" s="852"/>
    </row>
    <row r="6615" spans="5:13">
      <c r="E6615" s="852"/>
      <c r="F6615" s="852"/>
      <c r="G6615" s="852"/>
      <c r="H6615" s="852"/>
      <c r="I6615" s="852"/>
      <c r="J6615" s="852"/>
      <c r="K6615" s="852"/>
      <c r="L6615" s="852"/>
      <c r="M6615" s="852"/>
    </row>
    <row r="6616" spans="5:13">
      <c r="E6616" s="852"/>
      <c r="F6616" s="852"/>
      <c r="G6616" s="852"/>
      <c r="H6616" s="852"/>
      <c r="I6616" s="852"/>
      <c r="J6616" s="852"/>
      <c r="K6616" s="852"/>
      <c r="L6616" s="852"/>
      <c r="M6616" s="852"/>
    </row>
    <row r="6617" spans="5:13">
      <c r="E6617" s="852"/>
      <c r="F6617" s="852"/>
      <c r="G6617" s="852"/>
      <c r="H6617" s="852"/>
      <c r="I6617" s="852"/>
      <c r="J6617" s="852"/>
      <c r="K6617" s="852"/>
      <c r="L6617" s="852"/>
      <c r="M6617" s="852"/>
    </row>
    <row r="6618" spans="5:13">
      <c r="E6618" s="852"/>
      <c r="F6618" s="852"/>
      <c r="G6618" s="852"/>
      <c r="H6618" s="852"/>
      <c r="I6618" s="852"/>
      <c r="J6618" s="852"/>
      <c r="K6618" s="852"/>
      <c r="L6618" s="852"/>
      <c r="M6618" s="852"/>
    </row>
    <row r="6619" spans="5:13">
      <c r="E6619" s="852"/>
      <c r="F6619" s="852"/>
      <c r="G6619" s="852"/>
      <c r="H6619" s="852"/>
      <c r="I6619" s="852"/>
      <c r="J6619" s="852"/>
      <c r="K6619" s="852"/>
      <c r="L6619" s="852"/>
      <c r="M6619" s="852"/>
    </row>
    <row r="6620" spans="5:13">
      <c r="E6620" s="852"/>
      <c r="F6620" s="852"/>
      <c r="G6620" s="852"/>
      <c r="H6620" s="852"/>
      <c r="I6620" s="852"/>
      <c r="J6620" s="852"/>
      <c r="K6620" s="852"/>
      <c r="L6620" s="852"/>
      <c r="M6620" s="852"/>
    </row>
    <row r="6621" spans="5:13">
      <c r="E6621" s="852"/>
      <c r="F6621" s="852"/>
      <c r="G6621" s="852"/>
      <c r="H6621" s="852"/>
      <c r="I6621" s="852"/>
      <c r="J6621" s="852"/>
      <c r="K6621" s="852"/>
      <c r="L6621" s="852"/>
      <c r="M6621" s="852"/>
    </row>
    <row r="6622" spans="5:13">
      <c r="E6622" s="852"/>
      <c r="F6622" s="852"/>
      <c r="G6622" s="852"/>
      <c r="H6622" s="852"/>
      <c r="I6622" s="852"/>
      <c r="J6622" s="852"/>
      <c r="K6622" s="852"/>
      <c r="L6622" s="852"/>
      <c r="M6622" s="852"/>
    </row>
    <row r="6623" spans="5:13">
      <c r="E6623" s="852"/>
      <c r="F6623" s="852"/>
      <c r="G6623" s="852"/>
      <c r="H6623" s="852"/>
      <c r="I6623" s="852"/>
      <c r="J6623" s="852"/>
      <c r="K6623" s="852"/>
      <c r="L6623" s="852"/>
      <c r="M6623" s="852"/>
    </row>
    <row r="6624" spans="5:13">
      <c r="E6624" s="852"/>
      <c r="F6624" s="852"/>
      <c r="G6624" s="852"/>
      <c r="H6624" s="852"/>
      <c r="I6624" s="852"/>
      <c r="J6624" s="852"/>
      <c r="K6624" s="852"/>
      <c r="L6624" s="852"/>
      <c r="M6624" s="852"/>
    </row>
    <row r="6625" spans="5:13">
      <c r="E6625" s="852"/>
      <c r="F6625" s="852"/>
      <c r="G6625" s="852"/>
      <c r="H6625" s="852"/>
      <c r="I6625" s="852"/>
      <c r="J6625" s="852"/>
      <c r="K6625" s="852"/>
      <c r="L6625" s="852"/>
      <c r="M6625" s="852"/>
    </row>
    <row r="6626" spans="5:13">
      <c r="E6626" s="852"/>
      <c r="F6626" s="852"/>
      <c r="G6626" s="852"/>
      <c r="H6626" s="852"/>
      <c r="I6626" s="852"/>
      <c r="J6626" s="852"/>
      <c r="K6626" s="852"/>
      <c r="L6626" s="852"/>
      <c r="M6626" s="852"/>
    </row>
    <row r="6627" spans="5:13">
      <c r="E6627" s="852"/>
      <c r="F6627" s="852"/>
      <c r="G6627" s="852"/>
      <c r="H6627" s="852"/>
      <c r="I6627" s="852"/>
      <c r="J6627" s="852"/>
      <c r="K6627" s="852"/>
      <c r="L6627" s="852"/>
      <c r="M6627" s="852"/>
    </row>
    <row r="6628" spans="5:13">
      <c r="E6628" s="852"/>
      <c r="F6628" s="852"/>
      <c r="G6628" s="852"/>
      <c r="H6628" s="852"/>
      <c r="I6628" s="852"/>
      <c r="J6628" s="852"/>
      <c r="K6628" s="852"/>
      <c r="L6628" s="852"/>
      <c r="M6628" s="852"/>
    </row>
    <row r="6629" spans="5:13">
      <c r="E6629" s="852"/>
      <c r="F6629" s="852"/>
      <c r="G6629" s="852"/>
      <c r="H6629" s="852"/>
      <c r="I6629" s="852"/>
      <c r="J6629" s="852"/>
      <c r="K6629" s="852"/>
      <c r="L6629" s="852"/>
      <c r="M6629" s="852"/>
    </row>
    <row r="6630" spans="5:13">
      <c r="E6630" s="852"/>
      <c r="F6630" s="852"/>
      <c r="G6630" s="852"/>
      <c r="H6630" s="852"/>
      <c r="I6630" s="852"/>
      <c r="J6630" s="852"/>
      <c r="K6630" s="852"/>
      <c r="L6630" s="852"/>
      <c r="M6630" s="852"/>
    </row>
    <row r="6631" spans="5:13">
      <c r="E6631" s="852"/>
      <c r="F6631" s="852"/>
      <c r="G6631" s="852"/>
      <c r="H6631" s="852"/>
      <c r="I6631" s="852"/>
      <c r="J6631" s="852"/>
      <c r="K6631" s="852"/>
      <c r="L6631" s="852"/>
      <c r="M6631" s="852"/>
    </row>
    <row r="6632" spans="5:13">
      <c r="E6632" s="852"/>
      <c r="F6632" s="852"/>
      <c r="G6632" s="852"/>
      <c r="H6632" s="852"/>
      <c r="I6632" s="852"/>
      <c r="J6632" s="852"/>
      <c r="K6632" s="852"/>
      <c r="L6632" s="852"/>
      <c r="M6632" s="852"/>
    </row>
    <row r="6633" spans="5:13">
      <c r="E6633" s="852"/>
      <c r="F6633" s="852"/>
      <c r="G6633" s="852"/>
      <c r="H6633" s="852"/>
      <c r="I6633" s="852"/>
      <c r="J6633" s="852"/>
      <c r="K6633" s="852"/>
      <c r="L6633" s="852"/>
      <c r="M6633" s="852"/>
    </row>
    <row r="6634" spans="5:13">
      <c r="E6634" s="852"/>
      <c r="F6634" s="852"/>
      <c r="G6634" s="852"/>
      <c r="H6634" s="852"/>
      <c r="I6634" s="852"/>
      <c r="J6634" s="852"/>
      <c r="K6634" s="852"/>
      <c r="L6634" s="852"/>
      <c r="M6634" s="852"/>
    </row>
    <row r="6635" spans="5:13">
      <c r="E6635" s="852"/>
      <c r="F6635" s="852"/>
      <c r="G6635" s="852"/>
      <c r="H6635" s="852"/>
      <c r="I6635" s="852"/>
      <c r="J6635" s="852"/>
      <c r="K6635" s="852"/>
      <c r="L6635" s="852"/>
      <c r="M6635" s="852"/>
    </row>
    <row r="6636" spans="5:13">
      <c r="E6636" s="852"/>
      <c r="F6636" s="852"/>
      <c r="G6636" s="852"/>
      <c r="H6636" s="852"/>
      <c r="I6636" s="852"/>
      <c r="J6636" s="852"/>
      <c r="K6636" s="852"/>
      <c r="L6636" s="852"/>
      <c r="M6636" s="852"/>
    </row>
    <row r="6637" spans="5:13">
      <c r="E6637" s="852"/>
      <c r="F6637" s="852"/>
      <c r="G6637" s="852"/>
      <c r="H6637" s="852"/>
      <c r="I6637" s="852"/>
      <c r="J6637" s="852"/>
      <c r="K6637" s="852"/>
      <c r="L6637" s="852"/>
      <c r="M6637" s="852"/>
    </row>
    <row r="6638" spans="5:13">
      <c r="E6638" s="852"/>
      <c r="F6638" s="852"/>
      <c r="G6638" s="852"/>
      <c r="H6638" s="852"/>
      <c r="I6638" s="852"/>
      <c r="J6638" s="852"/>
      <c r="K6638" s="852"/>
      <c r="L6638" s="852"/>
      <c r="M6638" s="852"/>
    </row>
    <row r="6639" spans="5:13">
      <c r="E6639" s="852"/>
      <c r="F6639" s="852"/>
      <c r="G6639" s="852"/>
      <c r="H6639" s="852"/>
      <c r="I6639" s="852"/>
      <c r="J6639" s="852"/>
      <c r="K6639" s="852"/>
      <c r="L6639" s="852"/>
      <c r="M6639" s="852"/>
    </row>
    <row r="6640" spans="5:13">
      <c r="E6640" s="852"/>
      <c r="F6640" s="852"/>
      <c r="G6640" s="852"/>
      <c r="H6640" s="852"/>
      <c r="I6640" s="852"/>
      <c r="J6640" s="852"/>
      <c r="K6640" s="852"/>
      <c r="L6640" s="852"/>
      <c r="M6640" s="852"/>
    </row>
    <row r="6641" spans="5:13">
      <c r="E6641" s="852"/>
      <c r="F6641" s="852"/>
      <c r="G6641" s="852"/>
      <c r="H6641" s="852"/>
      <c r="I6641" s="852"/>
      <c r="J6641" s="852"/>
      <c r="K6641" s="852"/>
      <c r="L6641" s="852"/>
      <c r="M6641" s="852"/>
    </row>
    <row r="6642" spans="5:13">
      <c r="E6642" s="852"/>
      <c r="F6642" s="852"/>
      <c r="G6642" s="852"/>
      <c r="H6642" s="852"/>
      <c r="I6642" s="852"/>
      <c r="J6642" s="852"/>
      <c r="K6642" s="852"/>
      <c r="L6642" s="852"/>
      <c r="M6642" s="852"/>
    </row>
    <row r="6643" spans="5:13">
      <c r="E6643" s="852"/>
      <c r="F6643" s="852"/>
      <c r="G6643" s="852"/>
      <c r="H6643" s="852"/>
      <c r="I6643" s="852"/>
      <c r="J6643" s="852"/>
      <c r="K6643" s="852"/>
      <c r="L6643" s="852"/>
      <c r="M6643" s="852"/>
    </row>
    <row r="6644" spans="5:13">
      <c r="E6644" s="852"/>
      <c r="F6644" s="852"/>
      <c r="G6644" s="852"/>
      <c r="H6644" s="852"/>
      <c r="I6644" s="852"/>
      <c r="J6644" s="852"/>
      <c r="K6644" s="852"/>
      <c r="L6644" s="852"/>
      <c r="M6644" s="852"/>
    </row>
    <row r="6645" spans="5:13">
      <c r="E6645" s="852"/>
      <c r="F6645" s="852"/>
      <c r="G6645" s="852"/>
      <c r="H6645" s="852"/>
      <c r="I6645" s="852"/>
      <c r="J6645" s="852"/>
      <c r="K6645" s="852"/>
      <c r="L6645" s="852"/>
      <c r="M6645" s="852"/>
    </row>
    <row r="6646" spans="5:13">
      <c r="E6646" s="852"/>
      <c r="F6646" s="852"/>
      <c r="G6646" s="852"/>
      <c r="H6646" s="852"/>
      <c r="I6646" s="852"/>
      <c r="J6646" s="852"/>
      <c r="K6646" s="852"/>
      <c r="L6646" s="852"/>
      <c r="M6646" s="852"/>
    </row>
    <row r="6647" spans="5:13">
      <c r="E6647" s="852"/>
      <c r="F6647" s="852"/>
      <c r="G6647" s="852"/>
      <c r="H6647" s="852"/>
      <c r="I6647" s="852"/>
      <c r="J6647" s="852"/>
      <c r="K6647" s="852"/>
      <c r="L6647" s="852"/>
      <c r="M6647" s="852"/>
    </row>
    <row r="6648" spans="5:13">
      <c r="E6648" s="852"/>
      <c r="F6648" s="852"/>
      <c r="G6648" s="852"/>
      <c r="H6648" s="852"/>
      <c r="I6648" s="852"/>
      <c r="J6648" s="852"/>
      <c r="K6648" s="852"/>
      <c r="L6648" s="852"/>
      <c r="M6648" s="852"/>
    </row>
    <row r="6649" spans="5:13">
      <c r="E6649" s="852"/>
      <c r="F6649" s="852"/>
      <c r="G6649" s="852"/>
      <c r="H6649" s="852"/>
      <c r="I6649" s="852"/>
      <c r="J6649" s="852"/>
      <c r="K6649" s="852"/>
      <c r="L6649" s="852"/>
      <c r="M6649" s="852"/>
    </row>
    <row r="6650" spans="5:13">
      <c r="E6650" s="852"/>
      <c r="F6650" s="852"/>
      <c r="G6650" s="852"/>
      <c r="H6650" s="852"/>
      <c r="I6650" s="852"/>
      <c r="J6650" s="852"/>
      <c r="K6650" s="852"/>
      <c r="L6650" s="852"/>
      <c r="M6650" s="852"/>
    </row>
    <row r="6651" spans="5:13">
      <c r="E6651" s="852"/>
      <c r="F6651" s="852"/>
      <c r="G6651" s="852"/>
      <c r="H6651" s="852"/>
      <c r="I6651" s="852"/>
      <c r="J6651" s="852"/>
      <c r="K6651" s="852"/>
      <c r="L6651" s="852"/>
      <c r="M6651" s="852"/>
    </row>
    <row r="6652" spans="5:13">
      <c r="E6652" s="852"/>
      <c r="F6652" s="852"/>
      <c r="G6652" s="852"/>
      <c r="H6652" s="852"/>
      <c r="I6652" s="852"/>
      <c r="J6652" s="852"/>
      <c r="K6652" s="852"/>
      <c r="L6652" s="852"/>
      <c r="M6652" s="852"/>
    </row>
    <row r="6653" spans="5:13">
      <c r="E6653" s="852"/>
      <c r="F6653" s="852"/>
      <c r="G6653" s="852"/>
      <c r="H6653" s="852"/>
      <c r="I6653" s="852"/>
      <c r="J6653" s="852"/>
      <c r="K6653" s="852"/>
      <c r="L6653" s="852"/>
      <c r="M6653" s="852"/>
    </row>
    <row r="6654" spans="5:13">
      <c r="E6654" s="852"/>
      <c r="F6654" s="852"/>
      <c r="G6654" s="852"/>
      <c r="H6654" s="852"/>
      <c r="I6654" s="852"/>
      <c r="J6654" s="852"/>
      <c r="K6654" s="852"/>
      <c r="L6654" s="852"/>
      <c r="M6654" s="852"/>
    </row>
    <row r="6655" spans="5:13">
      <c r="E6655" s="852"/>
      <c r="F6655" s="852"/>
      <c r="G6655" s="852"/>
      <c r="H6655" s="852"/>
      <c r="I6655" s="852"/>
      <c r="J6655" s="852"/>
      <c r="K6655" s="852"/>
      <c r="L6655" s="852"/>
      <c r="M6655" s="852"/>
    </row>
    <row r="6656" spans="5:13">
      <c r="E6656" s="852"/>
      <c r="F6656" s="852"/>
      <c r="G6656" s="852"/>
      <c r="H6656" s="852"/>
      <c r="I6656" s="852"/>
      <c r="J6656" s="852"/>
      <c r="K6656" s="852"/>
      <c r="L6656" s="852"/>
      <c r="M6656" s="852"/>
    </row>
    <row r="6657" spans="5:13">
      <c r="E6657" s="852"/>
      <c r="F6657" s="852"/>
      <c r="G6657" s="852"/>
      <c r="H6657" s="852"/>
      <c r="I6657" s="852"/>
      <c r="J6657" s="852"/>
      <c r="K6657" s="852"/>
      <c r="L6657" s="852"/>
      <c r="M6657" s="852"/>
    </row>
    <row r="6658" spans="5:13">
      <c r="E6658" s="852"/>
      <c r="F6658" s="852"/>
      <c r="G6658" s="852"/>
      <c r="H6658" s="852"/>
      <c r="I6658" s="852"/>
      <c r="J6658" s="852"/>
      <c r="K6658" s="852"/>
      <c r="L6658" s="852"/>
      <c r="M6658" s="852"/>
    </row>
    <row r="6659" spans="5:13">
      <c r="E6659" s="852"/>
      <c r="F6659" s="852"/>
      <c r="G6659" s="852"/>
      <c r="H6659" s="852"/>
      <c r="I6659" s="852"/>
      <c r="J6659" s="852"/>
      <c r="K6659" s="852"/>
      <c r="L6659" s="852"/>
      <c r="M6659" s="852"/>
    </row>
    <row r="6660" spans="5:13">
      <c r="E6660" s="852"/>
      <c r="F6660" s="852"/>
      <c r="G6660" s="852"/>
      <c r="H6660" s="852"/>
      <c r="I6660" s="852"/>
      <c r="J6660" s="852"/>
      <c r="K6660" s="852"/>
      <c r="L6660" s="852"/>
      <c r="M6660" s="852"/>
    </row>
    <row r="6661" spans="5:13">
      <c r="E6661" s="852"/>
      <c r="F6661" s="852"/>
      <c r="G6661" s="852"/>
      <c r="H6661" s="852"/>
      <c r="I6661" s="852"/>
      <c r="J6661" s="852"/>
      <c r="K6661" s="852"/>
      <c r="L6661" s="852"/>
      <c r="M6661" s="852"/>
    </row>
    <row r="6662" spans="5:13">
      <c r="E6662" s="852"/>
      <c r="F6662" s="852"/>
      <c r="G6662" s="852"/>
      <c r="H6662" s="852"/>
      <c r="I6662" s="852"/>
      <c r="J6662" s="852"/>
      <c r="K6662" s="852"/>
      <c r="L6662" s="852"/>
      <c r="M6662" s="852"/>
    </row>
    <row r="6663" spans="5:13">
      <c r="E6663" s="852"/>
      <c r="F6663" s="852"/>
      <c r="G6663" s="852"/>
      <c r="H6663" s="852"/>
      <c r="I6663" s="852"/>
      <c r="J6663" s="852"/>
      <c r="K6663" s="852"/>
      <c r="L6663" s="852"/>
      <c r="M6663" s="852"/>
    </row>
    <row r="6664" spans="5:13">
      <c r="E6664" s="852"/>
      <c r="F6664" s="852"/>
      <c r="G6664" s="852"/>
      <c r="H6664" s="852"/>
      <c r="I6664" s="852"/>
      <c r="J6664" s="852"/>
      <c r="K6664" s="852"/>
      <c r="L6664" s="852"/>
      <c r="M6664" s="852"/>
    </row>
    <row r="6665" spans="5:13">
      <c r="E6665" s="852"/>
      <c r="F6665" s="852"/>
      <c r="G6665" s="852"/>
      <c r="H6665" s="852"/>
      <c r="I6665" s="852"/>
      <c r="J6665" s="852"/>
      <c r="K6665" s="852"/>
      <c r="L6665" s="852"/>
      <c r="M6665" s="852"/>
    </row>
    <row r="6666" spans="5:13">
      <c r="E6666" s="852"/>
      <c r="F6666" s="852"/>
      <c r="G6666" s="852"/>
      <c r="H6666" s="852"/>
      <c r="I6666" s="852"/>
      <c r="J6666" s="852"/>
      <c r="K6666" s="852"/>
      <c r="L6666" s="852"/>
      <c r="M6666" s="852"/>
    </row>
    <row r="6667" spans="5:13">
      <c r="E6667" s="852"/>
      <c r="F6667" s="852"/>
      <c r="G6667" s="852"/>
      <c r="H6667" s="852"/>
      <c r="I6667" s="852"/>
      <c r="J6667" s="852"/>
      <c r="K6667" s="852"/>
      <c r="L6667" s="852"/>
      <c r="M6667" s="852"/>
    </row>
    <row r="6668" spans="5:13">
      <c r="E6668" s="852"/>
      <c r="F6668" s="852"/>
      <c r="G6668" s="852"/>
      <c r="H6668" s="852"/>
      <c r="I6668" s="852"/>
      <c r="J6668" s="852"/>
      <c r="K6668" s="852"/>
      <c r="L6668" s="852"/>
      <c r="M6668" s="852"/>
    </row>
    <row r="6669" spans="5:13">
      <c r="E6669" s="852"/>
      <c r="F6669" s="852"/>
      <c r="G6669" s="852"/>
      <c r="H6669" s="852"/>
      <c r="I6669" s="852"/>
      <c r="J6669" s="852"/>
      <c r="K6669" s="852"/>
      <c r="L6669" s="852"/>
      <c r="M6669" s="852"/>
    </row>
    <row r="6670" spans="5:13">
      <c r="E6670" s="852"/>
      <c r="F6670" s="852"/>
      <c r="G6670" s="852"/>
      <c r="H6670" s="852"/>
      <c r="I6670" s="852"/>
      <c r="J6670" s="852"/>
      <c r="K6670" s="852"/>
      <c r="L6670" s="852"/>
      <c r="M6670" s="852"/>
    </row>
    <row r="6671" spans="5:13">
      <c r="E6671" s="852"/>
      <c r="F6671" s="852"/>
      <c r="G6671" s="852"/>
      <c r="H6671" s="852"/>
      <c r="I6671" s="852"/>
      <c r="J6671" s="852"/>
      <c r="K6671" s="852"/>
      <c r="L6671" s="852"/>
      <c r="M6671" s="852"/>
    </row>
    <row r="6672" spans="5:13">
      <c r="E6672" s="852"/>
      <c r="F6672" s="852"/>
      <c r="G6672" s="852"/>
      <c r="H6672" s="852"/>
      <c r="I6672" s="852"/>
      <c r="J6672" s="852"/>
      <c r="K6672" s="852"/>
      <c r="L6672" s="852"/>
      <c r="M6672" s="852"/>
    </row>
    <row r="6673" spans="5:13">
      <c r="E6673" s="852"/>
      <c r="F6673" s="852"/>
      <c r="G6673" s="852"/>
      <c r="H6673" s="852"/>
      <c r="I6673" s="852"/>
      <c r="J6673" s="852"/>
      <c r="K6673" s="852"/>
      <c r="L6673" s="852"/>
      <c r="M6673" s="852"/>
    </row>
    <row r="6674" spans="5:13">
      <c r="E6674" s="852"/>
      <c r="F6674" s="852"/>
      <c r="G6674" s="852"/>
      <c r="H6674" s="852"/>
      <c r="I6674" s="852"/>
      <c r="J6674" s="852"/>
      <c r="K6674" s="852"/>
      <c r="L6674" s="852"/>
      <c r="M6674" s="852"/>
    </row>
    <row r="6675" spans="5:13">
      <c r="E6675" s="852"/>
      <c r="F6675" s="852"/>
      <c r="G6675" s="852"/>
      <c r="H6675" s="852"/>
      <c r="I6675" s="852"/>
      <c r="J6675" s="852"/>
      <c r="K6675" s="852"/>
      <c r="L6675" s="852"/>
      <c r="M6675" s="852"/>
    </row>
    <row r="6676" spans="5:13">
      <c r="E6676" s="852"/>
      <c r="F6676" s="852"/>
      <c r="G6676" s="852"/>
      <c r="H6676" s="852"/>
      <c r="I6676" s="852"/>
      <c r="J6676" s="852"/>
      <c r="K6676" s="852"/>
      <c r="L6676" s="852"/>
      <c r="M6676" s="852"/>
    </row>
    <row r="6677" spans="5:13">
      <c r="E6677" s="852"/>
      <c r="F6677" s="852"/>
      <c r="G6677" s="852"/>
      <c r="H6677" s="852"/>
      <c r="I6677" s="852"/>
      <c r="J6677" s="852"/>
      <c r="K6677" s="852"/>
      <c r="L6677" s="852"/>
      <c r="M6677" s="852"/>
    </row>
    <row r="6678" spans="5:13">
      <c r="E6678" s="852"/>
      <c r="F6678" s="852"/>
      <c r="G6678" s="852"/>
      <c r="H6678" s="852"/>
      <c r="I6678" s="852"/>
      <c r="J6678" s="852"/>
      <c r="K6678" s="852"/>
      <c r="L6678" s="852"/>
      <c r="M6678" s="852"/>
    </row>
    <row r="6679" spans="5:13">
      <c r="E6679" s="852"/>
      <c r="F6679" s="852"/>
      <c r="G6679" s="852"/>
      <c r="H6679" s="852"/>
      <c r="I6679" s="852"/>
      <c r="J6679" s="852"/>
      <c r="K6679" s="852"/>
      <c r="L6679" s="852"/>
      <c r="M6679" s="852"/>
    </row>
    <row r="6680" spans="5:13">
      <c r="E6680" s="852"/>
      <c r="F6680" s="852"/>
      <c r="G6680" s="852"/>
      <c r="H6680" s="852"/>
      <c r="I6680" s="852"/>
      <c r="J6680" s="852"/>
      <c r="K6680" s="852"/>
      <c r="L6680" s="852"/>
      <c r="M6680" s="852"/>
    </row>
    <row r="6681" spans="5:13">
      <c r="E6681" s="852"/>
      <c r="F6681" s="852"/>
      <c r="G6681" s="852"/>
      <c r="H6681" s="852"/>
      <c r="I6681" s="852"/>
      <c r="J6681" s="852"/>
      <c r="K6681" s="852"/>
      <c r="L6681" s="852"/>
      <c r="M6681" s="852"/>
    </row>
    <row r="6682" spans="5:13">
      <c r="E6682" s="852"/>
      <c r="F6682" s="852"/>
      <c r="G6682" s="852"/>
      <c r="H6682" s="852"/>
      <c r="I6682" s="852"/>
      <c r="J6682" s="852"/>
      <c r="K6682" s="852"/>
      <c r="L6682" s="852"/>
      <c r="M6682" s="852"/>
    </row>
    <row r="6683" spans="5:13">
      <c r="E6683" s="852"/>
      <c r="F6683" s="852"/>
      <c r="G6683" s="852"/>
      <c r="H6683" s="852"/>
      <c r="I6683" s="852"/>
      <c r="J6683" s="852"/>
      <c r="K6683" s="852"/>
      <c r="L6683" s="852"/>
      <c r="M6683" s="852"/>
    </row>
    <row r="6684" spans="5:13">
      <c r="E6684" s="852"/>
      <c r="F6684" s="852"/>
      <c r="G6684" s="852"/>
      <c r="H6684" s="852"/>
      <c r="I6684" s="852"/>
      <c r="J6684" s="852"/>
      <c r="K6684" s="852"/>
      <c r="L6684" s="852"/>
      <c r="M6684" s="852"/>
    </row>
    <row r="6685" spans="5:13">
      <c r="E6685" s="852"/>
      <c r="F6685" s="852"/>
      <c r="G6685" s="852"/>
      <c r="H6685" s="852"/>
      <c r="I6685" s="852"/>
      <c r="J6685" s="852"/>
      <c r="K6685" s="852"/>
      <c r="L6685" s="852"/>
      <c r="M6685" s="852"/>
    </row>
    <row r="6686" spans="5:13">
      <c r="E6686" s="852"/>
      <c r="F6686" s="852"/>
      <c r="G6686" s="852"/>
      <c r="H6686" s="852"/>
      <c r="I6686" s="852"/>
      <c r="J6686" s="852"/>
      <c r="K6686" s="852"/>
      <c r="L6686" s="852"/>
      <c r="M6686" s="852"/>
    </row>
    <row r="6687" spans="5:13">
      <c r="E6687" s="852"/>
      <c r="F6687" s="852"/>
      <c r="G6687" s="852"/>
      <c r="H6687" s="852"/>
      <c r="I6687" s="852"/>
      <c r="J6687" s="852"/>
      <c r="K6687" s="852"/>
      <c r="L6687" s="852"/>
      <c r="M6687" s="852"/>
    </row>
    <row r="6688" spans="5:13">
      <c r="E6688" s="852"/>
      <c r="F6688" s="852"/>
      <c r="G6688" s="852"/>
      <c r="H6688" s="852"/>
      <c r="I6688" s="852"/>
      <c r="J6688" s="852"/>
      <c r="K6688" s="852"/>
      <c r="L6688" s="852"/>
      <c r="M6688" s="852"/>
    </row>
    <row r="6689" spans="5:13">
      <c r="E6689" s="852"/>
      <c r="F6689" s="852"/>
      <c r="G6689" s="852"/>
      <c r="H6689" s="852"/>
      <c r="I6689" s="852"/>
      <c r="J6689" s="852"/>
      <c r="K6689" s="852"/>
      <c r="L6689" s="852"/>
      <c r="M6689" s="852"/>
    </row>
    <row r="6690" spans="5:13">
      <c r="E6690" s="852"/>
      <c r="F6690" s="852"/>
      <c r="G6690" s="852"/>
      <c r="H6690" s="852"/>
      <c r="I6690" s="852"/>
      <c r="J6690" s="852"/>
      <c r="K6690" s="852"/>
      <c r="L6690" s="852"/>
      <c r="M6690" s="852"/>
    </row>
    <row r="6691" spans="5:13">
      <c r="E6691" s="852"/>
      <c r="F6691" s="852"/>
      <c r="G6691" s="852"/>
      <c r="H6691" s="852"/>
      <c r="I6691" s="852"/>
      <c r="J6691" s="852"/>
      <c r="K6691" s="852"/>
      <c r="L6691" s="852"/>
      <c r="M6691" s="852"/>
    </row>
    <row r="6692" spans="5:13">
      <c r="E6692" s="852"/>
      <c r="F6692" s="852"/>
      <c r="G6692" s="852"/>
      <c r="H6692" s="852"/>
      <c r="I6692" s="852"/>
      <c r="J6692" s="852"/>
      <c r="K6692" s="852"/>
      <c r="L6692" s="852"/>
      <c r="M6692" s="852"/>
    </row>
    <row r="6693" spans="5:13">
      <c r="E6693" s="852"/>
      <c r="F6693" s="852"/>
      <c r="G6693" s="852"/>
      <c r="H6693" s="852"/>
      <c r="I6693" s="852"/>
      <c r="J6693" s="852"/>
      <c r="K6693" s="852"/>
      <c r="L6693" s="852"/>
      <c r="M6693" s="852"/>
    </row>
    <row r="6694" spans="5:13">
      <c r="E6694" s="852"/>
      <c r="F6694" s="852"/>
      <c r="G6694" s="852"/>
      <c r="H6694" s="852"/>
      <c r="I6694" s="852"/>
      <c r="J6694" s="852"/>
      <c r="K6694" s="852"/>
      <c r="L6694" s="852"/>
      <c r="M6694" s="852"/>
    </row>
    <row r="6695" spans="5:13">
      <c r="E6695" s="852"/>
      <c r="F6695" s="852"/>
      <c r="G6695" s="852"/>
      <c r="H6695" s="852"/>
      <c r="I6695" s="852"/>
      <c r="J6695" s="852"/>
      <c r="K6695" s="852"/>
      <c r="L6695" s="852"/>
      <c r="M6695" s="852"/>
    </row>
    <row r="6696" spans="5:13">
      <c r="E6696" s="852"/>
      <c r="F6696" s="852"/>
      <c r="G6696" s="852"/>
      <c r="H6696" s="852"/>
      <c r="I6696" s="852"/>
      <c r="J6696" s="852"/>
      <c r="K6696" s="852"/>
      <c r="L6696" s="852"/>
      <c r="M6696" s="852"/>
    </row>
    <row r="6697" spans="5:13">
      <c r="E6697" s="852"/>
      <c r="F6697" s="852"/>
      <c r="G6697" s="852"/>
      <c r="H6697" s="852"/>
      <c r="I6697" s="852"/>
      <c r="J6697" s="852"/>
      <c r="K6697" s="852"/>
      <c r="L6697" s="852"/>
      <c r="M6697" s="852"/>
    </row>
    <row r="6698" spans="5:13">
      <c r="E6698" s="852"/>
      <c r="F6698" s="852"/>
      <c r="G6698" s="852"/>
      <c r="H6698" s="852"/>
      <c r="I6698" s="852"/>
      <c r="J6698" s="852"/>
      <c r="K6698" s="852"/>
      <c r="L6698" s="852"/>
      <c r="M6698" s="852"/>
    </row>
    <row r="6699" spans="5:13">
      <c r="E6699" s="852"/>
      <c r="F6699" s="852"/>
      <c r="G6699" s="852"/>
      <c r="H6699" s="852"/>
      <c r="I6699" s="852"/>
      <c r="J6699" s="852"/>
      <c r="K6699" s="852"/>
      <c r="L6699" s="852"/>
      <c r="M6699" s="852"/>
    </row>
    <row r="6700" spans="5:13">
      <c r="E6700" s="852"/>
      <c r="F6700" s="852"/>
      <c r="G6700" s="852"/>
      <c r="H6700" s="852"/>
      <c r="I6700" s="852"/>
      <c r="J6700" s="852"/>
      <c r="K6700" s="852"/>
      <c r="L6700" s="852"/>
      <c r="M6700" s="852"/>
    </row>
    <row r="6701" spans="5:13">
      <c r="E6701" s="852"/>
      <c r="F6701" s="852"/>
      <c r="G6701" s="852"/>
      <c r="H6701" s="852"/>
      <c r="I6701" s="852"/>
      <c r="J6701" s="852"/>
      <c r="K6701" s="852"/>
      <c r="L6701" s="852"/>
      <c r="M6701" s="852"/>
    </row>
    <row r="6702" spans="5:13">
      <c r="E6702" s="852"/>
      <c r="F6702" s="852"/>
      <c r="G6702" s="852"/>
      <c r="H6702" s="852"/>
      <c r="I6702" s="852"/>
      <c r="J6702" s="852"/>
      <c r="K6702" s="852"/>
      <c r="L6702" s="852"/>
      <c r="M6702" s="852"/>
    </row>
    <row r="6703" spans="5:13">
      <c r="E6703" s="852"/>
      <c r="F6703" s="852"/>
      <c r="G6703" s="852"/>
      <c r="H6703" s="852"/>
      <c r="I6703" s="852"/>
      <c r="J6703" s="852"/>
      <c r="K6703" s="852"/>
      <c r="L6703" s="852"/>
      <c r="M6703" s="852"/>
    </row>
    <row r="6704" spans="5:13">
      <c r="E6704" s="852"/>
      <c r="F6704" s="852"/>
      <c r="G6704" s="852"/>
      <c r="H6704" s="852"/>
      <c r="I6704" s="852"/>
      <c r="J6704" s="852"/>
      <c r="K6704" s="852"/>
      <c r="L6704" s="852"/>
      <c r="M6704" s="852"/>
    </row>
    <row r="6705" spans="5:13">
      <c r="E6705" s="852"/>
      <c r="F6705" s="852"/>
      <c r="G6705" s="852"/>
      <c r="H6705" s="852"/>
      <c r="I6705" s="852"/>
      <c r="J6705" s="852"/>
      <c r="K6705" s="852"/>
      <c r="L6705" s="852"/>
      <c r="M6705" s="852"/>
    </row>
    <row r="6706" spans="5:13">
      <c r="E6706" s="852"/>
      <c r="F6706" s="852"/>
      <c r="G6706" s="852"/>
      <c r="H6706" s="852"/>
      <c r="I6706" s="852"/>
      <c r="J6706" s="852"/>
      <c r="K6706" s="852"/>
      <c r="L6706" s="852"/>
      <c r="M6706" s="852"/>
    </row>
    <row r="6707" spans="5:13">
      <c r="E6707" s="852"/>
      <c r="F6707" s="852"/>
      <c r="G6707" s="852"/>
      <c r="H6707" s="852"/>
      <c r="I6707" s="852"/>
      <c r="J6707" s="852"/>
      <c r="K6707" s="852"/>
      <c r="L6707" s="852"/>
      <c r="M6707" s="852"/>
    </row>
    <row r="6708" spans="5:13">
      <c r="E6708" s="852"/>
      <c r="F6708" s="852"/>
      <c r="G6708" s="852"/>
      <c r="H6708" s="852"/>
      <c r="I6708" s="852"/>
      <c r="J6708" s="852"/>
      <c r="K6708" s="852"/>
      <c r="L6708" s="852"/>
      <c r="M6708" s="852"/>
    </row>
    <row r="6709" spans="5:13">
      <c r="E6709" s="852"/>
      <c r="F6709" s="852"/>
      <c r="G6709" s="852"/>
      <c r="H6709" s="852"/>
      <c r="I6709" s="852"/>
      <c r="J6709" s="852"/>
      <c r="K6709" s="852"/>
      <c r="L6709" s="852"/>
      <c r="M6709" s="852"/>
    </row>
    <row r="6710" spans="5:13">
      <c r="E6710" s="852"/>
      <c r="F6710" s="852"/>
      <c r="G6710" s="852"/>
      <c r="H6710" s="852"/>
      <c r="I6710" s="852"/>
      <c r="J6710" s="852"/>
      <c r="K6710" s="852"/>
      <c r="L6710" s="852"/>
      <c r="M6710" s="852"/>
    </row>
    <row r="6711" spans="5:13">
      <c r="E6711" s="852"/>
      <c r="F6711" s="852"/>
      <c r="G6711" s="852"/>
      <c r="H6711" s="852"/>
      <c r="I6711" s="852"/>
      <c r="J6711" s="852"/>
      <c r="K6711" s="852"/>
      <c r="L6711" s="852"/>
      <c r="M6711" s="852"/>
    </row>
    <row r="6712" spans="5:13">
      <c r="E6712" s="852"/>
      <c r="F6712" s="852"/>
      <c r="G6712" s="852"/>
      <c r="H6712" s="852"/>
      <c r="I6712" s="852"/>
      <c r="J6712" s="852"/>
      <c r="K6712" s="852"/>
      <c r="L6712" s="852"/>
      <c r="M6712" s="852"/>
    </row>
    <row r="6713" spans="5:13">
      <c r="E6713" s="852"/>
      <c r="F6713" s="852"/>
      <c r="G6713" s="852"/>
      <c r="H6713" s="852"/>
      <c r="I6713" s="852"/>
      <c r="J6713" s="852"/>
      <c r="K6713" s="852"/>
      <c r="L6713" s="852"/>
      <c r="M6713" s="852"/>
    </row>
    <row r="6714" spans="5:13">
      <c r="E6714" s="852"/>
      <c r="F6714" s="852"/>
      <c r="G6714" s="852"/>
      <c r="H6714" s="852"/>
      <c r="I6714" s="852"/>
      <c r="J6714" s="852"/>
      <c r="K6714" s="852"/>
      <c r="L6714" s="852"/>
      <c r="M6714" s="852"/>
    </row>
    <row r="6715" spans="5:13">
      <c r="E6715" s="852"/>
      <c r="F6715" s="852"/>
      <c r="G6715" s="852"/>
      <c r="H6715" s="852"/>
      <c r="I6715" s="852"/>
      <c r="J6715" s="852"/>
      <c r="K6715" s="852"/>
      <c r="L6715" s="852"/>
      <c r="M6715" s="852"/>
    </row>
    <row r="6716" spans="5:13">
      <c r="E6716" s="852"/>
      <c r="F6716" s="852"/>
      <c r="G6716" s="852"/>
      <c r="H6716" s="852"/>
      <c r="I6716" s="852"/>
      <c r="J6716" s="852"/>
      <c r="K6716" s="852"/>
      <c r="L6716" s="852"/>
      <c r="M6716" s="852"/>
    </row>
    <row r="6717" spans="5:13">
      <c r="E6717" s="852"/>
      <c r="F6717" s="852"/>
      <c r="G6717" s="852"/>
      <c r="H6717" s="852"/>
      <c r="I6717" s="852"/>
      <c r="J6717" s="852"/>
      <c r="K6717" s="852"/>
      <c r="L6717" s="852"/>
      <c r="M6717" s="852"/>
    </row>
    <row r="6718" spans="5:13">
      <c r="E6718" s="852"/>
      <c r="F6718" s="852"/>
      <c r="G6718" s="852"/>
      <c r="H6718" s="852"/>
      <c r="I6718" s="852"/>
      <c r="J6718" s="852"/>
      <c r="K6718" s="852"/>
      <c r="L6718" s="852"/>
      <c r="M6718" s="852"/>
    </row>
    <row r="6719" spans="5:13">
      <c r="E6719" s="852"/>
      <c r="F6719" s="852"/>
      <c r="G6719" s="852"/>
      <c r="H6719" s="852"/>
      <c r="I6719" s="852"/>
      <c r="J6719" s="852"/>
      <c r="K6719" s="852"/>
      <c r="L6719" s="852"/>
      <c r="M6719" s="852"/>
    </row>
    <row r="6720" spans="5:13">
      <c r="E6720" s="852"/>
      <c r="F6720" s="852"/>
      <c r="G6720" s="852"/>
      <c r="H6720" s="852"/>
      <c r="I6720" s="852"/>
      <c r="J6720" s="852"/>
      <c r="K6720" s="852"/>
      <c r="L6720" s="852"/>
      <c r="M6720" s="852"/>
    </row>
    <row r="6721" spans="5:13">
      <c r="E6721" s="852"/>
      <c r="F6721" s="852"/>
      <c r="G6721" s="852"/>
      <c r="H6721" s="852"/>
      <c r="I6721" s="852"/>
      <c r="J6721" s="852"/>
      <c r="K6721" s="852"/>
      <c r="L6721" s="852"/>
      <c r="M6721" s="852"/>
    </row>
    <row r="6722" spans="5:13">
      <c r="E6722" s="852"/>
      <c r="F6722" s="852"/>
      <c r="G6722" s="852"/>
      <c r="H6722" s="852"/>
      <c r="I6722" s="852"/>
      <c r="J6722" s="852"/>
      <c r="K6722" s="852"/>
      <c r="L6722" s="852"/>
      <c r="M6722" s="852"/>
    </row>
    <row r="6723" spans="5:13">
      <c r="E6723" s="852"/>
      <c r="F6723" s="852"/>
      <c r="G6723" s="852"/>
      <c r="H6723" s="852"/>
      <c r="I6723" s="852"/>
      <c r="J6723" s="852"/>
      <c r="K6723" s="852"/>
      <c r="L6723" s="852"/>
      <c r="M6723" s="852"/>
    </row>
    <row r="6724" spans="5:13">
      <c r="E6724" s="852"/>
      <c r="F6724" s="852"/>
      <c r="G6724" s="852"/>
      <c r="H6724" s="852"/>
      <c r="I6724" s="852"/>
      <c r="J6724" s="852"/>
      <c r="K6724" s="852"/>
      <c r="L6724" s="852"/>
      <c r="M6724" s="852"/>
    </row>
    <row r="6725" spans="5:13">
      <c r="E6725" s="852"/>
      <c r="F6725" s="852"/>
      <c r="G6725" s="852"/>
      <c r="H6725" s="852"/>
      <c r="I6725" s="852"/>
      <c r="J6725" s="852"/>
      <c r="K6725" s="852"/>
      <c r="L6725" s="852"/>
      <c r="M6725" s="852"/>
    </row>
    <row r="6726" spans="5:13">
      <c r="E6726" s="852"/>
      <c r="F6726" s="852"/>
      <c r="G6726" s="852"/>
      <c r="H6726" s="852"/>
      <c r="I6726" s="852"/>
      <c r="J6726" s="852"/>
      <c r="K6726" s="852"/>
      <c r="L6726" s="852"/>
      <c r="M6726" s="852"/>
    </row>
    <row r="6727" spans="5:13">
      <c r="E6727" s="852"/>
      <c r="F6727" s="852"/>
      <c r="G6727" s="852"/>
      <c r="H6727" s="852"/>
      <c r="I6727" s="852"/>
      <c r="J6727" s="852"/>
      <c r="K6727" s="852"/>
      <c r="L6727" s="852"/>
      <c r="M6727" s="852"/>
    </row>
    <row r="6728" spans="5:13">
      <c r="E6728" s="852"/>
      <c r="F6728" s="852"/>
      <c r="G6728" s="852"/>
      <c r="H6728" s="852"/>
      <c r="I6728" s="852"/>
      <c r="J6728" s="852"/>
      <c r="K6728" s="852"/>
      <c r="L6728" s="852"/>
      <c r="M6728" s="852"/>
    </row>
    <row r="6729" spans="5:13">
      <c r="E6729" s="852"/>
      <c r="F6729" s="852"/>
      <c r="G6729" s="852"/>
      <c r="H6729" s="852"/>
      <c r="I6729" s="852"/>
      <c r="J6729" s="852"/>
      <c r="K6729" s="852"/>
      <c r="L6729" s="852"/>
      <c r="M6729" s="852"/>
    </row>
    <row r="6730" spans="5:13">
      <c r="E6730" s="852"/>
      <c r="F6730" s="852"/>
      <c r="G6730" s="852"/>
      <c r="H6730" s="852"/>
      <c r="I6730" s="852"/>
      <c r="J6730" s="852"/>
      <c r="K6730" s="852"/>
      <c r="L6730" s="852"/>
      <c r="M6730" s="852"/>
    </row>
    <row r="6731" spans="5:13">
      <c r="E6731" s="852"/>
      <c r="F6731" s="852"/>
      <c r="G6731" s="852"/>
      <c r="H6731" s="852"/>
      <c r="I6731" s="852"/>
      <c r="J6731" s="852"/>
      <c r="K6731" s="852"/>
      <c r="L6731" s="852"/>
      <c r="M6731" s="852"/>
    </row>
    <row r="6732" spans="5:13">
      <c r="E6732" s="852"/>
      <c r="F6732" s="852"/>
      <c r="G6732" s="852"/>
      <c r="H6732" s="852"/>
      <c r="I6732" s="852"/>
      <c r="J6732" s="852"/>
      <c r="K6732" s="852"/>
      <c r="L6732" s="852"/>
      <c r="M6732" s="852"/>
    </row>
    <row r="6733" spans="5:13">
      <c r="E6733" s="852"/>
      <c r="F6733" s="852"/>
      <c r="G6733" s="852"/>
      <c r="H6733" s="852"/>
      <c r="I6733" s="852"/>
      <c r="J6733" s="852"/>
      <c r="K6733" s="852"/>
      <c r="L6733" s="852"/>
      <c r="M6733" s="852"/>
    </row>
    <row r="6734" spans="5:13">
      <c r="E6734" s="852"/>
      <c r="F6734" s="852"/>
      <c r="G6734" s="852"/>
      <c r="H6734" s="852"/>
      <c r="I6734" s="852"/>
      <c r="J6734" s="852"/>
      <c r="K6734" s="852"/>
      <c r="L6734" s="852"/>
      <c r="M6734" s="852"/>
    </row>
    <row r="6735" spans="5:13">
      <c r="E6735" s="852"/>
      <c r="F6735" s="852"/>
      <c r="G6735" s="852"/>
      <c r="H6735" s="852"/>
      <c r="I6735" s="852"/>
      <c r="J6735" s="852"/>
      <c r="K6735" s="852"/>
      <c r="L6735" s="852"/>
      <c r="M6735" s="852"/>
    </row>
    <row r="6736" spans="5:13">
      <c r="E6736" s="852"/>
      <c r="F6736" s="852"/>
      <c r="G6736" s="852"/>
      <c r="H6736" s="852"/>
      <c r="I6736" s="852"/>
      <c r="J6736" s="852"/>
      <c r="K6736" s="852"/>
      <c r="L6736" s="852"/>
      <c r="M6736" s="852"/>
    </row>
    <row r="6737" spans="5:13">
      <c r="E6737" s="852"/>
      <c r="F6737" s="852"/>
      <c r="G6737" s="852"/>
      <c r="H6737" s="852"/>
      <c r="I6737" s="852"/>
      <c r="J6737" s="852"/>
      <c r="K6737" s="852"/>
      <c r="L6737" s="852"/>
      <c r="M6737" s="852"/>
    </row>
    <row r="6738" spans="5:13">
      <c r="E6738" s="852"/>
      <c r="F6738" s="852"/>
      <c r="G6738" s="852"/>
      <c r="H6738" s="852"/>
      <c r="I6738" s="852"/>
      <c r="J6738" s="852"/>
      <c r="K6738" s="852"/>
      <c r="L6738" s="852"/>
      <c r="M6738" s="852"/>
    </row>
    <row r="6739" spans="5:13">
      <c r="E6739" s="852"/>
      <c r="F6739" s="852"/>
      <c r="G6739" s="852"/>
      <c r="H6739" s="852"/>
      <c r="I6739" s="852"/>
      <c r="J6739" s="852"/>
      <c r="K6739" s="852"/>
      <c r="L6739" s="852"/>
      <c r="M6739" s="852"/>
    </row>
    <row r="6740" spans="5:13">
      <c r="E6740" s="852"/>
      <c r="F6740" s="852"/>
      <c r="G6740" s="852"/>
      <c r="H6740" s="852"/>
      <c r="I6740" s="852"/>
      <c r="J6740" s="852"/>
      <c r="K6740" s="852"/>
      <c r="L6740" s="852"/>
      <c r="M6740" s="852"/>
    </row>
    <row r="6741" spans="5:13">
      <c r="E6741" s="852"/>
      <c r="F6741" s="852"/>
      <c r="G6741" s="852"/>
      <c r="H6741" s="852"/>
      <c r="I6741" s="852"/>
      <c r="J6741" s="852"/>
      <c r="K6741" s="852"/>
      <c r="L6741" s="852"/>
      <c r="M6741" s="852"/>
    </row>
    <row r="6742" spans="5:13">
      <c r="E6742" s="852"/>
      <c r="F6742" s="852"/>
      <c r="G6742" s="852"/>
      <c r="H6742" s="852"/>
      <c r="I6742" s="852"/>
      <c r="J6742" s="852"/>
      <c r="K6742" s="852"/>
      <c r="L6742" s="852"/>
      <c r="M6742" s="852"/>
    </row>
    <row r="6743" spans="5:13">
      <c r="E6743" s="852"/>
      <c r="F6743" s="852"/>
      <c r="G6743" s="852"/>
      <c r="H6743" s="852"/>
      <c r="I6743" s="852"/>
      <c r="J6743" s="852"/>
      <c r="K6743" s="852"/>
      <c r="L6743" s="852"/>
      <c r="M6743" s="852"/>
    </row>
    <row r="6744" spans="5:13">
      <c r="E6744" s="852"/>
      <c r="F6744" s="852"/>
      <c r="G6744" s="852"/>
      <c r="H6744" s="852"/>
      <c r="I6744" s="852"/>
      <c r="J6744" s="852"/>
      <c r="K6744" s="852"/>
      <c r="L6744" s="852"/>
      <c r="M6744" s="852"/>
    </row>
    <row r="6745" spans="5:13">
      <c r="E6745" s="852"/>
      <c r="F6745" s="852"/>
      <c r="G6745" s="852"/>
      <c r="H6745" s="852"/>
      <c r="I6745" s="852"/>
      <c r="J6745" s="852"/>
      <c r="K6745" s="852"/>
      <c r="L6745" s="852"/>
      <c r="M6745" s="852"/>
    </row>
    <row r="6746" spans="5:13">
      <c r="E6746" s="852"/>
      <c r="F6746" s="852"/>
      <c r="G6746" s="852"/>
      <c r="H6746" s="852"/>
      <c r="I6746" s="852"/>
      <c r="J6746" s="852"/>
      <c r="K6746" s="852"/>
      <c r="L6746" s="852"/>
      <c r="M6746" s="852"/>
    </row>
    <row r="6747" spans="5:13">
      <c r="E6747" s="852"/>
      <c r="F6747" s="852"/>
      <c r="G6747" s="852"/>
      <c r="H6747" s="852"/>
      <c r="I6747" s="852"/>
      <c r="J6747" s="852"/>
      <c r="K6747" s="852"/>
      <c r="L6747" s="852"/>
      <c r="M6747" s="852"/>
    </row>
    <row r="6748" spans="5:13">
      <c r="E6748" s="852"/>
      <c r="F6748" s="852"/>
      <c r="G6748" s="852"/>
      <c r="H6748" s="852"/>
      <c r="I6748" s="852"/>
      <c r="J6748" s="852"/>
      <c r="K6748" s="852"/>
      <c r="L6748" s="852"/>
      <c r="M6748" s="852"/>
    </row>
    <row r="6749" spans="5:13">
      <c r="E6749" s="852"/>
      <c r="F6749" s="852"/>
      <c r="G6749" s="852"/>
      <c r="H6749" s="852"/>
      <c r="I6749" s="852"/>
      <c r="J6749" s="852"/>
      <c r="K6749" s="852"/>
      <c r="L6749" s="852"/>
      <c r="M6749" s="852"/>
    </row>
    <row r="6750" spans="5:13">
      <c r="E6750" s="852"/>
      <c r="F6750" s="852"/>
      <c r="G6750" s="852"/>
      <c r="H6750" s="852"/>
      <c r="I6750" s="852"/>
      <c r="J6750" s="852"/>
      <c r="K6750" s="852"/>
      <c r="L6750" s="852"/>
      <c r="M6750" s="852"/>
    </row>
    <row r="6751" spans="5:13">
      <c r="E6751" s="852"/>
      <c r="F6751" s="852"/>
      <c r="G6751" s="852"/>
      <c r="H6751" s="852"/>
      <c r="I6751" s="852"/>
      <c r="J6751" s="852"/>
      <c r="K6751" s="852"/>
      <c r="L6751" s="852"/>
      <c r="M6751" s="852"/>
    </row>
    <row r="6752" spans="5:13">
      <c r="E6752" s="852"/>
      <c r="F6752" s="852"/>
      <c r="G6752" s="852"/>
      <c r="H6752" s="852"/>
      <c r="I6752" s="852"/>
      <c r="J6752" s="852"/>
      <c r="K6752" s="852"/>
      <c r="L6752" s="852"/>
      <c r="M6752" s="852"/>
    </row>
    <row r="6753" spans="5:13">
      <c r="E6753" s="852"/>
      <c r="F6753" s="852"/>
      <c r="G6753" s="852"/>
      <c r="H6753" s="852"/>
      <c r="I6753" s="852"/>
      <c r="J6753" s="852"/>
      <c r="K6753" s="852"/>
      <c r="L6753" s="852"/>
      <c r="M6753" s="852"/>
    </row>
    <row r="6754" spans="5:13">
      <c r="E6754" s="852"/>
      <c r="F6754" s="852"/>
      <c r="G6754" s="852"/>
      <c r="H6754" s="852"/>
      <c r="I6754" s="852"/>
      <c r="J6754" s="852"/>
      <c r="K6754" s="852"/>
      <c r="L6754" s="852"/>
      <c r="M6754" s="852"/>
    </row>
    <row r="6755" spans="5:13">
      <c r="E6755" s="852"/>
      <c r="F6755" s="852"/>
      <c r="G6755" s="852"/>
      <c r="H6755" s="852"/>
      <c r="I6755" s="852"/>
      <c r="J6755" s="852"/>
      <c r="K6755" s="852"/>
      <c r="L6755" s="852"/>
      <c r="M6755" s="852"/>
    </row>
    <row r="6756" spans="5:13">
      <c r="E6756" s="852"/>
      <c r="F6756" s="852"/>
      <c r="G6756" s="852"/>
      <c r="H6756" s="852"/>
      <c r="I6756" s="852"/>
      <c r="J6756" s="852"/>
      <c r="K6756" s="852"/>
      <c r="L6756" s="852"/>
      <c r="M6756" s="852"/>
    </row>
    <row r="6757" spans="5:13">
      <c r="E6757" s="852"/>
      <c r="F6757" s="852"/>
      <c r="G6757" s="852"/>
      <c r="H6757" s="852"/>
      <c r="I6757" s="852"/>
      <c r="J6757" s="852"/>
      <c r="K6757" s="852"/>
      <c r="L6757" s="852"/>
      <c r="M6757" s="852"/>
    </row>
    <row r="6758" spans="5:13">
      <c r="E6758" s="852"/>
      <c r="F6758" s="852"/>
      <c r="G6758" s="852"/>
      <c r="H6758" s="852"/>
      <c r="I6758" s="852"/>
      <c r="J6758" s="852"/>
      <c r="K6758" s="852"/>
      <c r="L6758" s="852"/>
      <c r="M6758" s="852"/>
    </row>
    <row r="6759" spans="5:13">
      <c r="E6759" s="852"/>
      <c r="F6759" s="852"/>
      <c r="G6759" s="852"/>
      <c r="H6759" s="852"/>
      <c r="I6759" s="852"/>
      <c r="J6759" s="852"/>
      <c r="K6759" s="852"/>
      <c r="L6759" s="852"/>
      <c r="M6759" s="852"/>
    </row>
    <row r="6760" spans="5:13">
      <c r="E6760" s="852"/>
      <c r="F6760" s="852"/>
      <c r="G6760" s="852"/>
      <c r="H6760" s="852"/>
      <c r="I6760" s="852"/>
      <c r="J6760" s="852"/>
      <c r="K6760" s="852"/>
      <c r="L6760" s="852"/>
      <c r="M6760" s="852"/>
    </row>
    <row r="6761" spans="5:13">
      <c r="E6761" s="852"/>
      <c r="F6761" s="852"/>
      <c r="G6761" s="852"/>
      <c r="H6761" s="852"/>
      <c r="I6761" s="852"/>
      <c r="J6761" s="852"/>
      <c r="K6761" s="852"/>
      <c r="L6761" s="852"/>
      <c r="M6761" s="852"/>
    </row>
    <row r="6762" spans="5:13">
      <c r="E6762" s="852"/>
      <c r="F6762" s="852"/>
      <c r="G6762" s="852"/>
      <c r="H6762" s="852"/>
      <c r="I6762" s="852"/>
      <c r="J6762" s="852"/>
      <c r="K6762" s="852"/>
      <c r="L6762" s="852"/>
      <c r="M6762" s="852"/>
    </row>
    <row r="6763" spans="5:13">
      <c r="E6763" s="852"/>
      <c r="F6763" s="852"/>
      <c r="G6763" s="852"/>
      <c r="H6763" s="852"/>
      <c r="I6763" s="852"/>
      <c r="J6763" s="852"/>
      <c r="K6763" s="852"/>
      <c r="L6763" s="852"/>
      <c r="M6763" s="852"/>
    </row>
    <row r="6764" spans="5:13">
      <c r="E6764" s="852"/>
      <c r="F6764" s="852"/>
      <c r="G6764" s="852"/>
      <c r="H6764" s="852"/>
      <c r="I6764" s="852"/>
      <c r="J6764" s="852"/>
      <c r="K6764" s="852"/>
      <c r="L6764" s="852"/>
      <c r="M6764" s="852"/>
    </row>
    <row r="6765" spans="5:13">
      <c r="E6765" s="852"/>
      <c r="F6765" s="852"/>
      <c r="G6765" s="852"/>
      <c r="H6765" s="852"/>
      <c r="I6765" s="852"/>
      <c r="J6765" s="852"/>
      <c r="K6765" s="852"/>
      <c r="L6765" s="852"/>
      <c r="M6765" s="852"/>
    </row>
    <row r="6766" spans="5:13">
      <c r="E6766" s="852"/>
      <c r="F6766" s="852"/>
      <c r="G6766" s="852"/>
      <c r="H6766" s="852"/>
      <c r="I6766" s="852"/>
      <c r="J6766" s="852"/>
      <c r="K6766" s="852"/>
      <c r="L6766" s="852"/>
      <c r="M6766" s="852"/>
    </row>
    <row r="6767" spans="5:13">
      <c r="E6767" s="852"/>
      <c r="F6767" s="852"/>
      <c r="G6767" s="852"/>
      <c r="H6767" s="852"/>
      <c r="I6767" s="852"/>
      <c r="J6767" s="852"/>
      <c r="K6767" s="852"/>
      <c r="L6767" s="852"/>
      <c r="M6767" s="852"/>
    </row>
    <row r="6768" spans="5:13">
      <c r="E6768" s="852"/>
      <c r="F6768" s="852"/>
      <c r="G6768" s="852"/>
      <c r="H6768" s="852"/>
      <c r="I6768" s="852"/>
      <c r="J6768" s="852"/>
      <c r="K6768" s="852"/>
      <c r="L6768" s="852"/>
      <c r="M6768" s="852"/>
    </row>
    <row r="6769" spans="5:13">
      <c r="E6769" s="852"/>
      <c r="F6769" s="852"/>
      <c r="G6769" s="852"/>
      <c r="H6769" s="852"/>
      <c r="I6769" s="852"/>
      <c r="J6769" s="852"/>
      <c r="K6769" s="852"/>
      <c r="L6769" s="852"/>
      <c r="M6769" s="852"/>
    </row>
    <row r="6770" spans="5:13">
      <c r="E6770" s="852"/>
      <c r="F6770" s="852"/>
      <c r="G6770" s="852"/>
      <c r="H6770" s="852"/>
      <c r="I6770" s="852"/>
      <c r="J6770" s="852"/>
      <c r="K6770" s="852"/>
      <c r="L6770" s="852"/>
      <c r="M6770" s="852"/>
    </row>
    <row r="6771" spans="5:13">
      <c r="E6771" s="852"/>
      <c r="F6771" s="852"/>
      <c r="G6771" s="852"/>
      <c r="H6771" s="852"/>
      <c r="I6771" s="852"/>
      <c r="J6771" s="852"/>
      <c r="K6771" s="852"/>
      <c r="L6771" s="852"/>
      <c r="M6771" s="852"/>
    </row>
    <row r="6772" spans="5:13">
      <c r="E6772" s="852"/>
      <c r="F6772" s="852"/>
      <c r="G6772" s="852"/>
      <c r="H6772" s="852"/>
      <c r="I6772" s="852"/>
      <c r="J6772" s="852"/>
      <c r="K6772" s="852"/>
      <c r="L6772" s="852"/>
      <c r="M6772" s="852"/>
    </row>
    <row r="6773" spans="5:13">
      <c r="E6773" s="852"/>
      <c r="F6773" s="852"/>
      <c r="G6773" s="852"/>
      <c r="H6773" s="852"/>
      <c r="I6773" s="852"/>
      <c r="J6773" s="852"/>
      <c r="K6773" s="852"/>
      <c r="L6773" s="852"/>
      <c r="M6773" s="852"/>
    </row>
    <row r="6774" spans="5:13">
      <c r="E6774" s="852"/>
      <c r="F6774" s="852"/>
      <c r="G6774" s="852"/>
      <c r="H6774" s="852"/>
      <c r="I6774" s="852"/>
      <c r="J6774" s="852"/>
      <c r="K6774" s="852"/>
      <c r="L6774" s="852"/>
      <c r="M6774" s="852"/>
    </row>
    <row r="6775" spans="5:13">
      <c r="E6775" s="852"/>
      <c r="F6775" s="852"/>
      <c r="G6775" s="852"/>
      <c r="H6775" s="852"/>
      <c r="I6775" s="852"/>
      <c r="J6775" s="852"/>
      <c r="K6775" s="852"/>
      <c r="L6775" s="852"/>
      <c r="M6775" s="852"/>
    </row>
    <row r="6776" spans="5:13">
      <c r="E6776" s="852"/>
      <c r="F6776" s="852"/>
      <c r="G6776" s="852"/>
      <c r="H6776" s="852"/>
      <c r="I6776" s="852"/>
      <c r="J6776" s="852"/>
      <c r="K6776" s="852"/>
      <c r="L6776" s="852"/>
      <c r="M6776" s="852"/>
    </row>
    <row r="6777" spans="5:13">
      <c r="E6777" s="852"/>
      <c r="F6777" s="852"/>
      <c r="G6777" s="852"/>
      <c r="H6777" s="852"/>
      <c r="I6777" s="852"/>
      <c r="J6777" s="852"/>
      <c r="K6777" s="852"/>
      <c r="L6777" s="852"/>
      <c r="M6777" s="852"/>
    </row>
    <row r="6778" spans="5:13">
      <c r="E6778" s="852"/>
      <c r="F6778" s="852"/>
      <c r="G6778" s="852"/>
      <c r="H6778" s="852"/>
      <c r="I6778" s="852"/>
      <c r="J6778" s="852"/>
      <c r="K6778" s="852"/>
      <c r="L6778" s="852"/>
      <c r="M6778" s="852"/>
    </row>
    <row r="6779" spans="5:13">
      <c r="E6779" s="852"/>
      <c r="F6779" s="852"/>
      <c r="G6779" s="852"/>
      <c r="H6779" s="852"/>
      <c r="I6779" s="852"/>
      <c r="J6779" s="852"/>
      <c r="K6779" s="852"/>
      <c r="L6779" s="852"/>
      <c r="M6779" s="852"/>
    </row>
    <row r="6780" spans="5:13">
      <c r="E6780" s="852"/>
      <c r="F6780" s="852"/>
      <c r="G6780" s="852"/>
      <c r="H6780" s="852"/>
      <c r="I6780" s="852"/>
      <c r="J6780" s="852"/>
      <c r="K6780" s="852"/>
      <c r="L6780" s="852"/>
      <c r="M6780" s="852"/>
    </row>
    <row r="6781" spans="5:13">
      <c r="E6781" s="852"/>
      <c r="F6781" s="852"/>
      <c r="G6781" s="852"/>
      <c r="H6781" s="852"/>
      <c r="I6781" s="852"/>
      <c r="J6781" s="852"/>
      <c r="K6781" s="852"/>
      <c r="L6781" s="852"/>
      <c r="M6781" s="852"/>
    </row>
    <row r="6782" spans="5:13">
      <c r="E6782" s="852"/>
      <c r="F6782" s="852"/>
      <c r="G6782" s="852"/>
      <c r="H6782" s="852"/>
      <c r="I6782" s="852"/>
      <c r="J6782" s="852"/>
      <c r="K6782" s="852"/>
      <c r="L6782" s="852"/>
      <c r="M6782" s="852"/>
    </row>
    <row r="6783" spans="5:13">
      <c r="E6783" s="852"/>
      <c r="F6783" s="852"/>
      <c r="G6783" s="852"/>
      <c r="H6783" s="852"/>
      <c r="I6783" s="852"/>
      <c r="J6783" s="852"/>
      <c r="K6783" s="852"/>
      <c r="L6783" s="852"/>
      <c r="M6783" s="852"/>
    </row>
    <row r="6784" spans="5:13">
      <c r="E6784" s="852"/>
      <c r="F6784" s="852"/>
      <c r="G6784" s="852"/>
      <c r="H6784" s="852"/>
      <c r="I6784" s="852"/>
      <c r="J6784" s="852"/>
      <c r="K6784" s="852"/>
      <c r="L6784" s="852"/>
      <c r="M6784" s="852"/>
    </row>
    <row r="6785" spans="5:13">
      <c r="E6785" s="852"/>
      <c r="F6785" s="852"/>
      <c r="G6785" s="852"/>
      <c r="H6785" s="852"/>
      <c r="I6785" s="852"/>
      <c r="J6785" s="852"/>
      <c r="K6785" s="852"/>
      <c r="L6785" s="852"/>
      <c r="M6785" s="852"/>
    </row>
    <row r="6786" spans="5:13">
      <c r="E6786" s="852"/>
      <c r="F6786" s="852"/>
      <c r="G6786" s="852"/>
      <c r="H6786" s="852"/>
      <c r="I6786" s="852"/>
      <c r="J6786" s="852"/>
      <c r="K6786" s="852"/>
      <c r="L6786" s="852"/>
      <c r="M6786" s="852"/>
    </row>
    <row r="6787" spans="5:13">
      <c r="E6787" s="852"/>
      <c r="F6787" s="852"/>
      <c r="G6787" s="852"/>
      <c r="H6787" s="852"/>
      <c r="I6787" s="852"/>
      <c r="J6787" s="852"/>
      <c r="K6787" s="852"/>
      <c r="L6787" s="852"/>
      <c r="M6787" s="852"/>
    </row>
    <row r="6788" spans="5:13">
      <c r="E6788" s="852"/>
      <c r="F6788" s="852"/>
      <c r="G6788" s="852"/>
      <c r="H6788" s="852"/>
      <c r="I6788" s="852"/>
      <c r="J6788" s="852"/>
      <c r="K6788" s="852"/>
      <c r="L6788" s="852"/>
      <c r="M6788" s="852"/>
    </row>
    <row r="6789" spans="5:13">
      <c r="E6789" s="852"/>
      <c r="F6789" s="852"/>
      <c r="G6789" s="852"/>
      <c r="H6789" s="852"/>
      <c r="I6789" s="852"/>
      <c r="J6789" s="852"/>
      <c r="K6789" s="852"/>
      <c r="L6789" s="852"/>
      <c r="M6789" s="852"/>
    </row>
    <row r="6790" spans="5:13">
      <c r="E6790" s="852"/>
      <c r="F6790" s="852"/>
      <c r="G6790" s="852"/>
      <c r="H6790" s="852"/>
      <c r="I6790" s="852"/>
      <c r="J6790" s="852"/>
      <c r="K6790" s="852"/>
      <c r="L6790" s="852"/>
      <c r="M6790" s="852"/>
    </row>
    <row r="6791" spans="5:13">
      <c r="E6791" s="852"/>
      <c r="F6791" s="852"/>
      <c r="G6791" s="852"/>
      <c r="H6791" s="852"/>
      <c r="I6791" s="852"/>
      <c r="J6791" s="852"/>
      <c r="K6791" s="852"/>
      <c r="L6791" s="852"/>
      <c r="M6791" s="852"/>
    </row>
    <row r="6792" spans="5:13">
      <c r="E6792" s="852"/>
      <c r="F6792" s="852"/>
      <c r="G6792" s="852"/>
      <c r="H6792" s="852"/>
      <c r="I6792" s="852"/>
      <c r="J6792" s="852"/>
      <c r="K6792" s="852"/>
      <c r="L6792" s="852"/>
      <c r="M6792" s="852"/>
    </row>
    <row r="6793" spans="5:13">
      <c r="E6793" s="852"/>
      <c r="F6793" s="852"/>
      <c r="G6793" s="852"/>
      <c r="H6793" s="852"/>
      <c r="I6793" s="852"/>
      <c r="J6793" s="852"/>
      <c r="K6793" s="852"/>
      <c r="L6793" s="852"/>
      <c r="M6793" s="852"/>
    </row>
    <row r="6794" spans="5:13">
      <c r="E6794" s="852"/>
      <c r="F6794" s="852"/>
      <c r="G6794" s="852"/>
      <c r="H6794" s="852"/>
      <c r="I6794" s="852"/>
      <c r="J6794" s="852"/>
      <c r="K6794" s="852"/>
      <c r="L6794" s="852"/>
      <c r="M6794" s="852"/>
    </row>
    <row r="6795" spans="5:13">
      <c r="E6795" s="852"/>
      <c r="F6795" s="852"/>
      <c r="G6795" s="852"/>
      <c r="H6795" s="852"/>
      <c r="I6795" s="852"/>
      <c r="J6795" s="852"/>
      <c r="K6795" s="852"/>
      <c r="L6795" s="852"/>
      <c r="M6795" s="852"/>
    </row>
    <row r="6796" spans="5:13">
      <c r="E6796" s="852"/>
      <c r="F6796" s="852"/>
      <c r="G6796" s="852"/>
      <c r="H6796" s="852"/>
      <c r="I6796" s="852"/>
      <c r="J6796" s="852"/>
      <c r="K6796" s="852"/>
      <c r="L6796" s="852"/>
      <c r="M6796" s="852"/>
    </row>
    <row r="6797" spans="5:13">
      <c r="E6797" s="852"/>
      <c r="F6797" s="852"/>
      <c r="G6797" s="852"/>
      <c r="H6797" s="852"/>
      <c r="I6797" s="852"/>
      <c r="J6797" s="852"/>
      <c r="K6797" s="852"/>
      <c r="L6797" s="852"/>
      <c r="M6797" s="852"/>
    </row>
    <row r="6798" spans="5:13">
      <c r="E6798" s="852"/>
      <c r="F6798" s="852"/>
      <c r="G6798" s="852"/>
      <c r="H6798" s="852"/>
      <c r="I6798" s="852"/>
      <c r="J6798" s="852"/>
      <c r="K6798" s="852"/>
      <c r="L6798" s="852"/>
      <c r="M6798" s="852"/>
    </row>
    <row r="6799" spans="5:13">
      <c r="E6799" s="852"/>
      <c r="F6799" s="852"/>
      <c r="G6799" s="852"/>
      <c r="H6799" s="852"/>
      <c r="I6799" s="852"/>
      <c r="J6799" s="852"/>
      <c r="K6799" s="852"/>
      <c r="L6799" s="852"/>
      <c r="M6799" s="852"/>
    </row>
    <row r="6800" spans="5:13">
      <c r="E6800" s="852"/>
      <c r="F6800" s="852"/>
      <c r="G6800" s="852"/>
      <c r="H6800" s="852"/>
      <c r="I6800" s="852"/>
      <c r="J6800" s="852"/>
      <c r="K6800" s="852"/>
      <c r="L6800" s="852"/>
      <c r="M6800" s="852"/>
    </row>
    <row r="6801" spans="5:13">
      <c r="E6801" s="852"/>
      <c r="F6801" s="852"/>
      <c r="G6801" s="852"/>
      <c r="H6801" s="852"/>
      <c r="I6801" s="852"/>
      <c r="J6801" s="852"/>
      <c r="K6801" s="852"/>
      <c r="L6801" s="852"/>
      <c r="M6801" s="852"/>
    </row>
    <row r="6802" spans="5:13">
      <c r="E6802" s="852"/>
      <c r="F6802" s="852"/>
      <c r="G6802" s="852"/>
      <c r="H6802" s="852"/>
      <c r="I6802" s="852"/>
      <c r="J6802" s="852"/>
      <c r="K6802" s="852"/>
      <c r="L6802" s="852"/>
      <c r="M6802" s="852"/>
    </row>
    <row r="6803" spans="5:13">
      <c r="E6803" s="852"/>
      <c r="F6803" s="852"/>
      <c r="G6803" s="852"/>
      <c r="H6803" s="852"/>
      <c r="I6803" s="852"/>
      <c r="J6803" s="852"/>
      <c r="K6803" s="852"/>
      <c r="L6803" s="852"/>
      <c r="M6803" s="852"/>
    </row>
    <row r="6804" spans="5:13">
      <c r="E6804" s="852"/>
      <c r="F6804" s="852"/>
      <c r="G6804" s="852"/>
      <c r="H6804" s="852"/>
      <c r="I6804" s="852"/>
      <c r="J6804" s="852"/>
      <c r="K6804" s="852"/>
      <c r="L6804" s="852"/>
      <c r="M6804" s="852"/>
    </row>
    <row r="6805" spans="5:13">
      <c r="E6805" s="852"/>
      <c r="F6805" s="852"/>
      <c r="G6805" s="852"/>
      <c r="H6805" s="852"/>
      <c r="I6805" s="852"/>
      <c r="J6805" s="852"/>
      <c r="K6805" s="852"/>
      <c r="L6805" s="852"/>
      <c r="M6805" s="852"/>
    </row>
    <row r="6806" spans="5:13">
      <c r="E6806" s="852"/>
      <c r="F6806" s="852"/>
      <c r="G6806" s="852"/>
      <c r="H6806" s="852"/>
      <c r="I6806" s="852"/>
      <c r="J6806" s="852"/>
      <c r="K6806" s="852"/>
      <c r="L6806" s="852"/>
      <c r="M6806" s="852"/>
    </row>
    <row r="6807" spans="5:13">
      <c r="E6807" s="852"/>
      <c r="F6807" s="852"/>
      <c r="G6807" s="852"/>
      <c r="H6807" s="852"/>
      <c r="I6807" s="852"/>
      <c r="J6807" s="852"/>
      <c r="K6807" s="852"/>
      <c r="L6807" s="852"/>
      <c r="M6807" s="852"/>
    </row>
    <row r="6808" spans="5:13">
      <c r="E6808" s="852"/>
      <c r="F6808" s="852"/>
      <c r="G6808" s="852"/>
      <c r="H6808" s="852"/>
      <c r="I6808" s="852"/>
      <c r="J6808" s="852"/>
      <c r="K6808" s="852"/>
      <c r="L6808" s="852"/>
      <c r="M6808" s="852"/>
    </row>
    <row r="6809" spans="5:13">
      <c r="E6809" s="852"/>
      <c r="F6809" s="852"/>
      <c r="G6809" s="852"/>
      <c r="H6809" s="852"/>
      <c r="I6809" s="852"/>
      <c r="J6809" s="852"/>
      <c r="K6809" s="852"/>
      <c r="L6809" s="852"/>
      <c r="M6809" s="852"/>
    </row>
    <row r="6810" spans="5:13">
      <c r="E6810" s="852"/>
      <c r="F6810" s="852"/>
      <c r="G6810" s="852"/>
      <c r="H6810" s="852"/>
      <c r="I6810" s="852"/>
      <c r="J6810" s="852"/>
      <c r="K6810" s="852"/>
      <c r="L6810" s="852"/>
      <c r="M6810" s="852"/>
    </row>
    <row r="6811" spans="5:13">
      <c r="E6811" s="852"/>
      <c r="F6811" s="852"/>
      <c r="G6811" s="852"/>
      <c r="H6811" s="852"/>
      <c r="I6811" s="852"/>
      <c r="J6811" s="852"/>
      <c r="K6811" s="852"/>
      <c r="L6811" s="852"/>
      <c r="M6811" s="852"/>
    </row>
    <row r="6812" spans="5:13">
      <c r="E6812" s="852"/>
      <c r="F6812" s="852"/>
      <c r="G6812" s="852"/>
      <c r="H6812" s="852"/>
      <c r="I6812" s="852"/>
      <c r="J6812" s="852"/>
      <c r="K6812" s="852"/>
      <c r="L6812" s="852"/>
      <c r="M6812" s="852"/>
    </row>
    <row r="6813" spans="5:13">
      <c r="E6813" s="852"/>
      <c r="F6813" s="852"/>
      <c r="G6813" s="852"/>
      <c r="H6813" s="852"/>
      <c r="I6813" s="852"/>
      <c r="J6813" s="852"/>
      <c r="K6813" s="852"/>
      <c r="L6813" s="852"/>
      <c r="M6813" s="852"/>
    </row>
    <row r="6814" spans="5:13">
      <c r="E6814" s="852"/>
      <c r="F6814" s="852"/>
      <c r="G6814" s="852"/>
      <c r="H6814" s="852"/>
      <c r="I6814" s="852"/>
      <c r="J6814" s="852"/>
      <c r="K6814" s="852"/>
      <c r="L6814" s="852"/>
      <c r="M6814" s="852"/>
    </row>
    <row r="6815" spans="5:13">
      <c r="E6815" s="852"/>
      <c r="F6815" s="852"/>
      <c r="G6815" s="852"/>
      <c r="H6815" s="852"/>
      <c r="I6815" s="852"/>
      <c r="J6815" s="852"/>
      <c r="K6815" s="852"/>
      <c r="L6815" s="852"/>
      <c r="M6815" s="852"/>
    </row>
    <row r="6816" spans="5:13">
      <c r="E6816" s="852"/>
      <c r="F6816" s="852"/>
      <c r="G6816" s="852"/>
      <c r="H6816" s="852"/>
      <c r="I6816" s="852"/>
      <c r="J6816" s="852"/>
      <c r="K6816" s="852"/>
      <c r="L6816" s="852"/>
      <c r="M6816" s="852"/>
    </row>
    <row r="6817" spans="5:13">
      <c r="E6817" s="852"/>
      <c r="F6817" s="852"/>
      <c r="G6817" s="852"/>
      <c r="H6817" s="852"/>
      <c r="I6817" s="852"/>
      <c r="J6817" s="852"/>
      <c r="K6817" s="852"/>
      <c r="L6817" s="852"/>
      <c r="M6817" s="852"/>
    </row>
    <row r="6818" spans="5:13">
      <c r="E6818" s="852"/>
      <c r="F6818" s="852"/>
      <c r="G6818" s="852"/>
      <c r="H6818" s="852"/>
      <c r="I6818" s="852"/>
      <c r="J6818" s="852"/>
      <c r="K6818" s="852"/>
      <c r="L6818" s="852"/>
      <c r="M6818" s="852"/>
    </row>
    <row r="6819" spans="5:13">
      <c r="E6819" s="852"/>
      <c r="F6819" s="852"/>
      <c r="G6819" s="852"/>
      <c r="H6819" s="852"/>
      <c r="I6819" s="852"/>
      <c r="J6819" s="852"/>
      <c r="K6819" s="852"/>
      <c r="L6819" s="852"/>
      <c r="M6819" s="852"/>
    </row>
    <row r="6820" spans="5:13">
      <c r="E6820" s="852"/>
      <c r="F6820" s="852"/>
      <c r="G6820" s="852"/>
      <c r="H6820" s="852"/>
      <c r="I6820" s="852"/>
      <c r="J6820" s="852"/>
      <c r="K6820" s="852"/>
      <c r="L6820" s="852"/>
      <c r="M6820" s="852"/>
    </row>
    <row r="6821" spans="5:13">
      <c r="E6821" s="852"/>
      <c r="F6821" s="852"/>
      <c r="G6821" s="852"/>
      <c r="H6821" s="852"/>
      <c r="I6821" s="852"/>
      <c r="J6821" s="852"/>
      <c r="K6821" s="852"/>
      <c r="L6821" s="852"/>
      <c r="M6821" s="852"/>
    </row>
    <row r="6822" spans="5:13">
      <c r="E6822" s="852"/>
      <c r="F6822" s="852"/>
      <c r="G6822" s="852"/>
      <c r="H6822" s="852"/>
      <c r="I6822" s="852"/>
      <c r="J6822" s="852"/>
      <c r="K6822" s="852"/>
      <c r="L6822" s="852"/>
      <c r="M6822" s="852"/>
    </row>
    <row r="6823" spans="5:13">
      <c r="E6823" s="852"/>
      <c r="F6823" s="852"/>
      <c r="G6823" s="852"/>
      <c r="H6823" s="852"/>
      <c r="I6823" s="852"/>
      <c r="J6823" s="852"/>
      <c r="K6823" s="852"/>
      <c r="L6823" s="852"/>
      <c r="M6823" s="852"/>
    </row>
    <row r="6824" spans="5:13">
      <c r="E6824" s="852"/>
      <c r="F6824" s="852"/>
      <c r="G6824" s="852"/>
      <c r="H6824" s="852"/>
      <c r="I6824" s="852"/>
      <c r="J6824" s="852"/>
      <c r="K6824" s="852"/>
      <c r="L6824" s="852"/>
      <c r="M6824" s="852"/>
    </row>
    <row r="6825" spans="5:13">
      <c r="E6825" s="852"/>
      <c r="F6825" s="852"/>
      <c r="G6825" s="852"/>
      <c r="H6825" s="852"/>
      <c r="I6825" s="852"/>
      <c r="J6825" s="852"/>
      <c r="K6825" s="852"/>
      <c r="L6825" s="852"/>
      <c r="M6825" s="852"/>
    </row>
    <row r="6826" spans="5:13">
      <c r="E6826" s="852"/>
      <c r="F6826" s="852"/>
      <c r="G6826" s="852"/>
      <c r="H6826" s="852"/>
      <c r="I6826" s="852"/>
      <c r="J6826" s="852"/>
      <c r="K6826" s="852"/>
      <c r="L6826" s="852"/>
      <c r="M6826" s="852"/>
    </row>
    <row r="6827" spans="5:13">
      <c r="E6827" s="852"/>
      <c r="F6827" s="852"/>
      <c r="G6827" s="852"/>
      <c r="H6827" s="852"/>
      <c r="I6827" s="852"/>
      <c r="J6827" s="852"/>
      <c r="K6827" s="852"/>
      <c r="L6827" s="852"/>
      <c r="M6827" s="852"/>
    </row>
    <row r="6828" spans="5:13">
      <c r="E6828" s="852"/>
      <c r="F6828" s="852"/>
      <c r="G6828" s="852"/>
      <c r="H6828" s="852"/>
      <c r="I6828" s="852"/>
      <c r="J6828" s="852"/>
      <c r="K6828" s="852"/>
      <c r="L6828" s="852"/>
      <c r="M6828" s="852"/>
    </row>
    <row r="6829" spans="5:13">
      <c r="E6829" s="852"/>
      <c r="F6829" s="852"/>
      <c r="G6829" s="852"/>
      <c r="H6829" s="852"/>
      <c r="I6829" s="852"/>
      <c r="J6829" s="852"/>
      <c r="K6829" s="852"/>
      <c r="L6829" s="852"/>
      <c r="M6829" s="852"/>
    </row>
    <row r="6830" spans="5:13">
      <c r="E6830" s="852"/>
      <c r="F6830" s="852"/>
      <c r="G6830" s="852"/>
      <c r="H6830" s="852"/>
      <c r="I6830" s="852"/>
      <c r="J6830" s="852"/>
      <c r="K6830" s="852"/>
      <c r="L6830" s="852"/>
      <c r="M6830" s="852"/>
    </row>
    <row r="6831" spans="5:13">
      <c r="E6831" s="852"/>
      <c r="F6831" s="852"/>
      <c r="G6831" s="852"/>
      <c r="H6831" s="852"/>
      <c r="I6831" s="852"/>
      <c r="J6831" s="852"/>
      <c r="K6831" s="852"/>
      <c r="L6831" s="852"/>
      <c r="M6831" s="852"/>
    </row>
    <row r="6832" spans="5:13">
      <c r="E6832" s="852"/>
      <c r="F6832" s="852"/>
      <c r="G6832" s="852"/>
      <c r="H6832" s="852"/>
      <c r="I6832" s="852"/>
      <c r="J6832" s="852"/>
      <c r="K6832" s="852"/>
      <c r="L6832" s="852"/>
      <c r="M6832" s="852"/>
    </row>
    <row r="6833" spans="5:13">
      <c r="E6833" s="852"/>
      <c r="F6833" s="852"/>
      <c r="G6833" s="852"/>
      <c r="H6833" s="852"/>
      <c r="I6833" s="852"/>
      <c r="J6833" s="852"/>
      <c r="K6833" s="852"/>
      <c r="L6833" s="852"/>
      <c r="M6833" s="852"/>
    </row>
    <row r="6834" spans="5:13">
      <c r="E6834" s="852"/>
      <c r="F6834" s="852"/>
      <c r="G6834" s="852"/>
      <c r="H6834" s="852"/>
      <c r="I6834" s="852"/>
      <c r="J6834" s="852"/>
      <c r="K6834" s="852"/>
      <c r="L6834" s="852"/>
      <c r="M6834" s="852"/>
    </row>
    <row r="6835" spans="5:13">
      <c r="E6835" s="852"/>
      <c r="F6835" s="852"/>
      <c r="G6835" s="852"/>
      <c r="H6835" s="852"/>
      <c r="I6835" s="852"/>
      <c r="J6835" s="852"/>
      <c r="K6835" s="852"/>
      <c r="L6835" s="852"/>
      <c r="M6835" s="852"/>
    </row>
    <row r="6836" spans="5:13">
      <c r="E6836" s="852"/>
      <c r="F6836" s="852"/>
      <c r="G6836" s="852"/>
      <c r="H6836" s="852"/>
      <c r="I6836" s="852"/>
      <c r="J6836" s="852"/>
      <c r="K6836" s="852"/>
      <c r="L6836" s="852"/>
      <c r="M6836" s="852"/>
    </row>
    <row r="6837" spans="5:13">
      <c r="E6837" s="852"/>
      <c r="F6837" s="852"/>
      <c r="G6837" s="852"/>
      <c r="H6837" s="852"/>
      <c r="I6837" s="852"/>
      <c r="J6837" s="852"/>
      <c r="K6837" s="852"/>
      <c r="L6837" s="852"/>
      <c r="M6837" s="852"/>
    </row>
    <row r="6838" spans="5:13">
      <c r="E6838" s="852"/>
      <c r="F6838" s="852"/>
      <c r="G6838" s="852"/>
      <c r="H6838" s="852"/>
      <c r="I6838" s="852"/>
      <c r="J6838" s="852"/>
      <c r="K6838" s="852"/>
      <c r="L6838" s="852"/>
      <c r="M6838" s="852"/>
    </row>
    <row r="6839" spans="5:13">
      <c r="E6839" s="852"/>
      <c r="F6839" s="852"/>
      <c r="G6839" s="852"/>
      <c r="H6839" s="852"/>
      <c r="I6839" s="852"/>
      <c r="J6839" s="852"/>
      <c r="K6839" s="852"/>
      <c r="L6839" s="852"/>
      <c r="M6839" s="852"/>
    </row>
    <row r="6840" spans="5:13">
      <c r="E6840" s="852"/>
      <c r="F6840" s="852"/>
      <c r="G6840" s="852"/>
      <c r="H6840" s="852"/>
      <c r="I6840" s="852"/>
      <c r="J6840" s="852"/>
      <c r="K6840" s="852"/>
      <c r="L6840" s="852"/>
      <c r="M6840" s="852"/>
    </row>
    <row r="6841" spans="5:13">
      <c r="E6841" s="852"/>
      <c r="F6841" s="852"/>
      <c r="G6841" s="852"/>
      <c r="H6841" s="852"/>
      <c r="I6841" s="852"/>
      <c r="J6841" s="852"/>
      <c r="K6841" s="852"/>
      <c r="L6841" s="852"/>
      <c r="M6841" s="852"/>
    </row>
    <row r="6842" spans="5:13">
      <c r="E6842" s="852"/>
      <c r="F6842" s="852"/>
      <c r="G6842" s="852"/>
      <c r="H6842" s="852"/>
      <c r="I6842" s="852"/>
      <c r="J6842" s="852"/>
      <c r="K6842" s="852"/>
      <c r="L6842" s="852"/>
      <c r="M6842" s="852"/>
    </row>
    <row r="6843" spans="5:13">
      <c r="E6843" s="852"/>
      <c r="F6843" s="852"/>
      <c r="G6843" s="852"/>
      <c r="H6843" s="852"/>
      <c r="I6843" s="852"/>
      <c r="J6843" s="852"/>
      <c r="K6843" s="852"/>
      <c r="L6843" s="852"/>
      <c r="M6843" s="852"/>
    </row>
    <row r="6844" spans="5:13">
      <c r="E6844" s="852"/>
      <c r="F6844" s="852"/>
      <c r="G6844" s="852"/>
      <c r="H6844" s="852"/>
      <c r="I6844" s="852"/>
      <c r="J6844" s="852"/>
      <c r="K6844" s="852"/>
      <c r="L6844" s="852"/>
      <c r="M6844" s="852"/>
    </row>
    <row r="6845" spans="5:13">
      <c r="E6845" s="852"/>
      <c r="F6845" s="852"/>
      <c r="G6845" s="852"/>
      <c r="H6845" s="852"/>
      <c r="I6845" s="852"/>
      <c r="J6845" s="852"/>
      <c r="K6845" s="852"/>
      <c r="L6845" s="852"/>
      <c r="M6845" s="852"/>
    </row>
    <row r="6846" spans="5:13">
      <c r="E6846" s="852"/>
      <c r="F6846" s="852"/>
      <c r="G6846" s="852"/>
      <c r="H6846" s="852"/>
      <c r="I6846" s="852"/>
      <c r="J6846" s="852"/>
      <c r="K6846" s="852"/>
      <c r="L6846" s="852"/>
      <c r="M6846" s="852"/>
    </row>
    <row r="6847" spans="5:13">
      <c r="E6847" s="852"/>
      <c r="F6847" s="852"/>
      <c r="G6847" s="852"/>
      <c r="H6847" s="852"/>
      <c r="I6847" s="852"/>
      <c r="J6847" s="852"/>
      <c r="K6847" s="852"/>
      <c r="L6847" s="852"/>
      <c r="M6847" s="852"/>
    </row>
    <row r="6848" spans="5:13">
      <c r="E6848" s="852"/>
      <c r="F6848" s="852"/>
      <c r="G6848" s="852"/>
      <c r="H6848" s="852"/>
      <c r="I6848" s="852"/>
      <c r="J6848" s="852"/>
      <c r="K6848" s="852"/>
      <c r="L6848" s="852"/>
      <c r="M6848" s="852"/>
    </row>
    <row r="6849" spans="5:13">
      <c r="E6849" s="852"/>
      <c r="F6849" s="852"/>
      <c r="G6849" s="852"/>
      <c r="H6849" s="852"/>
      <c r="I6849" s="852"/>
      <c r="J6849" s="852"/>
      <c r="K6849" s="852"/>
      <c r="L6849" s="852"/>
      <c r="M6849" s="852"/>
    </row>
    <row r="6850" spans="5:13">
      <c r="E6850" s="852"/>
      <c r="F6850" s="852"/>
      <c r="G6850" s="852"/>
      <c r="H6850" s="852"/>
      <c r="I6850" s="852"/>
      <c r="J6850" s="852"/>
      <c r="K6850" s="852"/>
      <c r="L6850" s="852"/>
      <c r="M6850" s="852"/>
    </row>
    <row r="6851" spans="5:13">
      <c r="E6851" s="852"/>
      <c r="F6851" s="852"/>
      <c r="G6851" s="852"/>
      <c r="H6851" s="852"/>
      <c r="I6851" s="852"/>
      <c r="J6851" s="852"/>
      <c r="K6851" s="852"/>
      <c r="L6851" s="852"/>
      <c r="M6851" s="852"/>
    </row>
    <row r="6852" spans="5:13">
      <c r="E6852" s="852"/>
      <c r="F6852" s="852"/>
      <c r="G6852" s="852"/>
      <c r="H6852" s="852"/>
      <c r="I6852" s="852"/>
      <c r="J6852" s="852"/>
      <c r="K6852" s="852"/>
      <c r="L6852" s="852"/>
      <c r="M6852" s="852"/>
    </row>
    <row r="6853" spans="5:13">
      <c r="E6853" s="852"/>
      <c r="F6853" s="852"/>
      <c r="G6853" s="852"/>
      <c r="H6853" s="852"/>
      <c r="I6853" s="852"/>
      <c r="J6853" s="852"/>
      <c r="K6853" s="852"/>
      <c r="L6853" s="852"/>
      <c r="M6853" s="852"/>
    </row>
    <row r="6854" spans="5:13">
      <c r="E6854" s="852"/>
      <c r="F6854" s="852"/>
      <c r="G6854" s="852"/>
      <c r="H6854" s="852"/>
      <c r="I6854" s="852"/>
      <c r="J6854" s="852"/>
      <c r="K6854" s="852"/>
      <c r="L6854" s="852"/>
      <c r="M6854" s="852"/>
    </row>
    <row r="6855" spans="5:13">
      <c r="E6855" s="852"/>
      <c r="F6855" s="852"/>
      <c r="G6855" s="852"/>
      <c r="H6855" s="852"/>
      <c r="I6855" s="852"/>
      <c r="J6855" s="852"/>
      <c r="K6855" s="852"/>
      <c r="L6855" s="852"/>
      <c r="M6855" s="852"/>
    </row>
    <row r="6856" spans="5:13">
      <c r="E6856" s="852"/>
      <c r="F6856" s="852"/>
      <c r="G6856" s="852"/>
      <c r="H6856" s="852"/>
      <c r="I6856" s="852"/>
      <c r="J6856" s="852"/>
      <c r="K6856" s="852"/>
      <c r="L6856" s="852"/>
      <c r="M6856" s="852"/>
    </row>
    <row r="6857" spans="5:13">
      <c r="E6857" s="852"/>
      <c r="F6857" s="852"/>
      <c r="G6857" s="852"/>
      <c r="H6857" s="852"/>
      <c r="I6857" s="852"/>
      <c r="J6857" s="852"/>
      <c r="K6857" s="852"/>
      <c r="L6857" s="852"/>
      <c r="M6857" s="852"/>
    </row>
    <row r="6858" spans="5:13">
      <c r="E6858" s="852"/>
      <c r="F6858" s="852"/>
      <c r="G6858" s="852"/>
      <c r="H6858" s="852"/>
      <c r="I6858" s="852"/>
      <c r="J6858" s="852"/>
      <c r="K6858" s="852"/>
      <c r="L6858" s="852"/>
      <c r="M6858" s="852"/>
    </row>
    <row r="6859" spans="5:13">
      <c r="E6859" s="852"/>
      <c r="F6859" s="852"/>
      <c r="G6859" s="852"/>
      <c r="H6859" s="852"/>
      <c r="I6859" s="852"/>
      <c r="J6859" s="852"/>
      <c r="K6859" s="852"/>
      <c r="L6859" s="852"/>
      <c r="M6859" s="852"/>
    </row>
    <row r="6860" spans="5:13">
      <c r="E6860" s="852"/>
      <c r="F6860" s="852"/>
      <c r="G6860" s="852"/>
      <c r="H6860" s="852"/>
      <c r="I6860" s="852"/>
      <c r="J6860" s="852"/>
      <c r="K6860" s="852"/>
      <c r="L6860" s="852"/>
      <c r="M6860" s="852"/>
    </row>
    <row r="6861" spans="5:13">
      <c r="E6861" s="852"/>
      <c r="F6861" s="852"/>
      <c r="G6861" s="852"/>
      <c r="H6861" s="852"/>
      <c r="I6861" s="852"/>
      <c r="J6861" s="852"/>
      <c r="K6861" s="852"/>
      <c r="L6861" s="852"/>
      <c r="M6861" s="852"/>
    </row>
    <row r="6862" spans="5:13">
      <c r="E6862" s="852"/>
      <c r="F6862" s="852"/>
      <c r="G6862" s="852"/>
      <c r="H6862" s="852"/>
      <c r="I6862" s="852"/>
      <c r="J6862" s="852"/>
      <c r="K6862" s="852"/>
      <c r="L6862" s="852"/>
      <c r="M6862" s="852"/>
    </row>
    <row r="6863" spans="5:13">
      <c r="E6863" s="852"/>
      <c r="F6863" s="852"/>
      <c r="G6863" s="852"/>
      <c r="H6863" s="852"/>
      <c r="I6863" s="852"/>
      <c r="J6863" s="852"/>
      <c r="K6863" s="852"/>
      <c r="L6863" s="852"/>
      <c r="M6863" s="852"/>
    </row>
    <row r="6864" spans="5:13">
      <c r="E6864" s="852"/>
      <c r="F6864" s="852"/>
      <c r="G6864" s="852"/>
      <c r="H6864" s="852"/>
      <c r="I6864" s="852"/>
      <c r="J6864" s="852"/>
      <c r="K6864" s="852"/>
      <c r="L6864" s="852"/>
      <c r="M6864" s="852"/>
    </row>
    <row r="6865" spans="5:13">
      <c r="E6865" s="852"/>
      <c r="F6865" s="852"/>
      <c r="G6865" s="852"/>
      <c r="H6865" s="852"/>
      <c r="I6865" s="852"/>
      <c r="J6865" s="852"/>
      <c r="K6865" s="852"/>
      <c r="L6865" s="852"/>
      <c r="M6865" s="852"/>
    </row>
    <row r="6866" spans="5:13">
      <c r="E6866" s="852"/>
      <c r="F6866" s="852"/>
      <c r="G6866" s="852"/>
      <c r="H6866" s="852"/>
      <c r="I6866" s="852"/>
      <c r="J6866" s="852"/>
      <c r="K6866" s="852"/>
      <c r="L6866" s="852"/>
      <c r="M6866" s="852"/>
    </row>
    <row r="6867" spans="5:13">
      <c r="E6867" s="852"/>
      <c r="F6867" s="852"/>
      <c r="G6867" s="852"/>
      <c r="H6867" s="852"/>
      <c r="I6867" s="852"/>
      <c r="J6867" s="852"/>
      <c r="K6867" s="852"/>
      <c r="L6867" s="852"/>
      <c r="M6867" s="852"/>
    </row>
    <row r="6868" spans="5:13">
      <c r="E6868" s="852"/>
      <c r="F6868" s="852"/>
      <c r="G6868" s="852"/>
      <c r="H6868" s="852"/>
      <c r="I6868" s="852"/>
      <c r="J6868" s="852"/>
      <c r="K6868" s="852"/>
      <c r="L6868" s="852"/>
      <c r="M6868" s="852"/>
    </row>
    <row r="6869" spans="5:13">
      <c r="E6869" s="852"/>
      <c r="F6869" s="852"/>
      <c r="G6869" s="852"/>
      <c r="H6869" s="852"/>
      <c r="I6869" s="852"/>
      <c r="J6869" s="852"/>
      <c r="K6869" s="852"/>
      <c r="L6869" s="852"/>
      <c r="M6869" s="852"/>
    </row>
    <row r="6870" spans="5:13">
      <c r="E6870" s="852"/>
      <c r="F6870" s="852"/>
      <c r="G6870" s="852"/>
      <c r="H6870" s="852"/>
      <c r="I6870" s="852"/>
      <c r="J6870" s="852"/>
      <c r="K6870" s="852"/>
      <c r="L6870" s="852"/>
      <c r="M6870" s="852"/>
    </row>
    <row r="6871" spans="5:13">
      <c r="E6871" s="852"/>
      <c r="F6871" s="852"/>
      <c r="G6871" s="852"/>
      <c r="H6871" s="852"/>
      <c r="I6871" s="852"/>
      <c r="J6871" s="852"/>
      <c r="K6871" s="852"/>
      <c r="L6871" s="852"/>
      <c r="M6871" s="852"/>
    </row>
    <row r="6872" spans="5:13">
      <c r="E6872" s="852"/>
      <c r="F6872" s="852"/>
      <c r="G6872" s="852"/>
      <c r="H6872" s="852"/>
      <c r="I6872" s="852"/>
      <c r="J6872" s="852"/>
      <c r="K6872" s="852"/>
      <c r="L6872" s="852"/>
      <c r="M6872" s="852"/>
    </row>
    <row r="6873" spans="5:13">
      <c r="E6873" s="852"/>
      <c r="F6873" s="852"/>
      <c r="G6873" s="852"/>
      <c r="H6873" s="852"/>
      <c r="I6873" s="852"/>
      <c r="J6873" s="852"/>
      <c r="K6873" s="852"/>
      <c r="L6873" s="852"/>
      <c r="M6873" s="852"/>
    </row>
    <row r="6874" spans="5:13">
      <c r="E6874" s="852"/>
      <c r="F6874" s="852"/>
      <c r="G6874" s="852"/>
      <c r="H6874" s="852"/>
      <c r="I6874" s="852"/>
      <c r="J6874" s="852"/>
      <c r="K6874" s="852"/>
      <c r="L6874" s="852"/>
      <c r="M6874" s="852"/>
    </row>
    <row r="6875" spans="5:13">
      <c r="E6875" s="852"/>
      <c r="F6875" s="852"/>
      <c r="G6875" s="852"/>
      <c r="H6875" s="852"/>
      <c r="I6875" s="852"/>
      <c r="J6875" s="852"/>
      <c r="K6875" s="852"/>
      <c r="L6875" s="852"/>
      <c r="M6875" s="852"/>
    </row>
    <row r="6876" spans="5:13">
      <c r="E6876" s="852"/>
      <c r="F6876" s="852"/>
      <c r="G6876" s="852"/>
      <c r="H6876" s="852"/>
      <c r="I6876" s="852"/>
      <c r="J6876" s="852"/>
      <c r="K6876" s="852"/>
      <c r="L6876" s="852"/>
      <c r="M6876" s="852"/>
    </row>
    <row r="6877" spans="5:13">
      <c r="E6877" s="852"/>
      <c r="F6877" s="852"/>
      <c r="G6877" s="852"/>
      <c r="H6877" s="852"/>
      <c r="I6877" s="852"/>
      <c r="J6877" s="852"/>
      <c r="K6877" s="852"/>
      <c r="L6877" s="852"/>
      <c r="M6877" s="852"/>
    </row>
    <row r="6878" spans="5:13">
      <c r="E6878" s="852"/>
      <c r="F6878" s="852"/>
      <c r="G6878" s="852"/>
      <c r="H6878" s="852"/>
      <c r="I6878" s="852"/>
      <c r="J6878" s="852"/>
      <c r="K6878" s="852"/>
      <c r="L6878" s="852"/>
      <c r="M6878" s="852"/>
    </row>
    <row r="6879" spans="5:13">
      <c r="E6879" s="852"/>
      <c r="F6879" s="852"/>
      <c r="G6879" s="852"/>
      <c r="H6879" s="852"/>
      <c r="I6879" s="852"/>
      <c r="J6879" s="852"/>
      <c r="K6879" s="852"/>
      <c r="L6879" s="852"/>
      <c r="M6879" s="852"/>
    </row>
    <row r="6880" spans="5:13">
      <c r="E6880" s="852"/>
      <c r="F6880" s="852"/>
      <c r="G6880" s="852"/>
      <c r="H6880" s="852"/>
      <c r="I6880" s="852"/>
      <c r="J6880" s="852"/>
      <c r="K6880" s="852"/>
      <c r="L6880" s="852"/>
      <c r="M6880" s="852"/>
    </row>
    <row r="6881" spans="5:13">
      <c r="E6881" s="852"/>
      <c r="F6881" s="852"/>
      <c r="G6881" s="852"/>
      <c r="H6881" s="852"/>
      <c r="I6881" s="852"/>
      <c r="J6881" s="852"/>
      <c r="K6881" s="852"/>
      <c r="L6881" s="852"/>
      <c r="M6881" s="852"/>
    </row>
    <row r="6882" spans="5:13">
      <c r="E6882" s="852"/>
      <c r="F6882" s="852"/>
      <c r="G6882" s="852"/>
      <c r="H6882" s="852"/>
      <c r="I6882" s="852"/>
      <c r="J6882" s="852"/>
      <c r="K6882" s="852"/>
      <c r="L6882" s="852"/>
      <c r="M6882" s="852"/>
    </row>
    <row r="6883" spans="5:13">
      <c r="E6883" s="852"/>
      <c r="F6883" s="852"/>
      <c r="G6883" s="852"/>
      <c r="H6883" s="852"/>
      <c r="I6883" s="852"/>
      <c r="J6883" s="852"/>
      <c r="K6883" s="852"/>
      <c r="L6883" s="852"/>
      <c r="M6883" s="852"/>
    </row>
    <row r="6884" spans="5:13">
      <c r="E6884" s="852"/>
      <c r="F6884" s="852"/>
      <c r="G6884" s="852"/>
      <c r="H6884" s="852"/>
      <c r="I6884" s="852"/>
      <c r="J6884" s="852"/>
      <c r="K6884" s="852"/>
      <c r="L6884" s="852"/>
      <c r="M6884" s="852"/>
    </row>
    <row r="6885" spans="5:13">
      <c r="E6885" s="852"/>
      <c r="F6885" s="852"/>
      <c r="G6885" s="852"/>
      <c r="H6885" s="852"/>
      <c r="I6885" s="852"/>
      <c r="J6885" s="852"/>
      <c r="K6885" s="852"/>
      <c r="L6885" s="852"/>
      <c r="M6885" s="852"/>
    </row>
    <row r="6886" spans="5:13">
      <c r="E6886" s="852"/>
      <c r="F6886" s="852"/>
      <c r="G6886" s="852"/>
      <c r="H6886" s="852"/>
      <c r="I6886" s="852"/>
      <c r="J6886" s="852"/>
      <c r="K6886" s="852"/>
      <c r="L6886" s="852"/>
      <c r="M6886" s="852"/>
    </row>
    <row r="6887" spans="5:13">
      <c r="E6887" s="852"/>
      <c r="F6887" s="852"/>
      <c r="G6887" s="852"/>
      <c r="H6887" s="852"/>
      <c r="I6887" s="852"/>
      <c r="J6887" s="852"/>
      <c r="K6887" s="852"/>
      <c r="L6887" s="852"/>
      <c r="M6887" s="852"/>
    </row>
    <row r="6888" spans="5:13">
      <c r="E6888" s="852"/>
      <c r="F6888" s="852"/>
      <c r="G6888" s="852"/>
      <c r="H6888" s="852"/>
      <c r="I6888" s="852"/>
      <c r="J6888" s="852"/>
      <c r="K6888" s="852"/>
      <c r="L6888" s="852"/>
      <c r="M6888" s="852"/>
    </row>
    <row r="6889" spans="5:13">
      <c r="E6889" s="852"/>
      <c r="F6889" s="852"/>
      <c r="G6889" s="852"/>
      <c r="H6889" s="852"/>
      <c r="I6889" s="852"/>
      <c r="J6889" s="852"/>
      <c r="K6889" s="852"/>
      <c r="L6889" s="852"/>
      <c r="M6889" s="852"/>
    </row>
    <row r="6890" spans="5:13">
      <c r="E6890" s="852"/>
      <c r="F6890" s="852"/>
      <c r="G6890" s="852"/>
      <c r="H6890" s="852"/>
      <c r="I6890" s="852"/>
      <c r="J6890" s="852"/>
      <c r="K6890" s="852"/>
      <c r="L6890" s="852"/>
      <c r="M6890" s="852"/>
    </row>
    <row r="6891" spans="5:13">
      <c r="E6891" s="852"/>
      <c r="F6891" s="852"/>
      <c r="G6891" s="852"/>
      <c r="H6891" s="852"/>
      <c r="I6891" s="852"/>
      <c r="J6891" s="852"/>
      <c r="K6891" s="852"/>
      <c r="L6891" s="852"/>
      <c r="M6891" s="852"/>
    </row>
    <row r="6892" spans="5:13">
      <c r="E6892" s="852"/>
      <c r="F6892" s="852"/>
      <c r="G6892" s="852"/>
      <c r="H6892" s="852"/>
      <c r="I6892" s="852"/>
      <c r="J6892" s="852"/>
      <c r="K6892" s="852"/>
      <c r="L6892" s="852"/>
      <c r="M6892" s="852"/>
    </row>
    <row r="6893" spans="5:13">
      <c r="E6893" s="852"/>
      <c r="F6893" s="852"/>
      <c r="G6893" s="852"/>
      <c r="H6893" s="852"/>
      <c r="I6893" s="852"/>
      <c r="J6893" s="852"/>
      <c r="K6893" s="852"/>
      <c r="L6893" s="852"/>
      <c r="M6893" s="852"/>
    </row>
    <row r="6894" spans="5:13">
      <c r="E6894" s="852"/>
      <c r="F6894" s="852"/>
      <c r="G6894" s="852"/>
      <c r="H6894" s="852"/>
      <c r="I6894" s="852"/>
      <c r="J6894" s="852"/>
      <c r="K6894" s="852"/>
      <c r="L6894" s="852"/>
      <c r="M6894" s="852"/>
    </row>
    <row r="6895" spans="5:13">
      <c r="E6895" s="852"/>
      <c r="F6895" s="852"/>
      <c r="G6895" s="852"/>
      <c r="H6895" s="852"/>
      <c r="I6895" s="852"/>
      <c r="J6895" s="852"/>
      <c r="K6895" s="852"/>
      <c r="L6895" s="852"/>
      <c r="M6895" s="852"/>
    </row>
    <row r="6896" spans="5:13">
      <c r="E6896" s="852"/>
      <c r="F6896" s="852"/>
      <c r="G6896" s="852"/>
      <c r="H6896" s="852"/>
      <c r="I6896" s="852"/>
      <c r="J6896" s="852"/>
      <c r="K6896" s="852"/>
      <c r="L6896" s="852"/>
      <c r="M6896" s="852"/>
    </row>
    <row r="6897" spans="5:13">
      <c r="E6897" s="852"/>
      <c r="F6897" s="852"/>
      <c r="G6897" s="852"/>
      <c r="H6897" s="852"/>
      <c r="I6897" s="852"/>
      <c r="J6897" s="852"/>
      <c r="K6897" s="852"/>
      <c r="L6897" s="852"/>
      <c r="M6897" s="852"/>
    </row>
    <row r="6898" spans="5:13">
      <c r="E6898" s="852"/>
      <c r="F6898" s="852"/>
      <c r="G6898" s="852"/>
      <c r="H6898" s="852"/>
      <c r="I6898" s="852"/>
      <c r="J6898" s="852"/>
      <c r="K6898" s="852"/>
      <c r="L6898" s="852"/>
      <c r="M6898" s="852"/>
    </row>
    <row r="6899" spans="5:13">
      <c r="E6899" s="852"/>
      <c r="F6899" s="852"/>
      <c r="G6899" s="852"/>
      <c r="H6899" s="852"/>
      <c r="I6899" s="852"/>
      <c r="J6899" s="852"/>
      <c r="K6899" s="852"/>
      <c r="L6899" s="852"/>
      <c r="M6899" s="852"/>
    </row>
    <row r="6900" spans="5:13">
      <c r="E6900" s="852"/>
      <c r="F6900" s="852"/>
      <c r="G6900" s="852"/>
      <c r="H6900" s="852"/>
      <c r="I6900" s="852"/>
      <c r="J6900" s="852"/>
      <c r="K6900" s="852"/>
      <c r="L6900" s="852"/>
      <c r="M6900" s="852"/>
    </row>
    <row r="6901" spans="5:13">
      <c r="E6901" s="852"/>
      <c r="F6901" s="852"/>
      <c r="G6901" s="852"/>
      <c r="H6901" s="852"/>
      <c r="I6901" s="852"/>
      <c r="J6901" s="852"/>
      <c r="K6901" s="852"/>
      <c r="L6901" s="852"/>
      <c r="M6901" s="852"/>
    </row>
    <row r="6902" spans="5:13">
      <c r="E6902" s="852"/>
      <c r="F6902" s="852"/>
      <c r="G6902" s="852"/>
      <c r="H6902" s="852"/>
      <c r="I6902" s="852"/>
      <c r="J6902" s="852"/>
      <c r="K6902" s="852"/>
      <c r="L6902" s="852"/>
      <c r="M6902" s="852"/>
    </row>
    <row r="6903" spans="5:13">
      <c r="E6903" s="852"/>
      <c r="F6903" s="852"/>
      <c r="G6903" s="852"/>
      <c r="H6903" s="852"/>
      <c r="I6903" s="852"/>
      <c r="J6903" s="852"/>
      <c r="K6903" s="852"/>
      <c r="L6903" s="852"/>
      <c r="M6903" s="852"/>
    </row>
    <row r="6904" spans="5:13">
      <c r="E6904" s="852"/>
      <c r="F6904" s="852"/>
      <c r="G6904" s="852"/>
      <c r="H6904" s="852"/>
      <c r="I6904" s="852"/>
      <c r="J6904" s="852"/>
      <c r="K6904" s="852"/>
      <c r="L6904" s="852"/>
      <c r="M6904" s="852"/>
    </row>
    <row r="6905" spans="5:13">
      <c r="E6905" s="852"/>
      <c r="F6905" s="852"/>
      <c r="G6905" s="852"/>
      <c r="H6905" s="852"/>
      <c r="I6905" s="852"/>
      <c r="J6905" s="852"/>
      <c r="K6905" s="852"/>
      <c r="L6905" s="852"/>
      <c r="M6905" s="852"/>
    </row>
    <row r="6906" spans="5:13">
      <c r="E6906" s="852"/>
      <c r="F6906" s="852"/>
      <c r="G6906" s="852"/>
      <c r="H6906" s="852"/>
      <c r="I6906" s="852"/>
      <c r="J6906" s="852"/>
      <c r="K6906" s="852"/>
      <c r="L6906" s="852"/>
      <c r="M6906" s="852"/>
    </row>
    <row r="6907" spans="5:13">
      <c r="E6907" s="852"/>
      <c r="F6907" s="852"/>
      <c r="G6907" s="852"/>
      <c r="H6907" s="852"/>
      <c r="I6907" s="852"/>
      <c r="J6907" s="852"/>
      <c r="K6907" s="852"/>
      <c r="L6907" s="852"/>
      <c r="M6907" s="852"/>
    </row>
    <row r="6908" spans="5:13">
      <c r="E6908" s="852"/>
      <c r="F6908" s="852"/>
      <c r="G6908" s="852"/>
      <c r="H6908" s="852"/>
      <c r="I6908" s="852"/>
      <c r="J6908" s="852"/>
      <c r="K6908" s="852"/>
      <c r="L6908" s="852"/>
      <c r="M6908" s="852"/>
    </row>
    <row r="6909" spans="5:13">
      <c r="E6909" s="852"/>
      <c r="F6909" s="852"/>
      <c r="G6909" s="852"/>
      <c r="H6909" s="852"/>
      <c r="I6909" s="852"/>
      <c r="J6909" s="852"/>
      <c r="K6909" s="852"/>
      <c r="L6909" s="852"/>
      <c r="M6909" s="852"/>
    </row>
    <row r="6910" spans="5:13">
      <c r="E6910" s="852"/>
      <c r="F6910" s="852"/>
      <c r="G6910" s="852"/>
      <c r="H6910" s="852"/>
      <c r="I6910" s="852"/>
      <c r="J6910" s="852"/>
      <c r="K6910" s="852"/>
      <c r="L6910" s="852"/>
      <c r="M6910" s="852"/>
    </row>
    <row r="6911" spans="5:13">
      <c r="E6911" s="852"/>
      <c r="F6911" s="852"/>
      <c r="G6911" s="852"/>
      <c r="H6911" s="852"/>
      <c r="I6911" s="852"/>
      <c r="J6911" s="852"/>
      <c r="K6911" s="852"/>
      <c r="L6911" s="852"/>
      <c r="M6911" s="852"/>
    </row>
    <row r="6912" spans="5:13">
      <c r="E6912" s="852"/>
      <c r="F6912" s="852"/>
      <c r="G6912" s="852"/>
      <c r="H6912" s="852"/>
      <c r="I6912" s="852"/>
      <c r="J6912" s="852"/>
      <c r="K6912" s="852"/>
      <c r="L6912" s="852"/>
      <c r="M6912" s="852"/>
    </row>
    <row r="6913" spans="5:13">
      <c r="E6913" s="852"/>
      <c r="F6913" s="852"/>
      <c r="G6913" s="852"/>
      <c r="H6913" s="852"/>
      <c r="I6913" s="852"/>
      <c r="J6913" s="852"/>
      <c r="K6913" s="852"/>
      <c r="L6913" s="852"/>
      <c r="M6913" s="852"/>
    </row>
    <row r="6914" spans="5:13">
      <c r="E6914" s="852"/>
      <c r="F6914" s="852"/>
      <c r="G6914" s="852"/>
      <c r="H6914" s="852"/>
      <c r="I6914" s="852"/>
      <c r="J6914" s="852"/>
      <c r="K6914" s="852"/>
      <c r="L6914" s="852"/>
      <c r="M6914" s="852"/>
    </row>
    <row r="6915" spans="5:13">
      <c r="E6915" s="852"/>
      <c r="F6915" s="852"/>
      <c r="G6915" s="852"/>
      <c r="H6915" s="852"/>
      <c r="I6915" s="852"/>
      <c r="J6915" s="852"/>
      <c r="K6915" s="852"/>
      <c r="L6915" s="852"/>
      <c r="M6915" s="852"/>
    </row>
    <row r="6916" spans="5:13">
      <c r="E6916" s="852"/>
      <c r="F6916" s="852"/>
      <c r="G6916" s="852"/>
      <c r="H6916" s="852"/>
      <c r="I6916" s="852"/>
      <c r="J6916" s="852"/>
      <c r="K6916" s="852"/>
      <c r="L6916" s="852"/>
      <c r="M6916" s="852"/>
    </row>
    <row r="6917" spans="5:13">
      <c r="E6917" s="852"/>
      <c r="F6917" s="852"/>
      <c r="G6917" s="852"/>
      <c r="H6917" s="852"/>
      <c r="I6917" s="852"/>
      <c r="J6917" s="852"/>
      <c r="K6917" s="852"/>
      <c r="L6917" s="852"/>
      <c r="M6917" s="852"/>
    </row>
    <row r="6918" spans="5:13">
      <c r="E6918" s="852"/>
      <c r="F6918" s="852"/>
      <c r="G6918" s="852"/>
      <c r="H6918" s="852"/>
      <c r="I6918" s="852"/>
      <c r="J6918" s="852"/>
      <c r="K6918" s="852"/>
      <c r="L6918" s="852"/>
      <c r="M6918" s="852"/>
    </row>
    <row r="6919" spans="5:13">
      <c r="E6919" s="852"/>
      <c r="F6919" s="852"/>
      <c r="G6919" s="852"/>
      <c r="H6919" s="852"/>
      <c r="I6919" s="852"/>
      <c r="J6919" s="852"/>
      <c r="K6919" s="852"/>
      <c r="L6919" s="852"/>
      <c r="M6919" s="852"/>
    </row>
    <row r="6920" spans="5:13">
      <c r="E6920" s="852"/>
      <c r="F6920" s="852"/>
      <c r="G6920" s="852"/>
      <c r="H6920" s="852"/>
      <c r="I6920" s="852"/>
      <c r="J6920" s="852"/>
      <c r="K6920" s="852"/>
      <c r="L6920" s="852"/>
      <c r="M6920" s="852"/>
    </row>
    <row r="6921" spans="5:13">
      <c r="E6921" s="852"/>
      <c r="F6921" s="852"/>
      <c r="G6921" s="852"/>
      <c r="H6921" s="852"/>
      <c r="I6921" s="852"/>
      <c r="J6921" s="852"/>
      <c r="K6921" s="852"/>
      <c r="L6921" s="852"/>
      <c r="M6921" s="852"/>
    </row>
    <row r="6922" spans="5:13">
      <c r="E6922" s="852"/>
      <c r="F6922" s="852"/>
      <c r="G6922" s="852"/>
      <c r="H6922" s="852"/>
      <c r="I6922" s="852"/>
      <c r="J6922" s="852"/>
      <c r="K6922" s="852"/>
      <c r="L6922" s="852"/>
      <c r="M6922" s="852"/>
    </row>
    <row r="6923" spans="5:13">
      <c r="E6923" s="852"/>
      <c r="F6923" s="852"/>
      <c r="G6923" s="852"/>
      <c r="H6923" s="852"/>
      <c r="I6923" s="852"/>
      <c r="J6923" s="852"/>
      <c r="K6923" s="852"/>
      <c r="L6923" s="852"/>
      <c r="M6923" s="852"/>
    </row>
    <row r="6924" spans="5:13">
      <c r="E6924" s="852"/>
      <c r="F6924" s="852"/>
      <c r="G6924" s="852"/>
      <c r="H6924" s="852"/>
      <c r="I6924" s="852"/>
      <c r="J6924" s="852"/>
      <c r="K6924" s="852"/>
      <c r="L6924" s="852"/>
      <c r="M6924" s="852"/>
    </row>
    <row r="6925" spans="5:13">
      <c r="E6925" s="852"/>
      <c r="F6925" s="852"/>
      <c r="G6925" s="852"/>
      <c r="H6925" s="852"/>
      <c r="I6925" s="852"/>
      <c r="J6925" s="852"/>
      <c r="K6925" s="852"/>
      <c r="L6925" s="852"/>
      <c r="M6925" s="852"/>
    </row>
    <row r="6926" spans="5:13">
      <c r="E6926" s="852"/>
      <c r="F6926" s="852"/>
      <c r="G6926" s="852"/>
      <c r="H6926" s="852"/>
      <c r="I6926" s="852"/>
      <c r="J6926" s="852"/>
      <c r="K6926" s="852"/>
      <c r="L6926" s="852"/>
      <c r="M6926" s="852"/>
    </row>
    <row r="6927" spans="5:13">
      <c r="E6927" s="852"/>
      <c r="F6927" s="852"/>
      <c r="G6927" s="852"/>
      <c r="H6927" s="852"/>
      <c r="I6927" s="852"/>
      <c r="J6927" s="852"/>
      <c r="K6927" s="852"/>
      <c r="L6927" s="852"/>
      <c r="M6927" s="852"/>
    </row>
    <row r="6928" spans="5:13">
      <c r="E6928" s="852"/>
      <c r="F6928" s="852"/>
      <c r="G6928" s="852"/>
      <c r="H6928" s="852"/>
      <c r="I6928" s="852"/>
      <c r="J6928" s="852"/>
      <c r="K6928" s="852"/>
      <c r="L6928" s="852"/>
      <c r="M6928" s="852"/>
    </row>
    <row r="6929" spans="5:13">
      <c r="E6929" s="852"/>
      <c r="F6929" s="852"/>
      <c r="G6929" s="852"/>
      <c r="H6929" s="852"/>
      <c r="I6929" s="852"/>
      <c r="J6929" s="852"/>
      <c r="K6929" s="852"/>
      <c r="L6929" s="852"/>
      <c r="M6929" s="852"/>
    </row>
    <row r="6930" spans="5:13">
      <c r="E6930" s="852"/>
      <c r="F6930" s="852"/>
      <c r="G6930" s="852"/>
      <c r="H6930" s="852"/>
      <c r="I6930" s="852"/>
      <c r="J6930" s="852"/>
      <c r="K6930" s="852"/>
      <c r="L6930" s="852"/>
      <c r="M6930" s="852"/>
    </row>
    <row r="6931" spans="5:13">
      <c r="E6931" s="852"/>
      <c r="F6931" s="852"/>
      <c r="G6931" s="852"/>
      <c r="H6931" s="852"/>
      <c r="I6931" s="852"/>
      <c r="J6931" s="852"/>
      <c r="K6931" s="852"/>
      <c r="L6931" s="852"/>
      <c r="M6931" s="852"/>
    </row>
    <row r="6932" spans="5:13">
      <c r="E6932" s="852"/>
      <c r="F6932" s="852"/>
      <c r="G6932" s="852"/>
      <c r="H6932" s="852"/>
      <c r="I6932" s="852"/>
      <c r="J6932" s="852"/>
      <c r="K6932" s="852"/>
      <c r="L6932" s="852"/>
      <c r="M6932" s="852"/>
    </row>
    <row r="6933" spans="5:13">
      <c r="E6933" s="852"/>
      <c r="F6933" s="852"/>
      <c r="G6933" s="852"/>
      <c r="H6933" s="852"/>
      <c r="I6933" s="852"/>
      <c r="J6933" s="852"/>
      <c r="K6933" s="852"/>
      <c r="L6933" s="852"/>
      <c r="M6933" s="852"/>
    </row>
    <row r="6934" spans="5:13">
      <c r="E6934" s="852"/>
      <c r="F6934" s="852"/>
      <c r="G6934" s="852"/>
      <c r="H6934" s="852"/>
      <c r="I6934" s="852"/>
      <c r="J6934" s="852"/>
      <c r="K6934" s="852"/>
      <c r="L6934" s="852"/>
      <c r="M6934" s="852"/>
    </row>
    <row r="6935" spans="5:13">
      <c r="E6935" s="852"/>
      <c r="F6935" s="852"/>
      <c r="G6935" s="852"/>
      <c r="H6935" s="852"/>
      <c r="I6935" s="852"/>
      <c r="J6935" s="852"/>
      <c r="K6935" s="852"/>
      <c r="L6935" s="852"/>
      <c r="M6935" s="852"/>
    </row>
    <row r="6936" spans="5:13">
      <c r="E6936" s="852"/>
      <c r="F6936" s="852"/>
      <c r="G6936" s="852"/>
      <c r="H6936" s="852"/>
      <c r="I6936" s="852"/>
      <c r="J6936" s="852"/>
      <c r="K6936" s="852"/>
      <c r="L6936" s="852"/>
      <c r="M6936" s="852"/>
    </row>
    <row r="6937" spans="5:13">
      <c r="E6937" s="852"/>
      <c r="F6937" s="852"/>
      <c r="G6937" s="852"/>
      <c r="H6937" s="852"/>
      <c r="I6937" s="852"/>
      <c r="J6937" s="852"/>
      <c r="K6937" s="852"/>
      <c r="L6937" s="852"/>
      <c r="M6937" s="852"/>
    </row>
    <row r="6938" spans="5:13">
      <c r="E6938" s="852"/>
      <c r="F6938" s="852"/>
      <c r="G6938" s="852"/>
      <c r="H6938" s="852"/>
      <c r="I6938" s="852"/>
      <c r="J6938" s="852"/>
      <c r="K6938" s="852"/>
      <c r="L6938" s="852"/>
      <c r="M6938" s="852"/>
    </row>
    <row r="6939" spans="5:13">
      <c r="E6939" s="852"/>
      <c r="F6939" s="852"/>
      <c r="G6939" s="852"/>
      <c r="H6939" s="852"/>
      <c r="I6939" s="852"/>
      <c r="J6939" s="852"/>
      <c r="K6939" s="852"/>
      <c r="L6939" s="852"/>
      <c r="M6939" s="852"/>
    </row>
    <row r="6940" spans="5:13">
      <c r="E6940" s="852"/>
      <c r="F6940" s="852"/>
      <c r="G6940" s="852"/>
      <c r="H6940" s="852"/>
      <c r="I6940" s="852"/>
      <c r="J6940" s="852"/>
      <c r="K6940" s="852"/>
      <c r="L6940" s="852"/>
      <c r="M6940" s="852"/>
    </row>
    <row r="6941" spans="5:13">
      <c r="E6941" s="852"/>
      <c r="F6941" s="852"/>
      <c r="G6941" s="852"/>
      <c r="H6941" s="852"/>
      <c r="I6941" s="852"/>
      <c r="J6941" s="852"/>
      <c r="K6941" s="852"/>
      <c r="L6941" s="852"/>
      <c r="M6941" s="852"/>
    </row>
    <row r="6942" spans="5:13">
      <c r="E6942" s="852"/>
      <c r="F6942" s="852"/>
      <c r="G6942" s="852"/>
      <c r="H6942" s="852"/>
      <c r="I6942" s="852"/>
      <c r="J6942" s="852"/>
      <c r="K6942" s="852"/>
      <c r="L6942" s="852"/>
      <c r="M6942" s="852"/>
    </row>
    <row r="6943" spans="5:13">
      <c r="E6943" s="852"/>
      <c r="F6943" s="852"/>
      <c r="G6943" s="852"/>
      <c r="H6943" s="852"/>
      <c r="I6943" s="852"/>
      <c r="J6943" s="852"/>
      <c r="K6943" s="852"/>
      <c r="L6943" s="852"/>
      <c r="M6943" s="852"/>
    </row>
    <row r="6944" spans="5:13">
      <c r="E6944" s="852"/>
      <c r="F6944" s="852"/>
      <c r="G6944" s="852"/>
      <c r="H6944" s="852"/>
      <c r="I6944" s="852"/>
      <c r="J6944" s="852"/>
      <c r="K6944" s="852"/>
      <c r="L6944" s="852"/>
      <c r="M6944" s="852"/>
    </row>
    <row r="6945" spans="5:13">
      <c r="E6945" s="852"/>
      <c r="F6945" s="852"/>
      <c r="G6945" s="852"/>
      <c r="H6945" s="852"/>
      <c r="I6945" s="852"/>
      <c r="J6945" s="852"/>
      <c r="K6945" s="852"/>
      <c r="L6945" s="852"/>
      <c r="M6945" s="852"/>
    </row>
    <row r="6946" spans="5:13">
      <c r="E6946" s="852"/>
      <c r="F6946" s="852"/>
      <c r="G6946" s="852"/>
      <c r="H6946" s="852"/>
      <c r="I6946" s="852"/>
      <c r="J6946" s="852"/>
      <c r="K6946" s="852"/>
      <c r="L6946" s="852"/>
      <c r="M6946" s="852"/>
    </row>
    <row r="6947" spans="5:13">
      <c r="E6947" s="852"/>
      <c r="F6947" s="852"/>
      <c r="G6947" s="852"/>
      <c r="H6947" s="852"/>
      <c r="I6947" s="852"/>
      <c r="J6947" s="852"/>
      <c r="K6947" s="852"/>
      <c r="L6947" s="852"/>
      <c r="M6947" s="852"/>
    </row>
    <row r="6948" spans="5:13">
      <c r="E6948" s="852"/>
      <c r="F6948" s="852"/>
      <c r="G6948" s="852"/>
      <c r="H6948" s="852"/>
      <c r="I6948" s="852"/>
      <c r="J6948" s="852"/>
      <c r="K6948" s="852"/>
      <c r="L6948" s="852"/>
      <c r="M6948" s="852"/>
    </row>
    <row r="6949" spans="5:13">
      <c r="E6949" s="852"/>
      <c r="F6949" s="852"/>
      <c r="G6949" s="852"/>
      <c r="H6949" s="852"/>
      <c r="I6949" s="852"/>
      <c r="J6949" s="852"/>
      <c r="K6949" s="852"/>
      <c r="L6949" s="852"/>
      <c r="M6949" s="852"/>
    </row>
    <row r="6950" spans="5:13">
      <c r="E6950" s="852"/>
      <c r="F6950" s="852"/>
      <c r="G6950" s="852"/>
      <c r="H6950" s="852"/>
      <c r="I6950" s="852"/>
      <c r="J6950" s="852"/>
      <c r="K6950" s="852"/>
      <c r="L6950" s="852"/>
      <c r="M6950" s="852"/>
    </row>
    <row r="6951" spans="5:13">
      <c r="E6951" s="852"/>
      <c r="F6951" s="852"/>
      <c r="G6951" s="852"/>
      <c r="H6951" s="852"/>
      <c r="I6951" s="852"/>
      <c r="J6951" s="852"/>
      <c r="K6951" s="852"/>
      <c r="L6951" s="852"/>
      <c r="M6951" s="852"/>
    </row>
    <row r="6952" spans="5:13">
      <c r="E6952" s="852"/>
      <c r="F6952" s="852"/>
      <c r="G6952" s="852"/>
      <c r="H6952" s="852"/>
      <c r="I6952" s="852"/>
      <c r="J6952" s="852"/>
      <c r="K6952" s="852"/>
      <c r="L6952" s="852"/>
      <c r="M6952" s="852"/>
    </row>
    <row r="6953" spans="5:13">
      <c r="E6953" s="852"/>
      <c r="F6953" s="852"/>
      <c r="G6953" s="852"/>
      <c r="H6953" s="852"/>
      <c r="I6953" s="852"/>
      <c r="J6953" s="852"/>
      <c r="K6953" s="852"/>
      <c r="L6953" s="852"/>
      <c r="M6953" s="852"/>
    </row>
    <row r="6954" spans="5:13">
      <c r="E6954" s="852"/>
      <c r="F6954" s="852"/>
      <c r="G6954" s="852"/>
      <c r="H6954" s="852"/>
      <c r="I6954" s="852"/>
      <c r="J6954" s="852"/>
      <c r="K6954" s="852"/>
      <c r="L6954" s="852"/>
      <c r="M6954" s="852"/>
    </row>
    <row r="6955" spans="5:13">
      <c r="E6955" s="852"/>
      <c r="F6955" s="852"/>
      <c r="G6955" s="852"/>
      <c r="H6955" s="852"/>
      <c r="I6955" s="852"/>
      <c r="J6955" s="852"/>
      <c r="K6955" s="852"/>
      <c r="L6955" s="852"/>
      <c r="M6955" s="852"/>
    </row>
    <row r="6956" spans="5:13">
      <c r="E6956" s="852"/>
      <c r="F6956" s="852"/>
      <c r="G6956" s="852"/>
      <c r="H6956" s="852"/>
      <c r="I6956" s="852"/>
      <c r="J6956" s="852"/>
      <c r="K6956" s="852"/>
      <c r="L6956" s="852"/>
      <c r="M6956" s="852"/>
    </row>
    <row r="6957" spans="5:13">
      <c r="E6957" s="852"/>
      <c r="F6957" s="852"/>
      <c r="G6957" s="852"/>
      <c r="H6957" s="852"/>
      <c r="I6957" s="852"/>
      <c r="J6957" s="852"/>
      <c r="K6957" s="852"/>
      <c r="L6957" s="852"/>
      <c r="M6957" s="852"/>
    </row>
    <row r="6958" spans="5:13">
      <c r="E6958" s="852"/>
      <c r="F6958" s="852"/>
      <c r="G6958" s="852"/>
      <c r="H6958" s="852"/>
      <c r="I6958" s="852"/>
      <c r="J6958" s="852"/>
      <c r="K6958" s="852"/>
      <c r="L6958" s="852"/>
      <c r="M6958" s="852"/>
    </row>
    <row r="6959" spans="5:13">
      <c r="E6959" s="852"/>
      <c r="F6959" s="852"/>
      <c r="G6959" s="852"/>
      <c r="H6959" s="852"/>
      <c r="I6959" s="852"/>
      <c r="J6959" s="852"/>
      <c r="K6959" s="852"/>
      <c r="L6959" s="852"/>
      <c r="M6959" s="852"/>
    </row>
    <row r="6960" spans="5:13">
      <c r="E6960" s="852"/>
      <c r="F6960" s="852"/>
      <c r="G6960" s="852"/>
      <c r="H6960" s="852"/>
      <c r="I6960" s="852"/>
      <c r="J6960" s="852"/>
      <c r="K6960" s="852"/>
      <c r="L6960" s="852"/>
      <c r="M6960" s="852"/>
    </row>
    <row r="6961" spans="5:13">
      <c r="E6961" s="852"/>
      <c r="F6961" s="852"/>
      <c r="G6961" s="852"/>
      <c r="H6961" s="852"/>
      <c r="I6961" s="852"/>
      <c r="J6961" s="852"/>
      <c r="K6961" s="852"/>
      <c r="L6961" s="852"/>
      <c r="M6961" s="852"/>
    </row>
    <row r="6962" spans="5:13">
      <c r="E6962" s="852"/>
      <c r="F6962" s="852"/>
      <c r="G6962" s="852"/>
      <c r="H6962" s="852"/>
      <c r="I6962" s="852"/>
      <c r="J6962" s="852"/>
      <c r="K6962" s="852"/>
      <c r="L6962" s="852"/>
      <c r="M6962" s="852"/>
    </row>
    <row r="6963" spans="5:13">
      <c r="E6963" s="852"/>
      <c r="F6963" s="852"/>
      <c r="G6963" s="852"/>
      <c r="H6963" s="852"/>
      <c r="I6963" s="852"/>
      <c r="J6963" s="852"/>
      <c r="K6963" s="852"/>
      <c r="L6963" s="852"/>
      <c r="M6963" s="852"/>
    </row>
    <row r="6964" spans="5:13">
      <c r="E6964" s="852"/>
      <c r="F6964" s="852"/>
      <c r="G6964" s="852"/>
      <c r="H6964" s="852"/>
      <c r="I6964" s="852"/>
      <c r="J6964" s="852"/>
      <c r="K6964" s="852"/>
      <c r="L6964" s="852"/>
      <c r="M6964" s="852"/>
    </row>
    <row r="6965" spans="5:13">
      <c r="E6965" s="852"/>
      <c r="F6965" s="852"/>
      <c r="G6965" s="852"/>
      <c r="H6965" s="852"/>
      <c r="I6965" s="852"/>
      <c r="J6965" s="852"/>
      <c r="K6965" s="852"/>
      <c r="L6965" s="852"/>
      <c r="M6965" s="852"/>
    </row>
    <row r="6966" spans="5:13">
      <c r="E6966" s="852"/>
      <c r="F6966" s="852"/>
      <c r="G6966" s="852"/>
      <c r="H6966" s="852"/>
      <c r="I6966" s="852"/>
      <c r="J6966" s="852"/>
      <c r="K6966" s="852"/>
      <c r="L6966" s="852"/>
      <c r="M6966" s="852"/>
    </row>
    <row r="6967" spans="5:13">
      <c r="E6967" s="852"/>
      <c r="F6967" s="852"/>
      <c r="G6967" s="852"/>
      <c r="H6967" s="852"/>
      <c r="I6967" s="852"/>
      <c r="J6967" s="852"/>
      <c r="K6967" s="852"/>
      <c r="L6967" s="852"/>
      <c r="M6967" s="852"/>
    </row>
    <row r="6968" spans="5:13">
      <c r="E6968" s="852"/>
      <c r="F6968" s="852"/>
      <c r="G6968" s="852"/>
      <c r="H6968" s="852"/>
      <c r="I6968" s="852"/>
      <c r="J6968" s="852"/>
      <c r="K6968" s="852"/>
      <c r="L6968" s="852"/>
      <c r="M6968" s="852"/>
    </row>
    <row r="6969" spans="5:13">
      <c r="E6969" s="852"/>
      <c r="F6969" s="852"/>
      <c r="G6969" s="852"/>
      <c r="H6969" s="852"/>
      <c r="I6969" s="852"/>
      <c r="J6969" s="852"/>
      <c r="K6969" s="852"/>
      <c r="L6969" s="852"/>
      <c r="M6969" s="852"/>
    </row>
    <row r="6970" spans="5:13">
      <c r="E6970" s="852"/>
      <c r="F6970" s="852"/>
      <c r="G6970" s="852"/>
      <c r="H6970" s="852"/>
      <c r="I6970" s="852"/>
      <c r="J6970" s="852"/>
      <c r="K6970" s="852"/>
      <c r="L6970" s="852"/>
      <c r="M6970" s="852"/>
    </row>
    <row r="6971" spans="5:13">
      <c r="E6971" s="852"/>
      <c r="F6971" s="852"/>
      <c r="G6971" s="852"/>
      <c r="H6971" s="852"/>
      <c r="I6971" s="852"/>
      <c r="J6971" s="852"/>
      <c r="K6971" s="852"/>
      <c r="L6971" s="852"/>
      <c r="M6971" s="852"/>
    </row>
    <row r="6972" spans="5:13">
      <c r="E6972" s="852"/>
      <c r="F6972" s="852"/>
      <c r="G6972" s="852"/>
      <c r="H6972" s="852"/>
      <c r="I6972" s="852"/>
      <c r="J6972" s="852"/>
      <c r="K6972" s="852"/>
      <c r="L6972" s="852"/>
      <c r="M6972" s="852"/>
    </row>
    <row r="6973" spans="5:13">
      <c r="E6973" s="852"/>
      <c r="F6973" s="852"/>
      <c r="G6973" s="852"/>
      <c r="H6973" s="852"/>
      <c r="I6973" s="852"/>
      <c r="J6973" s="852"/>
      <c r="K6973" s="852"/>
      <c r="L6973" s="852"/>
      <c r="M6973" s="852"/>
    </row>
    <row r="6974" spans="5:13">
      <c r="E6974" s="852"/>
      <c r="F6974" s="852"/>
      <c r="G6974" s="852"/>
      <c r="H6974" s="852"/>
      <c r="I6974" s="852"/>
      <c r="J6974" s="852"/>
      <c r="K6974" s="852"/>
      <c r="L6974" s="852"/>
      <c r="M6974" s="852"/>
    </row>
    <row r="6975" spans="5:13">
      <c r="E6975" s="852"/>
      <c r="F6975" s="852"/>
      <c r="G6975" s="852"/>
      <c r="H6975" s="852"/>
      <c r="I6975" s="852"/>
      <c r="J6975" s="852"/>
      <c r="K6975" s="852"/>
      <c r="L6975" s="852"/>
      <c r="M6975" s="852"/>
    </row>
    <row r="6976" spans="5:13">
      <c r="E6976" s="852"/>
      <c r="F6976" s="852"/>
      <c r="G6976" s="852"/>
      <c r="H6976" s="852"/>
      <c r="I6976" s="852"/>
      <c r="J6976" s="852"/>
      <c r="K6976" s="852"/>
      <c r="L6976" s="852"/>
      <c r="M6976" s="852"/>
    </row>
    <row r="6977" spans="5:13">
      <c r="E6977" s="852"/>
      <c r="F6977" s="852"/>
      <c r="G6977" s="852"/>
      <c r="H6977" s="852"/>
      <c r="I6977" s="852"/>
      <c r="J6977" s="852"/>
      <c r="K6977" s="852"/>
      <c r="L6977" s="852"/>
      <c r="M6977" s="852"/>
    </row>
    <row r="6978" spans="5:13">
      <c r="E6978" s="852"/>
      <c r="F6978" s="852"/>
      <c r="G6978" s="852"/>
      <c r="H6978" s="852"/>
      <c r="I6978" s="852"/>
      <c r="J6978" s="852"/>
      <c r="K6978" s="852"/>
      <c r="L6978" s="852"/>
      <c r="M6978" s="852"/>
    </row>
    <row r="6979" spans="5:13">
      <c r="E6979" s="852"/>
      <c r="F6979" s="852"/>
      <c r="G6979" s="852"/>
      <c r="H6979" s="852"/>
      <c r="I6979" s="852"/>
      <c r="J6979" s="852"/>
      <c r="K6979" s="852"/>
      <c r="L6979" s="852"/>
      <c r="M6979" s="852"/>
    </row>
    <row r="6980" spans="5:13">
      <c r="E6980" s="852"/>
      <c r="F6980" s="852"/>
      <c r="G6980" s="852"/>
      <c r="H6980" s="852"/>
      <c r="I6980" s="852"/>
      <c r="J6980" s="852"/>
      <c r="K6980" s="852"/>
      <c r="L6980" s="852"/>
      <c r="M6980" s="852"/>
    </row>
    <row r="6981" spans="5:13">
      <c r="E6981" s="852"/>
      <c r="F6981" s="852"/>
      <c r="G6981" s="852"/>
      <c r="H6981" s="852"/>
      <c r="I6981" s="852"/>
      <c r="J6981" s="852"/>
      <c r="K6981" s="852"/>
      <c r="L6981" s="852"/>
      <c r="M6981" s="852"/>
    </row>
    <row r="6982" spans="5:13">
      <c r="E6982" s="852"/>
      <c r="F6982" s="852"/>
      <c r="G6982" s="852"/>
      <c r="H6982" s="852"/>
      <c r="I6982" s="852"/>
      <c r="J6982" s="852"/>
      <c r="K6982" s="852"/>
      <c r="L6982" s="852"/>
      <c r="M6982" s="852"/>
    </row>
    <row r="6983" spans="5:13">
      <c r="E6983" s="852"/>
      <c r="F6983" s="852"/>
      <c r="G6983" s="852"/>
      <c r="H6983" s="852"/>
      <c r="I6983" s="852"/>
      <c r="J6983" s="852"/>
      <c r="K6983" s="852"/>
      <c r="L6983" s="852"/>
      <c r="M6983" s="852"/>
    </row>
    <row r="6984" spans="5:13">
      <c r="E6984" s="852"/>
      <c r="F6984" s="852"/>
      <c r="G6984" s="852"/>
      <c r="H6984" s="852"/>
      <c r="I6984" s="852"/>
      <c r="J6984" s="852"/>
      <c r="K6984" s="852"/>
      <c r="L6984" s="852"/>
      <c r="M6984" s="852"/>
    </row>
    <row r="6985" spans="5:13">
      <c r="E6985" s="852"/>
      <c r="F6985" s="852"/>
      <c r="G6985" s="852"/>
      <c r="H6985" s="852"/>
      <c r="I6985" s="852"/>
      <c r="J6985" s="852"/>
      <c r="K6985" s="852"/>
      <c r="L6985" s="852"/>
      <c r="M6985" s="852"/>
    </row>
    <row r="6986" spans="5:13">
      <c r="E6986" s="852"/>
      <c r="F6986" s="852"/>
      <c r="G6986" s="852"/>
      <c r="H6986" s="852"/>
      <c r="I6986" s="852"/>
      <c r="J6986" s="852"/>
      <c r="K6986" s="852"/>
      <c r="L6986" s="852"/>
      <c r="M6986" s="852"/>
    </row>
    <row r="6987" spans="5:13">
      <c r="E6987" s="852"/>
      <c r="F6987" s="852"/>
      <c r="G6987" s="852"/>
      <c r="H6987" s="852"/>
      <c r="I6987" s="852"/>
      <c r="J6987" s="852"/>
      <c r="K6987" s="852"/>
      <c r="L6987" s="852"/>
      <c r="M6987" s="852"/>
    </row>
    <row r="6988" spans="5:13">
      <c r="E6988" s="852"/>
      <c r="F6988" s="852"/>
      <c r="G6988" s="852"/>
      <c r="H6988" s="852"/>
      <c r="I6988" s="852"/>
      <c r="J6988" s="852"/>
      <c r="K6988" s="852"/>
      <c r="L6988" s="852"/>
      <c r="M6988" s="852"/>
    </row>
    <row r="6989" spans="5:13">
      <c r="E6989" s="852"/>
      <c r="F6989" s="852"/>
      <c r="G6989" s="852"/>
      <c r="H6989" s="852"/>
      <c r="I6989" s="852"/>
      <c r="J6989" s="852"/>
      <c r="K6989" s="852"/>
      <c r="L6989" s="852"/>
      <c r="M6989" s="852"/>
    </row>
    <row r="6990" spans="5:13">
      <c r="E6990" s="852"/>
      <c r="F6990" s="852"/>
      <c r="G6990" s="852"/>
      <c r="H6990" s="852"/>
      <c r="I6990" s="852"/>
      <c r="J6990" s="852"/>
      <c r="K6990" s="852"/>
      <c r="L6990" s="852"/>
      <c r="M6990" s="852"/>
    </row>
    <row r="6991" spans="5:13">
      <c r="E6991" s="852"/>
      <c r="F6991" s="852"/>
      <c r="G6991" s="852"/>
      <c r="H6991" s="852"/>
      <c r="I6991" s="852"/>
      <c r="J6991" s="852"/>
      <c r="K6991" s="852"/>
      <c r="L6991" s="852"/>
      <c r="M6991" s="852"/>
    </row>
    <row r="6992" spans="5:13">
      <c r="E6992" s="852"/>
      <c r="F6992" s="852"/>
      <c r="G6992" s="852"/>
      <c r="H6992" s="852"/>
      <c r="I6992" s="852"/>
      <c r="J6992" s="852"/>
      <c r="K6992" s="852"/>
      <c r="L6992" s="852"/>
      <c r="M6992" s="852"/>
    </row>
    <row r="6993" spans="5:13">
      <c r="E6993" s="852"/>
      <c r="F6993" s="852"/>
      <c r="G6993" s="852"/>
      <c r="H6993" s="852"/>
      <c r="I6993" s="852"/>
      <c r="J6993" s="852"/>
      <c r="K6993" s="852"/>
      <c r="L6993" s="852"/>
      <c r="M6993" s="852"/>
    </row>
    <row r="6994" spans="5:13">
      <c r="E6994" s="852"/>
      <c r="F6994" s="852"/>
      <c r="G6994" s="852"/>
      <c r="H6994" s="852"/>
      <c r="I6994" s="852"/>
      <c r="J6994" s="852"/>
      <c r="K6994" s="852"/>
      <c r="L6994" s="852"/>
      <c r="M6994" s="852"/>
    </row>
    <row r="6995" spans="5:13">
      <c r="E6995" s="852"/>
      <c r="F6995" s="852"/>
      <c r="G6995" s="852"/>
      <c r="H6995" s="852"/>
      <c r="I6995" s="852"/>
      <c r="J6995" s="852"/>
      <c r="K6995" s="852"/>
      <c r="L6995" s="852"/>
      <c r="M6995" s="852"/>
    </row>
    <row r="6996" spans="5:13">
      <c r="E6996" s="852"/>
      <c r="F6996" s="852"/>
      <c r="G6996" s="852"/>
      <c r="H6996" s="852"/>
      <c r="I6996" s="852"/>
      <c r="J6996" s="852"/>
      <c r="K6996" s="852"/>
      <c r="L6996" s="852"/>
      <c r="M6996" s="852"/>
    </row>
    <row r="6997" spans="5:13">
      <c r="E6997" s="852"/>
      <c r="F6997" s="852"/>
      <c r="G6997" s="852"/>
      <c r="H6997" s="852"/>
      <c r="I6997" s="852"/>
      <c r="J6997" s="852"/>
      <c r="K6997" s="852"/>
      <c r="L6997" s="852"/>
      <c r="M6997" s="852"/>
    </row>
    <row r="6998" spans="5:13">
      <c r="E6998" s="852"/>
      <c r="F6998" s="852"/>
      <c r="G6998" s="852"/>
      <c r="H6998" s="852"/>
      <c r="I6998" s="852"/>
      <c r="J6998" s="852"/>
      <c r="K6998" s="852"/>
      <c r="L6998" s="852"/>
      <c r="M6998" s="852"/>
    </row>
    <row r="6999" spans="5:13">
      <c r="E6999" s="852"/>
      <c r="F6999" s="852"/>
      <c r="G6999" s="852"/>
      <c r="H6999" s="852"/>
      <c r="I6999" s="852"/>
      <c r="J6999" s="852"/>
      <c r="K6999" s="852"/>
      <c r="L6999" s="852"/>
      <c r="M6999" s="852"/>
    </row>
    <row r="7000" spans="5:13">
      <c r="E7000" s="852"/>
      <c r="F7000" s="852"/>
      <c r="G7000" s="852"/>
      <c r="H7000" s="852"/>
      <c r="I7000" s="852"/>
      <c r="J7000" s="852"/>
      <c r="K7000" s="852"/>
      <c r="L7000" s="852"/>
      <c r="M7000" s="852"/>
    </row>
    <row r="7001" spans="5:13">
      <c r="E7001" s="852"/>
      <c r="F7001" s="852"/>
      <c r="G7001" s="852"/>
      <c r="H7001" s="852"/>
      <c r="I7001" s="852"/>
      <c r="J7001" s="852"/>
      <c r="K7001" s="852"/>
      <c r="L7001" s="852"/>
      <c r="M7001" s="852"/>
    </row>
    <row r="7002" spans="5:13">
      <c r="E7002" s="852"/>
      <c r="F7002" s="852"/>
      <c r="G7002" s="852"/>
      <c r="H7002" s="852"/>
      <c r="I7002" s="852"/>
      <c r="J7002" s="852"/>
      <c r="K7002" s="852"/>
      <c r="L7002" s="852"/>
      <c r="M7002" s="852"/>
    </row>
    <row r="7003" spans="5:13">
      <c r="E7003" s="852"/>
      <c r="F7003" s="852"/>
      <c r="G7003" s="852"/>
      <c r="H7003" s="852"/>
      <c r="I7003" s="852"/>
      <c r="J7003" s="852"/>
      <c r="K7003" s="852"/>
      <c r="L7003" s="852"/>
      <c r="M7003" s="852"/>
    </row>
    <row r="7004" spans="5:13">
      <c r="E7004" s="852"/>
      <c r="F7004" s="852"/>
      <c r="G7004" s="852"/>
      <c r="H7004" s="852"/>
      <c r="I7004" s="852"/>
      <c r="J7004" s="852"/>
      <c r="K7004" s="852"/>
      <c r="L7004" s="852"/>
      <c r="M7004" s="852"/>
    </row>
    <row r="7005" spans="5:13">
      <c r="E7005" s="852"/>
      <c r="F7005" s="852"/>
      <c r="G7005" s="852"/>
      <c r="H7005" s="852"/>
      <c r="I7005" s="852"/>
      <c r="J7005" s="852"/>
      <c r="K7005" s="852"/>
      <c r="L7005" s="852"/>
      <c r="M7005" s="852"/>
    </row>
    <row r="7006" spans="5:13">
      <c r="E7006" s="852"/>
      <c r="F7006" s="852"/>
      <c r="G7006" s="852"/>
      <c r="H7006" s="852"/>
      <c r="I7006" s="852"/>
      <c r="J7006" s="852"/>
      <c r="K7006" s="852"/>
      <c r="L7006" s="852"/>
      <c r="M7006" s="852"/>
    </row>
    <row r="7007" spans="5:13">
      <c r="E7007" s="852"/>
      <c r="F7007" s="852"/>
      <c r="G7007" s="852"/>
      <c r="H7007" s="852"/>
      <c r="I7007" s="852"/>
      <c r="J7007" s="852"/>
      <c r="K7007" s="852"/>
      <c r="L7007" s="852"/>
      <c r="M7007" s="852"/>
    </row>
    <row r="7008" spans="5:13">
      <c r="E7008" s="852"/>
      <c r="F7008" s="852"/>
      <c r="G7008" s="852"/>
      <c r="H7008" s="852"/>
      <c r="I7008" s="852"/>
      <c r="J7008" s="852"/>
      <c r="K7008" s="852"/>
      <c r="L7008" s="852"/>
      <c r="M7008" s="852"/>
    </row>
    <row r="7009" spans="5:13">
      <c r="E7009" s="852"/>
      <c r="F7009" s="852"/>
      <c r="G7009" s="852"/>
      <c r="H7009" s="852"/>
      <c r="I7009" s="852"/>
      <c r="J7009" s="852"/>
      <c r="K7009" s="852"/>
      <c r="L7009" s="852"/>
      <c r="M7009" s="852"/>
    </row>
    <row r="7010" spans="5:13">
      <c r="E7010" s="852"/>
      <c r="F7010" s="852"/>
      <c r="G7010" s="852"/>
      <c r="H7010" s="852"/>
      <c r="I7010" s="852"/>
      <c r="J7010" s="852"/>
      <c r="K7010" s="852"/>
      <c r="L7010" s="852"/>
      <c r="M7010" s="852"/>
    </row>
    <row r="7011" spans="5:13">
      <c r="E7011" s="852"/>
      <c r="F7011" s="852"/>
      <c r="G7011" s="852"/>
      <c r="H7011" s="852"/>
      <c r="I7011" s="852"/>
      <c r="J7011" s="852"/>
      <c r="K7011" s="852"/>
      <c r="L7011" s="852"/>
      <c r="M7011" s="852"/>
    </row>
    <row r="7012" spans="5:13">
      <c r="E7012" s="852"/>
      <c r="F7012" s="852"/>
      <c r="G7012" s="852"/>
      <c r="H7012" s="852"/>
      <c r="I7012" s="852"/>
      <c r="J7012" s="852"/>
      <c r="K7012" s="852"/>
      <c r="L7012" s="852"/>
      <c r="M7012" s="852"/>
    </row>
    <row r="7013" spans="5:13">
      <c r="E7013" s="852"/>
      <c r="F7013" s="852"/>
      <c r="G7013" s="852"/>
      <c r="H7013" s="852"/>
      <c r="I7013" s="852"/>
      <c r="J7013" s="852"/>
      <c r="K7013" s="852"/>
      <c r="L7013" s="852"/>
      <c r="M7013" s="852"/>
    </row>
    <row r="7014" spans="5:13">
      <c r="E7014" s="852"/>
      <c r="F7014" s="852"/>
      <c r="G7014" s="852"/>
      <c r="H7014" s="852"/>
      <c r="I7014" s="852"/>
      <c r="J7014" s="852"/>
      <c r="K7014" s="852"/>
      <c r="L7014" s="852"/>
      <c r="M7014" s="852"/>
    </row>
    <row r="7015" spans="5:13">
      <c r="E7015" s="852"/>
      <c r="F7015" s="852"/>
      <c r="G7015" s="852"/>
      <c r="H7015" s="852"/>
      <c r="I7015" s="852"/>
      <c r="J7015" s="852"/>
      <c r="K7015" s="852"/>
      <c r="L7015" s="852"/>
      <c r="M7015" s="852"/>
    </row>
    <row r="7016" spans="5:13">
      <c r="E7016" s="852"/>
      <c r="F7016" s="852"/>
      <c r="G7016" s="852"/>
      <c r="H7016" s="852"/>
      <c r="I7016" s="852"/>
      <c r="J7016" s="852"/>
      <c r="K7016" s="852"/>
      <c r="L7016" s="852"/>
      <c r="M7016" s="852"/>
    </row>
    <row r="7017" spans="5:13">
      <c r="E7017" s="852"/>
      <c r="F7017" s="852"/>
      <c r="G7017" s="852"/>
      <c r="H7017" s="852"/>
      <c r="I7017" s="852"/>
      <c r="J7017" s="852"/>
      <c r="K7017" s="852"/>
      <c r="L7017" s="852"/>
      <c r="M7017" s="852"/>
    </row>
    <row r="7018" spans="5:13">
      <c r="E7018" s="852"/>
      <c r="F7018" s="852"/>
      <c r="G7018" s="852"/>
      <c r="H7018" s="852"/>
      <c r="I7018" s="852"/>
      <c r="J7018" s="852"/>
      <c r="K7018" s="852"/>
      <c r="L7018" s="852"/>
      <c r="M7018" s="852"/>
    </row>
    <row r="7019" spans="5:13">
      <c r="E7019" s="852"/>
      <c r="F7019" s="852"/>
      <c r="G7019" s="852"/>
      <c r="H7019" s="852"/>
      <c r="I7019" s="852"/>
      <c r="J7019" s="852"/>
      <c r="K7019" s="852"/>
      <c r="L7019" s="852"/>
      <c r="M7019" s="852"/>
    </row>
    <row r="7020" spans="5:13">
      <c r="E7020" s="852"/>
      <c r="F7020" s="852"/>
      <c r="G7020" s="852"/>
      <c r="H7020" s="852"/>
      <c r="I7020" s="852"/>
      <c r="J7020" s="852"/>
      <c r="K7020" s="852"/>
      <c r="L7020" s="852"/>
      <c r="M7020" s="852"/>
    </row>
    <row r="7021" spans="5:13">
      <c r="E7021" s="852"/>
      <c r="F7021" s="852"/>
      <c r="G7021" s="852"/>
      <c r="H7021" s="852"/>
      <c r="I7021" s="852"/>
      <c r="J7021" s="852"/>
      <c r="K7021" s="852"/>
      <c r="L7021" s="852"/>
      <c r="M7021" s="852"/>
    </row>
    <row r="7022" spans="5:13">
      <c r="E7022" s="852"/>
      <c r="F7022" s="852"/>
      <c r="G7022" s="852"/>
      <c r="H7022" s="852"/>
      <c r="I7022" s="852"/>
      <c r="J7022" s="852"/>
      <c r="K7022" s="852"/>
      <c r="L7022" s="852"/>
      <c r="M7022" s="852"/>
    </row>
    <row r="7023" spans="5:13">
      <c r="E7023" s="852"/>
      <c r="F7023" s="852"/>
      <c r="G7023" s="852"/>
      <c r="H7023" s="852"/>
      <c r="I7023" s="852"/>
      <c r="J7023" s="852"/>
      <c r="K7023" s="852"/>
      <c r="L7023" s="852"/>
      <c r="M7023" s="852"/>
    </row>
    <row r="7024" spans="5:13">
      <c r="E7024" s="852"/>
      <c r="F7024" s="852"/>
      <c r="G7024" s="852"/>
      <c r="H7024" s="852"/>
      <c r="I7024" s="852"/>
      <c r="J7024" s="852"/>
      <c r="K7024" s="852"/>
      <c r="L7024" s="852"/>
      <c r="M7024" s="852"/>
    </row>
    <row r="7025" spans="5:13">
      <c r="E7025" s="852"/>
      <c r="F7025" s="852"/>
      <c r="G7025" s="852"/>
      <c r="H7025" s="852"/>
      <c r="I7025" s="852"/>
      <c r="J7025" s="852"/>
      <c r="K7025" s="852"/>
      <c r="L7025" s="852"/>
      <c r="M7025" s="852"/>
    </row>
    <row r="7026" spans="5:13">
      <c r="E7026" s="852"/>
      <c r="F7026" s="852"/>
      <c r="G7026" s="852"/>
      <c r="H7026" s="852"/>
      <c r="I7026" s="852"/>
      <c r="J7026" s="852"/>
      <c r="K7026" s="852"/>
      <c r="L7026" s="852"/>
      <c r="M7026" s="852"/>
    </row>
    <row r="7027" spans="5:13">
      <c r="E7027" s="852"/>
      <c r="F7027" s="852"/>
      <c r="G7027" s="852"/>
      <c r="H7027" s="852"/>
      <c r="I7027" s="852"/>
      <c r="J7027" s="852"/>
      <c r="K7027" s="852"/>
      <c r="L7027" s="852"/>
      <c r="M7027" s="852"/>
    </row>
    <row r="7028" spans="5:13">
      <c r="E7028" s="852"/>
      <c r="F7028" s="852"/>
      <c r="G7028" s="852"/>
      <c r="H7028" s="852"/>
      <c r="I7028" s="852"/>
      <c r="J7028" s="852"/>
      <c r="K7028" s="852"/>
      <c r="L7028" s="852"/>
      <c r="M7028" s="852"/>
    </row>
    <row r="7029" spans="5:13">
      <c r="E7029" s="852"/>
      <c r="F7029" s="852"/>
      <c r="G7029" s="852"/>
      <c r="H7029" s="852"/>
      <c r="I7029" s="852"/>
      <c r="J7029" s="852"/>
      <c r="K7029" s="852"/>
      <c r="L7029" s="852"/>
      <c r="M7029" s="852"/>
    </row>
    <row r="7030" spans="5:13">
      <c r="E7030" s="852"/>
      <c r="F7030" s="852"/>
      <c r="G7030" s="852"/>
      <c r="H7030" s="852"/>
      <c r="I7030" s="852"/>
      <c r="J7030" s="852"/>
      <c r="K7030" s="852"/>
      <c r="L7030" s="852"/>
      <c r="M7030" s="852"/>
    </row>
    <row r="7031" spans="5:13">
      <c r="E7031" s="852"/>
      <c r="F7031" s="852"/>
      <c r="G7031" s="852"/>
      <c r="H7031" s="852"/>
      <c r="I7031" s="852"/>
      <c r="J7031" s="852"/>
      <c r="K7031" s="852"/>
      <c r="L7031" s="852"/>
      <c r="M7031" s="852"/>
    </row>
    <row r="7032" spans="5:13">
      <c r="E7032" s="852"/>
      <c r="F7032" s="852"/>
      <c r="G7032" s="852"/>
      <c r="H7032" s="852"/>
      <c r="I7032" s="852"/>
      <c r="J7032" s="852"/>
      <c r="K7032" s="852"/>
      <c r="L7032" s="852"/>
      <c r="M7032" s="852"/>
    </row>
    <row r="7033" spans="5:13">
      <c r="E7033" s="852"/>
      <c r="F7033" s="852"/>
      <c r="G7033" s="852"/>
      <c r="H7033" s="852"/>
      <c r="I7033" s="852"/>
      <c r="J7033" s="852"/>
      <c r="K7033" s="852"/>
      <c r="L7033" s="852"/>
      <c r="M7033" s="852"/>
    </row>
    <row r="7034" spans="5:13">
      <c r="E7034" s="852"/>
      <c r="F7034" s="852"/>
      <c r="G7034" s="852"/>
      <c r="H7034" s="852"/>
      <c r="I7034" s="852"/>
      <c r="J7034" s="852"/>
      <c r="K7034" s="852"/>
      <c r="L7034" s="852"/>
      <c r="M7034" s="852"/>
    </row>
    <row r="7035" spans="5:13">
      <c r="E7035" s="852"/>
      <c r="F7035" s="852"/>
      <c r="G7035" s="852"/>
      <c r="H7035" s="852"/>
      <c r="I7035" s="852"/>
      <c r="J7035" s="852"/>
      <c r="K7035" s="852"/>
      <c r="L7035" s="852"/>
      <c r="M7035" s="852"/>
    </row>
    <row r="7036" spans="5:13">
      <c r="E7036" s="852"/>
      <c r="F7036" s="852"/>
      <c r="G7036" s="852"/>
      <c r="H7036" s="852"/>
      <c r="I7036" s="852"/>
      <c r="J7036" s="852"/>
      <c r="K7036" s="852"/>
      <c r="L7036" s="852"/>
      <c r="M7036" s="852"/>
    </row>
    <row r="7037" spans="5:13">
      <c r="E7037" s="852"/>
      <c r="F7037" s="852"/>
      <c r="G7037" s="852"/>
      <c r="H7037" s="852"/>
      <c r="I7037" s="852"/>
      <c r="J7037" s="852"/>
      <c r="K7037" s="852"/>
      <c r="L7037" s="852"/>
      <c r="M7037" s="852"/>
    </row>
    <row r="7038" spans="5:13">
      <c r="E7038" s="852"/>
      <c r="F7038" s="852"/>
      <c r="G7038" s="852"/>
      <c r="H7038" s="852"/>
      <c r="I7038" s="852"/>
      <c r="J7038" s="852"/>
      <c r="K7038" s="852"/>
      <c r="L7038" s="852"/>
      <c r="M7038" s="852"/>
    </row>
    <row r="7039" spans="5:13">
      <c r="E7039" s="852"/>
      <c r="F7039" s="852"/>
      <c r="G7039" s="852"/>
      <c r="H7039" s="852"/>
      <c r="I7039" s="852"/>
      <c r="J7039" s="852"/>
      <c r="K7039" s="852"/>
      <c r="L7039" s="852"/>
      <c r="M7039" s="852"/>
    </row>
    <row r="7040" spans="5:13">
      <c r="E7040" s="852"/>
      <c r="F7040" s="852"/>
      <c r="G7040" s="852"/>
      <c r="H7040" s="852"/>
      <c r="I7040" s="852"/>
      <c r="J7040" s="852"/>
      <c r="K7040" s="852"/>
      <c r="L7040" s="852"/>
      <c r="M7040" s="852"/>
    </row>
    <row r="7041" spans="5:13">
      <c r="E7041" s="852"/>
      <c r="F7041" s="852"/>
      <c r="G7041" s="852"/>
      <c r="H7041" s="852"/>
      <c r="I7041" s="852"/>
      <c r="J7041" s="852"/>
      <c r="K7041" s="852"/>
      <c r="L7041" s="852"/>
      <c r="M7041" s="852"/>
    </row>
    <row r="7042" spans="5:13">
      <c r="E7042" s="852"/>
      <c r="F7042" s="852"/>
      <c r="G7042" s="852"/>
      <c r="H7042" s="852"/>
      <c r="I7042" s="852"/>
      <c r="J7042" s="852"/>
      <c r="K7042" s="852"/>
      <c r="L7042" s="852"/>
      <c r="M7042" s="852"/>
    </row>
    <row r="7043" spans="5:13">
      <c r="E7043" s="852"/>
      <c r="F7043" s="852"/>
      <c r="G7043" s="852"/>
      <c r="H7043" s="852"/>
      <c r="I7043" s="852"/>
      <c r="J7043" s="852"/>
      <c r="K7043" s="852"/>
      <c r="L7043" s="852"/>
      <c r="M7043" s="852"/>
    </row>
    <row r="7044" spans="5:13">
      <c r="E7044" s="852"/>
      <c r="F7044" s="852"/>
      <c r="G7044" s="852"/>
      <c r="H7044" s="852"/>
      <c r="I7044" s="852"/>
      <c r="J7044" s="852"/>
      <c r="K7044" s="852"/>
      <c r="L7044" s="852"/>
      <c r="M7044" s="852"/>
    </row>
    <row r="7045" spans="5:13">
      <c r="E7045" s="852"/>
      <c r="F7045" s="852"/>
      <c r="G7045" s="852"/>
      <c r="H7045" s="852"/>
      <c r="I7045" s="852"/>
      <c r="J7045" s="852"/>
      <c r="K7045" s="852"/>
      <c r="L7045" s="852"/>
      <c r="M7045" s="852"/>
    </row>
    <row r="7046" spans="5:13">
      <c r="E7046" s="852"/>
      <c r="F7046" s="852"/>
      <c r="G7046" s="852"/>
      <c r="H7046" s="852"/>
      <c r="I7046" s="852"/>
      <c r="J7046" s="852"/>
      <c r="K7046" s="852"/>
      <c r="L7046" s="852"/>
      <c r="M7046" s="852"/>
    </row>
    <row r="7047" spans="5:13">
      <c r="E7047" s="852"/>
      <c r="F7047" s="852"/>
      <c r="G7047" s="852"/>
      <c r="H7047" s="852"/>
      <c r="I7047" s="852"/>
      <c r="J7047" s="852"/>
      <c r="K7047" s="852"/>
      <c r="L7047" s="852"/>
      <c r="M7047" s="852"/>
    </row>
    <row r="7048" spans="5:13">
      <c r="E7048" s="852"/>
      <c r="F7048" s="852"/>
      <c r="G7048" s="852"/>
      <c r="H7048" s="852"/>
      <c r="I7048" s="852"/>
      <c r="J7048" s="852"/>
      <c r="K7048" s="852"/>
      <c r="L7048" s="852"/>
      <c r="M7048" s="852"/>
    </row>
    <row r="7049" spans="5:13">
      <c r="E7049" s="852"/>
      <c r="F7049" s="852"/>
      <c r="G7049" s="852"/>
      <c r="H7049" s="852"/>
      <c r="I7049" s="852"/>
      <c r="J7049" s="852"/>
      <c r="K7049" s="852"/>
      <c r="L7049" s="852"/>
      <c r="M7049" s="852"/>
    </row>
    <row r="7050" spans="5:13">
      <c r="E7050" s="852"/>
      <c r="F7050" s="852"/>
      <c r="G7050" s="852"/>
      <c r="H7050" s="852"/>
      <c r="I7050" s="852"/>
      <c r="J7050" s="852"/>
      <c r="K7050" s="852"/>
      <c r="L7050" s="852"/>
      <c r="M7050" s="852"/>
    </row>
    <row r="7051" spans="5:13">
      <c r="E7051" s="852"/>
      <c r="F7051" s="852"/>
      <c r="G7051" s="852"/>
      <c r="H7051" s="852"/>
      <c r="I7051" s="852"/>
      <c r="J7051" s="852"/>
      <c r="K7051" s="852"/>
      <c r="L7051" s="852"/>
      <c r="M7051" s="852"/>
    </row>
    <row r="7052" spans="5:13">
      <c r="E7052" s="852"/>
      <c r="F7052" s="852"/>
      <c r="G7052" s="852"/>
      <c r="H7052" s="852"/>
      <c r="I7052" s="852"/>
      <c r="J7052" s="852"/>
      <c r="K7052" s="852"/>
      <c r="L7052" s="852"/>
      <c r="M7052" s="852"/>
    </row>
    <row r="7053" spans="5:13">
      <c r="E7053" s="852"/>
      <c r="F7053" s="852"/>
      <c r="G7053" s="852"/>
      <c r="H7053" s="852"/>
      <c r="I7053" s="852"/>
      <c r="J7053" s="852"/>
      <c r="K7053" s="852"/>
      <c r="L7053" s="852"/>
      <c r="M7053" s="852"/>
    </row>
    <row r="7054" spans="5:13">
      <c r="E7054" s="852"/>
      <c r="F7054" s="852"/>
      <c r="G7054" s="852"/>
      <c r="H7054" s="852"/>
      <c r="I7054" s="852"/>
      <c r="J7054" s="852"/>
      <c r="K7054" s="852"/>
      <c r="L7054" s="852"/>
      <c r="M7054" s="852"/>
    </row>
    <row r="7055" spans="5:13">
      <c r="E7055" s="852"/>
      <c r="F7055" s="852"/>
      <c r="G7055" s="852"/>
      <c r="H7055" s="852"/>
      <c r="I7055" s="852"/>
      <c r="J7055" s="852"/>
      <c r="K7055" s="852"/>
      <c r="L7055" s="852"/>
      <c r="M7055" s="852"/>
    </row>
    <row r="7056" spans="5:13">
      <c r="E7056" s="852"/>
      <c r="F7056" s="852"/>
      <c r="G7056" s="852"/>
      <c r="H7056" s="852"/>
      <c r="I7056" s="852"/>
      <c r="J7056" s="852"/>
      <c r="K7056" s="852"/>
      <c r="L7056" s="852"/>
      <c r="M7056" s="852"/>
    </row>
    <row r="7057" spans="5:13">
      <c r="E7057" s="852"/>
      <c r="F7057" s="852"/>
      <c r="G7057" s="852"/>
      <c r="H7057" s="852"/>
      <c r="I7057" s="852"/>
      <c r="J7057" s="852"/>
      <c r="K7057" s="852"/>
      <c r="L7057" s="852"/>
      <c r="M7057" s="852"/>
    </row>
    <row r="7058" spans="5:13">
      <c r="E7058" s="852"/>
      <c r="F7058" s="852"/>
      <c r="G7058" s="852"/>
      <c r="H7058" s="852"/>
      <c r="I7058" s="852"/>
      <c r="J7058" s="852"/>
      <c r="K7058" s="852"/>
      <c r="L7058" s="852"/>
      <c r="M7058" s="852"/>
    </row>
    <row r="7059" spans="5:13">
      <c r="E7059" s="852"/>
      <c r="F7059" s="852"/>
      <c r="G7059" s="852"/>
      <c r="H7059" s="852"/>
      <c r="I7059" s="852"/>
      <c r="J7059" s="852"/>
      <c r="K7059" s="852"/>
      <c r="L7059" s="852"/>
      <c r="M7059" s="852"/>
    </row>
    <row r="7060" spans="5:13">
      <c r="E7060" s="852"/>
      <c r="F7060" s="852"/>
      <c r="G7060" s="852"/>
      <c r="H7060" s="852"/>
      <c r="I7060" s="852"/>
      <c r="J7060" s="852"/>
      <c r="K7060" s="852"/>
      <c r="L7060" s="852"/>
      <c r="M7060" s="852"/>
    </row>
    <row r="7061" spans="5:13">
      <c r="E7061" s="852"/>
      <c r="F7061" s="852"/>
      <c r="G7061" s="852"/>
      <c r="H7061" s="852"/>
      <c r="I7061" s="852"/>
      <c r="J7061" s="852"/>
      <c r="K7061" s="852"/>
      <c r="L7061" s="852"/>
      <c r="M7061" s="852"/>
    </row>
    <row r="7062" spans="5:13">
      <c r="E7062" s="852"/>
      <c r="F7062" s="852"/>
      <c r="G7062" s="852"/>
      <c r="H7062" s="852"/>
      <c r="I7062" s="852"/>
      <c r="J7062" s="852"/>
      <c r="K7062" s="852"/>
      <c r="L7062" s="852"/>
      <c r="M7062" s="852"/>
    </row>
    <row r="7063" spans="5:13">
      <c r="E7063" s="852"/>
      <c r="F7063" s="852"/>
      <c r="G7063" s="852"/>
      <c r="H7063" s="852"/>
      <c r="I7063" s="852"/>
      <c r="J7063" s="852"/>
      <c r="K7063" s="852"/>
      <c r="L7063" s="852"/>
      <c r="M7063" s="852"/>
    </row>
    <row r="7064" spans="5:13">
      <c r="E7064" s="852"/>
      <c r="F7064" s="852"/>
      <c r="G7064" s="852"/>
      <c r="H7064" s="852"/>
      <c r="I7064" s="852"/>
      <c r="J7064" s="852"/>
      <c r="K7064" s="852"/>
      <c r="L7064" s="852"/>
      <c r="M7064" s="852"/>
    </row>
    <row r="7065" spans="5:13">
      <c r="E7065" s="852"/>
      <c r="F7065" s="852"/>
      <c r="G7065" s="852"/>
      <c r="H7065" s="852"/>
      <c r="I7065" s="852"/>
      <c r="J7065" s="852"/>
      <c r="K7065" s="852"/>
      <c r="L7065" s="852"/>
      <c r="M7065" s="852"/>
    </row>
    <row r="7066" spans="5:13">
      <c r="E7066" s="852"/>
      <c r="F7066" s="852"/>
      <c r="G7066" s="852"/>
      <c r="H7066" s="852"/>
      <c r="I7066" s="852"/>
      <c r="J7066" s="852"/>
      <c r="K7066" s="852"/>
      <c r="L7066" s="852"/>
      <c r="M7066" s="852"/>
    </row>
    <row r="7067" spans="5:13">
      <c r="E7067" s="852"/>
      <c r="F7067" s="852"/>
      <c r="G7067" s="852"/>
      <c r="H7067" s="852"/>
      <c r="I7067" s="852"/>
      <c r="J7067" s="852"/>
      <c r="K7067" s="852"/>
      <c r="L7067" s="852"/>
      <c r="M7067" s="852"/>
    </row>
    <row r="7068" spans="5:13">
      <c r="E7068" s="852"/>
      <c r="F7068" s="852"/>
      <c r="G7068" s="852"/>
      <c r="H7068" s="852"/>
      <c r="I7068" s="852"/>
      <c r="J7068" s="852"/>
      <c r="K7068" s="852"/>
      <c r="L7068" s="852"/>
      <c r="M7068" s="852"/>
    </row>
    <row r="7069" spans="5:13">
      <c r="E7069" s="852"/>
      <c r="F7069" s="852"/>
      <c r="G7069" s="852"/>
      <c r="H7069" s="852"/>
      <c r="I7069" s="852"/>
      <c r="J7069" s="852"/>
      <c r="K7069" s="852"/>
      <c r="L7069" s="852"/>
      <c r="M7069" s="852"/>
    </row>
    <row r="7070" spans="5:13">
      <c r="E7070" s="852"/>
      <c r="F7070" s="852"/>
      <c r="G7070" s="852"/>
      <c r="H7070" s="852"/>
      <c r="I7070" s="852"/>
      <c r="J7070" s="852"/>
      <c r="K7070" s="852"/>
      <c r="L7070" s="852"/>
      <c r="M7070" s="852"/>
    </row>
    <row r="7071" spans="5:13">
      <c r="E7071" s="852"/>
      <c r="F7071" s="852"/>
      <c r="G7071" s="852"/>
      <c r="H7071" s="852"/>
      <c r="I7071" s="852"/>
      <c r="J7071" s="852"/>
      <c r="K7071" s="852"/>
      <c r="L7071" s="852"/>
      <c r="M7071" s="852"/>
    </row>
    <row r="7072" spans="5:13">
      <c r="E7072" s="852"/>
      <c r="F7072" s="852"/>
      <c r="G7072" s="852"/>
      <c r="H7072" s="852"/>
      <c r="I7072" s="852"/>
      <c r="J7072" s="852"/>
      <c r="K7072" s="852"/>
      <c r="L7072" s="852"/>
      <c r="M7072" s="852"/>
    </row>
    <row r="7073" spans="5:13">
      <c r="E7073" s="852"/>
      <c r="F7073" s="852"/>
      <c r="G7073" s="852"/>
      <c r="H7073" s="852"/>
      <c r="I7073" s="852"/>
      <c r="J7073" s="852"/>
      <c r="K7073" s="852"/>
      <c r="L7073" s="852"/>
      <c r="M7073" s="852"/>
    </row>
    <row r="7074" spans="5:13">
      <c r="E7074" s="852"/>
      <c r="F7074" s="852"/>
      <c r="G7074" s="852"/>
      <c r="H7074" s="852"/>
      <c r="I7074" s="852"/>
      <c r="J7074" s="852"/>
      <c r="K7074" s="852"/>
      <c r="L7074" s="852"/>
      <c r="M7074" s="852"/>
    </row>
    <row r="7075" spans="5:13">
      <c r="E7075" s="852"/>
      <c r="F7075" s="852"/>
      <c r="G7075" s="852"/>
      <c r="H7075" s="852"/>
      <c r="I7075" s="852"/>
      <c r="J7075" s="852"/>
      <c r="K7075" s="852"/>
      <c r="L7075" s="852"/>
      <c r="M7075" s="852"/>
    </row>
    <row r="7076" spans="5:13">
      <c r="E7076" s="852"/>
      <c r="F7076" s="852"/>
      <c r="G7076" s="852"/>
      <c r="H7076" s="852"/>
      <c r="I7076" s="852"/>
      <c r="J7076" s="852"/>
      <c r="K7076" s="852"/>
      <c r="L7076" s="852"/>
      <c r="M7076" s="852"/>
    </row>
    <row r="7077" spans="5:13">
      <c r="E7077" s="852"/>
      <c r="F7077" s="852"/>
      <c r="G7077" s="852"/>
      <c r="H7077" s="852"/>
      <c r="I7077" s="852"/>
      <c r="J7077" s="852"/>
      <c r="K7077" s="852"/>
      <c r="L7077" s="852"/>
      <c r="M7077" s="852"/>
    </row>
    <row r="7078" spans="5:13">
      <c r="E7078" s="852"/>
      <c r="F7078" s="852"/>
      <c r="G7078" s="852"/>
      <c r="H7078" s="852"/>
      <c r="I7078" s="852"/>
      <c r="J7078" s="852"/>
      <c r="K7078" s="852"/>
      <c r="L7078" s="852"/>
      <c r="M7078" s="852"/>
    </row>
    <row r="7079" spans="5:13">
      <c r="E7079" s="852"/>
      <c r="F7079" s="852"/>
      <c r="G7079" s="852"/>
      <c r="H7079" s="852"/>
      <c r="I7079" s="852"/>
      <c r="J7079" s="852"/>
      <c r="K7079" s="852"/>
      <c r="L7079" s="852"/>
      <c r="M7079" s="852"/>
    </row>
    <row r="7080" spans="5:13">
      <c r="E7080" s="852"/>
      <c r="F7080" s="852"/>
      <c r="G7080" s="852"/>
      <c r="H7080" s="852"/>
      <c r="I7080" s="852"/>
      <c r="J7080" s="852"/>
      <c r="K7080" s="852"/>
      <c r="L7080" s="852"/>
      <c r="M7080" s="852"/>
    </row>
    <row r="7081" spans="5:13">
      <c r="E7081" s="852"/>
      <c r="F7081" s="852"/>
      <c r="G7081" s="852"/>
      <c r="H7081" s="852"/>
      <c r="I7081" s="852"/>
      <c r="J7081" s="852"/>
      <c r="K7081" s="852"/>
      <c r="L7081" s="852"/>
      <c r="M7081" s="852"/>
    </row>
    <row r="7082" spans="5:13">
      <c r="E7082" s="852"/>
      <c r="F7082" s="852"/>
      <c r="G7082" s="852"/>
      <c r="H7082" s="852"/>
      <c r="I7082" s="852"/>
      <c r="J7082" s="852"/>
      <c r="K7082" s="852"/>
      <c r="L7082" s="852"/>
      <c r="M7082" s="852"/>
    </row>
    <row r="7083" spans="5:13">
      <c r="E7083" s="852"/>
      <c r="F7083" s="852"/>
      <c r="G7083" s="852"/>
      <c r="H7083" s="852"/>
      <c r="I7083" s="852"/>
      <c r="J7083" s="852"/>
      <c r="K7083" s="852"/>
      <c r="L7083" s="852"/>
      <c r="M7083" s="852"/>
    </row>
    <row r="7084" spans="5:13">
      <c r="E7084" s="852"/>
      <c r="F7084" s="852"/>
      <c r="G7084" s="852"/>
      <c r="H7084" s="852"/>
      <c r="I7084" s="852"/>
      <c r="J7084" s="852"/>
      <c r="K7084" s="852"/>
      <c r="L7084" s="852"/>
      <c r="M7084" s="852"/>
    </row>
    <row r="7085" spans="5:13">
      <c r="E7085" s="852"/>
      <c r="F7085" s="852"/>
      <c r="G7085" s="852"/>
      <c r="H7085" s="852"/>
      <c r="I7085" s="852"/>
      <c r="J7085" s="852"/>
      <c r="K7085" s="852"/>
      <c r="L7085" s="852"/>
      <c r="M7085" s="852"/>
    </row>
    <row r="7086" spans="5:13">
      <c r="E7086" s="852"/>
      <c r="F7086" s="852"/>
      <c r="G7086" s="852"/>
      <c r="H7086" s="852"/>
      <c r="I7086" s="852"/>
      <c r="J7086" s="852"/>
      <c r="K7086" s="852"/>
      <c r="L7086" s="852"/>
      <c r="M7086" s="852"/>
    </row>
    <row r="7087" spans="5:13">
      <c r="E7087" s="852"/>
      <c r="F7087" s="852"/>
      <c r="G7087" s="852"/>
      <c r="H7087" s="852"/>
      <c r="I7087" s="852"/>
      <c r="J7087" s="852"/>
      <c r="K7087" s="852"/>
      <c r="L7087" s="852"/>
      <c r="M7087" s="852"/>
    </row>
    <row r="7088" spans="5:13">
      <c r="E7088" s="852"/>
      <c r="F7088" s="852"/>
      <c r="G7088" s="852"/>
      <c r="H7088" s="852"/>
      <c r="I7088" s="852"/>
      <c r="J7088" s="852"/>
      <c r="K7088" s="852"/>
      <c r="L7088" s="852"/>
      <c r="M7088" s="852"/>
    </row>
    <row r="7089" spans="5:13">
      <c r="E7089" s="852"/>
      <c r="F7089" s="852"/>
      <c r="G7089" s="852"/>
      <c r="H7089" s="852"/>
      <c r="I7089" s="852"/>
      <c r="J7089" s="852"/>
      <c r="K7089" s="852"/>
      <c r="L7089" s="852"/>
      <c r="M7089" s="852"/>
    </row>
    <row r="7090" spans="5:13">
      <c r="E7090" s="852"/>
      <c r="F7090" s="852"/>
      <c r="G7090" s="852"/>
      <c r="H7090" s="852"/>
      <c r="I7090" s="852"/>
      <c r="J7090" s="852"/>
      <c r="K7090" s="852"/>
      <c r="L7090" s="852"/>
      <c r="M7090" s="852"/>
    </row>
    <row r="7091" spans="5:13">
      <c r="E7091" s="852"/>
      <c r="F7091" s="852"/>
      <c r="G7091" s="852"/>
      <c r="H7091" s="852"/>
      <c r="I7091" s="852"/>
      <c r="J7091" s="852"/>
      <c r="K7091" s="852"/>
      <c r="L7091" s="852"/>
      <c r="M7091" s="852"/>
    </row>
    <row r="7092" spans="5:13">
      <c r="E7092" s="852"/>
      <c r="F7092" s="852"/>
      <c r="G7092" s="852"/>
      <c r="H7092" s="852"/>
      <c r="I7092" s="852"/>
      <c r="J7092" s="852"/>
      <c r="K7092" s="852"/>
      <c r="L7092" s="852"/>
      <c r="M7092" s="852"/>
    </row>
    <row r="7093" spans="5:13">
      <c r="E7093" s="852"/>
      <c r="F7093" s="852"/>
      <c r="G7093" s="852"/>
      <c r="H7093" s="852"/>
      <c r="I7093" s="852"/>
      <c r="J7093" s="852"/>
      <c r="K7093" s="852"/>
      <c r="L7093" s="852"/>
      <c r="M7093" s="852"/>
    </row>
    <row r="7094" spans="5:13">
      <c r="E7094" s="852"/>
      <c r="F7094" s="852"/>
      <c r="G7094" s="852"/>
      <c r="H7094" s="852"/>
      <c r="I7094" s="852"/>
      <c r="J7094" s="852"/>
      <c r="K7094" s="852"/>
      <c r="L7094" s="852"/>
      <c r="M7094" s="852"/>
    </row>
    <row r="7095" spans="5:13">
      <c r="E7095" s="852"/>
      <c r="F7095" s="852"/>
      <c r="G7095" s="852"/>
      <c r="H7095" s="852"/>
      <c r="I7095" s="852"/>
      <c r="J7095" s="852"/>
      <c r="K7095" s="852"/>
      <c r="L7095" s="852"/>
      <c r="M7095" s="852"/>
    </row>
    <row r="7096" spans="5:13">
      <c r="E7096" s="852"/>
      <c r="F7096" s="852"/>
      <c r="G7096" s="852"/>
      <c r="H7096" s="852"/>
      <c r="I7096" s="852"/>
      <c r="J7096" s="852"/>
      <c r="K7096" s="852"/>
      <c r="L7096" s="852"/>
      <c r="M7096" s="852"/>
    </row>
    <row r="7097" spans="5:13">
      <c r="E7097" s="852"/>
      <c r="F7097" s="852"/>
      <c r="G7097" s="852"/>
      <c r="H7097" s="852"/>
      <c r="I7097" s="852"/>
      <c r="J7097" s="852"/>
      <c r="K7097" s="852"/>
      <c r="L7097" s="852"/>
      <c r="M7097" s="852"/>
    </row>
    <row r="7098" spans="5:13">
      <c r="E7098" s="852"/>
      <c r="F7098" s="852"/>
      <c r="G7098" s="852"/>
      <c r="H7098" s="852"/>
      <c r="I7098" s="852"/>
      <c r="J7098" s="852"/>
      <c r="K7098" s="852"/>
      <c r="L7098" s="852"/>
      <c r="M7098" s="852"/>
    </row>
    <row r="7099" spans="5:13">
      <c r="E7099" s="852"/>
      <c r="F7099" s="852"/>
      <c r="G7099" s="852"/>
      <c r="H7099" s="852"/>
      <c r="I7099" s="852"/>
      <c r="J7099" s="852"/>
      <c r="K7099" s="852"/>
      <c r="L7099" s="852"/>
      <c r="M7099" s="852"/>
    </row>
    <row r="7100" spans="5:13">
      <c r="E7100" s="852"/>
      <c r="F7100" s="852"/>
      <c r="G7100" s="852"/>
      <c r="H7100" s="852"/>
      <c r="I7100" s="852"/>
      <c r="J7100" s="852"/>
      <c r="K7100" s="852"/>
      <c r="L7100" s="852"/>
      <c r="M7100" s="852"/>
    </row>
    <row r="7101" spans="5:13">
      <c r="E7101" s="852"/>
      <c r="F7101" s="852"/>
      <c r="G7101" s="852"/>
      <c r="H7101" s="852"/>
      <c r="I7101" s="852"/>
      <c r="J7101" s="852"/>
      <c r="K7101" s="852"/>
      <c r="L7101" s="852"/>
      <c r="M7101" s="852"/>
    </row>
    <row r="7102" spans="5:13">
      <c r="E7102" s="852"/>
      <c r="F7102" s="852"/>
      <c r="G7102" s="852"/>
      <c r="H7102" s="852"/>
      <c r="I7102" s="852"/>
      <c r="J7102" s="852"/>
      <c r="K7102" s="852"/>
      <c r="L7102" s="852"/>
      <c r="M7102" s="852"/>
    </row>
    <row r="7103" spans="5:13">
      <c r="E7103" s="852"/>
      <c r="F7103" s="852"/>
      <c r="G7103" s="852"/>
      <c r="H7103" s="852"/>
      <c r="I7103" s="852"/>
      <c r="J7103" s="852"/>
      <c r="K7103" s="852"/>
      <c r="L7103" s="852"/>
      <c r="M7103" s="852"/>
    </row>
    <row r="7104" spans="5:13">
      <c r="E7104" s="852"/>
      <c r="F7104" s="852"/>
      <c r="G7104" s="852"/>
      <c r="H7104" s="852"/>
      <c r="I7104" s="852"/>
      <c r="J7104" s="852"/>
      <c r="K7104" s="852"/>
      <c r="L7104" s="852"/>
      <c r="M7104" s="852"/>
    </row>
    <row r="7105" spans="5:13">
      <c r="E7105" s="852"/>
      <c r="F7105" s="852"/>
      <c r="G7105" s="852"/>
      <c r="H7105" s="852"/>
      <c r="I7105" s="852"/>
      <c r="J7105" s="852"/>
      <c r="K7105" s="852"/>
      <c r="L7105" s="852"/>
      <c r="M7105" s="852"/>
    </row>
    <row r="7106" spans="5:13">
      <c r="E7106" s="852"/>
      <c r="F7106" s="852"/>
      <c r="G7106" s="852"/>
      <c r="H7106" s="852"/>
      <c r="I7106" s="852"/>
      <c r="J7106" s="852"/>
      <c r="K7106" s="852"/>
      <c r="L7106" s="852"/>
      <c r="M7106" s="852"/>
    </row>
    <row r="7107" spans="5:13">
      <c r="E7107" s="852"/>
      <c r="F7107" s="852"/>
      <c r="G7107" s="852"/>
      <c r="H7107" s="852"/>
      <c r="I7107" s="852"/>
      <c r="J7107" s="852"/>
      <c r="K7107" s="852"/>
      <c r="L7107" s="852"/>
      <c r="M7107" s="852"/>
    </row>
    <row r="7108" spans="5:13">
      <c r="E7108" s="852"/>
      <c r="F7108" s="852"/>
      <c r="G7108" s="852"/>
      <c r="H7108" s="852"/>
      <c r="I7108" s="852"/>
      <c r="J7108" s="852"/>
      <c r="K7108" s="852"/>
      <c r="L7108" s="852"/>
      <c r="M7108" s="852"/>
    </row>
    <row r="7109" spans="5:13">
      <c r="E7109" s="852"/>
      <c r="F7109" s="852"/>
      <c r="G7109" s="852"/>
      <c r="H7109" s="852"/>
      <c r="I7109" s="852"/>
      <c r="J7109" s="852"/>
      <c r="K7109" s="852"/>
      <c r="L7109" s="852"/>
      <c r="M7109" s="852"/>
    </row>
    <row r="7110" spans="5:13">
      <c r="E7110" s="852"/>
      <c r="F7110" s="852"/>
      <c r="G7110" s="852"/>
      <c r="H7110" s="852"/>
      <c r="I7110" s="852"/>
      <c r="J7110" s="852"/>
      <c r="K7110" s="852"/>
      <c r="L7110" s="852"/>
      <c r="M7110" s="852"/>
    </row>
    <row r="7111" spans="5:13">
      <c r="E7111" s="852"/>
      <c r="F7111" s="852"/>
      <c r="G7111" s="852"/>
      <c r="H7111" s="852"/>
      <c r="I7111" s="852"/>
      <c r="J7111" s="852"/>
      <c r="K7111" s="852"/>
      <c r="L7111" s="852"/>
      <c r="M7111" s="852"/>
    </row>
    <row r="7112" spans="5:13">
      <c r="E7112" s="852"/>
      <c r="F7112" s="852"/>
      <c r="G7112" s="852"/>
      <c r="H7112" s="852"/>
      <c r="I7112" s="852"/>
      <c r="J7112" s="852"/>
      <c r="K7112" s="852"/>
      <c r="L7112" s="852"/>
      <c r="M7112" s="852"/>
    </row>
    <row r="7113" spans="5:13">
      <c r="E7113" s="852"/>
      <c r="F7113" s="852"/>
      <c r="G7113" s="852"/>
      <c r="H7113" s="852"/>
      <c r="I7113" s="852"/>
      <c r="J7113" s="852"/>
      <c r="K7113" s="852"/>
      <c r="L7113" s="852"/>
      <c r="M7113" s="852"/>
    </row>
    <row r="7114" spans="5:13">
      <c r="E7114" s="852"/>
      <c r="F7114" s="852"/>
      <c r="G7114" s="852"/>
      <c r="H7114" s="852"/>
      <c r="I7114" s="852"/>
      <c r="J7114" s="852"/>
      <c r="K7114" s="852"/>
      <c r="L7114" s="852"/>
      <c r="M7114" s="852"/>
    </row>
    <row r="7115" spans="5:13">
      <c r="E7115" s="852"/>
      <c r="F7115" s="852"/>
      <c r="G7115" s="852"/>
      <c r="H7115" s="852"/>
      <c r="I7115" s="852"/>
      <c r="J7115" s="852"/>
      <c r="K7115" s="852"/>
      <c r="L7115" s="852"/>
      <c r="M7115" s="852"/>
    </row>
    <row r="7116" spans="5:13">
      <c r="E7116" s="852"/>
      <c r="F7116" s="852"/>
      <c r="G7116" s="852"/>
      <c r="H7116" s="852"/>
      <c r="I7116" s="852"/>
      <c r="J7116" s="852"/>
      <c r="K7116" s="852"/>
      <c r="L7116" s="852"/>
      <c r="M7116" s="852"/>
    </row>
    <row r="7117" spans="5:13">
      <c r="E7117" s="852"/>
      <c r="F7117" s="852"/>
      <c r="G7117" s="852"/>
      <c r="H7117" s="852"/>
      <c r="I7117" s="852"/>
      <c r="J7117" s="852"/>
      <c r="K7117" s="852"/>
      <c r="L7117" s="852"/>
      <c r="M7117" s="852"/>
    </row>
    <row r="7118" spans="5:13">
      <c r="E7118" s="852"/>
      <c r="F7118" s="852"/>
      <c r="G7118" s="852"/>
      <c r="H7118" s="852"/>
      <c r="I7118" s="852"/>
      <c r="J7118" s="852"/>
      <c r="K7118" s="852"/>
      <c r="L7118" s="852"/>
      <c r="M7118" s="852"/>
    </row>
    <row r="7119" spans="5:13">
      <c r="E7119" s="852"/>
      <c r="F7119" s="852"/>
      <c r="G7119" s="852"/>
      <c r="H7119" s="852"/>
      <c r="I7119" s="852"/>
      <c r="J7119" s="852"/>
      <c r="K7119" s="852"/>
      <c r="L7119" s="852"/>
      <c r="M7119" s="852"/>
    </row>
    <row r="7120" spans="5:13">
      <c r="E7120" s="852"/>
      <c r="F7120" s="852"/>
      <c r="G7120" s="852"/>
      <c r="H7120" s="852"/>
      <c r="I7120" s="852"/>
      <c r="J7120" s="852"/>
      <c r="K7120" s="852"/>
      <c r="L7120" s="852"/>
      <c r="M7120" s="852"/>
    </row>
    <row r="7121" spans="5:13">
      <c r="E7121" s="852"/>
      <c r="F7121" s="852"/>
      <c r="G7121" s="852"/>
      <c r="H7121" s="852"/>
      <c r="I7121" s="852"/>
      <c r="J7121" s="852"/>
      <c r="K7121" s="852"/>
      <c r="L7121" s="852"/>
      <c r="M7121" s="852"/>
    </row>
    <row r="7122" spans="5:13">
      <c r="E7122" s="852"/>
      <c r="F7122" s="852"/>
      <c r="G7122" s="852"/>
      <c r="H7122" s="852"/>
      <c r="I7122" s="852"/>
      <c r="J7122" s="852"/>
      <c r="K7122" s="852"/>
      <c r="L7122" s="852"/>
      <c r="M7122" s="852"/>
    </row>
    <row r="7123" spans="5:13">
      <c r="E7123" s="852"/>
      <c r="F7123" s="852"/>
      <c r="G7123" s="852"/>
      <c r="H7123" s="852"/>
      <c r="I7123" s="852"/>
      <c r="J7123" s="852"/>
      <c r="K7123" s="852"/>
      <c r="L7123" s="852"/>
      <c r="M7123" s="852"/>
    </row>
    <row r="7124" spans="5:13">
      <c r="E7124" s="852"/>
      <c r="F7124" s="852"/>
      <c r="G7124" s="852"/>
      <c r="H7124" s="852"/>
      <c r="I7124" s="852"/>
      <c r="J7124" s="852"/>
      <c r="K7124" s="852"/>
      <c r="L7124" s="852"/>
      <c r="M7124" s="852"/>
    </row>
    <row r="7125" spans="5:13">
      <c r="E7125" s="852"/>
      <c r="F7125" s="852"/>
      <c r="G7125" s="852"/>
      <c r="H7125" s="852"/>
      <c r="I7125" s="852"/>
      <c r="J7125" s="852"/>
      <c r="K7125" s="852"/>
      <c r="L7125" s="852"/>
      <c r="M7125" s="852"/>
    </row>
    <row r="7126" spans="5:13">
      <c r="E7126" s="852"/>
      <c r="F7126" s="852"/>
      <c r="G7126" s="852"/>
      <c r="H7126" s="852"/>
      <c r="I7126" s="852"/>
      <c r="J7126" s="852"/>
      <c r="K7126" s="852"/>
      <c r="L7126" s="852"/>
      <c r="M7126" s="852"/>
    </row>
    <row r="7127" spans="5:13">
      <c r="E7127" s="852"/>
      <c r="F7127" s="852"/>
      <c r="G7127" s="852"/>
      <c r="H7127" s="852"/>
      <c r="I7127" s="852"/>
      <c r="J7127" s="852"/>
      <c r="K7127" s="852"/>
      <c r="L7127" s="852"/>
      <c r="M7127" s="852"/>
    </row>
    <row r="7128" spans="5:13">
      <c r="E7128" s="852"/>
      <c r="F7128" s="852"/>
      <c r="G7128" s="852"/>
      <c r="H7128" s="852"/>
      <c r="I7128" s="852"/>
      <c r="J7128" s="852"/>
      <c r="K7128" s="852"/>
      <c r="L7128" s="852"/>
      <c r="M7128" s="852"/>
    </row>
    <row r="7129" spans="5:13">
      <c r="E7129" s="852"/>
      <c r="F7129" s="852"/>
      <c r="G7129" s="852"/>
      <c r="H7129" s="852"/>
      <c r="I7129" s="852"/>
      <c r="J7129" s="852"/>
      <c r="K7129" s="852"/>
      <c r="L7129" s="852"/>
      <c r="M7129" s="852"/>
    </row>
    <row r="7130" spans="5:13">
      <c r="E7130" s="852"/>
      <c r="F7130" s="852"/>
      <c r="G7130" s="852"/>
      <c r="H7130" s="852"/>
      <c r="I7130" s="852"/>
      <c r="J7130" s="852"/>
      <c r="K7130" s="852"/>
      <c r="L7130" s="852"/>
      <c r="M7130" s="852"/>
    </row>
    <row r="7131" spans="5:13">
      <c r="E7131" s="852"/>
      <c r="F7131" s="852"/>
      <c r="G7131" s="852"/>
      <c r="H7131" s="852"/>
      <c r="I7131" s="852"/>
      <c r="J7131" s="852"/>
      <c r="K7131" s="852"/>
      <c r="L7131" s="852"/>
      <c r="M7131" s="852"/>
    </row>
    <row r="7132" spans="5:13">
      <c r="E7132" s="852"/>
      <c r="F7132" s="852"/>
      <c r="G7132" s="852"/>
      <c r="H7132" s="852"/>
      <c r="I7132" s="852"/>
      <c r="J7132" s="852"/>
      <c r="K7132" s="852"/>
      <c r="L7132" s="852"/>
      <c r="M7132" s="852"/>
    </row>
    <row r="7133" spans="5:13">
      <c r="E7133" s="852"/>
      <c r="F7133" s="852"/>
      <c r="G7133" s="852"/>
      <c r="H7133" s="852"/>
      <c r="I7133" s="852"/>
      <c r="J7133" s="852"/>
      <c r="K7133" s="852"/>
      <c r="L7133" s="852"/>
      <c r="M7133" s="852"/>
    </row>
    <row r="7134" spans="5:13">
      <c r="E7134" s="852"/>
      <c r="F7134" s="852"/>
      <c r="G7134" s="852"/>
      <c r="H7134" s="852"/>
      <c r="I7134" s="852"/>
      <c r="J7134" s="852"/>
      <c r="K7134" s="852"/>
      <c r="L7134" s="852"/>
      <c r="M7134" s="852"/>
    </row>
    <row r="7135" spans="5:13">
      <c r="E7135" s="852"/>
      <c r="F7135" s="852"/>
      <c r="G7135" s="852"/>
      <c r="H7135" s="852"/>
      <c r="I7135" s="852"/>
      <c r="J7135" s="852"/>
      <c r="K7135" s="852"/>
      <c r="L7135" s="852"/>
      <c r="M7135" s="852"/>
    </row>
    <row r="7136" spans="5:13">
      <c r="E7136" s="852"/>
      <c r="F7136" s="852"/>
      <c r="G7136" s="852"/>
      <c r="H7136" s="852"/>
      <c r="I7136" s="852"/>
      <c r="J7136" s="852"/>
      <c r="K7136" s="852"/>
      <c r="L7136" s="852"/>
      <c r="M7136" s="852"/>
    </row>
    <row r="7137" spans="5:13">
      <c r="E7137" s="852"/>
      <c r="F7137" s="852"/>
      <c r="G7137" s="852"/>
      <c r="H7137" s="852"/>
      <c r="I7137" s="852"/>
      <c r="J7137" s="852"/>
      <c r="K7137" s="852"/>
      <c r="L7137" s="852"/>
      <c r="M7137" s="852"/>
    </row>
    <row r="7138" spans="5:13">
      <c r="E7138" s="852"/>
      <c r="F7138" s="852"/>
      <c r="G7138" s="852"/>
      <c r="H7138" s="852"/>
      <c r="I7138" s="852"/>
      <c r="J7138" s="852"/>
      <c r="K7138" s="852"/>
      <c r="L7138" s="852"/>
      <c r="M7138" s="852"/>
    </row>
    <row r="7139" spans="5:13">
      <c r="E7139" s="852"/>
      <c r="F7139" s="852"/>
      <c r="G7139" s="852"/>
      <c r="H7139" s="852"/>
      <c r="I7139" s="852"/>
      <c r="J7139" s="852"/>
      <c r="K7139" s="852"/>
      <c r="L7139" s="852"/>
      <c r="M7139" s="852"/>
    </row>
    <row r="7140" spans="5:13">
      <c r="E7140" s="852"/>
      <c r="F7140" s="852"/>
      <c r="G7140" s="852"/>
      <c r="H7140" s="852"/>
      <c r="I7140" s="852"/>
      <c r="J7140" s="852"/>
      <c r="K7140" s="852"/>
      <c r="L7140" s="852"/>
      <c r="M7140" s="852"/>
    </row>
    <row r="7141" spans="5:13">
      <c r="E7141" s="852"/>
      <c r="F7141" s="852"/>
      <c r="G7141" s="852"/>
      <c r="H7141" s="852"/>
      <c r="I7141" s="852"/>
      <c r="J7141" s="852"/>
      <c r="K7141" s="852"/>
      <c r="L7141" s="852"/>
      <c r="M7141" s="852"/>
    </row>
    <row r="7142" spans="5:13">
      <c r="E7142" s="852"/>
      <c r="F7142" s="852"/>
      <c r="G7142" s="852"/>
      <c r="H7142" s="852"/>
      <c r="I7142" s="852"/>
      <c r="J7142" s="852"/>
      <c r="K7142" s="852"/>
      <c r="L7142" s="852"/>
      <c r="M7142" s="852"/>
    </row>
    <row r="7143" spans="5:13">
      <c r="E7143" s="852"/>
      <c r="F7143" s="852"/>
      <c r="G7143" s="852"/>
      <c r="H7143" s="852"/>
      <c r="I7143" s="852"/>
      <c r="J7143" s="852"/>
      <c r="K7143" s="852"/>
      <c r="L7143" s="852"/>
      <c r="M7143" s="852"/>
    </row>
    <row r="7144" spans="5:13">
      <c r="E7144" s="852"/>
      <c r="F7144" s="852"/>
      <c r="G7144" s="852"/>
      <c r="H7144" s="852"/>
      <c r="I7144" s="852"/>
      <c r="J7144" s="852"/>
      <c r="K7144" s="852"/>
      <c r="L7144" s="852"/>
      <c r="M7144" s="852"/>
    </row>
    <row r="7145" spans="5:13">
      <c r="E7145" s="852"/>
      <c r="F7145" s="852"/>
      <c r="G7145" s="852"/>
      <c r="H7145" s="852"/>
      <c r="I7145" s="852"/>
      <c r="J7145" s="852"/>
      <c r="K7145" s="852"/>
      <c r="L7145" s="852"/>
      <c r="M7145" s="852"/>
    </row>
    <row r="7146" spans="5:13">
      <c r="E7146" s="852"/>
      <c r="F7146" s="852"/>
      <c r="G7146" s="852"/>
      <c r="H7146" s="852"/>
      <c r="I7146" s="852"/>
      <c r="J7146" s="852"/>
      <c r="K7146" s="852"/>
      <c r="L7146" s="852"/>
      <c r="M7146" s="852"/>
    </row>
    <row r="7147" spans="5:13">
      <c r="E7147" s="852"/>
      <c r="F7147" s="852"/>
      <c r="G7147" s="852"/>
      <c r="H7147" s="852"/>
      <c r="I7147" s="852"/>
      <c r="J7147" s="852"/>
      <c r="K7147" s="852"/>
      <c r="L7147" s="852"/>
      <c r="M7147" s="852"/>
    </row>
    <row r="7148" spans="5:13">
      <c r="E7148" s="852"/>
      <c r="F7148" s="852"/>
      <c r="G7148" s="852"/>
      <c r="H7148" s="852"/>
      <c r="I7148" s="852"/>
      <c r="J7148" s="852"/>
      <c r="K7148" s="852"/>
      <c r="L7148" s="852"/>
      <c r="M7148" s="852"/>
    </row>
    <row r="7149" spans="5:13">
      <c r="E7149" s="852"/>
      <c r="F7149" s="852"/>
      <c r="G7149" s="852"/>
      <c r="H7149" s="852"/>
      <c r="I7149" s="852"/>
      <c r="J7149" s="852"/>
      <c r="K7149" s="852"/>
      <c r="L7149" s="852"/>
      <c r="M7149" s="852"/>
    </row>
    <row r="7150" spans="5:13">
      <c r="E7150" s="852"/>
      <c r="F7150" s="852"/>
      <c r="G7150" s="852"/>
      <c r="H7150" s="852"/>
      <c r="I7150" s="852"/>
      <c r="J7150" s="852"/>
      <c r="K7150" s="852"/>
      <c r="L7150" s="852"/>
      <c r="M7150" s="852"/>
    </row>
    <row r="7151" spans="5:13">
      <c r="E7151" s="852"/>
      <c r="F7151" s="852"/>
      <c r="G7151" s="852"/>
      <c r="H7151" s="852"/>
      <c r="I7151" s="852"/>
      <c r="J7151" s="852"/>
      <c r="K7151" s="852"/>
      <c r="L7151" s="852"/>
      <c r="M7151" s="852"/>
    </row>
    <row r="7152" spans="5:13">
      <c r="E7152" s="852"/>
      <c r="F7152" s="852"/>
      <c r="G7152" s="852"/>
      <c r="H7152" s="852"/>
      <c r="I7152" s="852"/>
      <c r="J7152" s="852"/>
      <c r="K7152" s="852"/>
      <c r="L7152" s="852"/>
      <c r="M7152" s="852"/>
    </row>
    <row r="7153" spans="5:13">
      <c r="E7153" s="852"/>
      <c r="F7153" s="852"/>
      <c r="G7153" s="852"/>
      <c r="H7153" s="852"/>
      <c r="I7153" s="852"/>
      <c r="J7153" s="852"/>
      <c r="K7153" s="852"/>
      <c r="L7153" s="852"/>
      <c r="M7153" s="852"/>
    </row>
    <row r="7154" spans="5:13">
      <c r="E7154" s="852"/>
      <c r="F7154" s="852"/>
      <c r="G7154" s="852"/>
      <c r="H7154" s="852"/>
      <c r="I7154" s="852"/>
      <c r="J7154" s="852"/>
      <c r="K7154" s="852"/>
      <c r="L7154" s="852"/>
      <c r="M7154" s="852"/>
    </row>
    <row r="7155" spans="5:13">
      <c r="E7155" s="852"/>
      <c r="F7155" s="852"/>
      <c r="G7155" s="852"/>
      <c r="H7155" s="852"/>
      <c r="I7155" s="852"/>
      <c r="J7155" s="852"/>
      <c r="K7155" s="852"/>
      <c r="L7155" s="852"/>
      <c r="M7155" s="852"/>
    </row>
    <row r="7156" spans="5:13">
      <c r="E7156" s="852"/>
      <c r="F7156" s="852"/>
      <c r="G7156" s="852"/>
      <c r="H7156" s="852"/>
      <c r="I7156" s="852"/>
      <c r="J7156" s="852"/>
      <c r="K7156" s="852"/>
      <c r="L7156" s="852"/>
      <c r="M7156" s="852"/>
    </row>
    <row r="7157" spans="5:13">
      <c r="E7157" s="852"/>
      <c r="F7157" s="852"/>
      <c r="G7157" s="852"/>
      <c r="H7157" s="852"/>
      <c r="I7157" s="852"/>
      <c r="J7157" s="852"/>
      <c r="K7157" s="852"/>
      <c r="L7157" s="852"/>
      <c r="M7157" s="852"/>
    </row>
    <row r="7158" spans="5:13">
      <c r="E7158" s="852"/>
      <c r="F7158" s="852"/>
      <c r="G7158" s="852"/>
      <c r="H7158" s="852"/>
      <c r="I7158" s="852"/>
      <c r="J7158" s="852"/>
      <c r="K7158" s="852"/>
      <c r="L7158" s="852"/>
      <c r="M7158" s="852"/>
    </row>
    <row r="7159" spans="5:13">
      <c r="E7159" s="852"/>
      <c r="F7159" s="852"/>
      <c r="G7159" s="852"/>
      <c r="H7159" s="852"/>
      <c r="I7159" s="852"/>
      <c r="J7159" s="852"/>
      <c r="K7159" s="852"/>
      <c r="L7159" s="852"/>
      <c r="M7159" s="852"/>
    </row>
    <row r="7160" spans="5:13">
      <c r="E7160" s="852"/>
      <c r="F7160" s="852"/>
      <c r="G7160" s="852"/>
      <c r="H7160" s="852"/>
      <c r="I7160" s="852"/>
      <c r="J7160" s="852"/>
      <c r="K7160" s="852"/>
      <c r="L7160" s="852"/>
      <c r="M7160" s="852"/>
    </row>
    <row r="7161" spans="5:13">
      <c r="E7161" s="852"/>
      <c r="F7161" s="852"/>
      <c r="G7161" s="852"/>
      <c r="H7161" s="852"/>
      <c r="I7161" s="852"/>
      <c r="J7161" s="852"/>
      <c r="K7161" s="852"/>
      <c r="L7161" s="852"/>
      <c r="M7161" s="852"/>
    </row>
    <row r="7162" spans="5:13">
      <c r="E7162" s="852"/>
      <c r="F7162" s="852"/>
      <c r="G7162" s="852"/>
      <c r="H7162" s="852"/>
      <c r="I7162" s="852"/>
      <c r="J7162" s="852"/>
      <c r="K7162" s="852"/>
      <c r="L7162" s="852"/>
      <c r="M7162" s="852"/>
    </row>
    <row r="7163" spans="5:13">
      <c r="E7163" s="852"/>
      <c r="F7163" s="852"/>
      <c r="G7163" s="852"/>
      <c r="H7163" s="852"/>
      <c r="I7163" s="852"/>
      <c r="J7163" s="852"/>
      <c r="K7163" s="852"/>
      <c r="L7163" s="852"/>
      <c r="M7163" s="852"/>
    </row>
    <row r="7164" spans="5:13">
      <c r="E7164" s="852"/>
      <c r="F7164" s="852"/>
      <c r="G7164" s="852"/>
      <c r="H7164" s="852"/>
      <c r="I7164" s="852"/>
      <c r="J7164" s="852"/>
      <c r="K7164" s="852"/>
      <c r="L7164" s="852"/>
      <c r="M7164" s="852"/>
    </row>
    <row r="7165" spans="5:13">
      <c r="E7165" s="852"/>
      <c r="F7165" s="852"/>
      <c r="G7165" s="852"/>
      <c r="H7165" s="852"/>
      <c r="I7165" s="852"/>
      <c r="J7165" s="852"/>
      <c r="K7165" s="852"/>
      <c r="L7165" s="852"/>
      <c r="M7165" s="852"/>
    </row>
    <row r="7166" spans="5:13">
      <c r="E7166" s="852"/>
      <c r="F7166" s="852"/>
      <c r="G7166" s="852"/>
      <c r="H7166" s="852"/>
      <c r="I7166" s="852"/>
      <c r="J7166" s="852"/>
      <c r="K7166" s="852"/>
      <c r="L7166" s="852"/>
      <c r="M7166" s="852"/>
    </row>
    <row r="7167" spans="5:13">
      <c r="E7167" s="852"/>
      <c r="F7167" s="852"/>
      <c r="G7167" s="852"/>
      <c r="H7167" s="852"/>
      <c r="I7167" s="852"/>
      <c r="J7167" s="852"/>
      <c r="K7167" s="852"/>
      <c r="L7167" s="852"/>
      <c r="M7167" s="852"/>
    </row>
    <row r="7168" spans="5:13">
      <c r="E7168" s="852"/>
      <c r="F7168" s="852"/>
      <c r="G7168" s="852"/>
      <c r="H7168" s="852"/>
      <c r="I7168" s="852"/>
      <c r="J7168" s="852"/>
      <c r="K7168" s="852"/>
      <c r="L7168" s="852"/>
      <c r="M7168" s="852"/>
    </row>
    <row r="7169" spans="5:13">
      <c r="E7169" s="852"/>
      <c r="F7169" s="852"/>
      <c r="G7169" s="852"/>
      <c r="H7169" s="852"/>
      <c r="I7169" s="852"/>
      <c r="J7169" s="852"/>
      <c r="K7169" s="852"/>
      <c r="L7169" s="852"/>
      <c r="M7169" s="852"/>
    </row>
    <row r="7170" spans="5:13">
      <c r="E7170" s="852"/>
      <c r="F7170" s="852"/>
      <c r="G7170" s="852"/>
      <c r="H7170" s="852"/>
      <c r="I7170" s="852"/>
      <c r="J7170" s="852"/>
      <c r="K7170" s="852"/>
      <c r="L7170" s="852"/>
      <c r="M7170" s="852"/>
    </row>
    <row r="7171" spans="5:13">
      <c r="E7171" s="852"/>
      <c r="F7171" s="852"/>
      <c r="G7171" s="852"/>
      <c r="H7171" s="852"/>
      <c r="I7171" s="852"/>
      <c r="J7171" s="852"/>
      <c r="K7171" s="852"/>
      <c r="L7171" s="852"/>
      <c r="M7171" s="852"/>
    </row>
    <row r="7172" spans="5:13">
      <c r="E7172" s="852"/>
      <c r="F7172" s="852"/>
      <c r="G7172" s="852"/>
      <c r="H7172" s="852"/>
      <c r="I7172" s="852"/>
      <c r="J7172" s="852"/>
      <c r="K7172" s="852"/>
      <c r="L7172" s="852"/>
      <c r="M7172" s="852"/>
    </row>
    <row r="7173" spans="5:13">
      <c r="E7173" s="852"/>
      <c r="F7173" s="852"/>
      <c r="G7173" s="852"/>
      <c r="H7173" s="852"/>
      <c r="I7173" s="852"/>
      <c r="J7173" s="852"/>
      <c r="K7173" s="852"/>
      <c r="L7173" s="852"/>
      <c r="M7173" s="852"/>
    </row>
    <row r="7174" spans="5:13">
      <c r="E7174" s="852"/>
      <c r="F7174" s="852"/>
      <c r="G7174" s="852"/>
      <c r="H7174" s="852"/>
      <c r="I7174" s="852"/>
      <c r="J7174" s="852"/>
      <c r="K7174" s="852"/>
      <c r="L7174" s="852"/>
      <c r="M7174" s="852"/>
    </row>
    <row r="7175" spans="5:13">
      <c r="E7175" s="852"/>
      <c r="F7175" s="852"/>
      <c r="G7175" s="852"/>
      <c r="H7175" s="852"/>
      <c r="I7175" s="852"/>
      <c r="J7175" s="852"/>
      <c r="K7175" s="852"/>
      <c r="L7175" s="852"/>
      <c r="M7175" s="852"/>
    </row>
    <row r="7176" spans="5:13">
      <c r="E7176" s="852"/>
      <c r="F7176" s="852"/>
      <c r="G7176" s="852"/>
      <c r="H7176" s="852"/>
      <c r="I7176" s="852"/>
      <c r="J7176" s="852"/>
      <c r="K7176" s="852"/>
      <c r="L7176" s="852"/>
      <c r="M7176" s="852"/>
    </row>
    <row r="7177" spans="5:13">
      <c r="E7177" s="852"/>
      <c r="F7177" s="852"/>
      <c r="G7177" s="852"/>
      <c r="H7177" s="852"/>
      <c r="I7177" s="852"/>
      <c r="J7177" s="852"/>
      <c r="K7177" s="852"/>
      <c r="L7177" s="852"/>
      <c r="M7177" s="852"/>
    </row>
    <row r="7178" spans="5:13">
      <c r="E7178" s="852"/>
      <c r="F7178" s="852"/>
      <c r="G7178" s="852"/>
      <c r="H7178" s="852"/>
      <c r="I7178" s="852"/>
      <c r="J7178" s="852"/>
      <c r="K7178" s="852"/>
      <c r="L7178" s="852"/>
      <c r="M7178" s="852"/>
    </row>
    <row r="7179" spans="5:13">
      <c r="E7179" s="852"/>
      <c r="F7179" s="852"/>
      <c r="G7179" s="852"/>
      <c r="H7179" s="852"/>
      <c r="I7179" s="852"/>
      <c r="J7179" s="852"/>
      <c r="K7179" s="852"/>
      <c r="L7179" s="852"/>
      <c r="M7179" s="852"/>
    </row>
    <row r="7180" spans="5:13">
      <c r="E7180" s="852"/>
      <c r="F7180" s="852"/>
      <c r="G7180" s="852"/>
      <c r="H7180" s="852"/>
      <c r="I7180" s="852"/>
      <c r="J7180" s="852"/>
      <c r="K7180" s="852"/>
      <c r="L7180" s="852"/>
      <c r="M7180" s="852"/>
    </row>
    <row r="7181" spans="5:13">
      <c r="E7181" s="852"/>
      <c r="F7181" s="852"/>
      <c r="G7181" s="852"/>
      <c r="H7181" s="852"/>
      <c r="I7181" s="852"/>
      <c r="J7181" s="852"/>
      <c r="K7181" s="852"/>
      <c r="L7181" s="852"/>
      <c r="M7181" s="852"/>
    </row>
    <row r="7182" spans="5:13">
      <c r="E7182" s="852"/>
      <c r="F7182" s="852"/>
      <c r="G7182" s="852"/>
      <c r="H7182" s="852"/>
      <c r="I7182" s="852"/>
      <c r="J7182" s="852"/>
      <c r="K7182" s="852"/>
      <c r="L7182" s="852"/>
      <c r="M7182" s="852"/>
    </row>
    <row r="7183" spans="5:13">
      <c r="E7183" s="852"/>
      <c r="F7183" s="852"/>
      <c r="G7183" s="852"/>
      <c r="H7183" s="852"/>
      <c r="I7183" s="852"/>
      <c r="J7183" s="852"/>
      <c r="K7183" s="852"/>
      <c r="L7183" s="852"/>
      <c r="M7183" s="852"/>
    </row>
    <row r="7184" spans="5:13">
      <c r="E7184" s="852"/>
      <c r="F7184" s="852"/>
      <c r="G7184" s="852"/>
      <c r="H7184" s="852"/>
      <c r="I7184" s="852"/>
      <c r="J7184" s="852"/>
      <c r="K7184" s="852"/>
      <c r="L7184" s="852"/>
      <c r="M7184" s="852"/>
    </row>
    <row r="7185" spans="5:13">
      <c r="E7185" s="852"/>
      <c r="F7185" s="852"/>
      <c r="G7185" s="852"/>
      <c r="H7185" s="852"/>
      <c r="I7185" s="852"/>
      <c r="J7185" s="852"/>
      <c r="K7185" s="852"/>
      <c r="L7185" s="852"/>
      <c r="M7185" s="852"/>
    </row>
    <row r="7186" spans="5:13">
      <c r="E7186" s="852"/>
      <c r="F7186" s="852"/>
      <c r="G7186" s="852"/>
      <c r="H7186" s="852"/>
      <c r="I7186" s="852"/>
      <c r="J7186" s="852"/>
      <c r="K7186" s="852"/>
      <c r="L7186" s="852"/>
      <c r="M7186" s="852"/>
    </row>
    <row r="7187" spans="5:13">
      <c r="E7187" s="852"/>
      <c r="F7187" s="852"/>
      <c r="G7187" s="852"/>
      <c r="H7187" s="852"/>
      <c r="I7187" s="852"/>
      <c r="J7187" s="852"/>
      <c r="K7187" s="852"/>
      <c r="L7187" s="852"/>
      <c r="M7187" s="852"/>
    </row>
    <row r="7188" spans="5:13">
      <c r="E7188" s="852"/>
      <c r="F7188" s="852"/>
      <c r="G7188" s="852"/>
      <c r="H7188" s="852"/>
      <c r="I7188" s="852"/>
      <c r="J7188" s="852"/>
      <c r="K7188" s="852"/>
      <c r="L7188" s="852"/>
      <c r="M7188" s="852"/>
    </row>
    <row r="7189" spans="5:13">
      <c r="E7189" s="852"/>
      <c r="F7189" s="852"/>
      <c r="G7189" s="852"/>
      <c r="H7189" s="852"/>
      <c r="I7189" s="852"/>
      <c r="J7189" s="852"/>
      <c r="K7189" s="852"/>
      <c r="L7189" s="852"/>
      <c r="M7189" s="852"/>
    </row>
    <row r="7190" spans="5:13">
      <c r="E7190" s="852"/>
      <c r="F7190" s="852"/>
      <c r="G7190" s="852"/>
      <c r="H7190" s="852"/>
      <c r="I7190" s="852"/>
      <c r="J7190" s="852"/>
      <c r="K7190" s="852"/>
      <c r="L7190" s="852"/>
      <c r="M7190" s="852"/>
    </row>
    <row r="7191" spans="5:13">
      <c r="E7191" s="852"/>
      <c r="F7191" s="852"/>
      <c r="G7191" s="852"/>
      <c r="H7191" s="852"/>
      <c r="I7191" s="852"/>
      <c r="J7191" s="852"/>
      <c r="K7191" s="852"/>
      <c r="L7191" s="852"/>
      <c r="M7191" s="852"/>
    </row>
    <row r="7192" spans="5:13">
      <c r="E7192" s="852"/>
      <c r="F7192" s="852"/>
      <c r="G7192" s="852"/>
      <c r="H7192" s="852"/>
      <c r="I7192" s="852"/>
      <c r="J7192" s="852"/>
      <c r="K7192" s="852"/>
      <c r="L7192" s="852"/>
      <c r="M7192" s="852"/>
    </row>
    <row r="7193" spans="5:13">
      <c r="E7193" s="852"/>
      <c r="F7193" s="852"/>
      <c r="G7193" s="852"/>
      <c r="H7193" s="852"/>
      <c r="I7193" s="852"/>
      <c r="J7193" s="852"/>
      <c r="K7193" s="852"/>
      <c r="L7193" s="852"/>
      <c r="M7193" s="852"/>
    </row>
    <row r="7194" spans="5:13">
      <c r="E7194" s="852"/>
      <c r="F7194" s="852"/>
      <c r="G7194" s="852"/>
      <c r="H7194" s="852"/>
      <c r="I7194" s="852"/>
      <c r="J7194" s="852"/>
      <c r="K7194" s="852"/>
      <c r="L7194" s="852"/>
      <c r="M7194" s="852"/>
    </row>
    <row r="7195" spans="5:13">
      <c r="E7195" s="852"/>
      <c r="F7195" s="852"/>
      <c r="G7195" s="852"/>
      <c r="H7195" s="852"/>
      <c r="I7195" s="852"/>
      <c r="J7195" s="852"/>
      <c r="K7195" s="852"/>
      <c r="L7195" s="852"/>
      <c r="M7195" s="852"/>
    </row>
    <row r="7196" spans="5:13">
      <c r="E7196" s="852"/>
      <c r="F7196" s="852"/>
      <c r="G7196" s="852"/>
      <c r="H7196" s="852"/>
      <c r="I7196" s="852"/>
      <c r="J7196" s="852"/>
      <c r="K7196" s="852"/>
      <c r="L7196" s="852"/>
      <c r="M7196" s="852"/>
    </row>
    <row r="7197" spans="5:13">
      <c r="E7197" s="852"/>
      <c r="F7197" s="852"/>
      <c r="G7197" s="852"/>
      <c r="H7197" s="852"/>
      <c r="I7197" s="852"/>
      <c r="J7197" s="852"/>
      <c r="K7197" s="852"/>
      <c r="L7197" s="852"/>
      <c r="M7197" s="852"/>
    </row>
    <row r="7198" spans="5:13">
      <c r="E7198" s="852"/>
      <c r="F7198" s="852"/>
      <c r="G7198" s="852"/>
      <c r="H7198" s="852"/>
      <c r="I7198" s="852"/>
      <c r="J7198" s="852"/>
      <c r="K7198" s="852"/>
      <c r="L7198" s="852"/>
      <c r="M7198" s="852"/>
    </row>
    <row r="7199" spans="5:13">
      <c r="E7199" s="852"/>
      <c r="F7199" s="852"/>
      <c r="G7199" s="852"/>
      <c r="H7199" s="852"/>
      <c r="I7199" s="852"/>
      <c r="J7199" s="852"/>
      <c r="K7199" s="852"/>
      <c r="L7199" s="852"/>
      <c r="M7199" s="852"/>
    </row>
    <row r="7200" spans="5:13">
      <c r="E7200" s="852"/>
      <c r="F7200" s="852"/>
      <c r="G7200" s="852"/>
      <c r="H7200" s="852"/>
      <c r="I7200" s="852"/>
      <c r="J7200" s="852"/>
      <c r="K7200" s="852"/>
      <c r="L7200" s="852"/>
      <c r="M7200" s="852"/>
    </row>
    <row r="7201" spans="5:13">
      <c r="E7201" s="852"/>
      <c r="F7201" s="852"/>
      <c r="G7201" s="852"/>
      <c r="H7201" s="852"/>
      <c r="I7201" s="852"/>
      <c r="J7201" s="852"/>
      <c r="K7201" s="852"/>
      <c r="L7201" s="852"/>
      <c r="M7201" s="852"/>
    </row>
    <row r="7202" spans="5:13">
      <c r="E7202" s="852"/>
      <c r="F7202" s="852"/>
      <c r="G7202" s="852"/>
      <c r="H7202" s="852"/>
      <c r="I7202" s="852"/>
      <c r="J7202" s="852"/>
      <c r="K7202" s="852"/>
      <c r="L7202" s="852"/>
      <c r="M7202" s="852"/>
    </row>
    <row r="7203" spans="5:13">
      <c r="E7203" s="852"/>
      <c r="F7203" s="852"/>
      <c r="G7203" s="852"/>
      <c r="H7203" s="852"/>
      <c r="I7203" s="852"/>
      <c r="J7203" s="852"/>
      <c r="K7203" s="852"/>
      <c r="L7203" s="852"/>
      <c r="M7203" s="852"/>
    </row>
    <row r="7204" spans="5:13">
      <c r="E7204" s="852"/>
      <c r="F7204" s="852"/>
      <c r="G7204" s="852"/>
      <c r="H7204" s="852"/>
      <c r="I7204" s="852"/>
      <c r="J7204" s="852"/>
      <c r="K7204" s="852"/>
      <c r="L7204" s="852"/>
      <c r="M7204" s="852"/>
    </row>
    <row r="7205" spans="5:13">
      <c r="E7205" s="852"/>
      <c r="F7205" s="852"/>
      <c r="G7205" s="852"/>
      <c r="H7205" s="852"/>
      <c r="I7205" s="852"/>
      <c r="J7205" s="852"/>
      <c r="K7205" s="852"/>
      <c r="L7205" s="852"/>
      <c r="M7205" s="852"/>
    </row>
    <row r="7206" spans="5:13">
      <c r="E7206" s="852"/>
      <c r="F7206" s="852"/>
      <c r="G7206" s="852"/>
      <c r="H7206" s="852"/>
      <c r="I7206" s="852"/>
      <c r="J7206" s="852"/>
      <c r="K7206" s="852"/>
      <c r="L7206" s="852"/>
      <c r="M7206" s="852"/>
    </row>
    <row r="7207" spans="5:13">
      <c r="E7207" s="852"/>
      <c r="F7207" s="852"/>
      <c r="G7207" s="852"/>
      <c r="H7207" s="852"/>
      <c r="I7207" s="852"/>
      <c r="J7207" s="852"/>
      <c r="K7207" s="852"/>
      <c r="L7207" s="852"/>
      <c r="M7207" s="852"/>
    </row>
    <row r="7208" spans="5:13">
      <c r="E7208" s="852"/>
      <c r="F7208" s="852"/>
      <c r="G7208" s="852"/>
      <c r="H7208" s="852"/>
      <c r="I7208" s="852"/>
      <c r="J7208" s="852"/>
      <c r="K7208" s="852"/>
      <c r="L7208" s="852"/>
      <c r="M7208" s="852"/>
    </row>
    <row r="7209" spans="5:13">
      <c r="E7209" s="852"/>
      <c r="F7209" s="852"/>
      <c r="G7209" s="852"/>
      <c r="H7209" s="852"/>
      <c r="I7209" s="852"/>
      <c r="J7209" s="852"/>
      <c r="K7209" s="852"/>
      <c r="L7209" s="852"/>
      <c r="M7209" s="852"/>
    </row>
    <row r="7210" spans="5:13">
      <c r="E7210" s="852"/>
      <c r="F7210" s="852"/>
      <c r="G7210" s="852"/>
      <c r="H7210" s="852"/>
      <c r="I7210" s="852"/>
      <c r="J7210" s="852"/>
      <c r="K7210" s="852"/>
      <c r="L7210" s="852"/>
      <c r="M7210" s="852"/>
    </row>
    <row r="7211" spans="5:13">
      <c r="E7211" s="852"/>
      <c r="F7211" s="852"/>
      <c r="G7211" s="852"/>
      <c r="H7211" s="852"/>
      <c r="I7211" s="852"/>
      <c r="J7211" s="852"/>
      <c r="K7211" s="852"/>
      <c r="L7211" s="852"/>
      <c r="M7211" s="852"/>
    </row>
    <row r="7212" spans="5:13">
      <c r="E7212" s="852"/>
      <c r="F7212" s="852"/>
      <c r="G7212" s="852"/>
      <c r="H7212" s="852"/>
      <c r="I7212" s="852"/>
      <c r="J7212" s="852"/>
      <c r="K7212" s="852"/>
      <c r="L7212" s="852"/>
      <c r="M7212" s="852"/>
    </row>
    <row r="7213" spans="5:13">
      <c r="E7213" s="852"/>
      <c r="F7213" s="852"/>
      <c r="G7213" s="852"/>
      <c r="H7213" s="852"/>
      <c r="I7213" s="852"/>
      <c r="J7213" s="852"/>
      <c r="K7213" s="852"/>
      <c r="L7213" s="852"/>
      <c r="M7213" s="852"/>
    </row>
    <row r="7214" spans="5:13">
      <c r="E7214" s="852"/>
      <c r="F7214" s="852"/>
      <c r="G7214" s="852"/>
      <c r="H7214" s="852"/>
      <c r="I7214" s="852"/>
      <c r="J7214" s="852"/>
      <c r="K7214" s="852"/>
      <c r="L7214" s="852"/>
      <c r="M7214" s="852"/>
    </row>
    <row r="7215" spans="5:13">
      <c r="E7215" s="852"/>
      <c r="F7215" s="852"/>
      <c r="G7215" s="852"/>
      <c r="H7215" s="852"/>
      <c r="I7215" s="852"/>
      <c r="J7215" s="852"/>
      <c r="K7215" s="852"/>
      <c r="L7215" s="852"/>
      <c r="M7215" s="852"/>
    </row>
    <row r="7216" spans="5:13">
      <c r="E7216" s="852"/>
      <c r="F7216" s="852"/>
      <c r="G7216" s="852"/>
      <c r="H7216" s="852"/>
      <c r="I7216" s="852"/>
      <c r="J7216" s="852"/>
      <c r="K7216" s="852"/>
      <c r="L7216" s="852"/>
      <c r="M7216" s="852"/>
    </row>
    <row r="7217" spans="5:13">
      <c r="E7217" s="852"/>
      <c r="F7217" s="852"/>
      <c r="G7217" s="852"/>
      <c r="H7217" s="852"/>
      <c r="I7217" s="852"/>
      <c r="J7217" s="852"/>
      <c r="K7217" s="852"/>
      <c r="L7217" s="852"/>
      <c r="M7217" s="852"/>
    </row>
    <row r="7218" spans="5:13">
      <c r="E7218" s="852"/>
      <c r="F7218" s="852"/>
      <c r="G7218" s="852"/>
      <c r="H7218" s="852"/>
      <c r="I7218" s="852"/>
      <c r="J7218" s="852"/>
      <c r="K7218" s="852"/>
      <c r="L7218" s="852"/>
      <c r="M7218" s="852"/>
    </row>
    <row r="7219" spans="5:13">
      <c r="E7219" s="852"/>
      <c r="F7219" s="852"/>
      <c r="G7219" s="852"/>
      <c r="H7219" s="852"/>
      <c r="I7219" s="852"/>
      <c r="J7219" s="852"/>
      <c r="K7219" s="852"/>
      <c r="L7219" s="852"/>
      <c r="M7219" s="852"/>
    </row>
    <row r="7220" spans="5:13">
      <c r="E7220" s="852"/>
      <c r="F7220" s="852"/>
      <c r="G7220" s="852"/>
      <c r="H7220" s="852"/>
      <c r="I7220" s="852"/>
      <c r="J7220" s="852"/>
      <c r="K7220" s="852"/>
      <c r="L7220" s="852"/>
      <c r="M7220" s="852"/>
    </row>
    <row r="7221" spans="5:13">
      <c r="E7221" s="852"/>
      <c r="F7221" s="852"/>
      <c r="G7221" s="852"/>
      <c r="H7221" s="852"/>
      <c r="I7221" s="852"/>
      <c r="J7221" s="852"/>
      <c r="K7221" s="852"/>
      <c r="L7221" s="852"/>
      <c r="M7221" s="852"/>
    </row>
    <row r="7222" spans="5:13">
      <c r="E7222" s="852"/>
      <c r="F7222" s="852"/>
      <c r="G7222" s="852"/>
      <c r="H7222" s="852"/>
      <c r="I7222" s="852"/>
      <c r="J7222" s="852"/>
      <c r="K7222" s="852"/>
      <c r="L7222" s="852"/>
      <c r="M7222" s="852"/>
    </row>
    <row r="7223" spans="5:13">
      <c r="E7223" s="852"/>
      <c r="F7223" s="852"/>
      <c r="G7223" s="852"/>
      <c r="H7223" s="852"/>
      <c r="I7223" s="852"/>
      <c r="J7223" s="852"/>
      <c r="K7223" s="852"/>
      <c r="L7223" s="852"/>
      <c r="M7223" s="852"/>
    </row>
    <row r="7224" spans="5:13">
      <c r="E7224" s="852"/>
      <c r="F7224" s="852"/>
      <c r="G7224" s="852"/>
      <c r="H7224" s="852"/>
      <c r="I7224" s="852"/>
      <c r="J7224" s="852"/>
      <c r="K7224" s="852"/>
      <c r="L7224" s="852"/>
      <c r="M7224" s="852"/>
    </row>
    <row r="7225" spans="5:13">
      <c r="E7225" s="852"/>
      <c r="F7225" s="852"/>
      <c r="G7225" s="852"/>
      <c r="H7225" s="852"/>
      <c r="I7225" s="852"/>
      <c r="J7225" s="852"/>
      <c r="K7225" s="852"/>
      <c r="L7225" s="852"/>
      <c r="M7225" s="852"/>
    </row>
    <row r="7226" spans="5:13">
      <c r="E7226" s="852"/>
      <c r="F7226" s="852"/>
      <c r="G7226" s="852"/>
      <c r="H7226" s="852"/>
      <c r="I7226" s="852"/>
      <c r="J7226" s="852"/>
      <c r="K7226" s="852"/>
      <c r="L7226" s="852"/>
      <c r="M7226" s="852"/>
    </row>
    <row r="7227" spans="5:13">
      <c r="E7227" s="852"/>
      <c r="F7227" s="852"/>
      <c r="G7227" s="852"/>
      <c r="H7227" s="852"/>
      <c r="I7227" s="852"/>
      <c r="J7227" s="852"/>
      <c r="K7227" s="852"/>
      <c r="L7227" s="852"/>
      <c r="M7227" s="852"/>
    </row>
    <row r="7228" spans="5:13">
      <c r="E7228" s="852"/>
      <c r="F7228" s="852"/>
      <c r="G7228" s="852"/>
      <c r="H7228" s="852"/>
      <c r="I7228" s="852"/>
      <c r="J7228" s="852"/>
      <c r="K7228" s="852"/>
      <c r="L7228" s="852"/>
      <c r="M7228" s="852"/>
    </row>
    <row r="7229" spans="5:13">
      <c r="E7229" s="852"/>
      <c r="F7229" s="852"/>
      <c r="G7229" s="852"/>
      <c r="H7229" s="852"/>
      <c r="I7229" s="852"/>
      <c r="J7229" s="852"/>
      <c r="K7229" s="852"/>
      <c r="L7229" s="852"/>
      <c r="M7229" s="852"/>
    </row>
    <row r="7230" spans="5:13">
      <c r="E7230" s="852"/>
      <c r="F7230" s="852"/>
      <c r="G7230" s="852"/>
      <c r="H7230" s="852"/>
      <c r="I7230" s="852"/>
      <c r="J7230" s="852"/>
      <c r="K7230" s="852"/>
      <c r="L7230" s="852"/>
      <c r="M7230" s="852"/>
    </row>
    <row r="7231" spans="5:13">
      <c r="E7231" s="852"/>
      <c r="F7231" s="852"/>
      <c r="G7231" s="852"/>
      <c r="H7231" s="852"/>
      <c r="I7231" s="852"/>
      <c r="J7231" s="852"/>
      <c r="K7231" s="852"/>
      <c r="L7231" s="852"/>
      <c r="M7231" s="852"/>
    </row>
    <row r="7232" spans="5:13">
      <c r="E7232" s="852"/>
      <c r="F7232" s="852"/>
      <c r="G7232" s="852"/>
      <c r="H7232" s="852"/>
      <c r="I7232" s="852"/>
      <c r="J7232" s="852"/>
      <c r="K7232" s="852"/>
      <c r="L7232" s="852"/>
      <c r="M7232" s="852"/>
    </row>
    <row r="7233" spans="5:13">
      <c r="E7233" s="852"/>
      <c r="F7233" s="852"/>
      <c r="G7233" s="852"/>
      <c r="H7233" s="852"/>
      <c r="I7233" s="852"/>
      <c r="J7233" s="852"/>
      <c r="K7233" s="852"/>
      <c r="L7233" s="852"/>
      <c r="M7233" s="852"/>
    </row>
    <row r="7234" spans="5:13">
      <c r="E7234" s="852"/>
      <c r="F7234" s="852"/>
      <c r="G7234" s="852"/>
      <c r="H7234" s="852"/>
      <c r="I7234" s="852"/>
      <c r="J7234" s="852"/>
      <c r="K7234" s="852"/>
      <c r="L7234" s="852"/>
      <c r="M7234" s="852"/>
    </row>
    <row r="7235" spans="5:13">
      <c r="E7235" s="852"/>
      <c r="F7235" s="852"/>
      <c r="G7235" s="852"/>
      <c r="H7235" s="852"/>
      <c r="I7235" s="852"/>
      <c r="J7235" s="852"/>
      <c r="K7235" s="852"/>
      <c r="L7235" s="852"/>
      <c r="M7235" s="852"/>
    </row>
    <row r="7236" spans="5:13">
      <c r="E7236" s="852"/>
      <c r="F7236" s="852"/>
      <c r="G7236" s="852"/>
      <c r="H7236" s="852"/>
      <c r="I7236" s="852"/>
      <c r="J7236" s="852"/>
      <c r="K7236" s="852"/>
      <c r="L7236" s="852"/>
      <c r="M7236" s="852"/>
    </row>
    <row r="7237" spans="5:13">
      <c r="E7237" s="852"/>
      <c r="F7237" s="852"/>
      <c r="G7237" s="852"/>
      <c r="H7237" s="852"/>
      <c r="I7237" s="852"/>
      <c r="J7237" s="852"/>
      <c r="K7237" s="852"/>
      <c r="L7237" s="852"/>
      <c r="M7237" s="852"/>
    </row>
    <row r="7238" spans="5:13">
      <c r="E7238" s="852"/>
      <c r="F7238" s="852"/>
      <c r="G7238" s="852"/>
      <c r="H7238" s="852"/>
      <c r="I7238" s="852"/>
      <c r="J7238" s="852"/>
      <c r="K7238" s="852"/>
      <c r="L7238" s="852"/>
      <c r="M7238" s="852"/>
    </row>
    <row r="7239" spans="5:13">
      <c r="E7239" s="852"/>
      <c r="F7239" s="852"/>
      <c r="G7239" s="852"/>
      <c r="H7239" s="852"/>
      <c r="I7239" s="852"/>
      <c r="J7239" s="852"/>
      <c r="K7239" s="852"/>
      <c r="L7239" s="852"/>
      <c r="M7239" s="852"/>
    </row>
    <row r="7240" spans="5:13">
      <c r="E7240" s="852"/>
      <c r="F7240" s="852"/>
      <c r="G7240" s="852"/>
      <c r="H7240" s="852"/>
      <c r="I7240" s="852"/>
      <c r="J7240" s="852"/>
      <c r="K7240" s="852"/>
      <c r="L7240" s="852"/>
      <c r="M7240" s="852"/>
    </row>
    <row r="7241" spans="5:13">
      <c r="E7241" s="852"/>
      <c r="F7241" s="852"/>
      <c r="G7241" s="852"/>
      <c r="H7241" s="852"/>
      <c r="I7241" s="852"/>
      <c r="J7241" s="852"/>
      <c r="K7241" s="852"/>
      <c r="L7241" s="852"/>
      <c r="M7241" s="852"/>
    </row>
    <row r="7242" spans="5:13">
      <c r="E7242" s="852"/>
      <c r="F7242" s="852"/>
      <c r="G7242" s="852"/>
      <c r="H7242" s="852"/>
      <c r="I7242" s="852"/>
      <c r="J7242" s="852"/>
      <c r="K7242" s="852"/>
      <c r="L7242" s="852"/>
      <c r="M7242" s="852"/>
    </row>
    <row r="7243" spans="5:13">
      <c r="E7243" s="852"/>
      <c r="F7243" s="852"/>
      <c r="G7243" s="852"/>
      <c r="H7243" s="852"/>
      <c r="I7243" s="852"/>
      <c r="J7243" s="852"/>
      <c r="K7243" s="852"/>
      <c r="L7243" s="852"/>
      <c r="M7243" s="852"/>
    </row>
    <row r="7244" spans="5:13">
      <c r="E7244" s="852"/>
      <c r="F7244" s="852"/>
      <c r="G7244" s="852"/>
      <c r="H7244" s="852"/>
      <c r="I7244" s="852"/>
      <c r="J7244" s="852"/>
      <c r="K7244" s="852"/>
      <c r="L7244" s="852"/>
      <c r="M7244" s="852"/>
    </row>
    <row r="7245" spans="5:13">
      <c r="E7245" s="852"/>
      <c r="F7245" s="852"/>
      <c r="G7245" s="852"/>
      <c r="H7245" s="852"/>
      <c r="I7245" s="852"/>
      <c r="J7245" s="852"/>
      <c r="K7245" s="852"/>
      <c r="L7245" s="852"/>
      <c r="M7245" s="852"/>
    </row>
    <row r="7246" spans="5:13">
      <c r="E7246" s="852"/>
      <c r="F7246" s="852"/>
      <c r="G7246" s="852"/>
      <c r="H7246" s="852"/>
      <c r="I7246" s="852"/>
      <c r="J7246" s="852"/>
      <c r="K7246" s="852"/>
      <c r="L7246" s="852"/>
      <c r="M7246" s="852"/>
    </row>
    <row r="7247" spans="5:13">
      <c r="E7247" s="852"/>
      <c r="F7247" s="852"/>
      <c r="G7247" s="852"/>
      <c r="H7247" s="852"/>
      <c r="I7247" s="852"/>
      <c r="J7247" s="852"/>
      <c r="K7247" s="852"/>
      <c r="L7247" s="852"/>
      <c r="M7247" s="852"/>
    </row>
    <row r="7248" spans="5:13">
      <c r="E7248" s="852"/>
      <c r="F7248" s="852"/>
      <c r="G7248" s="852"/>
      <c r="H7248" s="852"/>
      <c r="I7248" s="852"/>
      <c r="J7248" s="852"/>
      <c r="K7248" s="852"/>
      <c r="L7248" s="852"/>
      <c r="M7248" s="852"/>
    </row>
    <row r="7249" spans="5:13">
      <c r="E7249" s="852"/>
      <c r="F7249" s="852"/>
      <c r="G7249" s="852"/>
      <c r="H7249" s="852"/>
      <c r="I7249" s="852"/>
      <c r="J7249" s="852"/>
      <c r="K7249" s="852"/>
      <c r="L7249" s="852"/>
      <c r="M7249" s="852"/>
    </row>
    <row r="7250" spans="5:13">
      <c r="E7250" s="852"/>
      <c r="F7250" s="852"/>
      <c r="G7250" s="852"/>
      <c r="H7250" s="852"/>
      <c r="I7250" s="852"/>
      <c r="J7250" s="852"/>
      <c r="K7250" s="852"/>
      <c r="L7250" s="852"/>
      <c r="M7250" s="852"/>
    </row>
    <row r="7251" spans="5:13">
      <c r="E7251" s="852"/>
      <c r="F7251" s="852"/>
      <c r="G7251" s="852"/>
      <c r="H7251" s="852"/>
      <c r="I7251" s="852"/>
      <c r="J7251" s="852"/>
      <c r="K7251" s="852"/>
      <c r="L7251" s="852"/>
      <c r="M7251" s="852"/>
    </row>
    <row r="7252" spans="5:13">
      <c r="E7252" s="852"/>
      <c r="F7252" s="852"/>
      <c r="G7252" s="852"/>
      <c r="H7252" s="852"/>
      <c r="I7252" s="852"/>
      <c r="J7252" s="852"/>
      <c r="K7252" s="852"/>
      <c r="L7252" s="852"/>
      <c r="M7252" s="852"/>
    </row>
    <row r="7253" spans="5:13">
      <c r="E7253" s="852"/>
      <c r="F7253" s="852"/>
      <c r="G7253" s="852"/>
      <c r="H7253" s="852"/>
      <c r="I7253" s="852"/>
      <c r="J7253" s="852"/>
      <c r="K7253" s="852"/>
      <c r="L7253" s="852"/>
      <c r="M7253" s="852"/>
    </row>
    <row r="7254" spans="5:13">
      <c r="E7254" s="852"/>
      <c r="F7254" s="852"/>
      <c r="G7254" s="852"/>
      <c r="H7254" s="852"/>
      <c r="I7254" s="852"/>
      <c r="J7254" s="852"/>
      <c r="K7254" s="852"/>
      <c r="L7254" s="852"/>
      <c r="M7254" s="852"/>
    </row>
    <row r="7255" spans="5:13">
      <c r="E7255" s="852"/>
      <c r="F7255" s="852"/>
      <c r="G7255" s="852"/>
      <c r="H7255" s="852"/>
      <c r="I7255" s="852"/>
      <c r="J7255" s="852"/>
      <c r="K7255" s="852"/>
      <c r="L7255" s="852"/>
      <c r="M7255" s="852"/>
    </row>
    <row r="7256" spans="5:13">
      <c r="E7256" s="852"/>
      <c r="F7256" s="852"/>
      <c r="G7256" s="852"/>
      <c r="H7256" s="852"/>
      <c r="I7256" s="852"/>
      <c r="J7256" s="852"/>
      <c r="K7256" s="852"/>
      <c r="L7256" s="852"/>
      <c r="M7256" s="852"/>
    </row>
    <row r="7257" spans="5:13">
      <c r="E7257" s="852"/>
      <c r="F7257" s="852"/>
      <c r="G7257" s="852"/>
      <c r="H7257" s="852"/>
      <c r="I7257" s="852"/>
      <c r="J7257" s="852"/>
      <c r="K7257" s="852"/>
      <c r="L7257" s="852"/>
      <c r="M7257" s="852"/>
    </row>
    <row r="7258" spans="5:13">
      <c r="E7258" s="852"/>
      <c r="F7258" s="852"/>
      <c r="G7258" s="852"/>
      <c r="H7258" s="852"/>
      <c r="I7258" s="852"/>
      <c r="J7258" s="852"/>
      <c r="K7258" s="852"/>
      <c r="L7258" s="852"/>
      <c r="M7258" s="852"/>
    </row>
    <row r="7259" spans="5:13">
      <c r="E7259" s="852"/>
      <c r="F7259" s="852"/>
      <c r="G7259" s="852"/>
      <c r="H7259" s="852"/>
      <c r="I7259" s="852"/>
      <c r="J7259" s="852"/>
      <c r="K7259" s="852"/>
      <c r="L7259" s="852"/>
      <c r="M7259" s="852"/>
    </row>
    <row r="7260" spans="5:13">
      <c r="E7260" s="852"/>
      <c r="F7260" s="852"/>
      <c r="G7260" s="852"/>
      <c r="H7260" s="852"/>
      <c r="I7260" s="852"/>
      <c r="J7260" s="852"/>
      <c r="K7260" s="852"/>
      <c r="L7260" s="852"/>
      <c r="M7260" s="852"/>
    </row>
    <row r="7261" spans="5:13">
      <c r="E7261" s="852"/>
      <c r="F7261" s="852"/>
      <c r="G7261" s="852"/>
      <c r="H7261" s="852"/>
      <c r="I7261" s="852"/>
      <c r="J7261" s="852"/>
      <c r="K7261" s="852"/>
      <c r="L7261" s="852"/>
      <c r="M7261" s="852"/>
    </row>
    <row r="7262" spans="5:13">
      <c r="E7262" s="852"/>
      <c r="F7262" s="852"/>
      <c r="G7262" s="852"/>
      <c r="H7262" s="852"/>
      <c r="I7262" s="852"/>
      <c r="J7262" s="852"/>
      <c r="K7262" s="852"/>
      <c r="L7262" s="852"/>
      <c r="M7262" s="852"/>
    </row>
    <row r="7263" spans="5:13">
      <c r="E7263" s="852"/>
      <c r="F7263" s="852"/>
      <c r="G7263" s="852"/>
      <c r="H7263" s="852"/>
      <c r="I7263" s="852"/>
      <c r="J7263" s="852"/>
      <c r="K7263" s="852"/>
      <c r="L7263" s="852"/>
      <c r="M7263" s="852"/>
    </row>
    <row r="7264" spans="5:13">
      <c r="E7264" s="852"/>
      <c r="F7264" s="852"/>
      <c r="G7264" s="852"/>
      <c r="H7264" s="852"/>
      <c r="I7264" s="852"/>
      <c r="J7264" s="852"/>
      <c r="K7264" s="852"/>
      <c r="L7264" s="852"/>
      <c r="M7264" s="852"/>
    </row>
    <row r="7265" spans="5:13">
      <c r="E7265" s="852"/>
      <c r="F7265" s="852"/>
      <c r="G7265" s="852"/>
      <c r="H7265" s="852"/>
      <c r="I7265" s="852"/>
      <c r="J7265" s="852"/>
      <c r="K7265" s="852"/>
      <c r="L7265" s="852"/>
      <c r="M7265" s="852"/>
    </row>
    <row r="7266" spans="5:13">
      <c r="E7266" s="852"/>
      <c r="F7266" s="852"/>
      <c r="G7266" s="852"/>
      <c r="H7266" s="852"/>
      <c r="I7266" s="852"/>
      <c r="J7266" s="852"/>
      <c r="K7266" s="852"/>
      <c r="L7266" s="852"/>
      <c r="M7266" s="852"/>
    </row>
    <row r="7267" spans="5:13">
      <c r="E7267" s="852"/>
      <c r="F7267" s="852"/>
      <c r="G7267" s="852"/>
      <c r="H7267" s="852"/>
      <c r="I7267" s="852"/>
      <c r="J7267" s="852"/>
      <c r="K7267" s="852"/>
      <c r="L7267" s="852"/>
      <c r="M7267" s="852"/>
    </row>
    <row r="7268" spans="5:13">
      <c r="E7268" s="852"/>
      <c r="F7268" s="852"/>
      <c r="G7268" s="852"/>
      <c r="H7268" s="852"/>
      <c r="I7268" s="852"/>
      <c r="J7268" s="852"/>
      <c r="K7268" s="852"/>
      <c r="L7268" s="852"/>
      <c r="M7268" s="852"/>
    </row>
    <row r="7269" spans="5:13">
      <c r="E7269" s="852"/>
      <c r="F7269" s="852"/>
      <c r="G7269" s="852"/>
      <c r="H7269" s="852"/>
      <c r="I7269" s="852"/>
      <c r="J7269" s="852"/>
      <c r="K7269" s="852"/>
      <c r="L7269" s="852"/>
      <c r="M7269" s="852"/>
    </row>
    <row r="7270" spans="5:13">
      <c r="E7270" s="852"/>
      <c r="F7270" s="852"/>
      <c r="G7270" s="852"/>
      <c r="H7270" s="852"/>
      <c r="I7270" s="852"/>
      <c r="J7270" s="852"/>
      <c r="K7270" s="852"/>
      <c r="L7270" s="852"/>
      <c r="M7270" s="852"/>
    </row>
    <row r="7271" spans="5:13">
      <c r="E7271" s="852"/>
      <c r="F7271" s="852"/>
      <c r="G7271" s="852"/>
      <c r="H7271" s="852"/>
      <c r="I7271" s="852"/>
      <c r="J7271" s="852"/>
      <c r="K7271" s="852"/>
      <c r="L7271" s="852"/>
      <c r="M7271" s="852"/>
    </row>
    <row r="7272" spans="5:13">
      <c r="E7272" s="852"/>
      <c r="F7272" s="852"/>
      <c r="G7272" s="852"/>
      <c r="H7272" s="852"/>
      <c r="I7272" s="852"/>
      <c r="J7272" s="852"/>
      <c r="K7272" s="852"/>
      <c r="L7272" s="852"/>
      <c r="M7272" s="852"/>
    </row>
    <row r="7273" spans="5:13">
      <c r="E7273" s="852"/>
      <c r="F7273" s="852"/>
      <c r="G7273" s="852"/>
      <c r="H7273" s="852"/>
      <c r="I7273" s="852"/>
      <c r="J7273" s="852"/>
      <c r="K7273" s="852"/>
      <c r="L7273" s="852"/>
      <c r="M7273" s="852"/>
    </row>
    <row r="7274" spans="5:13">
      <c r="E7274" s="852"/>
      <c r="F7274" s="852"/>
      <c r="G7274" s="852"/>
      <c r="H7274" s="852"/>
      <c r="I7274" s="852"/>
      <c r="J7274" s="852"/>
      <c r="K7274" s="852"/>
      <c r="L7274" s="852"/>
      <c r="M7274" s="852"/>
    </row>
    <row r="7275" spans="5:13">
      <c r="E7275" s="852"/>
      <c r="F7275" s="852"/>
      <c r="G7275" s="852"/>
      <c r="H7275" s="852"/>
      <c r="I7275" s="852"/>
      <c r="J7275" s="852"/>
      <c r="K7275" s="852"/>
      <c r="L7275" s="852"/>
      <c r="M7275" s="852"/>
    </row>
    <row r="7276" spans="5:13">
      <c r="E7276" s="852"/>
      <c r="F7276" s="852"/>
      <c r="G7276" s="852"/>
      <c r="H7276" s="852"/>
      <c r="I7276" s="852"/>
      <c r="J7276" s="852"/>
      <c r="K7276" s="852"/>
      <c r="L7276" s="852"/>
      <c r="M7276" s="852"/>
    </row>
    <row r="7277" spans="5:13">
      <c r="E7277" s="852"/>
      <c r="F7277" s="852"/>
      <c r="G7277" s="852"/>
      <c r="H7277" s="852"/>
      <c r="I7277" s="852"/>
      <c r="J7277" s="852"/>
      <c r="K7277" s="852"/>
      <c r="L7277" s="852"/>
      <c r="M7277" s="852"/>
    </row>
    <row r="7278" spans="5:13">
      <c r="E7278" s="852"/>
      <c r="F7278" s="852"/>
      <c r="G7278" s="852"/>
      <c r="H7278" s="852"/>
      <c r="I7278" s="852"/>
      <c r="J7278" s="852"/>
      <c r="K7278" s="852"/>
      <c r="L7278" s="852"/>
      <c r="M7278" s="852"/>
    </row>
    <row r="7279" spans="5:13">
      <c r="E7279" s="852"/>
      <c r="F7279" s="852"/>
      <c r="G7279" s="852"/>
      <c r="H7279" s="852"/>
      <c r="I7279" s="852"/>
      <c r="J7279" s="852"/>
      <c r="K7279" s="852"/>
      <c r="L7279" s="852"/>
      <c r="M7279" s="852"/>
    </row>
    <row r="7280" spans="5:13">
      <c r="E7280" s="852"/>
      <c r="F7280" s="852"/>
      <c r="G7280" s="852"/>
      <c r="H7280" s="852"/>
      <c r="I7280" s="852"/>
      <c r="J7280" s="852"/>
      <c r="K7280" s="852"/>
      <c r="L7280" s="852"/>
      <c r="M7280" s="852"/>
    </row>
    <row r="7281" spans="5:13">
      <c r="E7281" s="852"/>
      <c r="F7281" s="852"/>
      <c r="G7281" s="852"/>
      <c r="H7281" s="852"/>
      <c r="I7281" s="852"/>
      <c r="J7281" s="852"/>
      <c r="K7281" s="852"/>
      <c r="L7281" s="852"/>
      <c r="M7281" s="852"/>
    </row>
    <row r="7282" spans="5:13">
      <c r="E7282" s="852"/>
      <c r="F7282" s="852"/>
      <c r="G7282" s="852"/>
      <c r="H7282" s="852"/>
      <c r="I7282" s="852"/>
      <c r="J7282" s="852"/>
      <c r="K7282" s="852"/>
      <c r="L7282" s="852"/>
      <c r="M7282" s="852"/>
    </row>
    <row r="7283" spans="5:13">
      <c r="E7283" s="852"/>
      <c r="F7283" s="852"/>
      <c r="G7283" s="852"/>
      <c r="H7283" s="852"/>
      <c r="I7283" s="852"/>
      <c r="J7283" s="852"/>
      <c r="K7283" s="852"/>
      <c r="L7283" s="852"/>
      <c r="M7283" s="852"/>
    </row>
    <row r="7284" spans="5:13">
      <c r="E7284" s="852"/>
      <c r="F7284" s="852"/>
      <c r="G7284" s="852"/>
      <c r="H7284" s="852"/>
      <c r="I7284" s="852"/>
      <c r="J7284" s="852"/>
      <c r="K7284" s="852"/>
      <c r="L7284" s="852"/>
      <c r="M7284" s="852"/>
    </row>
    <row r="7285" spans="5:13">
      <c r="E7285" s="852"/>
      <c r="F7285" s="852"/>
      <c r="G7285" s="852"/>
      <c r="H7285" s="852"/>
      <c r="I7285" s="852"/>
      <c r="J7285" s="852"/>
      <c r="K7285" s="852"/>
      <c r="L7285" s="852"/>
      <c r="M7285" s="852"/>
    </row>
    <row r="7286" spans="5:13">
      <c r="E7286" s="852"/>
      <c r="F7286" s="852"/>
      <c r="G7286" s="852"/>
      <c r="H7286" s="852"/>
      <c r="I7286" s="852"/>
      <c r="J7286" s="852"/>
      <c r="K7286" s="852"/>
      <c r="L7286" s="852"/>
      <c r="M7286" s="852"/>
    </row>
    <row r="7287" spans="5:13">
      <c r="E7287" s="852"/>
      <c r="F7287" s="852"/>
      <c r="G7287" s="852"/>
      <c r="H7287" s="852"/>
      <c r="I7287" s="852"/>
      <c r="J7287" s="852"/>
      <c r="K7287" s="852"/>
      <c r="L7287" s="852"/>
      <c r="M7287" s="852"/>
    </row>
    <row r="7288" spans="5:13">
      <c r="E7288" s="852"/>
      <c r="F7288" s="852"/>
      <c r="G7288" s="852"/>
      <c r="H7288" s="852"/>
      <c r="I7288" s="852"/>
      <c r="J7288" s="852"/>
      <c r="K7288" s="852"/>
      <c r="L7288" s="852"/>
      <c r="M7288" s="852"/>
    </row>
    <row r="7289" spans="5:13">
      <c r="E7289" s="852"/>
      <c r="F7289" s="852"/>
      <c r="G7289" s="852"/>
      <c r="H7289" s="852"/>
      <c r="I7289" s="852"/>
      <c r="J7289" s="852"/>
      <c r="K7289" s="852"/>
      <c r="L7289" s="852"/>
      <c r="M7289" s="852"/>
    </row>
    <row r="7290" spans="5:13">
      <c r="E7290" s="852"/>
      <c r="F7290" s="852"/>
      <c r="G7290" s="852"/>
      <c r="H7290" s="852"/>
      <c r="I7290" s="852"/>
      <c r="J7290" s="852"/>
      <c r="K7290" s="852"/>
      <c r="L7290" s="852"/>
      <c r="M7290" s="852"/>
    </row>
    <row r="7291" spans="5:13">
      <c r="E7291" s="852"/>
      <c r="F7291" s="852"/>
      <c r="G7291" s="852"/>
      <c r="H7291" s="852"/>
      <c r="I7291" s="852"/>
      <c r="J7291" s="852"/>
      <c r="K7291" s="852"/>
      <c r="L7291" s="852"/>
      <c r="M7291" s="852"/>
    </row>
    <row r="7292" spans="5:13">
      <c r="E7292" s="852"/>
      <c r="F7292" s="852"/>
      <c r="G7292" s="852"/>
      <c r="H7292" s="852"/>
      <c r="I7292" s="852"/>
      <c r="J7292" s="852"/>
      <c r="K7292" s="852"/>
      <c r="L7292" s="852"/>
      <c r="M7292" s="852"/>
    </row>
    <row r="7293" spans="5:13">
      <c r="E7293" s="852"/>
      <c r="F7293" s="852"/>
      <c r="G7293" s="852"/>
      <c r="H7293" s="852"/>
      <c r="I7293" s="852"/>
      <c r="J7293" s="852"/>
      <c r="K7293" s="852"/>
      <c r="L7293" s="852"/>
      <c r="M7293" s="852"/>
    </row>
    <row r="7294" spans="5:13">
      <c r="E7294" s="852"/>
      <c r="F7294" s="852"/>
      <c r="G7294" s="852"/>
      <c r="H7294" s="852"/>
      <c r="I7294" s="852"/>
      <c r="J7294" s="852"/>
      <c r="K7294" s="852"/>
      <c r="L7294" s="852"/>
      <c r="M7294" s="852"/>
    </row>
    <row r="7295" spans="5:13">
      <c r="E7295" s="852"/>
      <c r="F7295" s="852"/>
      <c r="G7295" s="852"/>
      <c r="H7295" s="852"/>
      <c r="I7295" s="852"/>
      <c r="J7295" s="852"/>
      <c r="K7295" s="852"/>
      <c r="L7295" s="852"/>
      <c r="M7295" s="852"/>
    </row>
    <row r="7296" spans="5:13">
      <c r="E7296" s="852"/>
      <c r="F7296" s="852"/>
      <c r="G7296" s="852"/>
      <c r="H7296" s="852"/>
      <c r="I7296" s="852"/>
      <c r="J7296" s="852"/>
      <c r="K7296" s="852"/>
      <c r="L7296" s="852"/>
      <c r="M7296" s="852"/>
    </row>
    <row r="7297" spans="5:13">
      <c r="E7297" s="852"/>
      <c r="F7297" s="852"/>
      <c r="G7297" s="852"/>
      <c r="H7297" s="852"/>
      <c r="I7297" s="852"/>
      <c r="J7297" s="852"/>
      <c r="K7297" s="852"/>
      <c r="L7297" s="852"/>
      <c r="M7297" s="852"/>
    </row>
    <row r="7298" spans="5:13">
      <c r="E7298" s="852"/>
      <c r="F7298" s="852"/>
      <c r="G7298" s="852"/>
      <c r="H7298" s="852"/>
      <c r="I7298" s="852"/>
      <c r="J7298" s="852"/>
      <c r="K7298" s="852"/>
      <c r="L7298" s="852"/>
      <c r="M7298" s="852"/>
    </row>
    <row r="7299" spans="5:13">
      <c r="E7299" s="852"/>
      <c r="F7299" s="852"/>
      <c r="G7299" s="852"/>
      <c r="H7299" s="852"/>
      <c r="I7299" s="852"/>
      <c r="J7299" s="852"/>
      <c r="K7299" s="852"/>
      <c r="L7299" s="852"/>
      <c r="M7299" s="852"/>
    </row>
    <row r="7300" spans="5:13">
      <c r="E7300" s="852"/>
      <c r="F7300" s="852"/>
      <c r="G7300" s="852"/>
      <c r="H7300" s="852"/>
      <c r="I7300" s="852"/>
      <c r="J7300" s="852"/>
      <c r="K7300" s="852"/>
      <c r="L7300" s="852"/>
      <c r="M7300" s="852"/>
    </row>
    <row r="7301" spans="5:13">
      <c r="E7301" s="852"/>
      <c r="F7301" s="852"/>
      <c r="G7301" s="852"/>
      <c r="H7301" s="852"/>
      <c r="I7301" s="852"/>
      <c r="J7301" s="852"/>
      <c r="K7301" s="852"/>
      <c r="L7301" s="852"/>
      <c r="M7301" s="852"/>
    </row>
    <row r="7302" spans="5:13">
      <c r="E7302" s="852"/>
      <c r="F7302" s="852"/>
      <c r="G7302" s="852"/>
      <c r="H7302" s="852"/>
      <c r="I7302" s="852"/>
      <c r="J7302" s="852"/>
      <c r="K7302" s="852"/>
      <c r="L7302" s="852"/>
      <c r="M7302" s="852"/>
    </row>
    <row r="7303" spans="5:13">
      <c r="E7303" s="852"/>
      <c r="F7303" s="852"/>
      <c r="G7303" s="852"/>
      <c r="H7303" s="852"/>
      <c r="I7303" s="852"/>
      <c r="J7303" s="852"/>
      <c r="K7303" s="852"/>
      <c r="L7303" s="852"/>
      <c r="M7303" s="852"/>
    </row>
    <row r="7304" spans="5:13">
      <c r="E7304" s="852"/>
      <c r="F7304" s="852"/>
      <c r="G7304" s="852"/>
      <c r="H7304" s="852"/>
      <c r="I7304" s="852"/>
      <c r="J7304" s="852"/>
      <c r="K7304" s="852"/>
      <c r="L7304" s="852"/>
      <c r="M7304" s="852"/>
    </row>
    <row r="7305" spans="5:13">
      <c r="E7305" s="852"/>
      <c r="F7305" s="852"/>
      <c r="G7305" s="852"/>
      <c r="H7305" s="852"/>
      <c r="I7305" s="852"/>
      <c r="J7305" s="852"/>
      <c r="K7305" s="852"/>
      <c r="L7305" s="852"/>
      <c r="M7305" s="852"/>
    </row>
    <row r="7306" spans="5:13">
      <c r="E7306" s="852"/>
      <c r="F7306" s="852"/>
      <c r="G7306" s="852"/>
      <c r="H7306" s="852"/>
      <c r="I7306" s="852"/>
      <c r="J7306" s="852"/>
      <c r="K7306" s="852"/>
      <c r="L7306" s="852"/>
      <c r="M7306" s="852"/>
    </row>
    <row r="7307" spans="5:13">
      <c r="E7307" s="852"/>
      <c r="F7307" s="852"/>
      <c r="G7307" s="852"/>
      <c r="H7307" s="852"/>
      <c r="I7307" s="852"/>
      <c r="J7307" s="852"/>
      <c r="K7307" s="852"/>
      <c r="L7307" s="852"/>
      <c r="M7307" s="852"/>
    </row>
    <row r="7308" spans="5:13">
      <c r="E7308" s="852"/>
      <c r="F7308" s="852"/>
      <c r="G7308" s="852"/>
      <c r="H7308" s="852"/>
      <c r="I7308" s="852"/>
      <c r="J7308" s="852"/>
      <c r="K7308" s="852"/>
      <c r="L7308" s="852"/>
      <c r="M7308" s="852"/>
    </row>
    <row r="7309" spans="5:13">
      <c r="E7309" s="852"/>
      <c r="F7309" s="852"/>
      <c r="G7309" s="852"/>
      <c r="H7309" s="852"/>
      <c r="I7309" s="852"/>
      <c r="J7309" s="852"/>
      <c r="K7309" s="852"/>
      <c r="L7309" s="852"/>
      <c r="M7309" s="852"/>
    </row>
    <row r="7310" spans="5:13">
      <c r="E7310" s="852"/>
      <c r="F7310" s="852"/>
      <c r="G7310" s="852"/>
      <c r="H7310" s="852"/>
      <c r="I7310" s="852"/>
      <c r="J7310" s="852"/>
      <c r="K7310" s="852"/>
      <c r="L7310" s="852"/>
      <c r="M7310" s="852"/>
    </row>
    <row r="7311" spans="5:13">
      <c r="E7311" s="852"/>
      <c r="F7311" s="852"/>
      <c r="G7311" s="852"/>
      <c r="H7311" s="852"/>
      <c r="I7311" s="852"/>
      <c r="J7311" s="852"/>
      <c r="K7311" s="852"/>
      <c r="L7311" s="852"/>
      <c r="M7311" s="852"/>
    </row>
    <row r="7312" spans="5:13">
      <c r="E7312" s="852"/>
      <c r="F7312" s="852"/>
      <c r="G7312" s="852"/>
      <c r="H7312" s="852"/>
      <c r="I7312" s="852"/>
      <c r="J7312" s="852"/>
      <c r="K7312" s="852"/>
      <c r="L7312" s="852"/>
      <c r="M7312" s="852"/>
    </row>
    <row r="7313" spans="5:13">
      <c r="E7313" s="852"/>
      <c r="F7313" s="852"/>
      <c r="G7313" s="852"/>
      <c r="H7313" s="852"/>
      <c r="I7313" s="852"/>
      <c r="J7313" s="852"/>
      <c r="K7313" s="852"/>
      <c r="L7313" s="852"/>
      <c r="M7313" s="852"/>
    </row>
    <row r="7314" spans="5:13">
      <c r="E7314" s="852"/>
      <c r="F7314" s="852"/>
      <c r="G7314" s="852"/>
      <c r="H7314" s="852"/>
      <c r="I7314" s="852"/>
      <c r="J7314" s="852"/>
      <c r="K7314" s="852"/>
      <c r="L7314" s="852"/>
      <c r="M7314" s="852"/>
    </row>
    <row r="7315" spans="5:13">
      <c r="E7315" s="852"/>
      <c r="F7315" s="852"/>
      <c r="G7315" s="852"/>
      <c r="H7315" s="852"/>
      <c r="I7315" s="852"/>
      <c r="J7315" s="852"/>
      <c r="K7315" s="852"/>
      <c r="L7315" s="852"/>
      <c r="M7315" s="852"/>
    </row>
    <row r="7316" spans="5:13">
      <c r="E7316" s="852"/>
      <c r="F7316" s="852"/>
      <c r="G7316" s="852"/>
      <c r="H7316" s="852"/>
      <c r="I7316" s="852"/>
      <c r="J7316" s="852"/>
      <c r="K7316" s="852"/>
      <c r="L7316" s="852"/>
      <c r="M7316" s="852"/>
    </row>
    <row r="7317" spans="5:13">
      <c r="E7317" s="852"/>
      <c r="F7317" s="852"/>
      <c r="G7317" s="852"/>
      <c r="H7317" s="852"/>
      <c r="I7317" s="852"/>
      <c r="J7317" s="852"/>
      <c r="K7317" s="852"/>
      <c r="L7317" s="852"/>
      <c r="M7317" s="852"/>
    </row>
    <row r="7318" spans="5:13">
      <c r="E7318" s="852"/>
      <c r="F7318" s="852"/>
      <c r="G7318" s="852"/>
      <c r="H7318" s="852"/>
      <c r="I7318" s="852"/>
      <c r="J7318" s="852"/>
      <c r="K7318" s="852"/>
      <c r="L7318" s="852"/>
      <c r="M7318" s="852"/>
    </row>
    <row r="7319" spans="5:13">
      <c r="E7319" s="852"/>
      <c r="F7319" s="852"/>
      <c r="G7319" s="852"/>
      <c r="H7319" s="852"/>
      <c r="I7319" s="852"/>
      <c r="J7319" s="852"/>
      <c r="K7319" s="852"/>
      <c r="L7319" s="852"/>
      <c r="M7319" s="852"/>
    </row>
    <row r="7320" spans="5:13">
      <c r="E7320" s="852"/>
      <c r="F7320" s="852"/>
      <c r="G7320" s="852"/>
      <c r="H7320" s="852"/>
      <c r="I7320" s="852"/>
      <c r="J7320" s="852"/>
      <c r="K7320" s="852"/>
      <c r="L7320" s="852"/>
      <c r="M7320" s="852"/>
    </row>
    <row r="7321" spans="5:13">
      <c r="E7321" s="852"/>
      <c r="F7321" s="852"/>
      <c r="G7321" s="852"/>
      <c r="H7321" s="852"/>
      <c r="I7321" s="852"/>
      <c r="J7321" s="852"/>
      <c r="K7321" s="852"/>
      <c r="L7321" s="852"/>
      <c r="M7321" s="852"/>
    </row>
    <row r="7322" spans="5:13">
      <c r="E7322" s="852"/>
      <c r="F7322" s="852"/>
      <c r="G7322" s="852"/>
      <c r="H7322" s="852"/>
      <c r="I7322" s="852"/>
      <c r="J7322" s="852"/>
      <c r="K7322" s="852"/>
      <c r="L7322" s="852"/>
      <c r="M7322" s="852"/>
    </row>
    <row r="7323" spans="5:13">
      <c r="E7323" s="852"/>
      <c r="F7323" s="852"/>
      <c r="G7323" s="852"/>
      <c r="H7323" s="852"/>
      <c r="I7323" s="852"/>
      <c r="J7323" s="852"/>
      <c r="K7323" s="852"/>
      <c r="L7323" s="852"/>
      <c r="M7323" s="852"/>
    </row>
    <row r="7324" spans="5:13">
      <c r="E7324" s="852"/>
      <c r="F7324" s="852"/>
      <c r="G7324" s="852"/>
      <c r="H7324" s="852"/>
      <c r="I7324" s="852"/>
      <c r="J7324" s="852"/>
      <c r="K7324" s="852"/>
      <c r="L7324" s="852"/>
      <c r="M7324" s="852"/>
    </row>
    <row r="7325" spans="5:13">
      <c r="E7325" s="852"/>
      <c r="F7325" s="852"/>
      <c r="G7325" s="852"/>
      <c r="H7325" s="852"/>
      <c r="I7325" s="852"/>
      <c r="J7325" s="852"/>
      <c r="K7325" s="852"/>
      <c r="L7325" s="852"/>
      <c r="M7325" s="852"/>
    </row>
    <row r="7326" spans="5:13">
      <c r="E7326" s="852"/>
      <c r="F7326" s="852"/>
      <c r="G7326" s="852"/>
      <c r="H7326" s="852"/>
      <c r="I7326" s="852"/>
      <c r="J7326" s="852"/>
      <c r="K7326" s="852"/>
      <c r="L7326" s="852"/>
      <c r="M7326" s="852"/>
    </row>
    <row r="7327" spans="5:13">
      <c r="E7327" s="852"/>
      <c r="F7327" s="852"/>
      <c r="G7327" s="852"/>
      <c r="H7327" s="852"/>
      <c r="I7327" s="852"/>
      <c r="J7327" s="852"/>
      <c r="K7327" s="852"/>
      <c r="L7327" s="852"/>
      <c r="M7327" s="852"/>
    </row>
    <row r="7328" spans="5:13">
      <c r="E7328" s="852"/>
      <c r="F7328" s="852"/>
      <c r="G7328" s="852"/>
      <c r="H7328" s="852"/>
      <c r="I7328" s="852"/>
      <c r="J7328" s="852"/>
      <c r="K7328" s="852"/>
      <c r="L7328" s="852"/>
      <c r="M7328" s="852"/>
    </row>
    <row r="7329" spans="5:13">
      <c r="E7329" s="852"/>
      <c r="F7329" s="852"/>
      <c r="G7329" s="852"/>
      <c r="H7329" s="852"/>
      <c r="I7329" s="852"/>
      <c r="J7329" s="852"/>
      <c r="K7329" s="852"/>
      <c r="L7329" s="852"/>
      <c r="M7329" s="852"/>
    </row>
    <row r="7330" spans="5:13">
      <c r="E7330" s="852"/>
      <c r="F7330" s="852"/>
      <c r="G7330" s="852"/>
      <c r="H7330" s="852"/>
      <c r="I7330" s="852"/>
      <c r="J7330" s="852"/>
      <c r="K7330" s="852"/>
      <c r="L7330" s="852"/>
      <c r="M7330" s="852"/>
    </row>
    <row r="7331" spans="5:13">
      <c r="E7331" s="852"/>
      <c r="F7331" s="852"/>
      <c r="G7331" s="852"/>
      <c r="H7331" s="852"/>
      <c r="I7331" s="852"/>
      <c r="J7331" s="852"/>
      <c r="K7331" s="852"/>
      <c r="L7331" s="852"/>
      <c r="M7331" s="852"/>
    </row>
    <row r="7332" spans="5:13">
      <c r="E7332" s="852"/>
      <c r="F7332" s="852"/>
      <c r="G7332" s="852"/>
      <c r="H7332" s="852"/>
      <c r="I7332" s="852"/>
      <c r="J7332" s="852"/>
      <c r="K7332" s="852"/>
      <c r="L7332" s="852"/>
      <c r="M7332" s="852"/>
    </row>
    <row r="7333" spans="5:13">
      <c r="E7333" s="852"/>
      <c r="F7333" s="852"/>
      <c r="G7333" s="852"/>
      <c r="H7333" s="852"/>
      <c r="I7333" s="852"/>
      <c r="J7333" s="852"/>
      <c r="K7333" s="852"/>
      <c r="L7333" s="852"/>
      <c r="M7333" s="852"/>
    </row>
    <row r="7334" spans="5:13">
      <c r="E7334" s="852"/>
      <c r="F7334" s="852"/>
      <c r="G7334" s="852"/>
      <c r="H7334" s="852"/>
      <c r="I7334" s="852"/>
      <c r="J7334" s="852"/>
      <c r="K7334" s="852"/>
      <c r="L7334" s="852"/>
      <c r="M7334" s="852"/>
    </row>
    <row r="7335" spans="5:13">
      <c r="E7335" s="852"/>
      <c r="F7335" s="852"/>
      <c r="G7335" s="852"/>
      <c r="H7335" s="852"/>
      <c r="I7335" s="852"/>
      <c r="J7335" s="852"/>
      <c r="K7335" s="852"/>
      <c r="L7335" s="852"/>
      <c r="M7335" s="852"/>
    </row>
    <row r="7336" spans="5:13">
      <c r="E7336" s="852"/>
      <c r="F7336" s="852"/>
      <c r="G7336" s="852"/>
      <c r="H7336" s="852"/>
      <c r="I7336" s="852"/>
      <c r="J7336" s="852"/>
      <c r="K7336" s="852"/>
      <c r="L7336" s="852"/>
      <c r="M7336" s="852"/>
    </row>
    <row r="7337" spans="5:13">
      <c r="E7337" s="852"/>
      <c r="F7337" s="852"/>
      <c r="G7337" s="852"/>
      <c r="H7337" s="852"/>
      <c r="I7337" s="852"/>
      <c r="J7337" s="852"/>
      <c r="K7337" s="852"/>
      <c r="L7337" s="852"/>
      <c r="M7337" s="852"/>
    </row>
    <row r="7338" spans="5:13">
      <c r="E7338" s="852"/>
      <c r="F7338" s="852"/>
      <c r="G7338" s="852"/>
      <c r="H7338" s="852"/>
      <c r="I7338" s="852"/>
      <c r="J7338" s="852"/>
      <c r="K7338" s="852"/>
      <c r="L7338" s="852"/>
      <c r="M7338" s="852"/>
    </row>
    <row r="7339" spans="5:13">
      <c r="E7339" s="852"/>
      <c r="F7339" s="852"/>
      <c r="G7339" s="852"/>
      <c r="H7339" s="852"/>
      <c r="I7339" s="852"/>
      <c r="J7339" s="852"/>
      <c r="K7339" s="852"/>
      <c r="L7339" s="852"/>
      <c r="M7339" s="852"/>
    </row>
    <row r="7340" spans="5:13">
      <c r="E7340" s="852"/>
      <c r="F7340" s="852"/>
      <c r="G7340" s="852"/>
      <c r="H7340" s="852"/>
      <c r="I7340" s="852"/>
      <c r="J7340" s="852"/>
      <c r="K7340" s="852"/>
      <c r="L7340" s="852"/>
      <c r="M7340" s="852"/>
    </row>
    <row r="7341" spans="5:13">
      <c r="E7341" s="852"/>
      <c r="F7341" s="852"/>
      <c r="G7341" s="852"/>
      <c r="H7341" s="852"/>
      <c r="I7341" s="852"/>
      <c r="J7341" s="852"/>
      <c r="K7341" s="852"/>
      <c r="L7341" s="852"/>
      <c r="M7341" s="852"/>
    </row>
    <row r="7342" spans="5:13">
      <c r="E7342" s="852"/>
      <c r="F7342" s="852"/>
      <c r="G7342" s="852"/>
      <c r="H7342" s="852"/>
      <c r="I7342" s="852"/>
      <c r="J7342" s="852"/>
      <c r="K7342" s="852"/>
      <c r="L7342" s="852"/>
      <c r="M7342" s="852"/>
    </row>
    <row r="7343" spans="5:13">
      <c r="E7343" s="852"/>
      <c r="F7343" s="852"/>
      <c r="G7343" s="852"/>
      <c r="H7343" s="852"/>
      <c r="I7343" s="852"/>
      <c r="J7343" s="852"/>
      <c r="K7343" s="852"/>
      <c r="L7343" s="852"/>
      <c r="M7343" s="852"/>
    </row>
    <row r="7344" spans="5:13">
      <c r="E7344" s="852"/>
      <c r="F7344" s="852"/>
      <c r="G7344" s="852"/>
      <c r="H7344" s="852"/>
      <c r="I7344" s="852"/>
      <c r="J7344" s="852"/>
      <c r="K7344" s="852"/>
      <c r="L7344" s="852"/>
      <c r="M7344" s="852"/>
    </row>
    <row r="7345" spans="5:13">
      <c r="E7345" s="852"/>
      <c r="F7345" s="852"/>
      <c r="G7345" s="852"/>
      <c r="H7345" s="852"/>
      <c r="I7345" s="852"/>
      <c r="J7345" s="852"/>
      <c r="K7345" s="852"/>
      <c r="L7345" s="852"/>
      <c r="M7345" s="852"/>
    </row>
    <row r="7346" spans="5:13">
      <c r="E7346" s="852"/>
      <c r="F7346" s="852"/>
      <c r="G7346" s="852"/>
      <c r="H7346" s="852"/>
      <c r="I7346" s="852"/>
      <c r="J7346" s="852"/>
      <c r="K7346" s="852"/>
      <c r="L7346" s="852"/>
      <c r="M7346" s="852"/>
    </row>
    <row r="7347" spans="5:13">
      <c r="E7347" s="852"/>
      <c r="F7347" s="852"/>
      <c r="G7347" s="852"/>
      <c r="H7347" s="852"/>
      <c r="I7347" s="852"/>
      <c r="J7347" s="852"/>
      <c r="K7347" s="852"/>
      <c r="L7347" s="852"/>
      <c r="M7347" s="852"/>
    </row>
    <row r="7348" spans="5:13">
      <c r="E7348" s="852"/>
      <c r="F7348" s="852"/>
      <c r="G7348" s="852"/>
      <c r="H7348" s="852"/>
      <c r="I7348" s="852"/>
      <c r="J7348" s="852"/>
      <c r="K7348" s="852"/>
      <c r="L7348" s="852"/>
      <c r="M7348" s="852"/>
    </row>
    <row r="7349" spans="5:13">
      <c r="E7349" s="852"/>
      <c r="F7349" s="852"/>
      <c r="G7349" s="852"/>
      <c r="H7349" s="852"/>
      <c r="I7349" s="852"/>
      <c r="J7349" s="852"/>
      <c r="K7349" s="852"/>
      <c r="L7349" s="852"/>
      <c r="M7349" s="852"/>
    </row>
    <row r="7350" spans="5:13">
      <c r="E7350" s="852"/>
      <c r="F7350" s="852"/>
      <c r="G7350" s="852"/>
      <c r="H7350" s="852"/>
      <c r="I7350" s="852"/>
      <c r="J7350" s="852"/>
      <c r="K7350" s="852"/>
      <c r="L7350" s="852"/>
      <c r="M7350" s="852"/>
    </row>
    <row r="7351" spans="5:13">
      <c r="E7351" s="852"/>
      <c r="F7351" s="852"/>
      <c r="G7351" s="852"/>
      <c r="H7351" s="852"/>
      <c r="I7351" s="852"/>
      <c r="J7351" s="852"/>
      <c r="K7351" s="852"/>
      <c r="L7351" s="852"/>
      <c r="M7351" s="852"/>
    </row>
    <row r="7352" spans="5:13">
      <c r="E7352" s="852"/>
      <c r="F7352" s="852"/>
      <c r="G7352" s="852"/>
      <c r="H7352" s="852"/>
      <c r="I7352" s="852"/>
      <c r="J7352" s="852"/>
      <c r="K7352" s="852"/>
      <c r="L7352" s="852"/>
      <c r="M7352" s="852"/>
    </row>
    <row r="7353" spans="5:13">
      <c r="E7353" s="852"/>
      <c r="F7353" s="852"/>
      <c r="G7353" s="852"/>
      <c r="H7353" s="852"/>
      <c r="I7353" s="852"/>
      <c r="J7353" s="852"/>
      <c r="K7353" s="852"/>
      <c r="L7353" s="852"/>
      <c r="M7353" s="852"/>
    </row>
    <row r="7354" spans="5:13">
      <c r="E7354" s="852"/>
      <c r="F7354" s="852"/>
      <c r="G7354" s="852"/>
      <c r="H7354" s="852"/>
      <c r="I7354" s="852"/>
      <c r="J7354" s="852"/>
      <c r="K7354" s="852"/>
      <c r="L7354" s="852"/>
      <c r="M7354" s="852"/>
    </row>
    <row r="7355" spans="5:13">
      <c r="E7355" s="852"/>
      <c r="F7355" s="852"/>
      <c r="G7355" s="852"/>
      <c r="H7355" s="852"/>
      <c r="I7355" s="852"/>
      <c r="J7355" s="852"/>
      <c r="K7355" s="852"/>
      <c r="L7355" s="852"/>
      <c r="M7355" s="852"/>
    </row>
    <row r="7356" spans="5:13">
      <c r="E7356" s="852"/>
      <c r="F7356" s="852"/>
      <c r="G7356" s="852"/>
      <c r="H7356" s="852"/>
      <c r="I7356" s="852"/>
      <c r="J7356" s="852"/>
      <c r="K7356" s="852"/>
      <c r="L7356" s="852"/>
      <c r="M7356" s="852"/>
    </row>
    <row r="7357" spans="5:13">
      <c r="E7357" s="852"/>
      <c r="F7357" s="852"/>
      <c r="G7357" s="852"/>
      <c r="H7357" s="852"/>
      <c r="I7357" s="852"/>
      <c r="J7357" s="852"/>
      <c r="K7357" s="852"/>
      <c r="L7357" s="852"/>
      <c r="M7357" s="852"/>
    </row>
    <row r="7358" spans="5:13">
      <c r="E7358" s="852"/>
      <c r="F7358" s="852"/>
      <c r="G7358" s="852"/>
      <c r="H7358" s="852"/>
      <c r="I7358" s="852"/>
      <c r="J7358" s="852"/>
      <c r="K7358" s="852"/>
      <c r="L7358" s="852"/>
      <c r="M7358" s="852"/>
    </row>
    <row r="7359" spans="5:13">
      <c r="E7359" s="852"/>
      <c r="F7359" s="852"/>
      <c r="G7359" s="852"/>
      <c r="H7359" s="852"/>
      <c r="I7359" s="852"/>
      <c r="J7359" s="852"/>
      <c r="K7359" s="852"/>
      <c r="L7359" s="852"/>
      <c r="M7359" s="852"/>
    </row>
    <row r="7360" spans="5:13">
      <c r="E7360" s="852"/>
      <c r="F7360" s="852"/>
      <c r="G7360" s="852"/>
      <c r="H7360" s="852"/>
      <c r="I7360" s="852"/>
      <c r="J7360" s="852"/>
      <c r="K7360" s="852"/>
      <c r="L7360" s="852"/>
      <c r="M7360" s="852"/>
    </row>
    <row r="7361" spans="5:13">
      <c r="E7361" s="852"/>
      <c r="F7361" s="852"/>
      <c r="G7361" s="852"/>
      <c r="H7361" s="852"/>
      <c r="I7361" s="852"/>
      <c r="J7361" s="852"/>
      <c r="K7361" s="852"/>
      <c r="L7361" s="852"/>
      <c r="M7361" s="852"/>
    </row>
    <row r="7362" spans="5:13">
      <c r="E7362" s="852"/>
      <c r="F7362" s="852"/>
      <c r="G7362" s="852"/>
      <c r="H7362" s="852"/>
      <c r="I7362" s="852"/>
      <c r="J7362" s="852"/>
      <c r="K7362" s="852"/>
      <c r="L7362" s="852"/>
      <c r="M7362" s="852"/>
    </row>
    <row r="7363" spans="5:13">
      <c r="E7363" s="852"/>
      <c r="F7363" s="852"/>
      <c r="G7363" s="852"/>
      <c r="H7363" s="852"/>
      <c r="I7363" s="852"/>
      <c r="J7363" s="852"/>
      <c r="K7363" s="852"/>
      <c r="L7363" s="852"/>
      <c r="M7363" s="852"/>
    </row>
    <row r="7364" spans="5:13">
      <c r="E7364" s="852"/>
      <c r="F7364" s="852"/>
      <c r="G7364" s="852"/>
      <c r="H7364" s="852"/>
      <c r="I7364" s="852"/>
      <c r="J7364" s="852"/>
      <c r="K7364" s="852"/>
      <c r="L7364" s="852"/>
      <c r="M7364" s="852"/>
    </row>
    <row r="7365" spans="5:13">
      <c r="E7365" s="852"/>
      <c r="F7365" s="852"/>
      <c r="G7365" s="852"/>
      <c r="H7365" s="852"/>
      <c r="I7365" s="852"/>
      <c r="J7365" s="852"/>
      <c r="K7365" s="852"/>
      <c r="L7365" s="852"/>
      <c r="M7365" s="852"/>
    </row>
    <row r="7366" spans="5:13">
      <c r="E7366" s="852"/>
      <c r="F7366" s="852"/>
      <c r="G7366" s="852"/>
      <c r="H7366" s="852"/>
      <c r="I7366" s="852"/>
      <c r="J7366" s="852"/>
      <c r="K7366" s="852"/>
      <c r="L7366" s="852"/>
      <c r="M7366" s="852"/>
    </row>
    <row r="7367" spans="5:13">
      <c r="E7367" s="852"/>
      <c r="F7367" s="852"/>
      <c r="G7367" s="852"/>
      <c r="H7367" s="852"/>
      <c r="I7367" s="852"/>
      <c r="J7367" s="852"/>
      <c r="K7367" s="852"/>
      <c r="L7367" s="852"/>
      <c r="M7367" s="852"/>
    </row>
    <row r="7368" spans="5:13">
      <c r="E7368" s="852"/>
      <c r="F7368" s="852"/>
      <c r="G7368" s="852"/>
      <c r="H7368" s="852"/>
      <c r="I7368" s="852"/>
      <c r="J7368" s="852"/>
      <c r="K7368" s="852"/>
      <c r="L7368" s="852"/>
      <c r="M7368" s="852"/>
    </row>
    <row r="7369" spans="5:13">
      <c r="E7369" s="852"/>
      <c r="F7369" s="852"/>
      <c r="G7369" s="852"/>
      <c r="H7369" s="852"/>
      <c r="I7369" s="852"/>
      <c r="J7369" s="852"/>
      <c r="K7369" s="852"/>
      <c r="L7369" s="852"/>
      <c r="M7369" s="852"/>
    </row>
    <row r="7370" spans="5:13">
      <c r="E7370" s="852"/>
      <c r="F7370" s="852"/>
      <c r="G7370" s="852"/>
      <c r="H7370" s="852"/>
      <c r="I7370" s="852"/>
      <c r="J7370" s="852"/>
      <c r="K7370" s="852"/>
      <c r="L7370" s="852"/>
      <c r="M7370" s="852"/>
    </row>
    <row r="7371" spans="5:13">
      <c r="E7371" s="852"/>
      <c r="F7371" s="852"/>
      <c r="G7371" s="852"/>
      <c r="H7371" s="852"/>
      <c r="I7371" s="852"/>
      <c r="J7371" s="852"/>
      <c r="K7371" s="852"/>
      <c r="L7371" s="852"/>
      <c r="M7371" s="852"/>
    </row>
    <row r="7372" spans="5:13">
      <c r="E7372" s="852"/>
      <c r="F7372" s="852"/>
      <c r="G7372" s="852"/>
      <c r="H7372" s="852"/>
      <c r="I7372" s="852"/>
      <c r="J7372" s="852"/>
      <c r="K7372" s="852"/>
      <c r="L7372" s="852"/>
      <c r="M7372" s="852"/>
    </row>
    <row r="7373" spans="5:13">
      <c r="E7373" s="852"/>
      <c r="F7373" s="852"/>
      <c r="G7373" s="852"/>
      <c r="H7373" s="852"/>
      <c r="I7373" s="852"/>
      <c r="J7373" s="852"/>
      <c r="K7373" s="852"/>
      <c r="L7373" s="852"/>
      <c r="M7373" s="852"/>
    </row>
    <row r="7374" spans="5:13">
      <c r="E7374" s="852"/>
      <c r="F7374" s="852"/>
      <c r="G7374" s="852"/>
      <c r="H7374" s="852"/>
      <c r="I7374" s="852"/>
      <c r="J7374" s="852"/>
      <c r="K7374" s="852"/>
      <c r="L7374" s="852"/>
      <c r="M7374" s="852"/>
    </row>
    <row r="7375" spans="5:13">
      <c r="E7375" s="852"/>
      <c r="F7375" s="852"/>
      <c r="G7375" s="852"/>
      <c r="H7375" s="852"/>
      <c r="I7375" s="852"/>
      <c r="J7375" s="852"/>
      <c r="K7375" s="852"/>
      <c r="L7375" s="852"/>
      <c r="M7375" s="852"/>
    </row>
    <row r="7376" spans="5:13">
      <c r="E7376" s="852"/>
      <c r="F7376" s="852"/>
      <c r="G7376" s="852"/>
      <c r="H7376" s="852"/>
      <c r="I7376" s="852"/>
      <c r="J7376" s="852"/>
      <c r="K7376" s="852"/>
      <c r="L7376" s="852"/>
      <c r="M7376" s="852"/>
    </row>
    <row r="7377" spans="5:13">
      <c r="E7377" s="852"/>
      <c r="F7377" s="852"/>
      <c r="G7377" s="852"/>
      <c r="H7377" s="852"/>
      <c r="I7377" s="852"/>
      <c r="J7377" s="852"/>
      <c r="K7377" s="852"/>
      <c r="L7377" s="852"/>
      <c r="M7377" s="852"/>
    </row>
    <row r="7378" spans="5:13">
      <c r="E7378" s="852"/>
      <c r="F7378" s="852"/>
      <c r="G7378" s="852"/>
      <c r="H7378" s="852"/>
      <c r="I7378" s="852"/>
      <c r="J7378" s="852"/>
      <c r="K7378" s="852"/>
      <c r="L7378" s="852"/>
      <c r="M7378" s="852"/>
    </row>
    <row r="7379" spans="5:13">
      <c r="E7379" s="852"/>
      <c r="F7379" s="852"/>
      <c r="G7379" s="852"/>
      <c r="H7379" s="852"/>
      <c r="I7379" s="852"/>
      <c r="J7379" s="852"/>
      <c r="K7379" s="852"/>
      <c r="L7379" s="852"/>
      <c r="M7379" s="852"/>
    </row>
    <row r="7380" spans="5:13">
      <c r="E7380" s="852"/>
      <c r="F7380" s="852"/>
      <c r="G7380" s="852"/>
      <c r="H7380" s="852"/>
      <c r="I7380" s="852"/>
      <c r="J7380" s="852"/>
      <c r="K7380" s="852"/>
      <c r="L7380" s="852"/>
      <c r="M7380" s="852"/>
    </row>
    <row r="7381" spans="5:13">
      <c r="E7381" s="852"/>
      <c r="F7381" s="852"/>
      <c r="G7381" s="852"/>
      <c r="H7381" s="852"/>
      <c r="I7381" s="852"/>
      <c r="J7381" s="852"/>
      <c r="K7381" s="852"/>
      <c r="L7381" s="852"/>
      <c r="M7381" s="852"/>
    </row>
    <row r="7382" spans="5:13">
      <c r="E7382" s="852"/>
      <c r="F7382" s="852"/>
      <c r="G7382" s="852"/>
      <c r="H7382" s="852"/>
      <c r="I7382" s="852"/>
      <c r="J7382" s="852"/>
      <c r="K7382" s="852"/>
      <c r="L7382" s="852"/>
      <c r="M7382" s="852"/>
    </row>
    <row r="7383" spans="5:13">
      <c r="E7383" s="852"/>
      <c r="F7383" s="852"/>
      <c r="G7383" s="852"/>
      <c r="H7383" s="852"/>
      <c r="I7383" s="852"/>
      <c r="J7383" s="852"/>
      <c r="K7383" s="852"/>
      <c r="L7383" s="852"/>
      <c r="M7383" s="852"/>
    </row>
    <row r="7384" spans="5:13">
      <c r="E7384" s="852"/>
      <c r="F7384" s="852"/>
      <c r="G7384" s="852"/>
      <c r="H7384" s="852"/>
      <c r="I7384" s="852"/>
      <c r="J7384" s="852"/>
      <c r="K7384" s="852"/>
      <c r="L7384" s="852"/>
      <c r="M7384" s="852"/>
    </row>
    <row r="7385" spans="5:13">
      <c r="E7385" s="852"/>
      <c r="F7385" s="852"/>
      <c r="G7385" s="852"/>
      <c r="H7385" s="852"/>
      <c r="I7385" s="852"/>
      <c r="J7385" s="852"/>
      <c r="K7385" s="852"/>
      <c r="L7385" s="852"/>
      <c r="M7385" s="852"/>
    </row>
    <row r="7386" spans="5:13">
      <c r="E7386" s="852"/>
      <c r="F7386" s="852"/>
      <c r="G7386" s="852"/>
      <c r="H7386" s="852"/>
      <c r="I7386" s="852"/>
      <c r="J7386" s="852"/>
      <c r="K7386" s="852"/>
      <c r="L7386" s="852"/>
      <c r="M7386" s="852"/>
    </row>
    <row r="7387" spans="5:13">
      <c r="E7387" s="852"/>
      <c r="F7387" s="852"/>
      <c r="G7387" s="852"/>
      <c r="H7387" s="852"/>
      <c r="I7387" s="852"/>
      <c r="J7387" s="852"/>
      <c r="K7387" s="852"/>
      <c r="L7387" s="852"/>
      <c r="M7387" s="852"/>
    </row>
    <row r="7388" spans="5:13">
      <c r="E7388" s="852"/>
      <c r="F7388" s="852"/>
      <c r="G7388" s="852"/>
      <c r="H7388" s="852"/>
      <c r="I7388" s="852"/>
      <c r="J7388" s="852"/>
      <c r="K7388" s="852"/>
      <c r="L7388" s="852"/>
      <c r="M7388" s="852"/>
    </row>
    <row r="7389" spans="5:13">
      <c r="E7389" s="852"/>
      <c r="F7389" s="852"/>
      <c r="G7389" s="852"/>
      <c r="H7389" s="852"/>
      <c r="I7389" s="852"/>
      <c r="J7389" s="852"/>
      <c r="K7389" s="852"/>
      <c r="L7389" s="852"/>
      <c r="M7389" s="852"/>
    </row>
    <row r="7390" spans="5:13">
      <c r="E7390" s="852"/>
      <c r="F7390" s="852"/>
      <c r="G7390" s="852"/>
      <c r="H7390" s="852"/>
      <c r="I7390" s="852"/>
      <c r="J7390" s="852"/>
      <c r="K7390" s="852"/>
      <c r="L7390" s="852"/>
      <c r="M7390" s="852"/>
    </row>
    <row r="7391" spans="5:13">
      <c r="E7391" s="852"/>
      <c r="F7391" s="852"/>
      <c r="G7391" s="852"/>
      <c r="H7391" s="852"/>
      <c r="I7391" s="852"/>
      <c r="J7391" s="852"/>
      <c r="K7391" s="852"/>
      <c r="L7391" s="852"/>
      <c r="M7391" s="852"/>
    </row>
    <row r="7392" spans="5:13">
      <c r="E7392" s="852"/>
      <c r="F7392" s="852"/>
      <c r="G7392" s="852"/>
      <c r="H7392" s="852"/>
      <c r="I7392" s="852"/>
      <c r="J7392" s="852"/>
      <c r="K7392" s="852"/>
      <c r="L7392" s="852"/>
      <c r="M7392" s="852"/>
    </row>
    <row r="7393" spans="5:13">
      <c r="E7393" s="852"/>
      <c r="F7393" s="852"/>
      <c r="G7393" s="852"/>
      <c r="H7393" s="852"/>
      <c r="I7393" s="852"/>
      <c r="J7393" s="852"/>
      <c r="K7393" s="852"/>
      <c r="L7393" s="852"/>
      <c r="M7393" s="852"/>
    </row>
    <row r="7394" spans="5:13">
      <c r="E7394" s="852"/>
      <c r="F7394" s="852"/>
      <c r="G7394" s="852"/>
      <c r="H7394" s="852"/>
      <c r="I7394" s="852"/>
      <c r="J7394" s="852"/>
      <c r="K7394" s="852"/>
      <c r="L7394" s="852"/>
      <c r="M7394" s="852"/>
    </row>
    <row r="7395" spans="5:13">
      <c r="E7395" s="852"/>
      <c r="F7395" s="852"/>
      <c r="G7395" s="852"/>
      <c r="H7395" s="852"/>
      <c r="I7395" s="852"/>
      <c r="J7395" s="852"/>
      <c r="K7395" s="852"/>
      <c r="L7395" s="852"/>
      <c r="M7395" s="852"/>
    </row>
    <row r="7396" spans="5:13">
      <c r="E7396" s="852"/>
      <c r="F7396" s="852"/>
      <c r="G7396" s="852"/>
      <c r="H7396" s="852"/>
      <c r="I7396" s="852"/>
      <c r="J7396" s="852"/>
      <c r="K7396" s="852"/>
      <c r="L7396" s="852"/>
      <c r="M7396" s="852"/>
    </row>
    <row r="7397" spans="5:13">
      <c r="E7397" s="852"/>
      <c r="F7397" s="852"/>
      <c r="G7397" s="852"/>
      <c r="H7397" s="852"/>
      <c r="I7397" s="852"/>
      <c r="J7397" s="852"/>
      <c r="K7397" s="852"/>
      <c r="L7397" s="852"/>
      <c r="M7397" s="852"/>
    </row>
    <row r="7398" spans="5:13">
      <c r="E7398" s="852"/>
      <c r="F7398" s="852"/>
      <c r="G7398" s="852"/>
      <c r="H7398" s="852"/>
      <c r="I7398" s="852"/>
      <c r="J7398" s="852"/>
      <c r="K7398" s="852"/>
      <c r="L7398" s="852"/>
      <c r="M7398" s="852"/>
    </row>
    <row r="7399" spans="5:13">
      <c r="E7399" s="852"/>
      <c r="F7399" s="852"/>
      <c r="G7399" s="852"/>
      <c r="H7399" s="852"/>
      <c r="I7399" s="852"/>
      <c r="J7399" s="852"/>
      <c r="K7399" s="852"/>
      <c r="L7399" s="852"/>
      <c r="M7399" s="852"/>
    </row>
    <row r="7400" spans="5:13">
      <c r="E7400" s="852"/>
      <c r="F7400" s="852"/>
      <c r="G7400" s="852"/>
      <c r="H7400" s="852"/>
      <c r="I7400" s="852"/>
      <c r="J7400" s="852"/>
      <c r="K7400" s="852"/>
      <c r="L7400" s="852"/>
      <c r="M7400" s="852"/>
    </row>
    <row r="7401" spans="5:13">
      <c r="E7401" s="852"/>
      <c r="F7401" s="852"/>
      <c r="G7401" s="852"/>
      <c r="H7401" s="852"/>
      <c r="I7401" s="852"/>
      <c r="J7401" s="852"/>
      <c r="K7401" s="852"/>
      <c r="L7401" s="852"/>
      <c r="M7401" s="852"/>
    </row>
    <row r="7402" spans="5:13">
      <c r="E7402" s="852"/>
      <c r="F7402" s="852"/>
      <c r="G7402" s="852"/>
      <c r="H7402" s="852"/>
      <c r="I7402" s="852"/>
      <c r="J7402" s="852"/>
      <c r="K7402" s="852"/>
      <c r="L7402" s="852"/>
      <c r="M7402" s="852"/>
    </row>
    <row r="7403" spans="5:13">
      <c r="E7403" s="852"/>
      <c r="F7403" s="852"/>
      <c r="G7403" s="852"/>
      <c r="H7403" s="852"/>
      <c r="I7403" s="852"/>
      <c r="J7403" s="852"/>
      <c r="K7403" s="852"/>
      <c r="L7403" s="852"/>
      <c r="M7403" s="852"/>
    </row>
    <row r="7404" spans="5:13">
      <c r="E7404" s="852"/>
      <c r="F7404" s="852"/>
      <c r="G7404" s="852"/>
      <c r="H7404" s="852"/>
      <c r="I7404" s="852"/>
      <c r="J7404" s="852"/>
      <c r="K7404" s="852"/>
      <c r="L7404" s="852"/>
      <c r="M7404" s="852"/>
    </row>
    <row r="7405" spans="5:13">
      <c r="E7405" s="852"/>
      <c r="F7405" s="852"/>
      <c r="G7405" s="852"/>
      <c r="H7405" s="852"/>
      <c r="I7405" s="852"/>
      <c r="J7405" s="852"/>
      <c r="K7405" s="852"/>
      <c r="L7405" s="852"/>
      <c r="M7405" s="852"/>
    </row>
    <row r="7406" spans="5:13">
      <c r="E7406" s="852"/>
      <c r="F7406" s="852"/>
      <c r="G7406" s="852"/>
      <c r="H7406" s="852"/>
      <c r="I7406" s="852"/>
      <c r="J7406" s="852"/>
      <c r="K7406" s="852"/>
      <c r="L7406" s="852"/>
      <c r="M7406" s="852"/>
    </row>
    <row r="7407" spans="5:13">
      <c r="E7407" s="852"/>
      <c r="F7407" s="852"/>
      <c r="G7407" s="852"/>
      <c r="H7407" s="852"/>
      <c r="I7407" s="852"/>
      <c r="J7407" s="852"/>
      <c r="K7407" s="852"/>
      <c r="L7407" s="852"/>
      <c r="M7407" s="852"/>
    </row>
    <row r="7408" spans="5:13">
      <c r="E7408" s="852"/>
      <c r="F7408" s="852"/>
      <c r="G7408" s="852"/>
      <c r="H7408" s="852"/>
      <c r="I7408" s="852"/>
      <c r="J7408" s="852"/>
      <c r="K7408" s="852"/>
      <c r="L7408" s="852"/>
      <c r="M7408" s="852"/>
    </row>
    <row r="7409" spans="5:13">
      <c r="E7409" s="852"/>
      <c r="F7409" s="852"/>
      <c r="G7409" s="852"/>
      <c r="H7409" s="852"/>
      <c r="I7409" s="852"/>
      <c r="J7409" s="852"/>
      <c r="K7409" s="852"/>
      <c r="L7409" s="852"/>
      <c r="M7409" s="852"/>
    </row>
    <row r="7410" spans="5:13">
      <c r="E7410" s="852"/>
      <c r="F7410" s="852"/>
      <c r="G7410" s="852"/>
      <c r="H7410" s="852"/>
      <c r="I7410" s="852"/>
      <c r="J7410" s="852"/>
      <c r="K7410" s="852"/>
      <c r="L7410" s="852"/>
      <c r="M7410" s="852"/>
    </row>
    <row r="7411" spans="5:13">
      <c r="E7411" s="852"/>
      <c r="F7411" s="852"/>
      <c r="G7411" s="852"/>
      <c r="H7411" s="852"/>
      <c r="I7411" s="852"/>
      <c r="J7411" s="852"/>
      <c r="K7411" s="852"/>
      <c r="L7411" s="852"/>
      <c r="M7411" s="852"/>
    </row>
    <row r="7412" spans="5:13">
      <c r="E7412" s="852"/>
      <c r="F7412" s="852"/>
      <c r="G7412" s="852"/>
      <c r="H7412" s="852"/>
      <c r="I7412" s="852"/>
      <c r="J7412" s="852"/>
      <c r="K7412" s="852"/>
      <c r="L7412" s="852"/>
      <c r="M7412" s="852"/>
    </row>
    <row r="7413" spans="5:13">
      <c r="E7413" s="852"/>
      <c r="F7413" s="852"/>
      <c r="G7413" s="852"/>
      <c r="H7413" s="852"/>
      <c r="I7413" s="852"/>
      <c r="J7413" s="852"/>
      <c r="K7413" s="852"/>
      <c r="L7413" s="852"/>
      <c r="M7413" s="852"/>
    </row>
    <row r="7414" spans="5:13">
      <c r="E7414" s="852"/>
      <c r="F7414" s="852"/>
      <c r="G7414" s="852"/>
      <c r="H7414" s="852"/>
      <c r="I7414" s="852"/>
      <c r="J7414" s="852"/>
      <c r="K7414" s="852"/>
      <c r="L7414" s="852"/>
      <c r="M7414" s="852"/>
    </row>
    <row r="7415" spans="5:13">
      <c r="E7415" s="852"/>
      <c r="F7415" s="852"/>
      <c r="G7415" s="852"/>
      <c r="H7415" s="852"/>
      <c r="I7415" s="852"/>
      <c r="J7415" s="852"/>
      <c r="K7415" s="852"/>
      <c r="L7415" s="852"/>
      <c r="M7415" s="852"/>
    </row>
    <row r="7416" spans="5:13">
      <c r="E7416" s="852"/>
      <c r="F7416" s="852"/>
      <c r="G7416" s="852"/>
      <c r="H7416" s="852"/>
      <c r="I7416" s="852"/>
      <c r="J7416" s="852"/>
      <c r="K7416" s="852"/>
      <c r="L7416" s="852"/>
      <c r="M7416" s="852"/>
    </row>
    <row r="7417" spans="5:13">
      <c r="E7417" s="852"/>
      <c r="F7417" s="852"/>
      <c r="G7417" s="852"/>
      <c r="H7417" s="852"/>
      <c r="I7417" s="852"/>
      <c r="J7417" s="852"/>
      <c r="K7417" s="852"/>
      <c r="L7417" s="852"/>
      <c r="M7417" s="852"/>
    </row>
    <row r="7418" spans="5:13">
      <c r="E7418" s="852"/>
      <c r="F7418" s="852"/>
      <c r="G7418" s="852"/>
      <c r="H7418" s="852"/>
      <c r="I7418" s="852"/>
      <c r="J7418" s="852"/>
      <c r="K7418" s="852"/>
      <c r="L7418" s="852"/>
      <c r="M7418" s="852"/>
    </row>
    <row r="7419" spans="5:13">
      <c r="E7419" s="852"/>
      <c r="F7419" s="852"/>
      <c r="G7419" s="852"/>
      <c r="H7419" s="852"/>
      <c r="I7419" s="852"/>
      <c r="J7419" s="852"/>
      <c r="K7419" s="852"/>
      <c r="L7419" s="852"/>
      <c r="M7419" s="852"/>
    </row>
    <row r="7420" spans="5:13">
      <c r="E7420" s="852"/>
      <c r="F7420" s="852"/>
      <c r="G7420" s="852"/>
      <c r="H7420" s="852"/>
      <c r="I7420" s="852"/>
      <c r="J7420" s="852"/>
      <c r="K7420" s="852"/>
      <c r="L7420" s="852"/>
      <c r="M7420" s="852"/>
    </row>
    <row r="7421" spans="5:13">
      <c r="E7421" s="852"/>
      <c r="F7421" s="852"/>
      <c r="G7421" s="852"/>
      <c r="H7421" s="852"/>
      <c r="I7421" s="852"/>
      <c r="J7421" s="852"/>
      <c r="K7421" s="852"/>
      <c r="L7421" s="852"/>
      <c r="M7421" s="852"/>
    </row>
    <row r="7422" spans="5:13">
      <c r="E7422" s="852"/>
      <c r="F7422" s="852"/>
      <c r="G7422" s="852"/>
      <c r="H7422" s="852"/>
      <c r="I7422" s="852"/>
      <c r="J7422" s="852"/>
      <c r="K7422" s="852"/>
      <c r="L7422" s="852"/>
      <c r="M7422" s="852"/>
    </row>
    <row r="7423" spans="5:13">
      <c r="E7423" s="852"/>
      <c r="F7423" s="852"/>
      <c r="G7423" s="852"/>
      <c r="H7423" s="852"/>
      <c r="I7423" s="852"/>
      <c r="J7423" s="852"/>
      <c r="K7423" s="852"/>
      <c r="L7423" s="852"/>
      <c r="M7423" s="852"/>
    </row>
    <row r="7424" spans="5:13">
      <c r="E7424" s="852"/>
      <c r="F7424" s="852"/>
      <c r="G7424" s="852"/>
      <c r="H7424" s="852"/>
      <c r="I7424" s="852"/>
      <c r="J7424" s="852"/>
      <c r="K7424" s="852"/>
      <c r="L7424" s="852"/>
      <c r="M7424" s="852"/>
    </row>
    <row r="7425" spans="5:13">
      <c r="E7425" s="852"/>
      <c r="F7425" s="852"/>
      <c r="G7425" s="852"/>
      <c r="H7425" s="852"/>
      <c r="I7425" s="852"/>
      <c r="J7425" s="852"/>
      <c r="K7425" s="852"/>
      <c r="L7425" s="852"/>
      <c r="M7425" s="852"/>
    </row>
    <row r="7426" spans="5:13">
      <c r="E7426" s="852"/>
      <c r="F7426" s="852"/>
      <c r="G7426" s="852"/>
      <c r="H7426" s="852"/>
      <c r="I7426" s="852"/>
      <c r="J7426" s="852"/>
      <c r="K7426" s="852"/>
      <c r="L7426" s="852"/>
      <c r="M7426" s="852"/>
    </row>
    <row r="7427" spans="5:13">
      <c r="E7427" s="852"/>
      <c r="F7427" s="852"/>
      <c r="G7427" s="852"/>
      <c r="H7427" s="852"/>
      <c r="I7427" s="852"/>
      <c r="J7427" s="852"/>
      <c r="K7427" s="852"/>
      <c r="L7427" s="852"/>
      <c r="M7427" s="852"/>
    </row>
    <row r="7428" spans="5:13">
      <c r="E7428" s="852"/>
      <c r="F7428" s="852"/>
      <c r="G7428" s="852"/>
      <c r="H7428" s="852"/>
      <c r="I7428" s="852"/>
      <c r="J7428" s="852"/>
      <c r="K7428" s="852"/>
      <c r="L7428" s="852"/>
      <c r="M7428" s="852"/>
    </row>
    <row r="7429" spans="5:13">
      <c r="E7429" s="852"/>
      <c r="F7429" s="852"/>
      <c r="G7429" s="852"/>
      <c r="H7429" s="852"/>
      <c r="I7429" s="852"/>
      <c r="J7429" s="852"/>
      <c r="K7429" s="852"/>
      <c r="L7429" s="852"/>
      <c r="M7429" s="852"/>
    </row>
    <row r="7430" spans="5:13">
      <c r="E7430" s="852"/>
      <c r="F7430" s="852"/>
      <c r="G7430" s="852"/>
      <c r="H7430" s="852"/>
      <c r="I7430" s="852"/>
      <c r="J7430" s="852"/>
      <c r="K7430" s="852"/>
      <c r="L7430" s="852"/>
      <c r="M7430" s="852"/>
    </row>
    <row r="7431" spans="5:13">
      <c r="E7431" s="852"/>
      <c r="F7431" s="852"/>
      <c r="G7431" s="852"/>
      <c r="H7431" s="852"/>
      <c r="I7431" s="852"/>
      <c r="J7431" s="852"/>
      <c r="K7431" s="852"/>
      <c r="L7431" s="852"/>
      <c r="M7431" s="852"/>
    </row>
    <row r="7432" spans="5:13">
      <c r="E7432" s="852"/>
      <c r="F7432" s="852"/>
      <c r="G7432" s="852"/>
      <c r="H7432" s="852"/>
      <c r="I7432" s="852"/>
      <c r="J7432" s="852"/>
      <c r="K7432" s="852"/>
      <c r="L7432" s="852"/>
      <c r="M7432" s="852"/>
    </row>
    <row r="7433" spans="5:13">
      <c r="E7433" s="852"/>
      <c r="F7433" s="852"/>
      <c r="G7433" s="852"/>
      <c r="H7433" s="852"/>
      <c r="I7433" s="852"/>
      <c r="J7433" s="852"/>
      <c r="K7433" s="852"/>
      <c r="L7433" s="852"/>
      <c r="M7433" s="852"/>
    </row>
    <row r="7434" spans="5:13">
      <c r="E7434" s="852"/>
      <c r="F7434" s="852"/>
      <c r="G7434" s="852"/>
      <c r="H7434" s="852"/>
      <c r="I7434" s="852"/>
      <c r="J7434" s="852"/>
      <c r="K7434" s="852"/>
      <c r="L7434" s="852"/>
      <c r="M7434" s="852"/>
    </row>
    <row r="7435" spans="5:13">
      <c r="E7435" s="852"/>
      <c r="F7435" s="852"/>
      <c r="G7435" s="852"/>
      <c r="H7435" s="852"/>
      <c r="I7435" s="852"/>
      <c r="J7435" s="852"/>
      <c r="K7435" s="852"/>
      <c r="L7435" s="852"/>
      <c r="M7435" s="852"/>
    </row>
    <row r="7436" spans="5:13">
      <c r="E7436" s="852"/>
      <c r="F7436" s="852"/>
      <c r="G7436" s="852"/>
      <c r="H7436" s="852"/>
      <c r="I7436" s="852"/>
      <c r="J7436" s="852"/>
      <c r="K7436" s="852"/>
      <c r="L7436" s="852"/>
      <c r="M7436" s="852"/>
    </row>
    <row r="7437" spans="5:13">
      <c r="E7437" s="852"/>
      <c r="F7437" s="852"/>
      <c r="G7437" s="852"/>
      <c r="H7437" s="852"/>
      <c r="I7437" s="852"/>
      <c r="J7437" s="852"/>
      <c r="K7437" s="852"/>
      <c r="L7437" s="852"/>
      <c r="M7437" s="852"/>
    </row>
    <row r="7438" spans="5:13">
      <c r="E7438" s="852"/>
      <c r="F7438" s="852"/>
      <c r="G7438" s="852"/>
      <c r="H7438" s="852"/>
      <c r="I7438" s="852"/>
      <c r="J7438" s="852"/>
      <c r="K7438" s="852"/>
      <c r="L7438" s="852"/>
      <c r="M7438" s="852"/>
    </row>
    <row r="7439" spans="5:13">
      <c r="E7439" s="852"/>
      <c r="F7439" s="852"/>
      <c r="G7439" s="852"/>
      <c r="H7439" s="852"/>
      <c r="I7439" s="852"/>
      <c r="J7439" s="852"/>
      <c r="K7439" s="852"/>
      <c r="L7439" s="852"/>
      <c r="M7439" s="852"/>
    </row>
    <row r="7440" spans="5:13">
      <c r="E7440" s="852"/>
      <c r="F7440" s="852"/>
      <c r="G7440" s="852"/>
      <c r="H7440" s="852"/>
      <c r="I7440" s="852"/>
      <c r="J7440" s="852"/>
      <c r="K7440" s="852"/>
      <c r="L7440" s="852"/>
      <c r="M7440" s="852"/>
    </row>
    <row r="7441" spans="5:13">
      <c r="E7441" s="852"/>
      <c r="F7441" s="852"/>
      <c r="G7441" s="852"/>
      <c r="H7441" s="852"/>
      <c r="I7441" s="852"/>
      <c r="J7441" s="852"/>
      <c r="K7441" s="852"/>
      <c r="L7441" s="852"/>
      <c r="M7441" s="852"/>
    </row>
    <row r="7442" spans="5:13">
      <c r="E7442" s="852"/>
      <c r="F7442" s="852"/>
      <c r="G7442" s="852"/>
      <c r="H7442" s="852"/>
      <c r="I7442" s="852"/>
      <c r="J7442" s="852"/>
      <c r="K7442" s="852"/>
      <c r="L7442" s="852"/>
      <c r="M7442" s="852"/>
    </row>
    <row r="7443" spans="5:13">
      <c r="E7443" s="852"/>
      <c r="F7443" s="852"/>
      <c r="G7443" s="852"/>
      <c r="H7443" s="852"/>
      <c r="I7443" s="852"/>
      <c r="J7443" s="852"/>
      <c r="K7443" s="852"/>
      <c r="L7443" s="852"/>
      <c r="M7443" s="852"/>
    </row>
    <row r="7444" spans="5:13">
      <c r="E7444" s="852"/>
      <c r="F7444" s="852"/>
      <c r="G7444" s="852"/>
      <c r="H7444" s="852"/>
      <c r="I7444" s="852"/>
      <c r="J7444" s="852"/>
      <c r="K7444" s="852"/>
      <c r="L7444" s="852"/>
      <c r="M7444" s="852"/>
    </row>
    <row r="7445" spans="5:13">
      <c r="E7445" s="852"/>
      <c r="F7445" s="852"/>
      <c r="G7445" s="852"/>
      <c r="H7445" s="852"/>
      <c r="I7445" s="852"/>
      <c r="J7445" s="852"/>
      <c r="K7445" s="852"/>
      <c r="L7445" s="852"/>
      <c r="M7445" s="852"/>
    </row>
    <row r="7446" spans="5:13">
      <c r="E7446" s="852"/>
      <c r="F7446" s="852"/>
      <c r="G7446" s="852"/>
      <c r="H7446" s="852"/>
      <c r="I7446" s="852"/>
      <c r="J7446" s="852"/>
      <c r="K7446" s="852"/>
      <c r="L7446" s="852"/>
      <c r="M7446" s="852"/>
    </row>
    <row r="7447" spans="5:13">
      <c r="E7447" s="852"/>
      <c r="F7447" s="852"/>
      <c r="G7447" s="852"/>
      <c r="H7447" s="852"/>
      <c r="I7447" s="852"/>
      <c r="J7447" s="852"/>
      <c r="K7447" s="852"/>
      <c r="L7447" s="852"/>
      <c r="M7447" s="852"/>
    </row>
    <row r="7448" spans="5:13">
      <c r="E7448" s="852"/>
      <c r="F7448" s="852"/>
      <c r="G7448" s="852"/>
      <c r="H7448" s="852"/>
      <c r="I7448" s="852"/>
      <c r="J7448" s="852"/>
      <c r="K7448" s="852"/>
      <c r="L7448" s="852"/>
      <c r="M7448" s="852"/>
    </row>
    <row r="7449" spans="5:13">
      <c r="E7449" s="852"/>
      <c r="F7449" s="852"/>
      <c r="G7449" s="852"/>
      <c r="H7449" s="852"/>
      <c r="I7449" s="852"/>
      <c r="J7449" s="852"/>
      <c r="K7449" s="852"/>
      <c r="L7449" s="852"/>
      <c r="M7449" s="852"/>
    </row>
    <row r="7450" spans="5:13">
      <c r="E7450" s="852"/>
      <c r="F7450" s="852"/>
      <c r="G7450" s="852"/>
      <c r="H7450" s="852"/>
      <c r="I7450" s="852"/>
      <c r="J7450" s="852"/>
      <c r="K7450" s="852"/>
      <c r="L7450" s="852"/>
      <c r="M7450" s="852"/>
    </row>
    <row r="7451" spans="5:13">
      <c r="E7451" s="852"/>
      <c r="F7451" s="852"/>
      <c r="G7451" s="852"/>
      <c r="H7451" s="852"/>
      <c r="I7451" s="852"/>
      <c r="J7451" s="852"/>
      <c r="K7451" s="852"/>
      <c r="L7451" s="852"/>
      <c r="M7451" s="852"/>
    </row>
    <row r="7452" spans="5:13">
      <c r="E7452" s="852"/>
      <c r="F7452" s="852"/>
      <c r="G7452" s="852"/>
      <c r="H7452" s="852"/>
      <c r="I7452" s="852"/>
      <c r="J7452" s="852"/>
      <c r="K7452" s="852"/>
      <c r="L7452" s="852"/>
      <c r="M7452" s="852"/>
    </row>
    <row r="7453" spans="5:13">
      <c r="E7453" s="852"/>
      <c r="F7453" s="852"/>
      <c r="G7453" s="852"/>
      <c r="H7453" s="852"/>
      <c r="I7453" s="852"/>
      <c r="J7453" s="852"/>
      <c r="K7453" s="852"/>
      <c r="L7453" s="852"/>
      <c r="M7453" s="852"/>
    </row>
    <row r="7454" spans="5:13">
      <c r="E7454" s="852"/>
      <c r="F7454" s="852"/>
      <c r="G7454" s="852"/>
      <c r="H7454" s="852"/>
      <c r="I7454" s="852"/>
      <c r="J7454" s="852"/>
      <c r="K7454" s="852"/>
      <c r="L7454" s="852"/>
      <c r="M7454" s="852"/>
    </row>
    <row r="7455" spans="5:13">
      <c r="E7455" s="852"/>
      <c r="F7455" s="852"/>
      <c r="G7455" s="852"/>
      <c r="H7455" s="852"/>
      <c r="I7455" s="852"/>
      <c r="J7455" s="852"/>
      <c r="K7455" s="852"/>
      <c r="L7455" s="852"/>
      <c r="M7455" s="852"/>
    </row>
    <row r="7456" spans="5:13">
      <c r="E7456" s="852"/>
      <c r="F7456" s="852"/>
      <c r="G7456" s="852"/>
      <c r="H7456" s="852"/>
      <c r="I7456" s="852"/>
      <c r="J7456" s="852"/>
      <c r="K7456" s="852"/>
      <c r="L7456" s="852"/>
      <c r="M7456" s="852"/>
    </row>
    <row r="7457" spans="5:13">
      <c r="E7457" s="852"/>
      <c r="F7457" s="852"/>
      <c r="G7457" s="852"/>
      <c r="H7457" s="852"/>
      <c r="I7457" s="852"/>
      <c r="J7457" s="852"/>
      <c r="K7457" s="852"/>
      <c r="L7457" s="852"/>
      <c r="M7457" s="852"/>
    </row>
    <row r="7458" spans="5:13">
      <c r="E7458" s="852"/>
      <c r="F7458" s="852"/>
      <c r="G7458" s="852"/>
      <c r="H7458" s="852"/>
      <c r="I7458" s="852"/>
      <c r="J7458" s="852"/>
      <c r="K7458" s="852"/>
      <c r="L7458" s="852"/>
      <c r="M7458" s="852"/>
    </row>
    <row r="7459" spans="5:13">
      <c r="E7459" s="852"/>
      <c r="F7459" s="852"/>
      <c r="G7459" s="852"/>
      <c r="H7459" s="852"/>
      <c r="I7459" s="852"/>
      <c r="J7459" s="852"/>
      <c r="K7459" s="852"/>
      <c r="L7459" s="852"/>
      <c r="M7459" s="852"/>
    </row>
    <row r="7460" spans="5:13">
      <c r="E7460" s="852"/>
      <c r="F7460" s="852"/>
      <c r="G7460" s="852"/>
      <c r="H7460" s="852"/>
      <c r="I7460" s="852"/>
      <c r="J7460" s="852"/>
      <c r="K7460" s="852"/>
      <c r="L7460" s="852"/>
      <c r="M7460" s="852"/>
    </row>
    <row r="7461" spans="5:13">
      <c r="E7461" s="852"/>
      <c r="F7461" s="852"/>
      <c r="G7461" s="852"/>
      <c r="H7461" s="852"/>
      <c r="I7461" s="852"/>
      <c r="J7461" s="852"/>
      <c r="K7461" s="852"/>
      <c r="L7461" s="852"/>
      <c r="M7461" s="852"/>
    </row>
    <row r="7462" spans="5:13">
      <c r="E7462" s="852"/>
      <c r="F7462" s="852"/>
      <c r="G7462" s="852"/>
      <c r="H7462" s="852"/>
      <c r="I7462" s="852"/>
      <c r="J7462" s="852"/>
      <c r="K7462" s="852"/>
      <c r="L7462" s="852"/>
      <c r="M7462" s="852"/>
    </row>
    <row r="7463" spans="5:13">
      <c r="E7463" s="852"/>
      <c r="F7463" s="852"/>
      <c r="G7463" s="852"/>
      <c r="H7463" s="852"/>
      <c r="I7463" s="852"/>
      <c r="J7463" s="852"/>
      <c r="K7463" s="852"/>
      <c r="L7463" s="852"/>
      <c r="M7463" s="852"/>
    </row>
    <row r="7464" spans="5:13">
      <c r="E7464" s="852"/>
      <c r="F7464" s="852"/>
      <c r="G7464" s="852"/>
      <c r="H7464" s="852"/>
      <c r="I7464" s="852"/>
      <c r="J7464" s="852"/>
      <c r="K7464" s="852"/>
      <c r="L7464" s="852"/>
      <c r="M7464" s="852"/>
    </row>
    <row r="7465" spans="5:13">
      <c r="E7465" s="852"/>
      <c r="F7465" s="852"/>
      <c r="G7465" s="852"/>
      <c r="H7465" s="852"/>
      <c r="I7465" s="852"/>
      <c r="J7465" s="852"/>
      <c r="K7465" s="852"/>
      <c r="L7465" s="852"/>
      <c r="M7465" s="852"/>
    </row>
    <row r="7466" spans="5:13">
      <c r="E7466" s="852"/>
      <c r="F7466" s="852"/>
      <c r="G7466" s="852"/>
      <c r="H7466" s="852"/>
      <c r="I7466" s="852"/>
      <c r="J7466" s="852"/>
      <c r="K7466" s="852"/>
      <c r="L7466" s="852"/>
      <c r="M7466" s="852"/>
    </row>
    <row r="7467" spans="5:13">
      <c r="E7467" s="852"/>
      <c r="F7467" s="852"/>
      <c r="G7467" s="852"/>
      <c r="H7467" s="852"/>
      <c r="I7467" s="852"/>
      <c r="J7467" s="852"/>
      <c r="K7467" s="852"/>
      <c r="L7467" s="852"/>
      <c r="M7467" s="852"/>
    </row>
    <row r="7468" spans="5:13">
      <c r="E7468" s="852"/>
      <c r="F7468" s="852"/>
      <c r="G7468" s="852"/>
      <c r="H7468" s="852"/>
      <c r="I7468" s="852"/>
      <c r="J7468" s="852"/>
      <c r="K7468" s="852"/>
      <c r="L7468" s="852"/>
      <c r="M7468" s="852"/>
    </row>
    <row r="7469" spans="5:13">
      <c r="E7469" s="852"/>
      <c r="F7469" s="852"/>
      <c r="G7469" s="852"/>
      <c r="H7469" s="852"/>
      <c r="I7469" s="852"/>
      <c r="J7469" s="852"/>
      <c r="K7469" s="852"/>
      <c r="L7469" s="852"/>
      <c r="M7469" s="852"/>
    </row>
    <row r="7470" spans="5:13">
      <c r="E7470" s="852"/>
      <c r="F7470" s="852"/>
      <c r="G7470" s="852"/>
      <c r="H7470" s="852"/>
      <c r="I7470" s="852"/>
      <c r="J7470" s="852"/>
      <c r="K7470" s="852"/>
      <c r="L7470" s="852"/>
      <c r="M7470" s="852"/>
    </row>
    <row r="7471" spans="5:13">
      <c r="E7471" s="852"/>
      <c r="F7471" s="852"/>
      <c r="G7471" s="852"/>
      <c r="H7471" s="852"/>
      <c r="I7471" s="852"/>
      <c r="J7471" s="852"/>
      <c r="K7471" s="852"/>
      <c r="L7471" s="852"/>
      <c r="M7471" s="852"/>
    </row>
    <row r="7472" spans="5:13">
      <c r="E7472" s="852"/>
      <c r="F7472" s="852"/>
      <c r="G7472" s="852"/>
      <c r="H7472" s="852"/>
      <c r="I7472" s="852"/>
      <c r="J7472" s="852"/>
      <c r="K7472" s="852"/>
      <c r="L7472" s="852"/>
      <c r="M7472" s="852"/>
    </row>
    <row r="7473" spans="5:13">
      <c r="E7473" s="852"/>
      <c r="F7473" s="852"/>
      <c r="G7473" s="852"/>
      <c r="H7473" s="852"/>
      <c r="I7473" s="852"/>
      <c r="J7473" s="852"/>
      <c r="K7473" s="852"/>
      <c r="L7473" s="852"/>
      <c r="M7473" s="852"/>
    </row>
    <row r="7474" spans="5:13">
      <c r="E7474" s="852"/>
      <c r="F7474" s="852"/>
      <c r="G7474" s="852"/>
      <c r="H7474" s="852"/>
      <c r="I7474" s="852"/>
      <c r="J7474" s="852"/>
      <c r="K7474" s="852"/>
      <c r="L7474" s="852"/>
      <c r="M7474" s="852"/>
    </row>
    <row r="7475" spans="5:13">
      <c r="E7475" s="852"/>
      <c r="F7475" s="852"/>
      <c r="G7475" s="852"/>
      <c r="H7475" s="852"/>
      <c r="I7475" s="852"/>
      <c r="J7475" s="852"/>
      <c r="K7475" s="852"/>
      <c r="L7475" s="852"/>
      <c r="M7475" s="852"/>
    </row>
    <row r="7476" spans="5:13">
      <c r="E7476" s="852"/>
      <c r="F7476" s="852"/>
      <c r="G7476" s="852"/>
      <c r="H7476" s="852"/>
      <c r="I7476" s="852"/>
      <c r="J7476" s="852"/>
      <c r="K7476" s="852"/>
      <c r="L7476" s="852"/>
      <c r="M7476" s="852"/>
    </row>
    <row r="7477" spans="5:13">
      <c r="E7477" s="852"/>
      <c r="F7477" s="852"/>
      <c r="G7477" s="852"/>
      <c r="H7477" s="852"/>
      <c r="I7477" s="852"/>
      <c r="J7477" s="852"/>
      <c r="K7477" s="852"/>
      <c r="L7477" s="852"/>
      <c r="M7477" s="852"/>
    </row>
    <row r="7478" spans="5:13">
      <c r="E7478" s="852"/>
      <c r="F7478" s="852"/>
      <c r="G7478" s="852"/>
      <c r="H7478" s="852"/>
      <c r="I7478" s="852"/>
      <c r="J7478" s="852"/>
      <c r="K7478" s="852"/>
      <c r="L7478" s="852"/>
      <c r="M7478" s="852"/>
    </row>
    <row r="7479" spans="5:13">
      <c r="E7479" s="852"/>
      <c r="F7479" s="852"/>
      <c r="G7479" s="852"/>
      <c r="H7479" s="852"/>
      <c r="I7479" s="852"/>
      <c r="J7479" s="852"/>
      <c r="K7479" s="852"/>
      <c r="L7479" s="852"/>
      <c r="M7479" s="852"/>
    </row>
    <row r="7480" spans="5:13">
      <c r="E7480" s="852"/>
      <c r="F7480" s="852"/>
      <c r="G7480" s="852"/>
      <c r="H7480" s="852"/>
      <c r="I7480" s="852"/>
      <c r="J7480" s="852"/>
      <c r="K7480" s="852"/>
      <c r="L7480" s="852"/>
      <c r="M7480" s="852"/>
    </row>
    <row r="7481" spans="5:13">
      <c r="E7481" s="852"/>
      <c r="F7481" s="852"/>
      <c r="G7481" s="852"/>
      <c r="H7481" s="852"/>
      <c r="I7481" s="852"/>
      <c r="J7481" s="852"/>
      <c r="K7481" s="852"/>
      <c r="L7481" s="852"/>
      <c r="M7481" s="852"/>
    </row>
    <row r="7482" spans="5:13">
      <c r="E7482" s="852"/>
      <c r="F7482" s="852"/>
      <c r="G7482" s="852"/>
      <c r="H7482" s="852"/>
      <c r="I7482" s="852"/>
      <c r="J7482" s="852"/>
      <c r="K7482" s="852"/>
      <c r="L7482" s="852"/>
      <c r="M7482" s="852"/>
    </row>
    <row r="7483" spans="5:13">
      <c r="E7483" s="852"/>
      <c r="F7483" s="852"/>
      <c r="G7483" s="852"/>
      <c r="H7483" s="852"/>
      <c r="I7483" s="852"/>
      <c r="J7483" s="852"/>
      <c r="K7483" s="852"/>
      <c r="L7483" s="852"/>
      <c r="M7483" s="852"/>
    </row>
    <row r="7484" spans="5:13">
      <c r="E7484" s="852"/>
      <c r="F7484" s="852"/>
      <c r="G7484" s="852"/>
      <c r="H7484" s="852"/>
      <c r="I7484" s="852"/>
      <c r="J7484" s="852"/>
      <c r="K7484" s="852"/>
      <c r="L7484" s="852"/>
      <c r="M7484" s="852"/>
    </row>
    <row r="7485" spans="5:13">
      <c r="E7485" s="852"/>
      <c r="F7485" s="852"/>
      <c r="G7485" s="852"/>
      <c r="H7485" s="852"/>
      <c r="I7485" s="852"/>
      <c r="J7485" s="852"/>
      <c r="K7485" s="852"/>
      <c r="L7485" s="852"/>
      <c r="M7485" s="852"/>
    </row>
    <row r="7486" spans="5:13">
      <c r="E7486" s="852"/>
      <c r="F7486" s="852"/>
      <c r="G7486" s="852"/>
      <c r="H7486" s="852"/>
      <c r="I7486" s="852"/>
      <c r="J7486" s="852"/>
      <c r="K7486" s="852"/>
      <c r="L7486" s="852"/>
      <c r="M7486" s="852"/>
    </row>
    <row r="7487" spans="5:13">
      <c r="E7487" s="852"/>
      <c r="F7487" s="852"/>
      <c r="G7487" s="852"/>
      <c r="H7487" s="852"/>
      <c r="I7487" s="852"/>
      <c r="J7487" s="852"/>
      <c r="K7487" s="852"/>
      <c r="L7487" s="852"/>
      <c r="M7487" s="852"/>
    </row>
    <row r="7488" spans="5:13">
      <c r="E7488" s="852"/>
      <c r="F7488" s="852"/>
      <c r="G7488" s="852"/>
      <c r="H7488" s="852"/>
      <c r="I7488" s="852"/>
      <c r="J7488" s="852"/>
      <c r="K7488" s="852"/>
      <c r="L7488" s="852"/>
      <c r="M7488" s="852"/>
    </row>
    <row r="7489" spans="5:13">
      <c r="E7489" s="852"/>
      <c r="F7489" s="852"/>
      <c r="G7489" s="852"/>
      <c r="H7489" s="852"/>
      <c r="I7489" s="852"/>
      <c r="J7489" s="852"/>
      <c r="K7489" s="852"/>
      <c r="L7489" s="852"/>
      <c r="M7489" s="852"/>
    </row>
    <row r="7490" spans="5:13">
      <c r="E7490" s="852"/>
      <c r="F7490" s="852"/>
      <c r="G7490" s="852"/>
      <c r="H7490" s="852"/>
      <c r="I7490" s="852"/>
      <c r="J7490" s="852"/>
      <c r="K7490" s="852"/>
      <c r="L7490" s="852"/>
      <c r="M7490" s="852"/>
    </row>
    <row r="7491" spans="5:13">
      <c r="E7491" s="852"/>
      <c r="F7491" s="852"/>
      <c r="G7491" s="852"/>
      <c r="H7491" s="852"/>
      <c r="I7491" s="852"/>
      <c r="J7491" s="852"/>
      <c r="K7491" s="852"/>
      <c r="L7491" s="852"/>
      <c r="M7491" s="852"/>
    </row>
    <row r="7492" spans="5:13">
      <c r="E7492" s="852"/>
      <c r="F7492" s="852"/>
      <c r="G7492" s="852"/>
      <c r="H7492" s="852"/>
      <c r="I7492" s="852"/>
      <c r="J7492" s="852"/>
      <c r="K7492" s="852"/>
      <c r="L7492" s="852"/>
      <c r="M7492" s="852"/>
    </row>
    <row r="7493" spans="5:13">
      <c r="E7493" s="852"/>
      <c r="F7493" s="852"/>
      <c r="G7493" s="852"/>
      <c r="H7493" s="852"/>
      <c r="I7493" s="852"/>
      <c r="J7493" s="852"/>
      <c r="K7493" s="852"/>
      <c r="L7493" s="852"/>
      <c r="M7493" s="852"/>
    </row>
    <row r="7494" spans="5:13">
      <c r="E7494" s="852"/>
      <c r="F7494" s="852"/>
      <c r="G7494" s="852"/>
      <c r="H7494" s="852"/>
      <c r="I7494" s="852"/>
      <c r="J7494" s="852"/>
      <c r="K7494" s="852"/>
      <c r="L7494" s="852"/>
      <c r="M7494" s="852"/>
    </row>
    <row r="7495" spans="5:13">
      <c r="E7495" s="852"/>
      <c r="F7495" s="852"/>
      <c r="G7495" s="852"/>
      <c r="H7495" s="852"/>
      <c r="I7495" s="852"/>
      <c r="J7495" s="852"/>
      <c r="K7495" s="852"/>
      <c r="L7495" s="852"/>
      <c r="M7495" s="852"/>
    </row>
    <row r="7496" spans="5:13">
      <c r="E7496" s="852"/>
      <c r="F7496" s="852"/>
      <c r="G7496" s="852"/>
      <c r="H7496" s="852"/>
      <c r="I7496" s="852"/>
      <c r="J7496" s="852"/>
      <c r="K7496" s="852"/>
      <c r="L7496" s="852"/>
      <c r="M7496" s="852"/>
    </row>
    <row r="7497" spans="5:13">
      <c r="E7497" s="852"/>
      <c r="F7497" s="852"/>
      <c r="G7497" s="852"/>
      <c r="H7497" s="852"/>
      <c r="I7497" s="852"/>
      <c r="J7497" s="852"/>
      <c r="K7497" s="852"/>
      <c r="L7497" s="852"/>
      <c r="M7497" s="852"/>
    </row>
    <row r="7498" spans="5:13">
      <c r="E7498" s="852"/>
      <c r="F7498" s="852"/>
      <c r="G7498" s="852"/>
      <c r="H7498" s="852"/>
      <c r="I7498" s="852"/>
      <c r="J7498" s="852"/>
      <c r="K7498" s="852"/>
      <c r="L7498" s="852"/>
      <c r="M7498" s="852"/>
    </row>
    <row r="7499" spans="5:13">
      <c r="E7499" s="852"/>
      <c r="F7499" s="852"/>
      <c r="G7499" s="852"/>
      <c r="H7499" s="852"/>
      <c r="I7499" s="852"/>
      <c r="J7499" s="852"/>
      <c r="K7499" s="852"/>
      <c r="L7499" s="852"/>
      <c r="M7499" s="852"/>
    </row>
    <row r="7500" spans="5:13">
      <c r="E7500" s="852"/>
      <c r="F7500" s="852"/>
      <c r="G7500" s="852"/>
      <c r="H7500" s="852"/>
      <c r="I7500" s="852"/>
      <c r="J7500" s="852"/>
      <c r="K7500" s="852"/>
      <c r="L7500" s="852"/>
      <c r="M7500" s="852"/>
    </row>
    <row r="7501" spans="5:13">
      <c r="E7501" s="852"/>
      <c r="F7501" s="852"/>
      <c r="G7501" s="852"/>
      <c r="H7501" s="852"/>
      <c r="I7501" s="852"/>
      <c r="J7501" s="852"/>
      <c r="K7501" s="852"/>
      <c r="L7501" s="852"/>
      <c r="M7501" s="852"/>
    </row>
    <row r="7502" spans="5:13">
      <c r="E7502" s="852"/>
      <c r="F7502" s="852"/>
      <c r="G7502" s="852"/>
      <c r="H7502" s="852"/>
      <c r="I7502" s="852"/>
      <c r="J7502" s="852"/>
      <c r="K7502" s="852"/>
      <c r="L7502" s="852"/>
      <c r="M7502" s="852"/>
    </row>
    <row r="7503" spans="5:13">
      <c r="E7503" s="852"/>
      <c r="F7503" s="852"/>
      <c r="G7503" s="852"/>
      <c r="H7503" s="852"/>
      <c r="I7503" s="852"/>
      <c r="J7503" s="852"/>
      <c r="K7503" s="852"/>
      <c r="L7503" s="852"/>
      <c r="M7503" s="852"/>
    </row>
    <row r="7504" spans="5:13">
      <c r="E7504" s="852"/>
      <c r="F7504" s="852"/>
      <c r="G7504" s="852"/>
      <c r="H7504" s="852"/>
      <c r="I7504" s="852"/>
      <c r="J7504" s="852"/>
      <c r="K7504" s="852"/>
      <c r="L7504" s="852"/>
      <c r="M7504" s="852"/>
    </row>
    <row r="7505" spans="5:13">
      <c r="E7505" s="852"/>
      <c r="F7505" s="852"/>
      <c r="G7505" s="852"/>
      <c r="H7505" s="852"/>
      <c r="I7505" s="852"/>
      <c r="J7505" s="852"/>
      <c r="K7505" s="852"/>
      <c r="L7505" s="852"/>
      <c r="M7505" s="852"/>
    </row>
    <row r="7506" spans="5:13">
      <c r="E7506" s="852"/>
      <c r="F7506" s="852"/>
      <c r="G7506" s="852"/>
      <c r="H7506" s="852"/>
      <c r="I7506" s="852"/>
      <c r="J7506" s="852"/>
      <c r="K7506" s="852"/>
      <c r="L7506" s="852"/>
      <c r="M7506" s="852"/>
    </row>
    <row r="7507" spans="5:13">
      <c r="E7507" s="852"/>
      <c r="F7507" s="852"/>
      <c r="G7507" s="852"/>
      <c r="H7507" s="852"/>
      <c r="I7507" s="852"/>
      <c r="J7507" s="852"/>
      <c r="K7507" s="852"/>
      <c r="L7507" s="852"/>
      <c r="M7507" s="852"/>
    </row>
    <row r="7508" spans="5:13">
      <c r="E7508" s="852"/>
      <c r="F7508" s="852"/>
      <c r="G7508" s="852"/>
      <c r="H7508" s="852"/>
      <c r="I7508" s="852"/>
      <c r="J7508" s="852"/>
      <c r="K7508" s="852"/>
      <c r="L7508" s="852"/>
      <c r="M7508" s="852"/>
    </row>
    <row r="7509" spans="5:13">
      <c r="E7509" s="852"/>
      <c r="F7509" s="852"/>
      <c r="G7509" s="852"/>
      <c r="H7509" s="852"/>
      <c r="I7509" s="852"/>
      <c r="J7509" s="852"/>
      <c r="K7509" s="852"/>
      <c r="L7509" s="852"/>
      <c r="M7509" s="852"/>
    </row>
    <row r="7510" spans="5:13">
      <c r="E7510" s="852"/>
      <c r="F7510" s="852"/>
      <c r="G7510" s="852"/>
      <c r="H7510" s="852"/>
      <c r="I7510" s="852"/>
      <c r="J7510" s="852"/>
      <c r="K7510" s="852"/>
      <c r="L7510" s="852"/>
      <c r="M7510" s="852"/>
    </row>
    <row r="7511" spans="5:13">
      <c r="E7511" s="852"/>
      <c r="F7511" s="852"/>
      <c r="G7511" s="852"/>
      <c r="H7511" s="852"/>
      <c r="I7511" s="852"/>
      <c r="J7511" s="852"/>
      <c r="K7511" s="852"/>
      <c r="L7511" s="852"/>
      <c r="M7511" s="852"/>
    </row>
    <row r="7512" spans="5:13">
      <c r="E7512" s="852"/>
      <c r="F7512" s="852"/>
      <c r="G7512" s="852"/>
      <c r="H7512" s="852"/>
      <c r="I7512" s="852"/>
      <c r="J7512" s="852"/>
      <c r="K7512" s="852"/>
      <c r="L7512" s="852"/>
      <c r="M7512" s="852"/>
    </row>
    <row r="7513" spans="5:13">
      <c r="E7513" s="852"/>
      <c r="F7513" s="852"/>
      <c r="G7513" s="852"/>
      <c r="H7513" s="852"/>
      <c r="I7513" s="852"/>
      <c r="J7513" s="852"/>
      <c r="K7513" s="852"/>
      <c r="L7513" s="852"/>
      <c r="M7513" s="852"/>
    </row>
    <row r="7514" spans="5:13">
      <c r="E7514" s="852"/>
      <c r="F7514" s="852"/>
      <c r="G7514" s="852"/>
      <c r="H7514" s="852"/>
      <c r="I7514" s="852"/>
      <c r="J7514" s="852"/>
      <c r="K7514" s="852"/>
      <c r="L7514" s="852"/>
      <c r="M7514" s="852"/>
    </row>
    <row r="7515" spans="5:13">
      <c r="E7515" s="852"/>
      <c r="F7515" s="852"/>
      <c r="G7515" s="852"/>
      <c r="H7515" s="852"/>
      <c r="I7515" s="852"/>
      <c r="J7515" s="852"/>
      <c r="K7515" s="852"/>
      <c r="L7515" s="852"/>
      <c r="M7515" s="852"/>
    </row>
    <row r="7516" spans="5:13">
      <c r="E7516" s="852"/>
      <c r="F7516" s="852"/>
      <c r="G7516" s="852"/>
      <c r="H7516" s="852"/>
      <c r="I7516" s="852"/>
      <c r="J7516" s="852"/>
      <c r="K7516" s="852"/>
      <c r="L7516" s="852"/>
      <c r="M7516" s="852"/>
    </row>
    <row r="7517" spans="5:13">
      <c r="E7517" s="852"/>
      <c r="F7517" s="852"/>
      <c r="G7517" s="852"/>
      <c r="H7517" s="852"/>
      <c r="I7517" s="852"/>
      <c r="J7517" s="852"/>
      <c r="K7517" s="852"/>
      <c r="L7517" s="852"/>
      <c r="M7517" s="852"/>
    </row>
    <row r="7518" spans="5:13">
      <c r="E7518" s="852"/>
      <c r="F7518" s="852"/>
      <c r="G7518" s="852"/>
      <c r="H7518" s="852"/>
      <c r="I7518" s="852"/>
      <c r="J7518" s="852"/>
      <c r="K7518" s="852"/>
      <c r="L7518" s="852"/>
      <c r="M7518" s="852"/>
    </row>
    <row r="7519" spans="5:13">
      <c r="E7519" s="852"/>
      <c r="F7519" s="852"/>
      <c r="G7519" s="852"/>
      <c r="H7519" s="852"/>
      <c r="I7519" s="852"/>
      <c r="J7519" s="852"/>
      <c r="K7519" s="852"/>
      <c r="L7519" s="852"/>
      <c r="M7519" s="852"/>
    </row>
    <row r="7520" spans="5:13">
      <c r="E7520" s="852"/>
      <c r="F7520" s="852"/>
      <c r="G7520" s="852"/>
      <c r="H7520" s="852"/>
      <c r="I7520" s="852"/>
      <c r="J7520" s="852"/>
      <c r="K7520" s="852"/>
      <c r="L7520" s="852"/>
      <c r="M7520" s="852"/>
    </row>
    <row r="7521" spans="5:13">
      <c r="E7521" s="852"/>
      <c r="F7521" s="852"/>
      <c r="G7521" s="852"/>
      <c r="H7521" s="852"/>
      <c r="I7521" s="852"/>
      <c r="J7521" s="852"/>
      <c r="K7521" s="852"/>
      <c r="L7521" s="852"/>
      <c r="M7521" s="852"/>
    </row>
    <row r="7522" spans="5:13">
      <c r="E7522" s="852"/>
      <c r="F7522" s="852"/>
      <c r="G7522" s="852"/>
      <c r="H7522" s="852"/>
      <c r="I7522" s="852"/>
      <c r="J7522" s="852"/>
      <c r="K7522" s="852"/>
      <c r="L7522" s="852"/>
      <c r="M7522" s="852"/>
    </row>
    <row r="7523" spans="5:13">
      <c r="E7523" s="852"/>
      <c r="F7523" s="852"/>
      <c r="G7523" s="852"/>
      <c r="H7523" s="852"/>
      <c r="I7523" s="852"/>
      <c r="J7523" s="852"/>
      <c r="K7523" s="852"/>
      <c r="L7523" s="852"/>
      <c r="M7523" s="852"/>
    </row>
    <row r="7524" spans="5:13">
      <c r="E7524" s="852"/>
      <c r="F7524" s="852"/>
      <c r="G7524" s="852"/>
      <c r="H7524" s="852"/>
      <c r="I7524" s="852"/>
      <c r="J7524" s="852"/>
      <c r="K7524" s="852"/>
      <c r="L7524" s="852"/>
      <c r="M7524" s="852"/>
    </row>
    <row r="7525" spans="5:13">
      <c r="E7525" s="852"/>
      <c r="F7525" s="852"/>
      <c r="G7525" s="852"/>
      <c r="H7525" s="852"/>
      <c r="I7525" s="852"/>
      <c r="J7525" s="852"/>
      <c r="K7525" s="852"/>
      <c r="L7525" s="852"/>
      <c r="M7525" s="852"/>
    </row>
    <row r="7526" spans="5:13">
      <c r="E7526" s="852"/>
      <c r="F7526" s="852"/>
      <c r="G7526" s="852"/>
      <c r="H7526" s="852"/>
      <c r="I7526" s="852"/>
      <c r="J7526" s="852"/>
      <c r="K7526" s="852"/>
      <c r="L7526" s="852"/>
      <c r="M7526" s="852"/>
    </row>
    <row r="7527" spans="5:13">
      <c r="E7527" s="852"/>
      <c r="F7527" s="852"/>
      <c r="G7527" s="852"/>
      <c r="H7527" s="852"/>
      <c r="I7527" s="852"/>
      <c r="J7527" s="852"/>
      <c r="K7527" s="852"/>
      <c r="L7527" s="852"/>
      <c r="M7527" s="852"/>
    </row>
    <row r="7528" spans="5:13">
      <c r="E7528" s="852"/>
      <c r="F7528" s="852"/>
      <c r="G7528" s="852"/>
      <c r="H7528" s="852"/>
      <c r="I7528" s="852"/>
      <c r="J7528" s="852"/>
      <c r="K7528" s="852"/>
      <c r="L7528" s="852"/>
      <c r="M7528" s="852"/>
    </row>
    <row r="7529" spans="5:13">
      <c r="E7529" s="852"/>
      <c r="F7529" s="852"/>
      <c r="G7529" s="852"/>
      <c r="H7529" s="852"/>
      <c r="I7529" s="852"/>
      <c r="J7529" s="852"/>
      <c r="K7529" s="852"/>
      <c r="L7529" s="852"/>
      <c r="M7529" s="852"/>
    </row>
    <row r="7530" spans="5:13">
      <c r="E7530" s="852"/>
      <c r="F7530" s="852"/>
      <c r="G7530" s="852"/>
      <c r="H7530" s="852"/>
      <c r="I7530" s="852"/>
      <c r="J7530" s="852"/>
      <c r="K7530" s="852"/>
      <c r="L7530" s="852"/>
      <c r="M7530" s="852"/>
    </row>
    <row r="7531" spans="5:13">
      <c r="E7531" s="852"/>
      <c r="F7531" s="852"/>
      <c r="G7531" s="852"/>
      <c r="H7531" s="852"/>
      <c r="I7531" s="852"/>
      <c r="J7531" s="852"/>
      <c r="K7531" s="852"/>
      <c r="L7531" s="852"/>
      <c r="M7531" s="852"/>
    </row>
    <row r="7532" spans="5:13">
      <c r="E7532" s="852"/>
      <c r="F7532" s="852"/>
      <c r="G7532" s="852"/>
      <c r="H7532" s="852"/>
      <c r="I7532" s="852"/>
      <c r="J7532" s="852"/>
      <c r="K7532" s="852"/>
      <c r="L7532" s="852"/>
      <c r="M7532" s="852"/>
    </row>
    <row r="7533" spans="5:13">
      <c r="E7533" s="852"/>
      <c r="F7533" s="852"/>
      <c r="G7533" s="852"/>
      <c r="H7533" s="852"/>
      <c r="I7533" s="852"/>
      <c r="J7533" s="852"/>
      <c r="K7533" s="852"/>
      <c r="L7533" s="852"/>
      <c r="M7533" s="852"/>
    </row>
    <row r="7534" spans="5:13">
      <c r="E7534" s="852"/>
      <c r="F7534" s="852"/>
      <c r="G7534" s="852"/>
      <c r="H7534" s="852"/>
      <c r="I7534" s="852"/>
      <c r="J7534" s="852"/>
      <c r="K7534" s="852"/>
      <c r="L7534" s="852"/>
      <c r="M7534" s="852"/>
    </row>
    <row r="7535" spans="5:13">
      <c r="E7535" s="852"/>
      <c r="F7535" s="852"/>
      <c r="G7535" s="852"/>
      <c r="H7535" s="852"/>
      <c r="I7535" s="852"/>
      <c r="J7535" s="852"/>
      <c r="K7535" s="852"/>
      <c r="L7535" s="852"/>
      <c r="M7535" s="852"/>
    </row>
    <row r="7536" spans="5:13">
      <c r="E7536" s="852"/>
      <c r="F7536" s="852"/>
      <c r="G7536" s="852"/>
      <c r="H7536" s="852"/>
      <c r="I7536" s="852"/>
      <c r="J7536" s="852"/>
      <c r="K7536" s="852"/>
      <c r="L7536" s="852"/>
      <c r="M7536" s="852"/>
    </row>
    <row r="7537" spans="5:13">
      <c r="E7537" s="852"/>
      <c r="F7537" s="852"/>
      <c r="G7537" s="852"/>
      <c r="H7537" s="852"/>
      <c r="I7537" s="852"/>
      <c r="J7537" s="852"/>
      <c r="K7537" s="852"/>
      <c r="L7537" s="852"/>
      <c r="M7537" s="852"/>
    </row>
    <row r="7538" spans="5:13">
      <c r="E7538" s="852"/>
      <c r="F7538" s="852"/>
      <c r="G7538" s="852"/>
      <c r="H7538" s="852"/>
      <c r="I7538" s="852"/>
      <c r="J7538" s="852"/>
      <c r="K7538" s="852"/>
      <c r="L7538" s="852"/>
      <c r="M7538" s="852"/>
    </row>
    <row r="7539" spans="5:13">
      <c r="E7539" s="852"/>
      <c r="F7539" s="852"/>
      <c r="G7539" s="852"/>
      <c r="H7539" s="852"/>
      <c r="I7539" s="852"/>
      <c r="J7539" s="852"/>
      <c r="K7539" s="852"/>
      <c r="L7539" s="852"/>
      <c r="M7539" s="852"/>
    </row>
    <row r="7540" spans="5:13">
      <c r="E7540" s="852"/>
      <c r="F7540" s="852"/>
      <c r="G7540" s="852"/>
      <c r="H7540" s="852"/>
      <c r="I7540" s="852"/>
      <c r="J7540" s="852"/>
      <c r="K7540" s="852"/>
      <c r="L7540" s="852"/>
      <c r="M7540" s="852"/>
    </row>
    <row r="7541" spans="5:13">
      <c r="E7541" s="852"/>
      <c r="F7541" s="852"/>
      <c r="G7541" s="852"/>
      <c r="H7541" s="852"/>
      <c r="I7541" s="852"/>
      <c r="J7541" s="852"/>
      <c r="K7541" s="852"/>
      <c r="L7541" s="852"/>
      <c r="M7541" s="852"/>
    </row>
    <row r="7542" spans="5:13">
      <c r="E7542" s="852"/>
      <c r="F7542" s="852"/>
      <c r="G7542" s="852"/>
      <c r="H7542" s="852"/>
      <c r="I7542" s="852"/>
      <c r="J7542" s="852"/>
      <c r="K7542" s="852"/>
      <c r="L7542" s="852"/>
      <c r="M7542" s="852"/>
    </row>
    <row r="7543" spans="5:13">
      <c r="E7543" s="852"/>
      <c r="F7543" s="852"/>
      <c r="G7543" s="852"/>
      <c r="H7543" s="852"/>
      <c r="I7543" s="852"/>
      <c r="J7543" s="852"/>
      <c r="K7543" s="852"/>
      <c r="L7543" s="852"/>
      <c r="M7543" s="852"/>
    </row>
    <row r="7544" spans="5:13">
      <c r="E7544" s="852"/>
      <c r="F7544" s="852"/>
      <c r="G7544" s="852"/>
      <c r="H7544" s="852"/>
      <c r="I7544" s="852"/>
      <c r="J7544" s="852"/>
      <c r="K7544" s="852"/>
      <c r="L7544" s="852"/>
      <c r="M7544" s="852"/>
    </row>
    <row r="7545" spans="5:13">
      <c r="E7545" s="852"/>
      <c r="F7545" s="852"/>
      <c r="G7545" s="852"/>
      <c r="H7545" s="852"/>
      <c r="I7545" s="852"/>
      <c r="J7545" s="852"/>
      <c r="K7545" s="852"/>
      <c r="L7545" s="852"/>
      <c r="M7545" s="852"/>
    </row>
    <row r="7546" spans="5:13">
      <c r="E7546" s="852"/>
      <c r="F7546" s="852"/>
      <c r="G7546" s="852"/>
      <c r="H7546" s="852"/>
      <c r="I7546" s="852"/>
      <c r="J7546" s="852"/>
      <c r="K7546" s="852"/>
      <c r="L7546" s="852"/>
      <c r="M7546" s="852"/>
    </row>
    <row r="7547" spans="5:13">
      <c r="E7547" s="852"/>
      <c r="F7547" s="852"/>
      <c r="G7547" s="852"/>
      <c r="H7547" s="852"/>
      <c r="I7547" s="852"/>
      <c r="J7547" s="852"/>
      <c r="K7547" s="852"/>
      <c r="L7547" s="852"/>
      <c r="M7547" s="852"/>
    </row>
    <row r="7548" spans="5:13">
      <c r="E7548" s="852"/>
      <c r="F7548" s="852"/>
      <c r="G7548" s="852"/>
      <c r="H7548" s="852"/>
      <c r="I7548" s="852"/>
      <c r="J7548" s="852"/>
      <c r="K7548" s="852"/>
      <c r="L7548" s="852"/>
      <c r="M7548" s="852"/>
    </row>
    <row r="7549" spans="5:13">
      <c r="E7549" s="852"/>
      <c r="F7549" s="852"/>
      <c r="G7549" s="852"/>
      <c r="H7549" s="852"/>
      <c r="I7549" s="852"/>
      <c r="J7549" s="852"/>
      <c r="K7549" s="852"/>
      <c r="L7549" s="852"/>
      <c r="M7549" s="852"/>
    </row>
    <row r="7550" spans="5:13">
      <c r="E7550" s="852"/>
      <c r="F7550" s="852"/>
      <c r="G7550" s="852"/>
      <c r="H7550" s="852"/>
      <c r="I7550" s="852"/>
      <c r="J7550" s="852"/>
      <c r="K7550" s="852"/>
      <c r="L7550" s="852"/>
      <c r="M7550" s="852"/>
    </row>
    <row r="7551" spans="5:13">
      <c r="E7551" s="852"/>
      <c r="F7551" s="852"/>
      <c r="G7551" s="852"/>
      <c r="H7551" s="852"/>
      <c r="I7551" s="852"/>
      <c r="J7551" s="852"/>
      <c r="K7551" s="852"/>
      <c r="L7551" s="852"/>
      <c r="M7551" s="852"/>
    </row>
    <row r="7552" spans="5:13">
      <c r="E7552" s="852"/>
      <c r="F7552" s="852"/>
      <c r="G7552" s="852"/>
      <c r="H7552" s="852"/>
      <c r="I7552" s="852"/>
      <c r="J7552" s="852"/>
      <c r="K7552" s="852"/>
      <c r="L7552" s="852"/>
      <c r="M7552" s="852"/>
    </row>
    <row r="7553" spans="5:13">
      <c r="E7553" s="852"/>
      <c r="F7553" s="852"/>
      <c r="G7553" s="852"/>
      <c r="H7553" s="852"/>
      <c r="I7553" s="852"/>
      <c r="J7553" s="852"/>
      <c r="K7553" s="852"/>
      <c r="L7553" s="852"/>
      <c r="M7553" s="852"/>
    </row>
    <row r="7554" spans="5:13">
      <c r="E7554" s="852"/>
      <c r="F7554" s="852"/>
      <c r="G7554" s="852"/>
      <c r="H7554" s="852"/>
      <c r="I7554" s="852"/>
      <c r="J7554" s="852"/>
      <c r="K7554" s="852"/>
      <c r="L7554" s="852"/>
      <c r="M7554" s="852"/>
    </row>
    <row r="7555" spans="5:13">
      <c r="E7555" s="852"/>
      <c r="F7555" s="852"/>
      <c r="G7555" s="852"/>
      <c r="H7555" s="852"/>
      <c r="I7555" s="852"/>
      <c r="J7555" s="852"/>
      <c r="K7555" s="852"/>
      <c r="L7555" s="852"/>
      <c r="M7555" s="852"/>
    </row>
    <row r="7556" spans="5:13">
      <c r="E7556" s="852"/>
      <c r="F7556" s="852"/>
      <c r="G7556" s="852"/>
      <c r="H7556" s="852"/>
      <c r="I7556" s="852"/>
      <c r="J7556" s="852"/>
      <c r="K7556" s="852"/>
      <c r="L7556" s="852"/>
      <c r="M7556" s="852"/>
    </row>
    <row r="7557" spans="5:13">
      <c r="E7557" s="852"/>
      <c r="F7557" s="852"/>
      <c r="G7557" s="852"/>
      <c r="H7557" s="852"/>
      <c r="I7557" s="852"/>
      <c r="J7557" s="852"/>
      <c r="K7557" s="852"/>
      <c r="L7557" s="852"/>
      <c r="M7557" s="852"/>
    </row>
    <row r="7558" spans="5:13">
      <c r="E7558" s="852"/>
      <c r="F7558" s="852"/>
      <c r="G7558" s="852"/>
      <c r="H7558" s="852"/>
      <c r="I7558" s="852"/>
      <c r="J7558" s="852"/>
      <c r="K7558" s="852"/>
      <c r="L7558" s="852"/>
      <c r="M7558" s="852"/>
    </row>
    <row r="7559" spans="5:13">
      <c r="E7559" s="852"/>
      <c r="F7559" s="852"/>
      <c r="G7559" s="852"/>
      <c r="H7559" s="852"/>
      <c r="I7559" s="852"/>
      <c r="J7559" s="852"/>
      <c r="K7559" s="852"/>
      <c r="L7559" s="852"/>
      <c r="M7559" s="852"/>
    </row>
    <row r="7560" spans="5:13">
      <c r="E7560" s="852"/>
      <c r="F7560" s="852"/>
      <c r="G7560" s="852"/>
      <c r="H7560" s="852"/>
      <c r="I7560" s="852"/>
      <c r="J7560" s="852"/>
      <c r="K7560" s="852"/>
      <c r="L7560" s="852"/>
      <c r="M7560" s="852"/>
    </row>
    <row r="7561" spans="5:13">
      <c r="E7561" s="852"/>
      <c r="F7561" s="852"/>
      <c r="G7561" s="852"/>
      <c r="H7561" s="852"/>
      <c r="I7561" s="852"/>
      <c r="J7561" s="852"/>
      <c r="K7561" s="852"/>
      <c r="L7561" s="852"/>
      <c r="M7561" s="852"/>
    </row>
    <row r="7562" spans="5:13">
      <c r="E7562" s="852"/>
      <c r="F7562" s="852"/>
      <c r="G7562" s="852"/>
      <c r="H7562" s="852"/>
      <c r="I7562" s="852"/>
      <c r="J7562" s="852"/>
      <c r="K7562" s="852"/>
      <c r="L7562" s="852"/>
      <c r="M7562" s="852"/>
    </row>
    <row r="7563" spans="5:13">
      <c r="E7563" s="852"/>
      <c r="F7563" s="852"/>
      <c r="G7563" s="852"/>
      <c r="H7563" s="852"/>
      <c r="I7563" s="852"/>
      <c r="J7563" s="852"/>
      <c r="K7563" s="852"/>
      <c r="L7563" s="852"/>
      <c r="M7563" s="852"/>
    </row>
    <row r="7564" spans="5:13">
      <c r="E7564" s="852"/>
      <c r="F7564" s="852"/>
      <c r="G7564" s="852"/>
      <c r="H7564" s="852"/>
      <c r="I7564" s="852"/>
      <c r="J7564" s="852"/>
      <c r="K7564" s="852"/>
      <c r="L7564" s="852"/>
      <c r="M7564" s="852"/>
    </row>
    <row r="7565" spans="5:13">
      <c r="E7565" s="852"/>
      <c r="F7565" s="852"/>
      <c r="G7565" s="852"/>
      <c r="H7565" s="852"/>
      <c r="I7565" s="852"/>
      <c r="J7565" s="852"/>
      <c r="K7565" s="852"/>
      <c r="L7565" s="852"/>
      <c r="M7565" s="852"/>
    </row>
    <row r="7566" spans="5:13">
      <c r="E7566" s="852"/>
      <c r="F7566" s="852"/>
      <c r="G7566" s="852"/>
      <c r="H7566" s="852"/>
      <c r="I7566" s="852"/>
      <c r="J7566" s="852"/>
      <c r="K7566" s="852"/>
      <c r="L7566" s="852"/>
      <c r="M7566" s="852"/>
    </row>
    <row r="7567" spans="5:13">
      <c r="E7567" s="852"/>
      <c r="F7567" s="852"/>
      <c r="G7567" s="852"/>
      <c r="H7567" s="852"/>
      <c r="I7567" s="852"/>
      <c r="J7567" s="852"/>
      <c r="K7567" s="852"/>
      <c r="L7567" s="852"/>
      <c r="M7567" s="852"/>
    </row>
    <row r="7568" spans="5:13">
      <c r="E7568" s="852"/>
      <c r="F7568" s="852"/>
      <c r="G7568" s="852"/>
      <c r="H7568" s="852"/>
      <c r="I7568" s="852"/>
      <c r="J7568" s="852"/>
      <c r="K7568" s="852"/>
      <c r="L7568" s="852"/>
      <c r="M7568" s="852"/>
    </row>
    <row r="7569" spans="5:13">
      <c r="E7569" s="852"/>
      <c r="F7569" s="852"/>
      <c r="G7569" s="852"/>
      <c r="H7569" s="852"/>
      <c r="I7569" s="852"/>
      <c r="J7569" s="852"/>
      <c r="K7569" s="852"/>
      <c r="L7569" s="852"/>
      <c r="M7569" s="852"/>
    </row>
    <row r="7570" spans="5:13">
      <c r="E7570" s="852"/>
      <c r="F7570" s="852"/>
      <c r="G7570" s="852"/>
      <c r="H7570" s="852"/>
      <c r="I7570" s="852"/>
      <c r="J7570" s="852"/>
      <c r="K7570" s="852"/>
      <c r="L7570" s="852"/>
      <c r="M7570" s="852"/>
    </row>
    <row r="7571" spans="5:13">
      <c r="E7571" s="852"/>
      <c r="F7571" s="852"/>
      <c r="G7571" s="852"/>
      <c r="H7571" s="852"/>
      <c r="I7571" s="852"/>
      <c r="J7571" s="852"/>
      <c r="K7571" s="852"/>
      <c r="L7571" s="852"/>
      <c r="M7571" s="852"/>
    </row>
    <row r="7572" spans="5:13">
      <c r="E7572" s="852"/>
      <c r="F7572" s="852"/>
      <c r="G7572" s="852"/>
      <c r="H7572" s="852"/>
      <c r="I7572" s="852"/>
      <c r="J7572" s="852"/>
      <c r="K7572" s="852"/>
      <c r="L7572" s="852"/>
      <c r="M7572" s="852"/>
    </row>
    <row r="7573" spans="5:13">
      <c r="E7573" s="852"/>
      <c r="F7573" s="852"/>
      <c r="G7573" s="852"/>
      <c r="H7573" s="852"/>
      <c r="I7573" s="852"/>
      <c r="J7573" s="852"/>
      <c r="K7573" s="852"/>
      <c r="L7573" s="852"/>
      <c r="M7573" s="852"/>
    </row>
    <row r="7574" spans="5:13">
      <c r="E7574" s="852"/>
      <c r="F7574" s="852"/>
      <c r="G7574" s="852"/>
      <c r="H7574" s="852"/>
      <c r="I7574" s="852"/>
      <c r="J7574" s="852"/>
      <c r="K7574" s="852"/>
      <c r="L7574" s="852"/>
      <c r="M7574" s="852"/>
    </row>
    <row r="7575" spans="5:13">
      <c r="E7575" s="852"/>
      <c r="F7575" s="852"/>
      <c r="G7575" s="852"/>
      <c r="H7575" s="852"/>
      <c r="I7575" s="852"/>
      <c r="J7575" s="852"/>
      <c r="K7575" s="852"/>
      <c r="L7575" s="852"/>
      <c r="M7575" s="852"/>
    </row>
    <row r="7576" spans="5:13">
      <c r="E7576" s="852"/>
      <c r="F7576" s="852"/>
      <c r="G7576" s="852"/>
      <c r="H7576" s="852"/>
      <c r="I7576" s="852"/>
      <c r="J7576" s="852"/>
      <c r="K7576" s="852"/>
      <c r="L7576" s="852"/>
      <c r="M7576" s="852"/>
    </row>
    <row r="7577" spans="5:13">
      <c r="E7577" s="852"/>
      <c r="F7577" s="852"/>
      <c r="G7577" s="852"/>
      <c r="H7577" s="852"/>
      <c r="I7577" s="852"/>
      <c r="J7577" s="852"/>
      <c r="K7577" s="852"/>
      <c r="L7577" s="852"/>
      <c r="M7577" s="852"/>
    </row>
    <row r="7578" spans="5:13">
      <c r="E7578" s="852"/>
      <c r="F7578" s="852"/>
      <c r="G7578" s="852"/>
      <c r="H7578" s="852"/>
      <c r="I7578" s="852"/>
      <c r="J7578" s="852"/>
      <c r="K7578" s="852"/>
      <c r="L7578" s="852"/>
      <c r="M7578" s="852"/>
    </row>
    <row r="7579" spans="5:13">
      <c r="E7579" s="852"/>
      <c r="F7579" s="852"/>
      <c r="G7579" s="852"/>
      <c r="H7579" s="852"/>
      <c r="I7579" s="852"/>
      <c r="J7579" s="852"/>
      <c r="K7579" s="852"/>
      <c r="L7579" s="852"/>
      <c r="M7579" s="852"/>
    </row>
    <row r="7580" spans="5:13">
      <c r="E7580" s="852"/>
      <c r="F7580" s="852"/>
      <c r="G7580" s="852"/>
      <c r="H7580" s="852"/>
      <c r="I7580" s="852"/>
      <c r="J7580" s="852"/>
      <c r="K7580" s="852"/>
      <c r="L7580" s="852"/>
      <c r="M7580" s="852"/>
    </row>
    <row r="7581" spans="5:13">
      <c r="E7581" s="852"/>
      <c r="F7581" s="852"/>
      <c r="G7581" s="852"/>
      <c r="H7581" s="852"/>
      <c r="I7581" s="852"/>
      <c r="J7581" s="852"/>
      <c r="K7581" s="852"/>
      <c r="L7581" s="852"/>
      <c r="M7581" s="852"/>
    </row>
    <row r="7582" spans="5:13">
      <c r="E7582" s="852"/>
      <c r="F7582" s="852"/>
      <c r="G7582" s="852"/>
      <c r="H7582" s="852"/>
      <c r="I7582" s="852"/>
      <c r="J7582" s="852"/>
      <c r="K7582" s="852"/>
      <c r="L7582" s="852"/>
      <c r="M7582" s="852"/>
    </row>
    <row r="7583" spans="5:13">
      <c r="E7583" s="852"/>
      <c r="F7583" s="852"/>
      <c r="G7583" s="852"/>
      <c r="H7583" s="852"/>
      <c r="I7583" s="852"/>
      <c r="J7583" s="852"/>
      <c r="K7583" s="852"/>
      <c r="L7583" s="852"/>
      <c r="M7583" s="852"/>
    </row>
    <row r="7584" spans="5:13">
      <c r="E7584" s="852"/>
      <c r="F7584" s="852"/>
      <c r="G7584" s="852"/>
      <c r="H7584" s="852"/>
      <c r="I7584" s="852"/>
      <c r="J7584" s="852"/>
      <c r="K7584" s="852"/>
      <c r="L7584" s="852"/>
      <c r="M7584" s="852"/>
    </row>
    <row r="7585" spans="5:13">
      <c r="E7585" s="852"/>
      <c r="F7585" s="852"/>
      <c r="G7585" s="852"/>
      <c r="H7585" s="852"/>
      <c r="I7585" s="852"/>
      <c r="J7585" s="852"/>
      <c r="K7585" s="852"/>
      <c r="L7585" s="852"/>
      <c r="M7585" s="852"/>
    </row>
    <row r="7586" spans="5:13">
      <c r="E7586" s="852"/>
      <c r="F7586" s="852"/>
      <c r="G7586" s="852"/>
      <c r="H7586" s="852"/>
      <c r="I7586" s="852"/>
      <c r="J7586" s="852"/>
      <c r="K7586" s="852"/>
      <c r="L7586" s="852"/>
      <c r="M7586" s="852"/>
    </row>
    <row r="7587" spans="5:13">
      <c r="E7587" s="852"/>
      <c r="F7587" s="852"/>
      <c r="G7587" s="852"/>
      <c r="H7587" s="852"/>
      <c r="I7587" s="852"/>
      <c r="J7587" s="852"/>
      <c r="K7587" s="852"/>
      <c r="L7587" s="852"/>
      <c r="M7587" s="852"/>
    </row>
    <row r="7588" spans="5:13">
      <c r="E7588" s="852"/>
      <c r="F7588" s="852"/>
      <c r="G7588" s="852"/>
      <c r="H7588" s="852"/>
      <c r="I7588" s="852"/>
      <c r="J7588" s="852"/>
      <c r="K7588" s="852"/>
      <c r="L7588" s="852"/>
      <c r="M7588" s="852"/>
    </row>
    <row r="7589" spans="5:13">
      <c r="E7589" s="852"/>
      <c r="F7589" s="852"/>
      <c r="G7589" s="852"/>
      <c r="H7589" s="852"/>
      <c r="I7589" s="852"/>
      <c r="J7589" s="852"/>
      <c r="K7589" s="852"/>
      <c r="L7589" s="852"/>
      <c r="M7589" s="852"/>
    </row>
    <row r="7590" spans="5:13">
      <c r="E7590" s="852"/>
      <c r="F7590" s="852"/>
      <c r="G7590" s="852"/>
      <c r="H7590" s="852"/>
      <c r="I7590" s="852"/>
      <c r="J7590" s="852"/>
      <c r="K7590" s="852"/>
      <c r="L7590" s="852"/>
      <c r="M7590" s="852"/>
    </row>
    <row r="7591" spans="5:13">
      <c r="E7591" s="852"/>
      <c r="F7591" s="852"/>
      <c r="G7591" s="852"/>
      <c r="H7591" s="852"/>
      <c r="I7591" s="852"/>
      <c r="J7591" s="852"/>
      <c r="K7591" s="852"/>
      <c r="L7591" s="852"/>
      <c r="M7591" s="852"/>
    </row>
    <row r="7592" spans="5:13">
      <c r="E7592" s="852"/>
      <c r="F7592" s="852"/>
      <c r="G7592" s="852"/>
      <c r="H7592" s="852"/>
      <c r="I7592" s="852"/>
      <c r="J7592" s="852"/>
      <c r="K7592" s="852"/>
      <c r="L7592" s="852"/>
      <c r="M7592" s="852"/>
    </row>
    <row r="7593" spans="5:13">
      <c r="E7593" s="852"/>
      <c r="F7593" s="852"/>
      <c r="G7593" s="852"/>
      <c r="H7593" s="852"/>
      <c r="I7593" s="852"/>
      <c r="J7593" s="852"/>
      <c r="K7593" s="852"/>
      <c r="L7593" s="852"/>
      <c r="M7593" s="852"/>
    </row>
    <row r="7594" spans="5:13">
      <c r="E7594" s="852"/>
      <c r="F7594" s="852"/>
      <c r="G7594" s="852"/>
      <c r="H7594" s="852"/>
      <c r="I7594" s="852"/>
      <c r="J7594" s="852"/>
      <c r="K7594" s="852"/>
      <c r="L7594" s="852"/>
      <c r="M7594" s="852"/>
    </row>
    <row r="7595" spans="5:13">
      <c r="E7595" s="852"/>
      <c r="F7595" s="852"/>
      <c r="G7595" s="852"/>
      <c r="H7595" s="852"/>
      <c r="I7595" s="852"/>
      <c r="J7595" s="852"/>
      <c r="K7595" s="852"/>
      <c r="L7595" s="852"/>
      <c r="M7595" s="852"/>
    </row>
    <row r="7596" spans="5:13">
      <c r="E7596" s="852"/>
      <c r="F7596" s="852"/>
      <c r="G7596" s="852"/>
      <c r="H7596" s="852"/>
      <c r="I7596" s="852"/>
      <c r="J7596" s="852"/>
      <c r="K7596" s="852"/>
      <c r="L7596" s="852"/>
      <c r="M7596" s="852"/>
    </row>
    <row r="7597" spans="5:13">
      <c r="E7597" s="852"/>
      <c r="F7597" s="852"/>
      <c r="G7597" s="852"/>
      <c r="H7597" s="852"/>
      <c r="I7597" s="852"/>
      <c r="J7597" s="852"/>
      <c r="K7597" s="852"/>
      <c r="L7597" s="852"/>
      <c r="M7597" s="852"/>
    </row>
    <row r="7598" spans="5:13">
      <c r="E7598" s="852"/>
      <c r="F7598" s="852"/>
      <c r="G7598" s="852"/>
      <c r="H7598" s="852"/>
      <c r="I7598" s="852"/>
      <c r="J7598" s="852"/>
      <c r="K7598" s="852"/>
      <c r="L7598" s="852"/>
      <c r="M7598" s="852"/>
    </row>
    <row r="7599" spans="5:13">
      <c r="E7599" s="852"/>
      <c r="F7599" s="852"/>
      <c r="G7599" s="852"/>
      <c r="H7599" s="852"/>
      <c r="I7599" s="852"/>
      <c r="J7599" s="852"/>
      <c r="K7599" s="852"/>
      <c r="L7599" s="852"/>
      <c r="M7599" s="852"/>
    </row>
    <row r="7600" spans="5:13">
      <c r="E7600" s="852"/>
      <c r="F7600" s="852"/>
      <c r="G7600" s="852"/>
      <c r="H7600" s="852"/>
      <c r="I7600" s="852"/>
      <c r="J7600" s="852"/>
      <c r="K7600" s="852"/>
      <c r="L7600" s="852"/>
      <c r="M7600" s="852"/>
    </row>
    <row r="7601" spans="5:13">
      <c r="E7601" s="852"/>
      <c r="F7601" s="852"/>
      <c r="G7601" s="852"/>
      <c r="H7601" s="852"/>
      <c r="I7601" s="852"/>
      <c r="J7601" s="852"/>
      <c r="K7601" s="852"/>
      <c r="L7601" s="852"/>
      <c r="M7601" s="852"/>
    </row>
    <row r="7602" spans="5:13">
      <c r="E7602" s="852"/>
      <c r="F7602" s="852"/>
      <c r="G7602" s="852"/>
      <c r="H7602" s="852"/>
      <c r="I7602" s="852"/>
      <c r="J7602" s="852"/>
      <c r="K7602" s="852"/>
      <c r="L7602" s="852"/>
      <c r="M7602" s="852"/>
    </row>
    <row r="7603" spans="5:13">
      <c r="E7603" s="852"/>
      <c r="F7603" s="852"/>
      <c r="G7603" s="852"/>
      <c r="H7603" s="852"/>
      <c r="I7603" s="852"/>
      <c r="J7603" s="852"/>
      <c r="K7603" s="852"/>
      <c r="L7603" s="852"/>
      <c r="M7603" s="852"/>
    </row>
    <row r="7604" spans="5:13">
      <c r="E7604" s="852"/>
      <c r="F7604" s="852"/>
      <c r="G7604" s="852"/>
      <c r="H7604" s="852"/>
      <c r="I7604" s="852"/>
      <c r="J7604" s="852"/>
      <c r="K7604" s="852"/>
      <c r="L7604" s="852"/>
      <c r="M7604" s="852"/>
    </row>
    <row r="7605" spans="5:13">
      <c r="E7605" s="852"/>
      <c r="F7605" s="852"/>
      <c r="G7605" s="852"/>
      <c r="H7605" s="852"/>
      <c r="I7605" s="852"/>
      <c r="J7605" s="852"/>
      <c r="K7605" s="852"/>
      <c r="L7605" s="852"/>
      <c r="M7605" s="852"/>
    </row>
    <row r="7606" spans="5:13">
      <c r="E7606" s="852"/>
      <c r="F7606" s="852"/>
      <c r="G7606" s="852"/>
      <c r="H7606" s="852"/>
      <c r="I7606" s="852"/>
      <c r="J7606" s="852"/>
      <c r="K7606" s="852"/>
      <c r="L7606" s="852"/>
      <c r="M7606" s="852"/>
    </row>
    <row r="7607" spans="5:13">
      <c r="E7607" s="852"/>
      <c r="F7607" s="852"/>
      <c r="G7607" s="852"/>
      <c r="H7607" s="852"/>
      <c r="I7607" s="852"/>
      <c r="J7607" s="852"/>
      <c r="K7607" s="852"/>
      <c r="L7607" s="852"/>
      <c r="M7607" s="852"/>
    </row>
    <row r="7608" spans="5:13">
      <c r="E7608" s="852"/>
      <c r="F7608" s="852"/>
      <c r="G7608" s="852"/>
      <c r="H7608" s="852"/>
      <c r="I7608" s="852"/>
      <c r="J7608" s="852"/>
      <c r="K7608" s="852"/>
      <c r="L7608" s="852"/>
      <c r="M7608" s="852"/>
    </row>
    <row r="7609" spans="5:13">
      <c r="E7609" s="852"/>
      <c r="F7609" s="852"/>
      <c r="G7609" s="852"/>
      <c r="H7609" s="852"/>
      <c r="I7609" s="852"/>
      <c r="J7609" s="852"/>
      <c r="K7609" s="852"/>
      <c r="L7609" s="852"/>
      <c r="M7609" s="852"/>
    </row>
    <row r="7610" spans="5:13">
      <c r="E7610" s="852"/>
      <c r="F7610" s="852"/>
      <c r="G7610" s="852"/>
      <c r="H7610" s="852"/>
      <c r="I7610" s="852"/>
      <c r="J7610" s="852"/>
      <c r="K7610" s="852"/>
      <c r="L7610" s="852"/>
      <c r="M7610" s="852"/>
    </row>
    <row r="7611" spans="5:13">
      <c r="E7611" s="852"/>
      <c r="F7611" s="852"/>
      <c r="G7611" s="852"/>
      <c r="H7611" s="852"/>
      <c r="I7611" s="852"/>
      <c r="J7611" s="852"/>
      <c r="K7611" s="852"/>
      <c r="L7611" s="852"/>
      <c r="M7611" s="852"/>
    </row>
    <row r="7612" spans="5:13">
      <c r="E7612" s="852"/>
      <c r="F7612" s="852"/>
      <c r="G7612" s="852"/>
      <c r="H7612" s="852"/>
      <c r="I7612" s="852"/>
      <c r="J7612" s="852"/>
      <c r="K7612" s="852"/>
      <c r="L7612" s="852"/>
      <c r="M7612" s="852"/>
    </row>
    <row r="7613" spans="5:13">
      <c r="E7613" s="852"/>
      <c r="F7613" s="852"/>
      <c r="G7613" s="852"/>
      <c r="H7613" s="852"/>
      <c r="I7613" s="852"/>
      <c r="J7613" s="852"/>
      <c r="K7613" s="852"/>
      <c r="L7613" s="852"/>
      <c r="M7613" s="852"/>
    </row>
    <row r="7614" spans="5:13">
      <c r="E7614" s="852"/>
      <c r="F7614" s="852"/>
      <c r="G7614" s="852"/>
      <c r="H7614" s="852"/>
      <c r="I7614" s="852"/>
      <c r="J7614" s="852"/>
      <c r="K7614" s="852"/>
      <c r="L7614" s="852"/>
      <c r="M7614" s="852"/>
    </row>
    <row r="7615" spans="5:13">
      <c r="E7615" s="852"/>
      <c r="F7615" s="852"/>
      <c r="G7615" s="852"/>
      <c r="H7615" s="852"/>
      <c r="I7615" s="852"/>
      <c r="J7615" s="852"/>
      <c r="K7615" s="852"/>
      <c r="L7615" s="852"/>
      <c r="M7615" s="852"/>
    </row>
    <row r="7616" spans="5:13">
      <c r="E7616" s="852"/>
      <c r="F7616" s="852"/>
      <c r="G7616" s="852"/>
      <c r="H7616" s="852"/>
      <c r="I7616" s="852"/>
      <c r="J7616" s="852"/>
      <c r="K7616" s="852"/>
      <c r="L7616" s="852"/>
      <c r="M7616" s="852"/>
    </row>
    <row r="7617" spans="5:13">
      <c r="E7617" s="852"/>
      <c r="F7617" s="852"/>
      <c r="G7617" s="852"/>
      <c r="H7617" s="852"/>
      <c r="I7617" s="852"/>
      <c r="J7617" s="852"/>
      <c r="K7617" s="852"/>
      <c r="L7617" s="852"/>
      <c r="M7617" s="852"/>
    </row>
    <row r="7618" spans="5:13">
      <c r="E7618" s="852"/>
      <c r="F7618" s="852"/>
      <c r="G7618" s="852"/>
      <c r="H7618" s="852"/>
      <c r="I7618" s="852"/>
      <c r="J7618" s="852"/>
      <c r="K7618" s="852"/>
      <c r="L7618" s="852"/>
      <c r="M7618" s="852"/>
    </row>
    <row r="7619" spans="5:13">
      <c r="E7619" s="852"/>
      <c r="F7619" s="852"/>
      <c r="G7619" s="852"/>
      <c r="H7619" s="852"/>
      <c r="I7619" s="852"/>
      <c r="J7619" s="852"/>
      <c r="K7619" s="852"/>
      <c r="L7619" s="852"/>
      <c r="M7619" s="852"/>
    </row>
    <row r="7620" spans="5:13">
      <c r="E7620" s="852"/>
      <c r="F7620" s="852"/>
      <c r="G7620" s="852"/>
      <c r="H7620" s="852"/>
      <c r="I7620" s="852"/>
      <c r="J7620" s="852"/>
      <c r="K7620" s="852"/>
      <c r="L7620" s="852"/>
      <c r="M7620" s="852"/>
    </row>
    <row r="7621" spans="5:13">
      <c r="E7621" s="852"/>
      <c r="F7621" s="852"/>
      <c r="G7621" s="852"/>
      <c r="H7621" s="852"/>
      <c r="I7621" s="852"/>
      <c r="J7621" s="852"/>
      <c r="K7621" s="852"/>
      <c r="L7621" s="852"/>
      <c r="M7621" s="852"/>
    </row>
    <row r="7622" spans="5:13">
      <c r="E7622" s="852"/>
      <c r="F7622" s="852"/>
      <c r="G7622" s="852"/>
      <c r="H7622" s="852"/>
      <c r="I7622" s="852"/>
      <c r="J7622" s="852"/>
      <c r="K7622" s="852"/>
      <c r="L7622" s="852"/>
      <c r="M7622" s="852"/>
    </row>
    <row r="7623" spans="5:13">
      <c r="E7623" s="852"/>
      <c r="F7623" s="852"/>
      <c r="G7623" s="852"/>
      <c r="H7623" s="852"/>
      <c r="I7623" s="852"/>
      <c r="J7623" s="852"/>
      <c r="K7623" s="852"/>
      <c r="L7623" s="852"/>
      <c r="M7623" s="852"/>
    </row>
    <row r="7624" spans="5:13">
      <c r="E7624" s="852"/>
      <c r="F7624" s="852"/>
      <c r="G7624" s="852"/>
      <c r="H7624" s="852"/>
      <c r="I7624" s="852"/>
      <c r="J7624" s="852"/>
      <c r="K7624" s="852"/>
      <c r="L7624" s="852"/>
      <c r="M7624" s="852"/>
    </row>
    <row r="7625" spans="5:13">
      <c r="E7625" s="852"/>
      <c r="F7625" s="852"/>
      <c r="G7625" s="852"/>
      <c r="H7625" s="852"/>
      <c r="I7625" s="852"/>
      <c r="J7625" s="852"/>
      <c r="K7625" s="852"/>
      <c r="L7625" s="852"/>
      <c r="M7625" s="852"/>
    </row>
    <row r="7626" spans="5:13">
      <c r="E7626" s="852"/>
      <c r="F7626" s="852"/>
      <c r="G7626" s="852"/>
      <c r="H7626" s="852"/>
      <c r="I7626" s="852"/>
      <c r="J7626" s="852"/>
      <c r="K7626" s="852"/>
      <c r="L7626" s="852"/>
      <c r="M7626" s="852"/>
    </row>
    <row r="7627" spans="5:13">
      <c r="E7627" s="852"/>
      <c r="F7627" s="852"/>
      <c r="G7627" s="852"/>
      <c r="H7627" s="852"/>
      <c r="I7627" s="852"/>
      <c r="J7627" s="852"/>
      <c r="K7627" s="852"/>
      <c r="L7627" s="852"/>
      <c r="M7627" s="852"/>
    </row>
    <row r="7628" spans="5:13">
      <c r="E7628" s="852"/>
      <c r="F7628" s="852"/>
      <c r="G7628" s="852"/>
      <c r="H7628" s="852"/>
      <c r="I7628" s="852"/>
      <c r="J7628" s="852"/>
      <c r="K7628" s="852"/>
      <c r="L7628" s="852"/>
      <c r="M7628" s="852"/>
    </row>
    <row r="7629" spans="5:13">
      <c r="E7629" s="852"/>
      <c r="F7629" s="852"/>
      <c r="G7629" s="852"/>
      <c r="H7629" s="852"/>
      <c r="I7629" s="852"/>
      <c r="J7629" s="852"/>
      <c r="K7629" s="852"/>
      <c r="L7629" s="852"/>
      <c r="M7629" s="852"/>
    </row>
    <row r="7630" spans="5:13">
      <c r="E7630" s="852"/>
      <c r="F7630" s="852"/>
      <c r="G7630" s="852"/>
      <c r="H7630" s="852"/>
      <c r="I7630" s="852"/>
      <c r="J7630" s="852"/>
      <c r="K7630" s="852"/>
      <c r="L7630" s="852"/>
      <c r="M7630" s="852"/>
    </row>
    <row r="7631" spans="5:13">
      <c r="E7631" s="852"/>
      <c r="F7631" s="852"/>
      <c r="G7631" s="852"/>
      <c r="H7631" s="852"/>
      <c r="I7631" s="852"/>
      <c r="J7631" s="852"/>
      <c r="K7631" s="852"/>
      <c r="L7631" s="852"/>
      <c r="M7631" s="852"/>
    </row>
    <row r="7632" spans="5:13">
      <c r="E7632" s="852"/>
      <c r="F7632" s="852"/>
      <c r="G7632" s="852"/>
      <c r="H7632" s="852"/>
      <c r="I7632" s="852"/>
      <c r="J7632" s="852"/>
      <c r="K7632" s="852"/>
      <c r="L7632" s="852"/>
      <c r="M7632" s="852"/>
    </row>
    <row r="7633" spans="5:13">
      <c r="E7633" s="852"/>
      <c r="F7633" s="852"/>
      <c r="G7633" s="852"/>
      <c r="H7633" s="852"/>
      <c r="I7633" s="852"/>
      <c r="J7633" s="852"/>
      <c r="K7633" s="852"/>
      <c r="L7633" s="852"/>
      <c r="M7633" s="852"/>
    </row>
    <row r="7634" spans="5:13">
      <c r="E7634" s="852"/>
      <c r="F7634" s="852"/>
      <c r="G7634" s="852"/>
      <c r="H7634" s="852"/>
      <c r="I7634" s="852"/>
      <c r="J7634" s="852"/>
      <c r="K7634" s="852"/>
      <c r="L7634" s="852"/>
      <c r="M7634" s="852"/>
    </row>
    <row r="7635" spans="5:13">
      <c r="E7635" s="852"/>
      <c r="F7635" s="852"/>
      <c r="G7635" s="852"/>
      <c r="H7635" s="852"/>
      <c r="I7635" s="852"/>
      <c r="J7635" s="852"/>
      <c r="K7635" s="852"/>
      <c r="L7635" s="852"/>
      <c r="M7635" s="852"/>
    </row>
    <row r="7636" spans="5:13">
      <c r="E7636" s="852"/>
      <c r="F7636" s="852"/>
      <c r="G7636" s="852"/>
      <c r="H7636" s="852"/>
      <c r="I7636" s="852"/>
      <c r="J7636" s="852"/>
      <c r="K7636" s="852"/>
      <c r="L7636" s="852"/>
      <c r="M7636" s="852"/>
    </row>
    <row r="7637" spans="5:13">
      <c r="E7637" s="852"/>
      <c r="F7637" s="852"/>
      <c r="G7637" s="852"/>
      <c r="H7637" s="852"/>
      <c r="I7637" s="852"/>
      <c r="J7637" s="852"/>
      <c r="K7637" s="852"/>
      <c r="L7637" s="852"/>
      <c r="M7637" s="852"/>
    </row>
    <row r="7638" spans="5:13">
      <c r="E7638" s="852"/>
      <c r="F7638" s="852"/>
      <c r="G7638" s="852"/>
      <c r="H7638" s="852"/>
      <c r="I7638" s="852"/>
      <c r="J7638" s="852"/>
      <c r="K7638" s="852"/>
      <c r="L7638" s="852"/>
      <c r="M7638" s="852"/>
    </row>
    <row r="7639" spans="5:13">
      <c r="E7639" s="852"/>
      <c r="F7639" s="852"/>
      <c r="G7639" s="852"/>
      <c r="H7639" s="852"/>
      <c r="I7639" s="852"/>
      <c r="J7639" s="852"/>
      <c r="K7639" s="852"/>
      <c r="L7639" s="852"/>
      <c r="M7639" s="852"/>
    </row>
    <row r="7640" spans="5:13">
      <c r="E7640" s="852"/>
      <c r="F7640" s="852"/>
      <c r="G7640" s="852"/>
      <c r="H7640" s="852"/>
      <c r="I7640" s="852"/>
      <c r="J7640" s="852"/>
      <c r="K7640" s="852"/>
      <c r="L7640" s="852"/>
      <c r="M7640" s="852"/>
    </row>
    <row r="7641" spans="5:13">
      <c r="E7641" s="852"/>
      <c r="F7641" s="852"/>
      <c r="G7641" s="852"/>
      <c r="H7641" s="852"/>
      <c r="I7641" s="852"/>
      <c r="J7641" s="852"/>
      <c r="K7641" s="852"/>
      <c r="L7641" s="852"/>
      <c r="M7641" s="852"/>
    </row>
    <row r="7642" spans="5:13">
      <c r="E7642" s="852"/>
      <c r="F7642" s="852"/>
      <c r="G7642" s="852"/>
      <c r="H7642" s="852"/>
      <c r="I7642" s="852"/>
      <c r="J7642" s="852"/>
      <c r="K7642" s="852"/>
      <c r="L7642" s="852"/>
      <c r="M7642" s="852"/>
    </row>
    <row r="7643" spans="5:13">
      <c r="E7643" s="852"/>
      <c r="F7643" s="852"/>
      <c r="G7643" s="852"/>
      <c r="H7643" s="852"/>
      <c r="I7643" s="852"/>
      <c r="J7643" s="852"/>
      <c r="K7643" s="852"/>
      <c r="L7643" s="852"/>
      <c r="M7643" s="852"/>
    </row>
    <row r="7644" spans="5:13">
      <c r="E7644" s="852"/>
      <c r="F7644" s="852"/>
      <c r="G7644" s="852"/>
      <c r="H7644" s="852"/>
      <c r="I7644" s="852"/>
      <c r="J7644" s="852"/>
      <c r="K7644" s="852"/>
      <c r="L7644" s="852"/>
      <c r="M7644" s="852"/>
    </row>
    <row r="7645" spans="5:13">
      <c r="E7645" s="852"/>
      <c r="F7645" s="852"/>
      <c r="G7645" s="852"/>
      <c r="H7645" s="852"/>
      <c r="I7645" s="852"/>
      <c r="J7645" s="852"/>
      <c r="K7645" s="852"/>
      <c r="L7645" s="852"/>
      <c r="M7645" s="852"/>
    </row>
    <row r="7646" spans="5:13">
      <c r="E7646" s="852"/>
      <c r="F7646" s="852"/>
      <c r="G7646" s="852"/>
      <c r="H7646" s="852"/>
      <c r="I7646" s="852"/>
      <c r="J7646" s="852"/>
      <c r="K7646" s="852"/>
      <c r="L7646" s="852"/>
      <c r="M7646" s="852"/>
    </row>
    <row r="7647" spans="5:13">
      <c r="E7647" s="852"/>
      <c r="F7647" s="852"/>
      <c r="G7647" s="852"/>
      <c r="H7647" s="852"/>
      <c r="I7647" s="852"/>
      <c r="J7647" s="852"/>
      <c r="K7647" s="852"/>
      <c r="L7647" s="852"/>
      <c r="M7647" s="852"/>
    </row>
    <row r="7648" spans="5:13">
      <c r="E7648" s="852"/>
      <c r="F7648" s="852"/>
      <c r="G7648" s="852"/>
      <c r="H7648" s="852"/>
      <c r="I7648" s="852"/>
      <c r="J7648" s="852"/>
      <c r="K7648" s="852"/>
      <c r="L7648" s="852"/>
      <c r="M7648" s="852"/>
    </row>
    <row r="7649" spans="5:13">
      <c r="E7649" s="852"/>
      <c r="F7649" s="852"/>
      <c r="G7649" s="852"/>
      <c r="H7649" s="852"/>
      <c r="I7649" s="852"/>
      <c r="J7649" s="852"/>
      <c r="K7649" s="852"/>
      <c r="L7649" s="852"/>
      <c r="M7649" s="852"/>
    </row>
    <row r="7650" spans="5:13">
      <c r="E7650" s="852"/>
      <c r="F7650" s="852"/>
      <c r="G7650" s="852"/>
      <c r="H7650" s="852"/>
      <c r="I7650" s="852"/>
      <c r="J7650" s="852"/>
      <c r="K7650" s="852"/>
      <c r="L7650" s="852"/>
      <c r="M7650" s="852"/>
    </row>
    <row r="7651" spans="5:13">
      <c r="E7651" s="852"/>
      <c r="F7651" s="852"/>
      <c r="G7651" s="852"/>
      <c r="H7651" s="852"/>
      <c r="I7651" s="852"/>
      <c r="J7651" s="852"/>
      <c r="K7651" s="852"/>
      <c r="L7651" s="852"/>
      <c r="M7651" s="852"/>
    </row>
    <row r="7652" spans="5:13">
      <c r="E7652" s="852"/>
      <c r="F7652" s="852"/>
      <c r="G7652" s="852"/>
      <c r="H7652" s="852"/>
      <c r="I7652" s="852"/>
      <c r="J7652" s="852"/>
      <c r="K7652" s="852"/>
      <c r="L7652" s="852"/>
      <c r="M7652" s="852"/>
    </row>
    <row r="7653" spans="5:13">
      <c r="E7653" s="852"/>
      <c r="F7653" s="852"/>
      <c r="G7653" s="852"/>
      <c r="H7653" s="852"/>
      <c r="I7653" s="852"/>
      <c r="J7653" s="852"/>
      <c r="K7653" s="852"/>
      <c r="L7653" s="852"/>
      <c r="M7653" s="852"/>
    </row>
    <row r="7654" spans="5:13">
      <c r="E7654" s="852"/>
      <c r="F7654" s="852"/>
      <c r="G7654" s="852"/>
      <c r="H7654" s="852"/>
      <c r="I7654" s="852"/>
      <c r="J7654" s="852"/>
      <c r="K7654" s="852"/>
      <c r="L7654" s="852"/>
      <c r="M7654" s="852"/>
    </row>
    <row r="7655" spans="5:13">
      <c r="E7655" s="852"/>
      <c r="F7655" s="852"/>
      <c r="G7655" s="852"/>
      <c r="H7655" s="852"/>
      <c r="I7655" s="852"/>
      <c r="J7655" s="852"/>
      <c r="K7655" s="852"/>
      <c r="L7655" s="852"/>
      <c r="M7655" s="852"/>
    </row>
    <row r="7656" spans="5:13">
      <c r="E7656" s="852"/>
      <c r="F7656" s="852"/>
      <c r="G7656" s="852"/>
      <c r="H7656" s="852"/>
      <c r="I7656" s="852"/>
      <c r="J7656" s="852"/>
      <c r="K7656" s="852"/>
      <c r="L7656" s="852"/>
      <c r="M7656" s="852"/>
    </row>
    <row r="7657" spans="5:13">
      <c r="E7657" s="852"/>
      <c r="F7657" s="852"/>
      <c r="G7657" s="852"/>
      <c r="H7657" s="852"/>
      <c r="I7657" s="852"/>
      <c r="J7657" s="852"/>
      <c r="K7657" s="852"/>
      <c r="L7657" s="852"/>
      <c r="M7657" s="852"/>
    </row>
    <row r="7658" spans="5:13">
      <c r="E7658" s="852"/>
      <c r="F7658" s="852"/>
      <c r="G7658" s="852"/>
      <c r="H7658" s="852"/>
      <c r="I7658" s="852"/>
      <c r="J7658" s="852"/>
      <c r="K7658" s="852"/>
      <c r="L7658" s="852"/>
      <c r="M7658" s="852"/>
    </row>
    <row r="7659" spans="5:13">
      <c r="E7659" s="852"/>
      <c r="F7659" s="852"/>
      <c r="G7659" s="852"/>
      <c r="H7659" s="852"/>
      <c r="I7659" s="852"/>
      <c r="J7659" s="852"/>
      <c r="K7659" s="852"/>
      <c r="L7659" s="852"/>
      <c r="M7659" s="852"/>
    </row>
    <row r="7660" spans="5:13">
      <c r="E7660" s="852"/>
      <c r="F7660" s="852"/>
      <c r="G7660" s="852"/>
      <c r="H7660" s="852"/>
      <c r="I7660" s="852"/>
      <c r="J7660" s="852"/>
      <c r="K7660" s="852"/>
      <c r="L7660" s="852"/>
      <c r="M7660" s="852"/>
    </row>
    <row r="7661" spans="5:13">
      <c r="E7661" s="852"/>
      <c r="F7661" s="852"/>
      <c r="G7661" s="852"/>
      <c r="H7661" s="852"/>
      <c r="I7661" s="852"/>
      <c r="J7661" s="852"/>
      <c r="K7661" s="852"/>
      <c r="L7661" s="852"/>
      <c r="M7661" s="852"/>
    </row>
    <row r="7662" spans="5:13">
      <c r="E7662" s="852"/>
      <c r="F7662" s="852"/>
      <c r="G7662" s="852"/>
      <c r="H7662" s="852"/>
      <c r="I7662" s="852"/>
      <c r="J7662" s="852"/>
      <c r="K7662" s="852"/>
      <c r="L7662" s="852"/>
      <c r="M7662" s="852"/>
    </row>
    <row r="7663" spans="5:13">
      <c r="E7663" s="852"/>
      <c r="F7663" s="852"/>
      <c r="G7663" s="852"/>
      <c r="H7663" s="852"/>
      <c r="I7663" s="852"/>
      <c r="J7663" s="852"/>
      <c r="K7663" s="852"/>
      <c r="L7663" s="852"/>
      <c r="M7663" s="852"/>
    </row>
    <row r="7664" spans="5:13">
      <c r="E7664" s="852"/>
      <c r="F7664" s="852"/>
      <c r="G7664" s="852"/>
      <c r="H7664" s="852"/>
      <c r="I7664" s="852"/>
      <c r="J7664" s="852"/>
      <c r="K7664" s="852"/>
      <c r="L7664" s="852"/>
      <c r="M7664" s="852"/>
    </row>
    <row r="7665" spans="5:13">
      <c r="E7665" s="852"/>
      <c r="F7665" s="852"/>
      <c r="G7665" s="852"/>
      <c r="H7665" s="852"/>
      <c r="I7665" s="852"/>
      <c r="J7665" s="852"/>
      <c r="K7665" s="852"/>
      <c r="L7665" s="852"/>
      <c r="M7665" s="852"/>
    </row>
    <row r="7666" spans="5:13">
      <c r="E7666" s="852"/>
      <c r="F7666" s="852"/>
      <c r="G7666" s="852"/>
      <c r="H7666" s="852"/>
      <c r="I7666" s="852"/>
      <c r="J7666" s="852"/>
      <c r="K7666" s="852"/>
      <c r="L7666" s="852"/>
      <c r="M7666" s="852"/>
    </row>
    <row r="7667" spans="5:13">
      <c r="E7667" s="852"/>
      <c r="F7667" s="852"/>
      <c r="G7667" s="852"/>
      <c r="H7667" s="852"/>
      <c r="I7667" s="852"/>
      <c r="J7667" s="852"/>
      <c r="K7667" s="852"/>
      <c r="L7667" s="852"/>
      <c r="M7667" s="852"/>
    </row>
    <row r="7668" spans="5:13">
      <c r="E7668" s="852"/>
      <c r="F7668" s="852"/>
      <c r="G7668" s="852"/>
      <c r="H7668" s="852"/>
      <c r="I7668" s="852"/>
      <c r="J7668" s="852"/>
      <c r="K7668" s="852"/>
      <c r="L7668" s="852"/>
      <c r="M7668" s="852"/>
    </row>
    <row r="7669" spans="5:13">
      <c r="E7669" s="852"/>
      <c r="F7669" s="852"/>
      <c r="G7669" s="852"/>
      <c r="H7669" s="852"/>
      <c r="I7669" s="852"/>
      <c r="J7669" s="852"/>
      <c r="K7669" s="852"/>
      <c r="L7669" s="852"/>
      <c r="M7669" s="852"/>
    </row>
    <row r="7670" spans="5:13">
      <c r="E7670" s="852"/>
      <c r="F7670" s="852"/>
      <c r="G7670" s="852"/>
      <c r="H7670" s="852"/>
      <c r="I7670" s="852"/>
      <c r="J7670" s="852"/>
      <c r="K7670" s="852"/>
      <c r="L7670" s="852"/>
      <c r="M7670" s="852"/>
    </row>
    <row r="7671" spans="5:13">
      <c r="E7671" s="852"/>
      <c r="F7671" s="852"/>
      <c r="G7671" s="852"/>
      <c r="H7671" s="852"/>
      <c r="I7671" s="852"/>
      <c r="J7671" s="852"/>
      <c r="K7671" s="852"/>
      <c r="L7671" s="852"/>
      <c r="M7671" s="852"/>
    </row>
    <row r="7672" spans="5:13">
      <c r="E7672" s="852"/>
      <c r="F7672" s="852"/>
      <c r="G7672" s="852"/>
      <c r="H7672" s="852"/>
      <c r="I7672" s="852"/>
      <c r="J7672" s="852"/>
      <c r="K7672" s="852"/>
      <c r="L7672" s="852"/>
      <c r="M7672" s="852"/>
    </row>
    <row r="7673" spans="5:13">
      <c r="E7673" s="852"/>
      <c r="F7673" s="852"/>
      <c r="G7673" s="852"/>
      <c r="H7673" s="852"/>
      <c r="I7673" s="852"/>
      <c r="J7673" s="852"/>
      <c r="K7673" s="852"/>
      <c r="L7673" s="852"/>
      <c r="M7673" s="852"/>
    </row>
    <row r="7674" spans="5:13">
      <c r="E7674" s="852"/>
      <c r="F7674" s="852"/>
      <c r="G7674" s="852"/>
      <c r="H7674" s="852"/>
      <c r="I7674" s="852"/>
      <c r="J7674" s="852"/>
      <c r="K7674" s="852"/>
      <c r="L7674" s="852"/>
      <c r="M7674" s="852"/>
    </row>
    <row r="7675" spans="5:13">
      <c r="E7675" s="852"/>
      <c r="F7675" s="852"/>
      <c r="G7675" s="852"/>
      <c r="H7675" s="852"/>
      <c r="I7675" s="852"/>
      <c r="J7675" s="852"/>
      <c r="K7675" s="852"/>
      <c r="L7675" s="852"/>
      <c r="M7675" s="852"/>
    </row>
    <row r="7676" spans="5:13">
      <c r="E7676" s="852"/>
      <c r="F7676" s="852"/>
      <c r="G7676" s="852"/>
      <c r="H7676" s="852"/>
      <c r="I7676" s="852"/>
      <c r="J7676" s="852"/>
      <c r="K7676" s="852"/>
      <c r="L7676" s="852"/>
      <c r="M7676" s="852"/>
    </row>
    <row r="7677" spans="5:13">
      <c r="E7677" s="852"/>
      <c r="F7677" s="852"/>
      <c r="G7677" s="852"/>
      <c r="H7677" s="852"/>
      <c r="I7677" s="852"/>
      <c r="J7677" s="852"/>
      <c r="K7677" s="852"/>
      <c r="L7677" s="852"/>
      <c r="M7677" s="852"/>
    </row>
    <row r="7678" spans="5:13">
      <c r="E7678" s="852"/>
      <c r="F7678" s="852"/>
      <c r="G7678" s="852"/>
      <c r="H7678" s="852"/>
      <c r="I7678" s="852"/>
      <c r="J7678" s="852"/>
      <c r="K7678" s="852"/>
      <c r="L7678" s="852"/>
      <c r="M7678" s="852"/>
    </row>
    <row r="7679" spans="5:13">
      <c r="E7679" s="852"/>
      <c r="F7679" s="852"/>
      <c r="G7679" s="852"/>
      <c r="H7679" s="852"/>
      <c r="I7679" s="852"/>
      <c r="J7679" s="852"/>
      <c r="K7679" s="852"/>
      <c r="L7679" s="852"/>
      <c r="M7679" s="852"/>
    </row>
    <row r="7680" spans="5:13">
      <c r="E7680" s="852"/>
      <c r="F7680" s="852"/>
      <c r="G7680" s="852"/>
      <c r="H7680" s="852"/>
      <c r="I7680" s="852"/>
      <c r="J7680" s="852"/>
      <c r="K7680" s="852"/>
      <c r="L7680" s="852"/>
      <c r="M7680" s="852"/>
    </row>
    <row r="7681" spans="5:13">
      <c r="E7681" s="852"/>
      <c r="F7681" s="852"/>
      <c r="G7681" s="852"/>
      <c r="H7681" s="852"/>
      <c r="I7681" s="852"/>
      <c r="J7681" s="852"/>
      <c r="K7681" s="852"/>
      <c r="L7681" s="852"/>
      <c r="M7681" s="852"/>
    </row>
    <row r="7682" spans="5:13">
      <c r="E7682" s="852"/>
      <c r="F7682" s="852"/>
      <c r="G7682" s="852"/>
      <c r="H7682" s="852"/>
      <c r="I7682" s="852"/>
      <c r="J7682" s="852"/>
      <c r="K7682" s="852"/>
      <c r="L7682" s="852"/>
      <c r="M7682" s="852"/>
    </row>
    <row r="7683" spans="5:13">
      <c r="E7683" s="852"/>
      <c r="F7683" s="852"/>
      <c r="G7683" s="852"/>
      <c r="H7683" s="852"/>
      <c r="I7683" s="852"/>
      <c r="J7683" s="852"/>
      <c r="K7683" s="852"/>
      <c r="L7683" s="852"/>
      <c r="M7683" s="852"/>
    </row>
    <row r="7684" spans="5:13">
      <c r="E7684" s="852"/>
      <c r="F7684" s="852"/>
      <c r="G7684" s="852"/>
      <c r="H7684" s="852"/>
      <c r="I7684" s="852"/>
      <c r="J7684" s="852"/>
      <c r="K7684" s="852"/>
      <c r="L7684" s="852"/>
      <c r="M7684" s="852"/>
    </row>
    <row r="7685" spans="5:13">
      <c r="E7685" s="852"/>
      <c r="F7685" s="852"/>
      <c r="G7685" s="852"/>
      <c r="H7685" s="852"/>
      <c r="I7685" s="852"/>
      <c r="J7685" s="852"/>
      <c r="K7685" s="852"/>
      <c r="L7685" s="852"/>
      <c r="M7685" s="852"/>
    </row>
    <row r="7686" spans="5:13">
      <c r="E7686" s="852"/>
      <c r="F7686" s="852"/>
      <c r="G7686" s="852"/>
      <c r="H7686" s="852"/>
      <c r="I7686" s="852"/>
      <c r="J7686" s="852"/>
      <c r="K7686" s="852"/>
      <c r="L7686" s="852"/>
      <c r="M7686" s="852"/>
    </row>
    <row r="7687" spans="5:13">
      <c r="E7687" s="852"/>
      <c r="F7687" s="852"/>
      <c r="G7687" s="852"/>
      <c r="H7687" s="852"/>
      <c r="I7687" s="852"/>
      <c r="J7687" s="852"/>
      <c r="K7687" s="852"/>
      <c r="L7687" s="852"/>
      <c r="M7687" s="852"/>
    </row>
    <row r="7688" spans="5:13">
      <c r="E7688" s="852"/>
      <c r="F7688" s="852"/>
      <c r="G7688" s="852"/>
      <c r="H7688" s="852"/>
      <c r="I7688" s="852"/>
      <c r="J7688" s="852"/>
      <c r="K7688" s="852"/>
      <c r="L7688" s="852"/>
      <c r="M7688" s="852"/>
    </row>
    <row r="7689" spans="5:13">
      <c r="E7689" s="852"/>
      <c r="F7689" s="852"/>
      <c r="G7689" s="852"/>
      <c r="H7689" s="852"/>
      <c r="I7689" s="852"/>
      <c r="J7689" s="852"/>
      <c r="K7689" s="852"/>
      <c r="L7689" s="852"/>
      <c r="M7689" s="852"/>
    </row>
    <row r="7690" spans="5:13">
      <c r="E7690" s="852"/>
      <c r="F7690" s="852"/>
      <c r="G7690" s="852"/>
      <c r="H7690" s="852"/>
      <c r="I7690" s="852"/>
      <c r="J7690" s="852"/>
      <c r="K7690" s="852"/>
      <c r="L7690" s="852"/>
      <c r="M7690" s="852"/>
    </row>
    <row r="7691" spans="5:13">
      <c r="E7691" s="852"/>
      <c r="F7691" s="852"/>
      <c r="G7691" s="852"/>
      <c r="H7691" s="852"/>
      <c r="I7691" s="852"/>
      <c r="J7691" s="852"/>
      <c r="K7691" s="852"/>
      <c r="L7691" s="852"/>
      <c r="M7691" s="852"/>
    </row>
    <row r="7692" spans="5:13">
      <c r="E7692" s="852"/>
      <c r="F7692" s="852"/>
      <c r="G7692" s="852"/>
      <c r="H7692" s="852"/>
      <c r="I7692" s="852"/>
      <c r="J7692" s="852"/>
      <c r="K7692" s="852"/>
      <c r="L7692" s="852"/>
      <c r="M7692" s="852"/>
    </row>
    <row r="7693" spans="5:13">
      <c r="E7693" s="852"/>
      <c r="F7693" s="852"/>
      <c r="G7693" s="852"/>
      <c r="H7693" s="852"/>
      <c r="I7693" s="852"/>
      <c r="J7693" s="852"/>
      <c r="K7693" s="852"/>
      <c r="L7693" s="852"/>
      <c r="M7693" s="852"/>
    </row>
    <row r="7694" spans="5:13">
      <c r="E7694" s="852"/>
      <c r="F7694" s="852"/>
      <c r="G7694" s="852"/>
      <c r="H7694" s="852"/>
      <c r="I7694" s="852"/>
      <c r="J7694" s="852"/>
      <c r="K7694" s="852"/>
      <c r="L7694" s="852"/>
      <c r="M7694" s="852"/>
    </row>
    <row r="7695" spans="5:13">
      <c r="E7695" s="852"/>
      <c r="F7695" s="852"/>
      <c r="G7695" s="852"/>
      <c r="H7695" s="852"/>
      <c r="I7695" s="852"/>
      <c r="J7695" s="852"/>
      <c r="K7695" s="852"/>
      <c r="L7695" s="852"/>
      <c r="M7695" s="852"/>
    </row>
    <row r="7696" spans="5:13">
      <c r="E7696" s="852"/>
      <c r="F7696" s="852"/>
      <c r="G7696" s="852"/>
      <c r="H7696" s="852"/>
      <c r="I7696" s="852"/>
      <c r="J7696" s="852"/>
      <c r="K7696" s="852"/>
      <c r="L7696" s="852"/>
      <c r="M7696" s="852"/>
    </row>
    <row r="7697" spans="5:13">
      <c r="E7697" s="852"/>
      <c r="F7697" s="852"/>
      <c r="G7697" s="852"/>
      <c r="H7697" s="852"/>
      <c r="I7697" s="852"/>
      <c r="J7697" s="852"/>
      <c r="K7697" s="852"/>
      <c r="L7697" s="852"/>
      <c r="M7697" s="852"/>
    </row>
    <row r="7698" spans="5:13">
      <c r="E7698" s="852"/>
      <c r="F7698" s="852"/>
      <c r="G7698" s="852"/>
      <c r="H7698" s="852"/>
      <c r="I7698" s="852"/>
      <c r="J7698" s="852"/>
      <c r="K7698" s="852"/>
      <c r="L7698" s="852"/>
      <c r="M7698" s="852"/>
    </row>
    <row r="7699" spans="5:13">
      <c r="E7699" s="852"/>
      <c r="F7699" s="852"/>
      <c r="G7699" s="852"/>
      <c r="H7699" s="852"/>
      <c r="I7699" s="852"/>
      <c r="J7699" s="852"/>
      <c r="K7699" s="852"/>
      <c r="L7699" s="852"/>
      <c r="M7699" s="852"/>
    </row>
    <row r="7700" spans="5:13">
      <c r="E7700" s="852"/>
      <c r="F7700" s="852"/>
      <c r="G7700" s="852"/>
      <c r="H7700" s="852"/>
      <c r="I7700" s="852"/>
      <c r="J7700" s="852"/>
      <c r="K7700" s="852"/>
      <c r="L7700" s="852"/>
      <c r="M7700" s="852"/>
    </row>
    <row r="7701" spans="5:13">
      <c r="E7701" s="852"/>
      <c r="F7701" s="852"/>
      <c r="G7701" s="852"/>
      <c r="H7701" s="852"/>
      <c r="I7701" s="852"/>
      <c r="J7701" s="852"/>
      <c r="K7701" s="852"/>
      <c r="L7701" s="852"/>
      <c r="M7701" s="852"/>
    </row>
    <row r="7702" spans="5:13">
      <c r="E7702" s="852"/>
      <c r="F7702" s="852"/>
      <c r="G7702" s="852"/>
      <c r="H7702" s="852"/>
      <c r="I7702" s="852"/>
      <c r="J7702" s="852"/>
      <c r="K7702" s="852"/>
      <c r="L7702" s="852"/>
      <c r="M7702" s="852"/>
    </row>
    <row r="7703" spans="5:13">
      <c r="E7703" s="852"/>
      <c r="F7703" s="852"/>
      <c r="G7703" s="852"/>
      <c r="H7703" s="852"/>
      <c r="I7703" s="852"/>
      <c r="J7703" s="852"/>
      <c r="K7703" s="852"/>
      <c r="L7703" s="852"/>
      <c r="M7703" s="852"/>
    </row>
    <row r="7704" spans="5:13">
      <c r="E7704" s="852"/>
      <c r="F7704" s="852"/>
      <c r="G7704" s="852"/>
      <c r="H7704" s="852"/>
      <c r="I7704" s="852"/>
      <c r="J7704" s="852"/>
      <c r="K7704" s="852"/>
      <c r="L7704" s="852"/>
      <c r="M7704" s="852"/>
    </row>
    <row r="7705" spans="5:13">
      <c r="E7705" s="852"/>
      <c r="F7705" s="852"/>
      <c r="G7705" s="852"/>
      <c r="H7705" s="852"/>
      <c r="I7705" s="852"/>
      <c r="J7705" s="852"/>
      <c r="K7705" s="852"/>
      <c r="L7705" s="852"/>
      <c r="M7705" s="852"/>
    </row>
    <row r="7706" spans="5:13">
      <c r="E7706" s="852"/>
      <c r="F7706" s="852"/>
      <c r="G7706" s="852"/>
      <c r="H7706" s="852"/>
      <c r="I7706" s="852"/>
      <c r="J7706" s="852"/>
      <c r="K7706" s="852"/>
      <c r="L7706" s="852"/>
      <c r="M7706" s="852"/>
    </row>
    <row r="7707" spans="5:13">
      <c r="E7707" s="852"/>
      <c r="F7707" s="852"/>
      <c r="G7707" s="852"/>
      <c r="H7707" s="852"/>
      <c r="I7707" s="852"/>
      <c r="J7707" s="852"/>
      <c r="K7707" s="852"/>
      <c r="L7707" s="852"/>
      <c r="M7707" s="852"/>
    </row>
    <row r="7708" spans="5:13">
      <c r="E7708" s="852"/>
      <c r="F7708" s="852"/>
      <c r="G7708" s="852"/>
      <c r="H7708" s="852"/>
      <c r="I7708" s="852"/>
      <c r="J7708" s="852"/>
      <c r="K7708" s="852"/>
      <c r="L7708" s="852"/>
      <c r="M7708" s="852"/>
    </row>
    <row r="7709" spans="5:13">
      <c r="E7709" s="852"/>
      <c r="F7709" s="852"/>
      <c r="G7709" s="852"/>
      <c r="H7709" s="852"/>
      <c r="I7709" s="852"/>
      <c r="J7709" s="852"/>
      <c r="K7709" s="852"/>
      <c r="L7709" s="852"/>
      <c r="M7709" s="852"/>
    </row>
    <row r="7710" spans="5:13">
      <c r="E7710" s="852"/>
      <c r="F7710" s="852"/>
      <c r="G7710" s="852"/>
      <c r="H7710" s="852"/>
      <c r="I7710" s="852"/>
      <c r="J7710" s="852"/>
      <c r="K7710" s="852"/>
      <c r="L7710" s="852"/>
      <c r="M7710" s="852"/>
    </row>
    <row r="7711" spans="5:13">
      <c r="E7711" s="852"/>
      <c r="F7711" s="852"/>
      <c r="G7711" s="852"/>
      <c r="H7711" s="852"/>
      <c r="I7711" s="852"/>
      <c r="J7711" s="852"/>
      <c r="K7711" s="852"/>
      <c r="L7711" s="852"/>
      <c r="M7711" s="852"/>
    </row>
    <row r="7712" spans="5:13">
      <c r="E7712" s="852"/>
      <c r="F7712" s="852"/>
      <c r="G7712" s="852"/>
      <c r="H7712" s="852"/>
      <c r="I7712" s="852"/>
      <c r="J7712" s="852"/>
      <c r="K7712" s="852"/>
      <c r="L7712" s="852"/>
      <c r="M7712" s="852"/>
    </row>
    <row r="7713" spans="5:13">
      <c r="E7713" s="852"/>
      <c r="F7713" s="852"/>
      <c r="G7713" s="852"/>
      <c r="H7713" s="852"/>
      <c r="I7713" s="852"/>
      <c r="J7713" s="852"/>
      <c r="K7713" s="852"/>
      <c r="L7713" s="852"/>
      <c r="M7713" s="852"/>
    </row>
    <row r="7714" spans="5:13">
      <c r="E7714" s="852"/>
      <c r="F7714" s="852"/>
      <c r="G7714" s="852"/>
      <c r="H7714" s="852"/>
      <c r="I7714" s="852"/>
      <c r="J7714" s="852"/>
      <c r="K7714" s="852"/>
      <c r="L7714" s="852"/>
      <c r="M7714" s="852"/>
    </row>
    <row r="7715" spans="5:13">
      <c r="E7715" s="852"/>
      <c r="F7715" s="852"/>
      <c r="G7715" s="852"/>
      <c r="H7715" s="852"/>
      <c r="I7715" s="852"/>
      <c r="J7715" s="852"/>
      <c r="K7715" s="852"/>
      <c r="L7715" s="852"/>
      <c r="M7715" s="852"/>
    </row>
    <row r="7716" spans="5:13">
      <c r="E7716" s="852"/>
      <c r="F7716" s="852"/>
      <c r="G7716" s="852"/>
      <c r="H7716" s="852"/>
      <c r="I7716" s="852"/>
      <c r="J7716" s="852"/>
      <c r="K7716" s="852"/>
      <c r="L7716" s="852"/>
      <c r="M7716" s="852"/>
    </row>
    <row r="7717" spans="5:13">
      <c r="E7717" s="852"/>
      <c r="F7717" s="852"/>
      <c r="G7717" s="852"/>
      <c r="H7717" s="852"/>
      <c r="I7717" s="852"/>
      <c r="J7717" s="852"/>
      <c r="K7717" s="852"/>
      <c r="L7717" s="852"/>
      <c r="M7717" s="852"/>
    </row>
    <row r="7718" spans="5:13">
      <c r="E7718" s="852"/>
      <c r="F7718" s="852"/>
      <c r="G7718" s="852"/>
      <c r="H7718" s="852"/>
      <c r="I7718" s="852"/>
      <c r="J7718" s="852"/>
      <c r="K7718" s="852"/>
      <c r="L7718" s="852"/>
      <c r="M7718" s="852"/>
    </row>
    <row r="7719" spans="5:13">
      <c r="E7719" s="852"/>
      <c r="F7719" s="852"/>
      <c r="G7719" s="852"/>
      <c r="H7719" s="852"/>
      <c r="I7719" s="852"/>
      <c r="J7719" s="852"/>
      <c r="K7719" s="852"/>
      <c r="L7719" s="852"/>
      <c r="M7719" s="852"/>
    </row>
    <row r="7720" spans="5:13">
      <c r="E7720" s="852"/>
      <c r="F7720" s="852"/>
      <c r="G7720" s="852"/>
      <c r="H7720" s="852"/>
      <c r="I7720" s="852"/>
      <c r="J7720" s="852"/>
      <c r="K7720" s="852"/>
      <c r="L7720" s="852"/>
      <c r="M7720" s="852"/>
    </row>
    <row r="7721" spans="5:13">
      <c r="E7721" s="852"/>
      <c r="F7721" s="852"/>
      <c r="G7721" s="852"/>
      <c r="H7721" s="852"/>
      <c r="I7721" s="852"/>
      <c r="J7721" s="852"/>
      <c r="K7721" s="852"/>
      <c r="L7721" s="852"/>
      <c r="M7721" s="852"/>
    </row>
    <row r="7722" spans="5:13">
      <c r="E7722" s="852"/>
      <c r="F7722" s="852"/>
      <c r="G7722" s="852"/>
      <c r="H7722" s="852"/>
      <c r="I7722" s="852"/>
      <c r="J7722" s="852"/>
      <c r="K7722" s="852"/>
      <c r="L7722" s="852"/>
      <c r="M7722" s="852"/>
    </row>
    <row r="7723" spans="5:13">
      <c r="E7723" s="852"/>
      <c r="F7723" s="852"/>
      <c r="G7723" s="852"/>
      <c r="H7723" s="852"/>
      <c r="I7723" s="852"/>
      <c r="J7723" s="852"/>
      <c r="K7723" s="852"/>
      <c r="L7723" s="852"/>
      <c r="M7723" s="852"/>
    </row>
    <row r="7724" spans="5:13">
      <c r="E7724" s="852"/>
      <c r="F7724" s="852"/>
      <c r="G7724" s="852"/>
      <c r="H7724" s="852"/>
      <c r="I7724" s="852"/>
      <c r="J7724" s="852"/>
      <c r="K7724" s="852"/>
      <c r="L7724" s="852"/>
      <c r="M7724" s="852"/>
    </row>
    <row r="7725" spans="5:13">
      <c r="E7725" s="852"/>
      <c r="F7725" s="852"/>
      <c r="G7725" s="852"/>
      <c r="H7725" s="852"/>
      <c r="I7725" s="852"/>
      <c r="J7725" s="852"/>
      <c r="K7725" s="852"/>
      <c r="L7725" s="852"/>
      <c r="M7725" s="852"/>
    </row>
    <row r="7726" spans="5:13">
      <c r="E7726" s="852"/>
      <c r="F7726" s="852"/>
      <c r="G7726" s="852"/>
      <c r="H7726" s="852"/>
      <c r="I7726" s="852"/>
      <c r="J7726" s="852"/>
      <c r="K7726" s="852"/>
      <c r="L7726" s="852"/>
      <c r="M7726" s="852"/>
    </row>
    <row r="7727" spans="5:13">
      <c r="E7727" s="852"/>
      <c r="F7727" s="852"/>
      <c r="G7727" s="852"/>
      <c r="H7727" s="852"/>
      <c r="I7727" s="852"/>
      <c r="J7727" s="852"/>
      <c r="K7727" s="852"/>
      <c r="L7727" s="852"/>
      <c r="M7727" s="852"/>
    </row>
    <row r="7728" spans="5:13">
      <c r="E7728" s="852"/>
      <c r="F7728" s="852"/>
      <c r="G7728" s="852"/>
      <c r="H7728" s="852"/>
      <c r="I7728" s="852"/>
      <c r="J7728" s="852"/>
      <c r="K7728" s="852"/>
      <c r="L7728" s="852"/>
      <c r="M7728" s="852"/>
    </row>
    <row r="7729" spans="5:13">
      <c r="E7729" s="852"/>
      <c r="F7729" s="852"/>
      <c r="G7729" s="852"/>
      <c r="H7729" s="852"/>
      <c r="I7729" s="852"/>
      <c r="J7729" s="852"/>
      <c r="K7729" s="852"/>
      <c r="L7729" s="852"/>
      <c r="M7729" s="852"/>
    </row>
    <row r="7730" spans="5:13">
      <c r="E7730" s="852"/>
      <c r="F7730" s="852"/>
      <c r="G7730" s="852"/>
      <c r="H7730" s="852"/>
      <c r="I7730" s="852"/>
      <c r="J7730" s="852"/>
      <c r="K7730" s="852"/>
      <c r="L7730" s="852"/>
      <c r="M7730" s="852"/>
    </row>
    <row r="7731" spans="5:13">
      <c r="E7731" s="852"/>
      <c r="F7731" s="852"/>
      <c r="G7731" s="852"/>
      <c r="H7731" s="852"/>
      <c r="I7731" s="852"/>
      <c r="J7731" s="852"/>
      <c r="K7731" s="852"/>
      <c r="L7731" s="852"/>
      <c r="M7731" s="852"/>
    </row>
    <row r="7732" spans="5:13">
      <c r="E7732" s="852"/>
      <c r="F7732" s="852"/>
      <c r="G7732" s="852"/>
      <c r="H7732" s="852"/>
      <c r="I7732" s="852"/>
      <c r="J7732" s="852"/>
      <c r="K7732" s="852"/>
      <c r="L7732" s="852"/>
      <c r="M7732" s="852"/>
    </row>
    <row r="7733" spans="5:13">
      <c r="E7733" s="852"/>
      <c r="F7733" s="852"/>
      <c r="G7733" s="852"/>
      <c r="H7733" s="852"/>
      <c r="I7733" s="852"/>
      <c r="J7733" s="852"/>
      <c r="K7733" s="852"/>
      <c r="L7733" s="852"/>
      <c r="M7733" s="852"/>
    </row>
    <row r="7734" spans="5:13">
      <c r="E7734" s="852"/>
      <c r="F7734" s="852"/>
      <c r="G7734" s="852"/>
      <c r="H7734" s="852"/>
      <c r="I7734" s="852"/>
      <c r="J7734" s="852"/>
      <c r="K7734" s="852"/>
      <c r="L7734" s="852"/>
      <c r="M7734" s="852"/>
    </row>
    <row r="7735" spans="5:13">
      <c r="E7735" s="852"/>
      <c r="F7735" s="852"/>
      <c r="G7735" s="852"/>
      <c r="H7735" s="852"/>
      <c r="I7735" s="852"/>
      <c r="J7735" s="852"/>
      <c r="K7735" s="852"/>
      <c r="L7735" s="852"/>
      <c r="M7735" s="852"/>
    </row>
    <row r="7736" spans="5:13">
      <c r="E7736" s="852"/>
      <c r="F7736" s="852"/>
      <c r="G7736" s="852"/>
      <c r="H7736" s="852"/>
      <c r="I7736" s="852"/>
      <c r="J7736" s="852"/>
      <c r="K7736" s="852"/>
      <c r="L7736" s="852"/>
      <c r="M7736" s="852"/>
    </row>
    <row r="7737" spans="5:13">
      <c r="E7737" s="852"/>
      <c r="F7737" s="852"/>
      <c r="G7737" s="852"/>
      <c r="H7737" s="852"/>
      <c r="I7737" s="852"/>
      <c r="J7737" s="852"/>
      <c r="K7737" s="852"/>
      <c r="L7737" s="852"/>
      <c r="M7737" s="852"/>
    </row>
    <row r="7738" spans="5:13">
      <c r="E7738" s="852"/>
      <c r="F7738" s="852"/>
      <c r="G7738" s="852"/>
      <c r="H7738" s="852"/>
      <c r="I7738" s="852"/>
      <c r="J7738" s="852"/>
      <c r="K7738" s="852"/>
      <c r="L7738" s="852"/>
      <c r="M7738" s="852"/>
    </row>
    <row r="7739" spans="5:13">
      <c r="E7739" s="852"/>
      <c r="F7739" s="852"/>
      <c r="G7739" s="852"/>
      <c r="H7739" s="852"/>
      <c r="I7739" s="852"/>
      <c r="J7739" s="852"/>
      <c r="K7739" s="852"/>
      <c r="L7739" s="852"/>
      <c r="M7739" s="852"/>
    </row>
    <row r="7740" spans="5:13">
      <c r="E7740" s="852"/>
      <c r="F7740" s="852"/>
      <c r="G7740" s="852"/>
      <c r="H7740" s="852"/>
      <c r="I7740" s="852"/>
      <c r="J7740" s="852"/>
      <c r="K7740" s="852"/>
      <c r="L7740" s="852"/>
      <c r="M7740" s="852"/>
    </row>
    <row r="7741" spans="5:13">
      <c r="E7741" s="852"/>
      <c r="F7741" s="852"/>
      <c r="G7741" s="852"/>
      <c r="H7741" s="852"/>
      <c r="I7741" s="852"/>
      <c r="J7741" s="852"/>
      <c r="K7741" s="852"/>
      <c r="L7741" s="852"/>
      <c r="M7741" s="852"/>
    </row>
    <row r="7742" spans="5:13">
      <c r="E7742" s="852"/>
      <c r="F7742" s="852"/>
      <c r="G7742" s="852"/>
      <c r="H7742" s="852"/>
      <c r="I7742" s="852"/>
      <c r="J7742" s="852"/>
      <c r="K7742" s="852"/>
      <c r="L7742" s="852"/>
      <c r="M7742" s="852"/>
    </row>
    <row r="7743" spans="5:13">
      <c r="E7743" s="852"/>
      <c r="F7743" s="852"/>
      <c r="G7743" s="852"/>
      <c r="H7743" s="852"/>
      <c r="I7743" s="852"/>
      <c r="J7743" s="852"/>
      <c r="K7743" s="852"/>
      <c r="L7743" s="852"/>
      <c r="M7743" s="852"/>
    </row>
    <row r="7744" spans="5:13">
      <c r="E7744" s="852"/>
      <c r="F7744" s="852"/>
      <c r="G7744" s="852"/>
      <c r="H7744" s="852"/>
      <c r="I7744" s="852"/>
      <c r="J7744" s="852"/>
      <c r="K7744" s="852"/>
      <c r="L7744" s="852"/>
      <c r="M7744" s="852"/>
    </row>
    <row r="7745" spans="5:13">
      <c r="E7745" s="852"/>
      <c r="F7745" s="852"/>
      <c r="G7745" s="852"/>
      <c r="H7745" s="852"/>
      <c r="I7745" s="852"/>
      <c r="J7745" s="852"/>
      <c r="K7745" s="852"/>
      <c r="L7745" s="852"/>
      <c r="M7745" s="852"/>
    </row>
    <row r="7746" spans="5:13">
      <c r="E7746" s="852"/>
      <c r="F7746" s="852"/>
      <c r="G7746" s="852"/>
      <c r="H7746" s="852"/>
      <c r="I7746" s="852"/>
      <c r="J7746" s="852"/>
      <c r="K7746" s="852"/>
      <c r="L7746" s="852"/>
      <c r="M7746" s="852"/>
    </row>
    <row r="7747" spans="5:13">
      <c r="E7747" s="852"/>
      <c r="F7747" s="852"/>
      <c r="G7747" s="852"/>
      <c r="H7747" s="852"/>
      <c r="I7747" s="852"/>
      <c r="J7747" s="852"/>
      <c r="K7747" s="852"/>
      <c r="L7747" s="852"/>
      <c r="M7747" s="852"/>
    </row>
    <row r="7748" spans="5:13">
      <c r="E7748" s="852"/>
      <c r="F7748" s="852"/>
      <c r="G7748" s="852"/>
      <c r="H7748" s="852"/>
      <c r="I7748" s="852"/>
      <c r="J7748" s="852"/>
      <c r="K7748" s="852"/>
      <c r="L7748" s="852"/>
      <c r="M7748" s="852"/>
    </row>
    <row r="7749" spans="5:13">
      <c r="E7749" s="852"/>
      <c r="F7749" s="852"/>
      <c r="G7749" s="852"/>
      <c r="H7749" s="852"/>
      <c r="I7749" s="852"/>
      <c r="J7749" s="852"/>
      <c r="K7749" s="852"/>
      <c r="L7749" s="852"/>
      <c r="M7749" s="852"/>
    </row>
    <row r="7750" spans="5:13">
      <c r="E7750" s="852"/>
      <c r="F7750" s="852"/>
      <c r="G7750" s="852"/>
      <c r="H7750" s="852"/>
      <c r="I7750" s="852"/>
      <c r="J7750" s="852"/>
      <c r="K7750" s="852"/>
      <c r="L7750" s="852"/>
      <c r="M7750" s="852"/>
    </row>
    <row r="7751" spans="5:13">
      <c r="E7751" s="852"/>
      <c r="F7751" s="852"/>
      <c r="G7751" s="852"/>
      <c r="H7751" s="852"/>
      <c r="I7751" s="852"/>
      <c r="J7751" s="852"/>
      <c r="K7751" s="852"/>
      <c r="L7751" s="852"/>
      <c r="M7751" s="852"/>
    </row>
    <row r="7752" spans="5:13">
      <c r="E7752" s="852"/>
      <c r="F7752" s="852"/>
      <c r="G7752" s="852"/>
      <c r="H7752" s="852"/>
      <c r="I7752" s="852"/>
      <c r="J7752" s="852"/>
      <c r="K7752" s="852"/>
      <c r="L7752" s="852"/>
      <c r="M7752" s="852"/>
    </row>
    <row r="7753" spans="5:13">
      <c r="E7753" s="852"/>
      <c r="F7753" s="852"/>
      <c r="G7753" s="852"/>
      <c r="H7753" s="852"/>
      <c r="I7753" s="852"/>
      <c r="J7753" s="852"/>
      <c r="K7753" s="852"/>
      <c r="L7753" s="852"/>
      <c r="M7753" s="852"/>
    </row>
    <row r="7754" spans="5:13">
      <c r="E7754" s="852"/>
      <c r="F7754" s="852"/>
      <c r="G7754" s="852"/>
      <c r="H7754" s="852"/>
      <c r="I7754" s="852"/>
      <c r="J7754" s="852"/>
      <c r="K7754" s="852"/>
      <c r="L7754" s="852"/>
      <c r="M7754" s="852"/>
    </row>
    <row r="7755" spans="5:13">
      <c r="E7755" s="852"/>
      <c r="F7755" s="852"/>
      <c r="G7755" s="852"/>
      <c r="H7755" s="852"/>
      <c r="I7755" s="852"/>
      <c r="J7755" s="852"/>
      <c r="K7755" s="852"/>
      <c r="L7755" s="852"/>
      <c r="M7755" s="852"/>
    </row>
    <row r="7756" spans="5:13">
      <c r="E7756" s="852"/>
      <c r="F7756" s="852"/>
      <c r="G7756" s="852"/>
      <c r="H7756" s="852"/>
      <c r="I7756" s="852"/>
      <c r="J7756" s="852"/>
      <c r="K7756" s="852"/>
      <c r="L7756" s="852"/>
      <c r="M7756" s="852"/>
    </row>
    <row r="7757" spans="5:13">
      <c r="E7757" s="852"/>
      <c r="F7757" s="852"/>
      <c r="G7757" s="852"/>
      <c r="H7757" s="852"/>
      <c r="I7757" s="852"/>
      <c r="J7757" s="852"/>
      <c r="K7757" s="852"/>
      <c r="L7757" s="852"/>
      <c r="M7757" s="852"/>
    </row>
    <row r="7758" spans="5:13">
      <c r="E7758" s="852"/>
      <c r="F7758" s="852"/>
      <c r="G7758" s="852"/>
      <c r="H7758" s="852"/>
      <c r="I7758" s="852"/>
      <c r="J7758" s="852"/>
      <c r="K7758" s="852"/>
      <c r="L7758" s="852"/>
      <c r="M7758" s="852"/>
    </row>
    <row r="7759" spans="5:13">
      <c r="E7759" s="852"/>
      <c r="F7759" s="852"/>
      <c r="G7759" s="852"/>
      <c r="H7759" s="852"/>
      <c r="I7759" s="852"/>
      <c r="J7759" s="852"/>
      <c r="K7759" s="852"/>
      <c r="L7759" s="852"/>
      <c r="M7759" s="852"/>
    </row>
    <row r="7760" spans="5:13">
      <c r="E7760" s="852"/>
      <c r="F7760" s="852"/>
      <c r="G7760" s="852"/>
      <c r="H7760" s="852"/>
      <c r="I7760" s="852"/>
      <c r="J7760" s="852"/>
      <c r="K7760" s="852"/>
      <c r="L7760" s="852"/>
      <c r="M7760" s="852"/>
    </row>
    <row r="7761" spans="5:13">
      <c r="E7761" s="852"/>
      <c r="F7761" s="852"/>
      <c r="G7761" s="852"/>
      <c r="H7761" s="852"/>
      <c r="I7761" s="852"/>
      <c r="J7761" s="852"/>
      <c r="K7761" s="852"/>
      <c r="L7761" s="852"/>
      <c r="M7761" s="852"/>
    </row>
    <row r="7762" spans="5:13">
      <c r="E7762" s="852"/>
      <c r="F7762" s="852"/>
      <c r="G7762" s="852"/>
      <c r="H7762" s="852"/>
      <c r="I7762" s="852"/>
      <c r="J7762" s="852"/>
      <c r="K7762" s="852"/>
      <c r="L7762" s="852"/>
      <c r="M7762" s="852"/>
    </row>
    <row r="7763" spans="5:13">
      <c r="E7763" s="852"/>
      <c r="F7763" s="852"/>
      <c r="G7763" s="852"/>
      <c r="H7763" s="852"/>
      <c r="I7763" s="852"/>
      <c r="J7763" s="852"/>
      <c r="K7763" s="852"/>
      <c r="L7763" s="852"/>
      <c r="M7763" s="852"/>
    </row>
    <row r="7764" spans="5:13">
      <c r="E7764" s="852"/>
      <c r="F7764" s="852"/>
      <c r="G7764" s="852"/>
      <c r="H7764" s="852"/>
      <c r="I7764" s="852"/>
      <c r="J7764" s="852"/>
      <c r="K7764" s="852"/>
      <c r="L7764" s="852"/>
      <c r="M7764" s="852"/>
    </row>
    <row r="7765" spans="5:13">
      <c r="E7765" s="852"/>
      <c r="F7765" s="852"/>
      <c r="G7765" s="852"/>
      <c r="H7765" s="852"/>
      <c r="I7765" s="852"/>
      <c r="J7765" s="852"/>
      <c r="K7765" s="852"/>
      <c r="L7765" s="852"/>
      <c r="M7765" s="852"/>
    </row>
    <row r="7766" spans="5:13">
      <c r="E7766" s="852"/>
      <c r="F7766" s="852"/>
      <c r="G7766" s="852"/>
      <c r="H7766" s="852"/>
      <c r="I7766" s="852"/>
      <c r="J7766" s="852"/>
      <c r="K7766" s="852"/>
      <c r="L7766" s="852"/>
      <c r="M7766" s="852"/>
    </row>
    <row r="7767" spans="5:13">
      <c r="E7767" s="852"/>
      <c r="F7767" s="852"/>
      <c r="G7767" s="852"/>
      <c r="H7767" s="852"/>
      <c r="I7767" s="852"/>
      <c r="J7767" s="852"/>
      <c r="K7767" s="852"/>
      <c r="L7767" s="852"/>
      <c r="M7767" s="852"/>
    </row>
    <row r="7768" spans="5:13">
      <c r="E7768" s="852"/>
      <c r="F7768" s="852"/>
      <c r="G7768" s="852"/>
      <c r="H7768" s="852"/>
      <c r="I7768" s="852"/>
      <c r="J7768" s="852"/>
      <c r="K7768" s="852"/>
      <c r="L7768" s="852"/>
      <c r="M7768" s="852"/>
    </row>
    <row r="7769" spans="5:13">
      <c r="E7769" s="852"/>
      <c r="F7769" s="852"/>
      <c r="G7769" s="852"/>
      <c r="H7769" s="852"/>
      <c r="I7769" s="852"/>
      <c r="J7769" s="852"/>
      <c r="K7769" s="852"/>
      <c r="L7769" s="852"/>
      <c r="M7769" s="852"/>
    </row>
    <row r="7770" spans="5:13">
      <c r="E7770" s="852"/>
      <c r="F7770" s="852"/>
      <c r="G7770" s="852"/>
      <c r="H7770" s="852"/>
      <c r="I7770" s="852"/>
      <c r="J7770" s="852"/>
      <c r="K7770" s="852"/>
      <c r="L7770" s="852"/>
      <c r="M7770" s="852"/>
    </row>
    <row r="7771" spans="5:13">
      <c r="E7771" s="852"/>
      <c r="F7771" s="852"/>
      <c r="G7771" s="852"/>
      <c r="H7771" s="852"/>
      <c r="I7771" s="852"/>
      <c r="J7771" s="852"/>
      <c r="K7771" s="852"/>
      <c r="L7771" s="852"/>
      <c r="M7771" s="852"/>
    </row>
    <row r="7772" spans="5:13">
      <c r="E7772" s="852"/>
      <c r="F7772" s="852"/>
      <c r="G7772" s="852"/>
      <c r="H7772" s="852"/>
      <c r="I7772" s="852"/>
      <c r="J7772" s="852"/>
      <c r="K7772" s="852"/>
      <c r="L7772" s="852"/>
      <c r="M7772" s="852"/>
    </row>
    <row r="7773" spans="5:13">
      <c r="E7773" s="852"/>
      <c r="F7773" s="852"/>
      <c r="G7773" s="852"/>
      <c r="H7773" s="852"/>
      <c r="I7773" s="852"/>
      <c r="J7773" s="852"/>
      <c r="K7773" s="852"/>
      <c r="L7773" s="852"/>
      <c r="M7773" s="852"/>
    </row>
    <row r="7774" spans="5:13">
      <c r="E7774" s="852"/>
      <c r="F7774" s="852"/>
      <c r="G7774" s="852"/>
      <c r="H7774" s="852"/>
      <c r="I7774" s="852"/>
      <c r="J7774" s="852"/>
      <c r="K7774" s="852"/>
      <c r="L7774" s="852"/>
      <c r="M7774" s="852"/>
    </row>
    <row r="7775" spans="5:13">
      <c r="E7775" s="852"/>
      <c r="F7775" s="852"/>
      <c r="G7775" s="852"/>
      <c r="H7775" s="852"/>
      <c r="I7775" s="852"/>
      <c r="J7775" s="852"/>
      <c r="K7775" s="852"/>
      <c r="L7775" s="852"/>
      <c r="M7775" s="852"/>
    </row>
    <row r="7776" spans="5:13">
      <c r="E7776" s="852"/>
      <c r="F7776" s="852"/>
      <c r="G7776" s="852"/>
      <c r="H7776" s="852"/>
      <c r="I7776" s="852"/>
      <c r="J7776" s="852"/>
      <c r="K7776" s="852"/>
      <c r="L7776" s="852"/>
      <c r="M7776" s="852"/>
    </row>
    <row r="7777" spans="5:13">
      <c r="E7777" s="852"/>
      <c r="F7777" s="852"/>
      <c r="G7777" s="852"/>
      <c r="H7777" s="852"/>
      <c r="I7777" s="852"/>
      <c r="J7777" s="852"/>
      <c r="K7777" s="852"/>
      <c r="L7777" s="852"/>
      <c r="M7777" s="852"/>
    </row>
    <row r="7778" spans="5:13">
      <c r="E7778" s="852"/>
      <c r="F7778" s="852"/>
      <c r="G7778" s="852"/>
      <c r="H7778" s="852"/>
      <c r="I7778" s="852"/>
      <c r="J7778" s="852"/>
      <c r="K7778" s="852"/>
      <c r="L7778" s="852"/>
      <c r="M7778" s="852"/>
    </row>
    <row r="7779" spans="5:13">
      <c r="E7779" s="852"/>
      <c r="F7779" s="852"/>
      <c r="G7779" s="852"/>
      <c r="H7779" s="852"/>
      <c r="I7779" s="852"/>
      <c r="J7779" s="852"/>
      <c r="K7779" s="852"/>
      <c r="L7779" s="852"/>
      <c r="M7779" s="852"/>
    </row>
    <row r="7780" spans="5:13">
      <c r="E7780" s="852"/>
      <c r="F7780" s="852"/>
      <c r="G7780" s="852"/>
      <c r="H7780" s="852"/>
      <c r="I7780" s="852"/>
      <c r="J7780" s="852"/>
      <c r="K7780" s="852"/>
      <c r="L7780" s="852"/>
      <c r="M7780" s="852"/>
    </row>
    <row r="7781" spans="5:13">
      <c r="E7781" s="852"/>
      <c r="F7781" s="852"/>
      <c r="G7781" s="852"/>
      <c r="H7781" s="852"/>
      <c r="I7781" s="852"/>
      <c r="J7781" s="852"/>
      <c r="K7781" s="852"/>
      <c r="L7781" s="852"/>
      <c r="M7781" s="852"/>
    </row>
    <row r="7782" spans="5:13">
      <c r="E7782" s="852"/>
      <c r="F7782" s="852"/>
      <c r="G7782" s="852"/>
      <c r="H7782" s="852"/>
      <c r="I7782" s="852"/>
      <c r="J7782" s="852"/>
      <c r="K7782" s="852"/>
      <c r="L7782" s="852"/>
      <c r="M7782" s="852"/>
    </row>
    <row r="7783" spans="5:13">
      <c r="E7783" s="852"/>
      <c r="F7783" s="852"/>
      <c r="G7783" s="852"/>
      <c r="H7783" s="852"/>
      <c r="I7783" s="852"/>
      <c r="J7783" s="852"/>
      <c r="K7783" s="852"/>
      <c r="L7783" s="852"/>
      <c r="M7783" s="852"/>
    </row>
    <row r="7784" spans="5:13">
      <c r="E7784" s="852"/>
      <c r="F7784" s="852"/>
      <c r="G7784" s="852"/>
      <c r="H7784" s="852"/>
      <c r="I7784" s="852"/>
      <c r="J7784" s="852"/>
      <c r="K7784" s="852"/>
      <c r="L7784" s="852"/>
      <c r="M7784" s="852"/>
    </row>
    <row r="7785" spans="5:13">
      <c r="E7785" s="852"/>
      <c r="F7785" s="852"/>
      <c r="G7785" s="852"/>
      <c r="H7785" s="852"/>
      <c r="I7785" s="852"/>
      <c r="J7785" s="852"/>
      <c r="K7785" s="852"/>
      <c r="L7785" s="852"/>
      <c r="M7785" s="852"/>
    </row>
    <row r="7786" spans="5:13">
      <c r="E7786" s="852"/>
      <c r="F7786" s="852"/>
      <c r="G7786" s="852"/>
      <c r="H7786" s="852"/>
      <c r="I7786" s="852"/>
      <c r="J7786" s="852"/>
      <c r="K7786" s="852"/>
      <c r="L7786" s="852"/>
      <c r="M7786" s="852"/>
    </row>
    <row r="7787" spans="5:13">
      <c r="E7787" s="852"/>
      <c r="F7787" s="852"/>
      <c r="G7787" s="852"/>
      <c r="H7787" s="852"/>
      <c r="I7787" s="852"/>
      <c r="J7787" s="852"/>
      <c r="K7787" s="852"/>
      <c r="L7787" s="852"/>
      <c r="M7787" s="852"/>
    </row>
    <row r="7788" spans="5:13">
      <c r="E7788" s="852"/>
      <c r="F7788" s="852"/>
      <c r="G7788" s="852"/>
      <c r="H7788" s="852"/>
      <c r="I7788" s="852"/>
      <c r="J7788" s="852"/>
      <c r="K7788" s="852"/>
      <c r="L7788" s="852"/>
      <c r="M7788" s="852"/>
    </row>
    <row r="7789" spans="5:13">
      <c r="E7789" s="852"/>
      <c r="F7789" s="852"/>
      <c r="G7789" s="852"/>
      <c r="H7789" s="852"/>
      <c r="I7789" s="852"/>
      <c r="J7789" s="852"/>
      <c r="K7789" s="852"/>
      <c r="L7789" s="852"/>
      <c r="M7789" s="852"/>
    </row>
    <row r="7790" spans="5:13">
      <c r="E7790" s="852"/>
      <c r="F7790" s="852"/>
      <c r="G7790" s="852"/>
      <c r="H7790" s="852"/>
      <c r="I7790" s="852"/>
      <c r="J7790" s="852"/>
      <c r="K7790" s="852"/>
      <c r="L7790" s="852"/>
      <c r="M7790" s="852"/>
    </row>
    <row r="7791" spans="5:13">
      <c r="E7791" s="852"/>
      <c r="F7791" s="852"/>
      <c r="G7791" s="852"/>
      <c r="H7791" s="852"/>
      <c r="I7791" s="852"/>
      <c r="J7791" s="852"/>
      <c r="K7791" s="852"/>
      <c r="L7791" s="852"/>
      <c r="M7791" s="852"/>
    </row>
    <row r="7792" spans="5:13">
      <c r="E7792" s="852"/>
      <c r="F7792" s="852"/>
      <c r="G7792" s="852"/>
      <c r="H7792" s="852"/>
      <c r="I7792" s="852"/>
      <c r="J7792" s="852"/>
      <c r="K7792" s="852"/>
      <c r="L7792" s="852"/>
      <c r="M7792" s="852"/>
    </row>
    <row r="7793" spans="5:13">
      <c r="E7793" s="852"/>
      <c r="F7793" s="852"/>
      <c r="G7793" s="852"/>
      <c r="H7793" s="852"/>
      <c r="I7793" s="852"/>
      <c r="J7793" s="852"/>
      <c r="K7793" s="852"/>
      <c r="L7793" s="852"/>
      <c r="M7793" s="852"/>
    </row>
    <row r="7794" spans="5:13">
      <c r="E7794" s="852"/>
      <c r="F7794" s="852"/>
      <c r="G7794" s="852"/>
      <c r="H7794" s="852"/>
      <c r="I7794" s="852"/>
      <c r="J7794" s="852"/>
      <c r="K7794" s="852"/>
      <c r="L7794" s="852"/>
      <c r="M7794" s="852"/>
    </row>
    <row r="7795" spans="5:13">
      <c r="E7795" s="852"/>
      <c r="F7795" s="852"/>
      <c r="G7795" s="852"/>
      <c r="H7795" s="852"/>
      <c r="I7795" s="852"/>
      <c r="J7795" s="852"/>
      <c r="K7795" s="852"/>
      <c r="L7795" s="852"/>
      <c r="M7795" s="852"/>
    </row>
    <row r="7796" spans="5:13">
      <c r="E7796" s="852"/>
      <c r="F7796" s="852"/>
      <c r="G7796" s="852"/>
      <c r="H7796" s="852"/>
      <c r="I7796" s="852"/>
      <c r="J7796" s="852"/>
      <c r="K7796" s="852"/>
      <c r="L7796" s="852"/>
      <c r="M7796" s="852"/>
    </row>
    <row r="7797" spans="5:13">
      <c r="E7797" s="852"/>
      <c r="F7797" s="852"/>
      <c r="G7797" s="852"/>
      <c r="H7797" s="852"/>
      <c r="I7797" s="852"/>
      <c r="J7797" s="852"/>
      <c r="K7797" s="852"/>
      <c r="L7797" s="852"/>
      <c r="M7797" s="852"/>
    </row>
    <row r="7798" spans="5:13">
      <c r="E7798" s="852"/>
      <c r="F7798" s="852"/>
      <c r="G7798" s="852"/>
      <c r="H7798" s="852"/>
      <c r="I7798" s="852"/>
      <c r="J7798" s="852"/>
      <c r="K7798" s="852"/>
      <c r="L7798" s="852"/>
      <c r="M7798" s="852"/>
    </row>
    <row r="7799" spans="5:13">
      <c r="E7799" s="852"/>
      <c r="F7799" s="852"/>
      <c r="G7799" s="852"/>
      <c r="H7799" s="852"/>
      <c r="I7799" s="852"/>
      <c r="J7799" s="852"/>
      <c r="K7799" s="852"/>
      <c r="L7799" s="852"/>
      <c r="M7799" s="852"/>
    </row>
    <row r="7800" spans="5:13">
      <c r="E7800" s="852"/>
      <c r="F7800" s="852"/>
      <c r="G7800" s="852"/>
      <c r="H7800" s="852"/>
      <c r="I7800" s="852"/>
      <c r="J7800" s="852"/>
      <c r="K7800" s="852"/>
      <c r="L7800" s="852"/>
      <c r="M7800" s="852"/>
    </row>
    <row r="7801" spans="5:13">
      <c r="E7801" s="852"/>
      <c r="F7801" s="852"/>
      <c r="G7801" s="852"/>
      <c r="H7801" s="852"/>
      <c r="I7801" s="852"/>
      <c r="J7801" s="852"/>
      <c r="K7801" s="852"/>
      <c r="L7801" s="852"/>
      <c r="M7801" s="852"/>
    </row>
    <row r="7802" spans="5:13">
      <c r="E7802" s="852"/>
      <c r="F7802" s="852"/>
      <c r="G7802" s="852"/>
      <c r="H7802" s="852"/>
      <c r="I7802" s="852"/>
      <c r="J7802" s="852"/>
      <c r="K7802" s="852"/>
      <c r="L7802" s="852"/>
      <c r="M7802" s="852"/>
    </row>
    <row r="7803" spans="5:13">
      <c r="E7803" s="852"/>
      <c r="F7803" s="852"/>
      <c r="G7803" s="852"/>
      <c r="H7803" s="852"/>
      <c r="I7803" s="852"/>
      <c r="J7803" s="852"/>
      <c r="K7803" s="852"/>
      <c r="L7803" s="852"/>
      <c r="M7803" s="852"/>
    </row>
    <row r="7804" spans="5:13">
      <c r="E7804" s="852"/>
      <c r="F7804" s="852"/>
      <c r="G7804" s="852"/>
      <c r="H7804" s="852"/>
      <c r="I7804" s="852"/>
      <c r="J7804" s="852"/>
      <c r="K7804" s="852"/>
      <c r="L7804" s="852"/>
      <c r="M7804" s="852"/>
    </row>
    <row r="7805" spans="5:13">
      <c r="E7805" s="852"/>
      <c r="F7805" s="852"/>
      <c r="G7805" s="852"/>
      <c r="H7805" s="852"/>
      <c r="I7805" s="852"/>
      <c r="J7805" s="852"/>
      <c r="K7805" s="852"/>
      <c r="L7805" s="852"/>
      <c r="M7805" s="852"/>
    </row>
    <row r="7806" spans="5:13">
      <c r="E7806" s="852"/>
      <c r="F7806" s="852"/>
      <c r="G7806" s="852"/>
      <c r="H7806" s="852"/>
      <c r="I7806" s="852"/>
      <c r="J7806" s="852"/>
      <c r="K7806" s="852"/>
      <c r="L7806" s="852"/>
      <c r="M7806" s="852"/>
    </row>
    <row r="7807" spans="5:13">
      <c r="E7807" s="852"/>
      <c r="F7807" s="852"/>
      <c r="G7807" s="852"/>
      <c r="H7807" s="852"/>
      <c r="I7807" s="852"/>
      <c r="J7807" s="852"/>
      <c r="K7807" s="852"/>
      <c r="L7807" s="852"/>
      <c r="M7807" s="852"/>
    </row>
    <row r="7808" spans="5:13">
      <c r="E7808" s="852"/>
      <c r="F7808" s="852"/>
      <c r="G7808" s="852"/>
      <c r="H7808" s="852"/>
      <c r="I7808" s="852"/>
      <c r="J7808" s="852"/>
      <c r="K7808" s="852"/>
      <c r="L7808" s="852"/>
      <c r="M7808" s="852"/>
    </row>
    <row r="7809" spans="5:13">
      <c r="E7809" s="852"/>
      <c r="F7809" s="852"/>
      <c r="G7809" s="852"/>
      <c r="H7809" s="852"/>
      <c r="I7809" s="852"/>
      <c r="J7809" s="852"/>
      <c r="K7809" s="852"/>
      <c r="L7809" s="852"/>
      <c r="M7809" s="852"/>
    </row>
    <row r="7810" spans="5:13">
      <c r="E7810" s="852"/>
      <c r="F7810" s="852"/>
      <c r="G7810" s="852"/>
      <c r="H7810" s="852"/>
      <c r="I7810" s="852"/>
      <c r="J7810" s="852"/>
      <c r="K7810" s="852"/>
      <c r="L7810" s="852"/>
      <c r="M7810" s="852"/>
    </row>
    <row r="7811" spans="5:13">
      <c r="E7811" s="852"/>
      <c r="F7811" s="852"/>
      <c r="G7811" s="852"/>
      <c r="H7811" s="852"/>
      <c r="I7811" s="852"/>
      <c r="J7811" s="852"/>
      <c r="K7811" s="852"/>
      <c r="L7811" s="852"/>
      <c r="M7811" s="852"/>
    </row>
    <row r="7812" spans="5:13">
      <c r="E7812" s="852"/>
      <c r="F7812" s="852"/>
      <c r="G7812" s="852"/>
      <c r="H7812" s="852"/>
      <c r="I7812" s="852"/>
      <c r="J7812" s="852"/>
      <c r="K7812" s="852"/>
      <c r="L7812" s="852"/>
      <c r="M7812" s="852"/>
    </row>
    <row r="7813" spans="5:13">
      <c r="E7813" s="852"/>
      <c r="F7813" s="852"/>
      <c r="G7813" s="852"/>
      <c r="H7813" s="852"/>
      <c r="I7813" s="852"/>
      <c r="J7813" s="852"/>
      <c r="K7813" s="852"/>
      <c r="L7813" s="852"/>
      <c r="M7813" s="852"/>
    </row>
    <row r="7814" spans="5:13">
      <c r="E7814" s="852"/>
      <c r="F7814" s="852"/>
      <c r="G7814" s="852"/>
      <c r="H7814" s="852"/>
      <c r="I7814" s="852"/>
      <c r="J7814" s="852"/>
      <c r="K7814" s="852"/>
      <c r="L7814" s="852"/>
      <c r="M7814" s="852"/>
    </row>
    <row r="7815" spans="5:13">
      <c r="E7815" s="852"/>
      <c r="F7815" s="852"/>
      <c r="G7815" s="852"/>
      <c r="H7815" s="852"/>
      <c r="I7815" s="852"/>
      <c r="J7815" s="852"/>
      <c r="K7815" s="852"/>
      <c r="L7815" s="852"/>
      <c r="M7815" s="852"/>
    </row>
    <row r="7816" spans="5:13">
      <c r="E7816" s="852"/>
      <c r="F7816" s="852"/>
      <c r="G7816" s="852"/>
      <c r="H7816" s="852"/>
      <c r="I7816" s="852"/>
      <c r="J7816" s="852"/>
      <c r="K7816" s="852"/>
      <c r="L7816" s="852"/>
      <c r="M7816" s="852"/>
    </row>
    <row r="7817" spans="5:13">
      <c r="E7817" s="852"/>
      <c r="F7817" s="852"/>
      <c r="G7817" s="852"/>
      <c r="H7817" s="852"/>
      <c r="I7817" s="852"/>
      <c r="J7817" s="852"/>
      <c r="K7817" s="852"/>
      <c r="L7817" s="852"/>
      <c r="M7817" s="852"/>
    </row>
    <row r="7818" spans="5:13">
      <c r="E7818" s="852"/>
      <c r="F7818" s="852"/>
      <c r="G7818" s="852"/>
      <c r="H7818" s="852"/>
      <c r="I7818" s="852"/>
      <c r="J7818" s="852"/>
      <c r="K7818" s="852"/>
      <c r="L7818" s="852"/>
      <c r="M7818" s="852"/>
    </row>
    <row r="7819" spans="5:13">
      <c r="E7819" s="852"/>
      <c r="F7819" s="852"/>
      <c r="G7819" s="852"/>
      <c r="H7819" s="852"/>
      <c r="I7819" s="852"/>
      <c r="J7819" s="852"/>
      <c r="K7819" s="852"/>
      <c r="L7819" s="852"/>
      <c r="M7819" s="852"/>
    </row>
    <row r="7820" spans="5:13">
      <c r="E7820" s="852"/>
      <c r="F7820" s="852"/>
      <c r="G7820" s="852"/>
      <c r="H7820" s="852"/>
      <c r="I7820" s="852"/>
      <c r="J7820" s="852"/>
      <c r="K7820" s="852"/>
      <c r="L7820" s="852"/>
      <c r="M7820" s="852"/>
    </row>
    <row r="7821" spans="5:13">
      <c r="E7821" s="852"/>
      <c r="F7821" s="852"/>
      <c r="G7821" s="852"/>
      <c r="H7821" s="852"/>
      <c r="I7821" s="852"/>
      <c r="J7821" s="852"/>
      <c r="K7821" s="852"/>
      <c r="L7821" s="852"/>
      <c r="M7821" s="852"/>
    </row>
    <row r="7822" spans="5:13">
      <c r="E7822" s="852"/>
      <c r="F7822" s="852"/>
      <c r="G7822" s="852"/>
      <c r="H7822" s="852"/>
      <c r="I7822" s="852"/>
      <c r="J7822" s="852"/>
      <c r="K7822" s="852"/>
      <c r="L7822" s="852"/>
      <c r="M7822" s="852"/>
    </row>
    <row r="7823" spans="5:13">
      <c r="E7823" s="852"/>
      <c r="F7823" s="852"/>
      <c r="G7823" s="852"/>
      <c r="H7823" s="852"/>
      <c r="I7823" s="852"/>
      <c r="J7823" s="852"/>
      <c r="K7823" s="852"/>
      <c r="L7823" s="852"/>
      <c r="M7823" s="852"/>
    </row>
    <row r="7824" spans="5:13">
      <c r="E7824" s="852"/>
      <c r="F7824" s="852"/>
      <c r="G7824" s="852"/>
      <c r="H7824" s="852"/>
      <c r="I7824" s="852"/>
      <c r="J7824" s="852"/>
      <c r="K7824" s="852"/>
      <c r="L7824" s="852"/>
      <c r="M7824" s="852"/>
    </row>
    <row r="7825" spans="5:13">
      <c r="E7825" s="852"/>
      <c r="F7825" s="852"/>
      <c r="G7825" s="852"/>
      <c r="H7825" s="852"/>
      <c r="I7825" s="852"/>
      <c r="J7825" s="852"/>
      <c r="K7825" s="852"/>
      <c r="L7825" s="852"/>
      <c r="M7825" s="852"/>
    </row>
    <row r="7826" spans="5:13">
      <c r="E7826" s="852"/>
      <c r="F7826" s="852"/>
      <c r="G7826" s="852"/>
      <c r="H7826" s="852"/>
      <c r="I7826" s="852"/>
      <c r="J7826" s="852"/>
      <c r="K7826" s="852"/>
      <c r="L7826" s="852"/>
      <c r="M7826" s="852"/>
    </row>
    <row r="7827" spans="5:13">
      <c r="E7827" s="852"/>
      <c r="F7827" s="852"/>
      <c r="G7827" s="852"/>
      <c r="H7827" s="852"/>
      <c r="I7827" s="852"/>
      <c r="J7827" s="852"/>
      <c r="K7827" s="852"/>
      <c r="L7827" s="852"/>
      <c r="M7827" s="852"/>
    </row>
    <row r="7828" spans="5:13">
      <c r="E7828" s="852"/>
      <c r="F7828" s="852"/>
      <c r="G7828" s="852"/>
      <c r="H7828" s="852"/>
      <c r="I7828" s="852"/>
      <c r="J7828" s="852"/>
      <c r="K7828" s="852"/>
      <c r="L7828" s="852"/>
      <c r="M7828" s="852"/>
    </row>
    <row r="7829" spans="5:13">
      <c r="E7829" s="852"/>
      <c r="F7829" s="852"/>
      <c r="G7829" s="852"/>
      <c r="H7829" s="852"/>
      <c r="I7829" s="852"/>
      <c r="J7829" s="852"/>
      <c r="K7829" s="852"/>
      <c r="L7829" s="852"/>
      <c r="M7829" s="852"/>
    </row>
    <row r="7830" spans="5:13">
      <c r="E7830" s="852"/>
      <c r="F7830" s="852"/>
      <c r="G7830" s="852"/>
      <c r="H7830" s="852"/>
      <c r="I7830" s="852"/>
      <c r="J7830" s="852"/>
      <c r="K7830" s="852"/>
      <c r="L7830" s="852"/>
      <c r="M7830" s="852"/>
    </row>
    <row r="7831" spans="5:13">
      <c r="E7831" s="852"/>
      <c r="F7831" s="852"/>
      <c r="G7831" s="852"/>
      <c r="H7831" s="852"/>
      <c r="I7831" s="852"/>
      <c r="J7831" s="852"/>
      <c r="K7831" s="852"/>
      <c r="L7831" s="852"/>
      <c r="M7831" s="852"/>
    </row>
    <row r="7832" spans="5:13">
      <c r="E7832" s="852"/>
      <c r="F7832" s="852"/>
      <c r="G7832" s="852"/>
      <c r="H7832" s="852"/>
      <c r="I7832" s="852"/>
      <c r="J7832" s="852"/>
      <c r="K7832" s="852"/>
      <c r="L7832" s="852"/>
      <c r="M7832" s="852"/>
    </row>
    <row r="7833" spans="5:13">
      <c r="E7833" s="852"/>
      <c r="F7833" s="852"/>
      <c r="G7833" s="852"/>
      <c r="H7833" s="852"/>
      <c r="I7833" s="852"/>
      <c r="J7833" s="852"/>
      <c r="K7833" s="852"/>
      <c r="L7833" s="852"/>
      <c r="M7833" s="852"/>
    </row>
    <row r="7834" spans="5:13">
      <c r="E7834" s="852"/>
      <c r="F7834" s="852"/>
      <c r="G7834" s="852"/>
      <c r="H7834" s="852"/>
      <c r="I7834" s="852"/>
      <c r="J7834" s="852"/>
      <c r="K7834" s="852"/>
      <c r="L7834" s="852"/>
      <c r="M7834" s="852"/>
    </row>
    <row r="7835" spans="5:13">
      <c r="E7835" s="852"/>
      <c r="F7835" s="852"/>
      <c r="G7835" s="852"/>
      <c r="H7835" s="852"/>
      <c r="I7835" s="852"/>
      <c r="J7835" s="852"/>
      <c r="K7835" s="852"/>
      <c r="L7835" s="852"/>
      <c r="M7835" s="852"/>
    </row>
    <row r="7836" spans="5:13">
      <c r="E7836" s="852"/>
      <c r="F7836" s="852"/>
      <c r="G7836" s="852"/>
      <c r="H7836" s="852"/>
      <c r="I7836" s="852"/>
      <c r="J7836" s="852"/>
      <c r="K7836" s="852"/>
      <c r="L7836" s="852"/>
      <c r="M7836" s="852"/>
    </row>
    <row r="7837" spans="5:13">
      <c r="E7837" s="852"/>
      <c r="F7837" s="852"/>
      <c r="G7837" s="852"/>
      <c r="H7837" s="852"/>
      <c r="I7837" s="852"/>
      <c r="J7837" s="852"/>
      <c r="K7837" s="852"/>
      <c r="L7837" s="852"/>
      <c r="M7837" s="852"/>
    </row>
    <row r="7838" spans="5:13">
      <c r="E7838" s="852"/>
      <c r="F7838" s="852"/>
      <c r="G7838" s="852"/>
      <c r="H7838" s="852"/>
      <c r="I7838" s="852"/>
      <c r="J7838" s="852"/>
      <c r="K7838" s="852"/>
      <c r="L7838" s="852"/>
      <c r="M7838" s="852"/>
    </row>
    <row r="7839" spans="5:13">
      <c r="E7839" s="852"/>
      <c r="F7839" s="852"/>
      <c r="G7839" s="852"/>
      <c r="H7839" s="852"/>
      <c r="I7839" s="852"/>
      <c r="J7839" s="852"/>
      <c r="K7839" s="852"/>
      <c r="L7839" s="852"/>
      <c r="M7839" s="852"/>
    </row>
    <row r="7840" spans="5:13">
      <c r="E7840" s="852"/>
      <c r="F7840" s="852"/>
      <c r="G7840" s="852"/>
      <c r="H7840" s="852"/>
      <c r="I7840" s="852"/>
      <c r="J7840" s="852"/>
      <c r="K7840" s="852"/>
      <c r="L7840" s="852"/>
      <c r="M7840" s="852"/>
    </row>
    <row r="7841" spans="5:13">
      <c r="E7841" s="852"/>
      <c r="F7841" s="852"/>
      <c r="G7841" s="852"/>
      <c r="H7841" s="852"/>
      <c r="I7841" s="852"/>
      <c r="J7841" s="852"/>
      <c r="K7841" s="852"/>
      <c r="L7841" s="852"/>
      <c r="M7841" s="852"/>
    </row>
    <row r="7842" spans="5:13">
      <c r="E7842" s="852"/>
      <c r="F7842" s="852"/>
      <c r="G7842" s="852"/>
      <c r="H7842" s="852"/>
      <c r="I7842" s="852"/>
      <c r="J7842" s="852"/>
      <c r="K7842" s="852"/>
      <c r="L7842" s="852"/>
      <c r="M7842" s="852"/>
    </row>
    <row r="7843" spans="5:13">
      <c r="E7843" s="852"/>
      <c r="F7843" s="852"/>
      <c r="G7843" s="852"/>
      <c r="H7843" s="852"/>
      <c r="I7843" s="852"/>
      <c r="J7843" s="852"/>
      <c r="K7843" s="852"/>
      <c r="L7843" s="852"/>
      <c r="M7843" s="852"/>
    </row>
    <row r="7844" spans="5:13">
      <c r="E7844" s="852"/>
      <c r="F7844" s="852"/>
      <c r="G7844" s="852"/>
      <c r="H7844" s="852"/>
      <c r="I7844" s="852"/>
      <c r="J7844" s="852"/>
      <c r="K7844" s="852"/>
      <c r="L7844" s="852"/>
      <c r="M7844" s="852"/>
    </row>
    <row r="7845" spans="5:13">
      <c r="E7845" s="852"/>
      <c r="F7845" s="852"/>
      <c r="G7845" s="852"/>
      <c r="H7845" s="852"/>
      <c r="I7845" s="852"/>
      <c r="J7845" s="852"/>
      <c r="K7845" s="852"/>
      <c r="L7845" s="852"/>
      <c r="M7845" s="852"/>
    </row>
    <row r="7846" spans="5:13">
      <c r="E7846" s="852"/>
      <c r="F7846" s="852"/>
      <c r="G7846" s="852"/>
      <c r="H7846" s="852"/>
      <c r="I7846" s="852"/>
      <c r="J7846" s="852"/>
      <c r="K7846" s="852"/>
      <c r="L7846" s="852"/>
      <c r="M7846" s="852"/>
    </row>
    <row r="7847" spans="5:13">
      <c r="E7847" s="852"/>
      <c r="F7847" s="852"/>
      <c r="G7847" s="852"/>
      <c r="H7847" s="852"/>
      <c r="I7847" s="852"/>
      <c r="J7847" s="852"/>
      <c r="K7847" s="852"/>
      <c r="L7847" s="852"/>
      <c r="M7847" s="852"/>
    </row>
    <row r="7848" spans="5:13">
      <c r="E7848" s="852"/>
      <c r="F7848" s="852"/>
      <c r="G7848" s="852"/>
      <c r="H7848" s="852"/>
      <c r="I7848" s="852"/>
      <c r="J7848" s="852"/>
      <c r="K7848" s="852"/>
      <c r="L7848" s="852"/>
      <c r="M7848" s="852"/>
    </row>
    <row r="7849" spans="5:13">
      <c r="E7849" s="852"/>
      <c r="F7849" s="852"/>
      <c r="G7849" s="852"/>
      <c r="H7849" s="852"/>
      <c r="I7849" s="852"/>
      <c r="J7849" s="852"/>
      <c r="K7849" s="852"/>
      <c r="L7849" s="852"/>
      <c r="M7849" s="852"/>
    </row>
    <row r="7850" spans="5:13">
      <c r="E7850" s="852"/>
      <c r="F7850" s="852"/>
      <c r="G7850" s="852"/>
      <c r="H7850" s="852"/>
      <c r="I7850" s="852"/>
      <c r="J7850" s="852"/>
      <c r="K7850" s="852"/>
      <c r="L7850" s="852"/>
      <c r="M7850" s="852"/>
    </row>
    <row r="7851" spans="5:13">
      <c r="E7851" s="852"/>
      <c r="F7851" s="852"/>
      <c r="G7851" s="852"/>
      <c r="H7851" s="852"/>
      <c r="I7851" s="852"/>
      <c r="J7851" s="852"/>
      <c r="K7851" s="852"/>
      <c r="L7851" s="852"/>
      <c r="M7851" s="852"/>
    </row>
    <row r="7852" spans="5:13">
      <c r="E7852" s="852"/>
      <c r="F7852" s="852"/>
      <c r="G7852" s="852"/>
      <c r="H7852" s="852"/>
      <c r="I7852" s="852"/>
      <c r="J7852" s="852"/>
      <c r="K7852" s="852"/>
      <c r="L7852" s="852"/>
      <c r="M7852" s="852"/>
    </row>
    <row r="7853" spans="5:13">
      <c r="E7853" s="852"/>
      <c r="F7853" s="852"/>
      <c r="G7853" s="852"/>
      <c r="H7853" s="852"/>
      <c r="I7853" s="852"/>
      <c r="J7853" s="852"/>
      <c r="K7853" s="852"/>
      <c r="L7853" s="852"/>
      <c r="M7853" s="852"/>
    </row>
    <row r="7854" spans="5:13">
      <c r="E7854" s="852"/>
      <c r="F7854" s="852"/>
      <c r="G7854" s="852"/>
      <c r="H7854" s="852"/>
      <c r="I7854" s="852"/>
      <c r="J7854" s="852"/>
      <c r="K7854" s="852"/>
      <c r="L7854" s="852"/>
      <c r="M7854" s="852"/>
    </row>
    <row r="7855" spans="5:13">
      <c r="E7855" s="852"/>
      <c r="F7855" s="852"/>
      <c r="G7855" s="852"/>
      <c r="H7855" s="852"/>
      <c r="I7855" s="852"/>
      <c r="J7855" s="852"/>
      <c r="K7855" s="852"/>
      <c r="L7855" s="852"/>
      <c r="M7855" s="852"/>
    </row>
    <row r="7856" spans="5:13">
      <c r="E7856" s="852"/>
      <c r="F7856" s="852"/>
      <c r="G7856" s="852"/>
      <c r="H7856" s="852"/>
      <c r="I7856" s="852"/>
      <c r="J7856" s="852"/>
      <c r="K7856" s="852"/>
      <c r="L7856" s="852"/>
      <c r="M7856" s="852"/>
    </row>
    <row r="7857" spans="5:13">
      <c r="E7857" s="852"/>
      <c r="F7857" s="852"/>
      <c r="G7857" s="852"/>
      <c r="H7857" s="852"/>
      <c r="I7857" s="852"/>
      <c r="J7857" s="852"/>
      <c r="K7857" s="852"/>
      <c r="L7857" s="852"/>
      <c r="M7857" s="852"/>
    </row>
    <row r="7858" spans="5:13">
      <c r="E7858" s="852"/>
      <c r="F7858" s="852"/>
      <c r="G7858" s="852"/>
      <c r="H7858" s="852"/>
      <c r="I7858" s="852"/>
      <c r="J7858" s="852"/>
      <c r="K7858" s="852"/>
      <c r="L7858" s="852"/>
      <c r="M7858" s="852"/>
    </row>
    <row r="7859" spans="5:13">
      <c r="E7859" s="852"/>
      <c r="F7859" s="852"/>
      <c r="G7859" s="852"/>
      <c r="H7859" s="852"/>
      <c r="I7859" s="852"/>
      <c r="J7859" s="852"/>
      <c r="K7859" s="852"/>
      <c r="L7859" s="852"/>
      <c r="M7859" s="852"/>
    </row>
    <row r="7860" spans="5:13">
      <c r="E7860" s="852"/>
      <c r="F7860" s="852"/>
      <c r="G7860" s="852"/>
      <c r="H7860" s="852"/>
      <c r="I7860" s="852"/>
      <c r="J7860" s="852"/>
      <c r="K7860" s="852"/>
      <c r="L7860" s="852"/>
      <c r="M7860" s="852"/>
    </row>
    <row r="7861" spans="5:13">
      <c r="E7861" s="852"/>
      <c r="F7861" s="852"/>
      <c r="G7861" s="852"/>
      <c r="H7861" s="852"/>
      <c r="I7861" s="852"/>
      <c r="J7861" s="852"/>
      <c r="K7861" s="852"/>
      <c r="L7861" s="852"/>
      <c r="M7861" s="852"/>
    </row>
    <row r="7862" spans="5:13">
      <c r="E7862" s="852"/>
      <c r="F7862" s="852"/>
      <c r="G7862" s="852"/>
      <c r="H7862" s="852"/>
      <c r="I7862" s="852"/>
      <c r="J7862" s="852"/>
      <c r="K7862" s="852"/>
      <c r="L7862" s="852"/>
      <c r="M7862" s="852"/>
    </row>
    <row r="7863" spans="5:13">
      <c r="E7863" s="852"/>
      <c r="F7863" s="852"/>
      <c r="G7863" s="852"/>
      <c r="H7863" s="852"/>
      <c r="I7863" s="852"/>
      <c r="J7863" s="852"/>
      <c r="K7863" s="852"/>
      <c r="L7863" s="852"/>
      <c r="M7863" s="852"/>
    </row>
    <row r="7864" spans="5:13">
      <c r="E7864" s="852"/>
      <c r="F7864" s="852"/>
      <c r="G7864" s="852"/>
      <c r="H7864" s="852"/>
      <c r="I7864" s="852"/>
      <c r="J7864" s="852"/>
      <c r="K7864" s="852"/>
      <c r="L7864" s="852"/>
      <c r="M7864" s="852"/>
    </row>
    <row r="7865" spans="5:13">
      <c r="E7865" s="852"/>
      <c r="F7865" s="852"/>
      <c r="G7865" s="852"/>
      <c r="H7865" s="852"/>
      <c r="I7865" s="852"/>
      <c r="J7865" s="852"/>
      <c r="K7865" s="852"/>
      <c r="L7865" s="852"/>
      <c r="M7865" s="852"/>
    </row>
    <row r="7866" spans="5:13">
      <c r="E7866" s="852"/>
      <c r="F7866" s="852"/>
      <c r="G7866" s="852"/>
      <c r="H7866" s="852"/>
      <c r="I7866" s="852"/>
      <c r="J7866" s="852"/>
      <c r="K7866" s="852"/>
      <c r="L7866" s="852"/>
      <c r="M7866" s="852"/>
    </row>
    <row r="7867" spans="5:13">
      <c r="E7867" s="852"/>
      <c r="F7867" s="852"/>
      <c r="G7867" s="852"/>
      <c r="H7867" s="852"/>
      <c r="I7867" s="852"/>
      <c r="J7867" s="852"/>
      <c r="K7867" s="852"/>
      <c r="L7867" s="852"/>
      <c r="M7867" s="852"/>
    </row>
    <row r="7868" spans="5:13">
      <c r="E7868" s="852"/>
      <c r="F7868" s="852"/>
      <c r="G7868" s="852"/>
      <c r="H7868" s="852"/>
      <c r="I7868" s="852"/>
      <c r="J7868" s="852"/>
      <c r="K7868" s="852"/>
      <c r="L7868" s="852"/>
      <c r="M7868" s="852"/>
    </row>
    <row r="7869" spans="5:13">
      <c r="E7869" s="852"/>
      <c r="F7869" s="852"/>
      <c r="G7869" s="852"/>
      <c r="H7869" s="852"/>
      <c r="I7869" s="852"/>
      <c r="J7869" s="852"/>
      <c r="K7869" s="852"/>
      <c r="L7869" s="852"/>
      <c r="M7869" s="852"/>
    </row>
    <row r="7870" spans="5:13">
      <c r="E7870" s="852"/>
      <c r="F7870" s="852"/>
      <c r="G7870" s="852"/>
      <c r="H7870" s="852"/>
      <c r="I7870" s="852"/>
      <c r="J7870" s="852"/>
      <c r="K7870" s="852"/>
      <c r="L7870" s="852"/>
      <c r="M7870" s="852"/>
    </row>
    <row r="7871" spans="5:13">
      <c r="E7871" s="852"/>
      <c r="F7871" s="852"/>
      <c r="G7871" s="852"/>
      <c r="H7871" s="852"/>
      <c r="I7871" s="852"/>
      <c r="J7871" s="852"/>
      <c r="K7871" s="852"/>
      <c r="L7871" s="852"/>
      <c r="M7871" s="852"/>
    </row>
    <row r="7872" spans="5:13">
      <c r="E7872" s="852"/>
      <c r="F7872" s="852"/>
      <c r="G7872" s="852"/>
      <c r="H7872" s="852"/>
      <c r="I7872" s="852"/>
      <c r="J7872" s="852"/>
      <c r="K7872" s="852"/>
      <c r="L7872" s="852"/>
      <c r="M7872" s="852"/>
    </row>
    <row r="7873" spans="5:13">
      <c r="E7873" s="852"/>
      <c r="F7873" s="852"/>
      <c r="G7873" s="852"/>
      <c r="H7873" s="852"/>
      <c r="I7873" s="852"/>
      <c r="J7873" s="852"/>
      <c r="K7873" s="852"/>
      <c r="L7873" s="852"/>
      <c r="M7873" s="852"/>
    </row>
    <row r="7874" spans="5:13">
      <c r="E7874" s="852"/>
      <c r="F7874" s="852"/>
      <c r="G7874" s="852"/>
      <c r="H7874" s="852"/>
      <c r="I7874" s="852"/>
      <c r="J7874" s="852"/>
      <c r="K7874" s="852"/>
      <c r="L7874" s="852"/>
      <c r="M7874" s="852"/>
    </row>
    <row r="7875" spans="5:13">
      <c r="E7875" s="852"/>
      <c r="F7875" s="852"/>
      <c r="G7875" s="852"/>
      <c r="H7875" s="852"/>
      <c r="I7875" s="852"/>
      <c r="J7875" s="852"/>
      <c r="K7875" s="852"/>
      <c r="L7875" s="852"/>
      <c r="M7875" s="852"/>
    </row>
    <row r="7876" spans="5:13">
      <c r="E7876" s="852"/>
      <c r="F7876" s="852"/>
      <c r="G7876" s="852"/>
      <c r="H7876" s="852"/>
      <c r="I7876" s="852"/>
      <c r="J7876" s="852"/>
      <c r="K7876" s="852"/>
      <c r="L7876" s="852"/>
      <c r="M7876" s="852"/>
    </row>
    <row r="7877" spans="5:13">
      <c r="E7877" s="852"/>
      <c r="F7877" s="852"/>
      <c r="G7877" s="852"/>
      <c r="H7877" s="852"/>
      <c r="I7877" s="852"/>
      <c r="J7877" s="852"/>
      <c r="K7877" s="852"/>
      <c r="L7877" s="852"/>
      <c r="M7877" s="852"/>
    </row>
    <row r="7878" spans="5:13">
      <c r="E7878" s="852"/>
      <c r="F7878" s="852"/>
      <c r="G7878" s="852"/>
      <c r="H7878" s="852"/>
      <c r="I7878" s="852"/>
      <c r="J7878" s="852"/>
      <c r="K7878" s="852"/>
      <c r="L7878" s="852"/>
      <c r="M7878" s="852"/>
    </row>
    <row r="7879" spans="5:13">
      <c r="E7879" s="852"/>
      <c r="F7879" s="852"/>
      <c r="G7879" s="852"/>
      <c r="H7879" s="852"/>
      <c r="I7879" s="852"/>
      <c r="J7879" s="852"/>
      <c r="K7879" s="852"/>
      <c r="L7879" s="852"/>
      <c r="M7879" s="852"/>
    </row>
    <row r="7880" spans="5:13">
      <c r="E7880" s="852"/>
      <c r="F7880" s="852"/>
      <c r="G7880" s="852"/>
      <c r="H7880" s="852"/>
      <c r="I7880" s="852"/>
      <c r="J7880" s="852"/>
      <c r="K7880" s="852"/>
      <c r="L7880" s="852"/>
      <c r="M7880" s="852"/>
    </row>
    <row r="7881" spans="5:13">
      <c r="E7881" s="852"/>
      <c r="F7881" s="852"/>
      <c r="G7881" s="852"/>
      <c r="H7881" s="852"/>
      <c r="I7881" s="852"/>
      <c r="J7881" s="852"/>
      <c r="K7881" s="852"/>
      <c r="L7881" s="852"/>
      <c r="M7881" s="852"/>
    </row>
    <row r="7882" spans="5:13">
      <c r="E7882" s="852"/>
      <c r="F7882" s="852"/>
      <c r="G7882" s="852"/>
      <c r="H7882" s="852"/>
      <c r="I7882" s="852"/>
      <c r="J7882" s="852"/>
      <c r="K7882" s="852"/>
      <c r="L7882" s="852"/>
      <c r="M7882" s="852"/>
    </row>
    <row r="7883" spans="5:13">
      <c r="E7883" s="852"/>
      <c r="F7883" s="852"/>
      <c r="G7883" s="852"/>
      <c r="H7883" s="852"/>
      <c r="I7883" s="852"/>
      <c r="J7883" s="852"/>
      <c r="K7883" s="852"/>
      <c r="L7883" s="852"/>
      <c r="M7883" s="852"/>
    </row>
    <row r="7884" spans="5:13">
      <c r="E7884" s="852"/>
      <c r="F7884" s="852"/>
      <c r="G7884" s="852"/>
      <c r="H7884" s="852"/>
      <c r="I7884" s="852"/>
      <c r="J7884" s="852"/>
      <c r="K7884" s="852"/>
      <c r="L7884" s="852"/>
      <c r="M7884" s="852"/>
    </row>
    <row r="7885" spans="5:13">
      <c r="E7885" s="852"/>
      <c r="F7885" s="852"/>
      <c r="G7885" s="852"/>
      <c r="H7885" s="852"/>
      <c r="I7885" s="852"/>
      <c r="J7885" s="852"/>
      <c r="K7885" s="852"/>
      <c r="L7885" s="852"/>
      <c r="M7885" s="852"/>
    </row>
    <row r="7886" spans="5:13">
      <c r="E7886" s="852"/>
      <c r="F7886" s="852"/>
      <c r="G7886" s="852"/>
      <c r="H7886" s="852"/>
      <c r="I7886" s="852"/>
      <c r="J7886" s="852"/>
      <c r="K7886" s="852"/>
      <c r="L7886" s="852"/>
      <c r="M7886" s="852"/>
    </row>
    <row r="7887" spans="5:13">
      <c r="E7887" s="852"/>
      <c r="F7887" s="852"/>
      <c r="G7887" s="852"/>
      <c r="H7887" s="852"/>
      <c r="I7887" s="852"/>
      <c r="J7887" s="852"/>
      <c r="K7887" s="852"/>
      <c r="L7887" s="852"/>
      <c r="M7887" s="852"/>
    </row>
    <row r="7888" spans="5:13">
      <c r="E7888" s="852"/>
      <c r="F7888" s="852"/>
      <c r="G7888" s="852"/>
      <c r="H7888" s="852"/>
      <c r="I7888" s="852"/>
      <c r="J7888" s="852"/>
      <c r="K7888" s="852"/>
      <c r="L7888" s="852"/>
      <c r="M7888" s="852"/>
    </row>
    <row r="7889" spans="5:13">
      <c r="E7889" s="852"/>
      <c r="F7889" s="852"/>
      <c r="G7889" s="852"/>
      <c r="H7889" s="852"/>
      <c r="I7889" s="852"/>
      <c r="J7889" s="852"/>
      <c r="K7889" s="852"/>
      <c r="L7889" s="852"/>
      <c r="M7889" s="852"/>
    </row>
    <row r="7890" spans="5:13">
      <c r="E7890" s="852"/>
      <c r="F7890" s="852"/>
      <c r="G7890" s="852"/>
      <c r="H7890" s="852"/>
      <c r="I7890" s="852"/>
      <c r="J7890" s="852"/>
      <c r="K7890" s="852"/>
      <c r="L7890" s="852"/>
      <c r="M7890" s="852"/>
    </row>
    <row r="7891" spans="5:13">
      <c r="E7891" s="852"/>
      <c r="F7891" s="852"/>
      <c r="G7891" s="852"/>
      <c r="H7891" s="852"/>
      <c r="I7891" s="852"/>
      <c r="J7891" s="852"/>
      <c r="K7891" s="852"/>
      <c r="L7891" s="852"/>
      <c r="M7891" s="852"/>
    </row>
    <row r="7892" spans="5:13">
      <c r="E7892" s="852"/>
      <c r="F7892" s="852"/>
      <c r="G7892" s="852"/>
      <c r="H7892" s="852"/>
      <c r="I7892" s="852"/>
      <c r="J7892" s="852"/>
      <c r="K7892" s="852"/>
      <c r="L7892" s="852"/>
      <c r="M7892" s="852"/>
    </row>
    <row r="7893" spans="5:13">
      <c r="E7893" s="852"/>
      <c r="F7893" s="852"/>
      <c r="G7893" s="852"/>
      <c r="H7893" s="852"/>
      <c r="I7893" s="852"/>
      <c r="J7893" s="852"/>
      <c r="K7893" s="852"/>
      <c r="L7893" s="852"/>
      <c r="M7893" s="852"/>
    </row>
    <row r="7894" spans="5:13">
      <c r="E7894" s="852"/>
      <c r="F7894" s="852"/>
      <c r="G7894" s="852"/>
      <c r="H7894" s="852"/>
      <c r="I7894" s="852"/>
      <c r="J7894" s="852"/>
      <c r="K7894" s="852"/>
      <c r="L7894" s="852"/>
      <c r="M7894" s="852"/>
    </row>
    <row r="7895" spans="5:13">
      <c r="E7895" s="852"/>
      <c r="F7895" s="852"/>
      <c r="G7895" s="852"/>
      <c r="H7895" s="852"/>
      <c r="I7895" s="852"/>
      <c r="J7895" s="852"/>
      <c r="K7895" s="852"/>
      <c r="L7895" s="852"/>
      <c r="M7895" s="852"/>
    </row>
    <row r="7896" spans="5:13">
      <c r="E7896" s="852"/>
      <c r="F7896" s="852"/>
      <c r="G7896" s="852"/>
      <c r="H7896" s="852"/>
      <c r="I7896" s="852"/>
      <c r="J7896" s="852"/>
      <c r="K7896" s="852"/>
      <c r="L7896" s="852"/>
      <c r="M7896" s="852"/>
    </row>
    <row r="7897" spans="5:13">
      <c r="E7897" s="852"/>
      <c r="F7897" s="852"/>
      <c r="G7897" s="852"/>
      <c r="H7897" s="852"/>
      <c r="I7897" s="852"/>
      <c r="J7897" s="852"/>
      <c r="K7897" s="852"/>
      <c r="L7897" s="852"/>
      <c r="M7897" s="852"/>
    </row>
    <row r="7898" spans="5:13">
      <c r="E7898" s="852"/>
      <c r="F7898" s="852"/>
      <c r="G7898" s="852"/>
      <c r="H7898" s="852"/>
      <c r="I7898" s="852"/>
      <c r="J7898" s="852"/>
      <c r="K7898" s="852"/>
      <c r="L7898" s="852"/>
      <c r="M7898" s="852"/>
    </row>
    <row r="7899" spans="5:13">
      <c r="E7899" s="852"/>
      <c r="F7899" s="852"/>
      <c r="G7899" s="852"/>
      <c r="H7899" s="852"/>
      <c r="I7899" s="852"/>
      <c r="J7899" s="852"/>
      <c r="K7899" s="852"/>
      <c r="L7899" s="852"/>
      <c r="M7899" s="852"/>
    </row>
    <row r="7900" spans="5:13">
      <c r="E7900" s="852"/>
      <c r="F7900" s="852"/>
      <c r="G7900" s="852"/>
      <c r="H7900" s="852"/>
      <c r="I7900" s="852"/>
      <c r="J7900" s="852"/>
      <c r="K7900" s="852"/>
      <c r="L7900" s="852"/>
      <c r="M7900" s="852"/>
    </row>
    <row r="7901" spans="5:13">
      <c r="E7901" s="852"/>
      <c r="F7901" s="852"/>
      <c r="G7901" s="852"/>
      <c r="H7901" s="852"/>
      <c r="I7901" s="852"/>
      <c r="J7901" s="852"/>
      <c r="K7901" s="852"/>
      <c r="L7901" s="852"/>
      <c r="M7901" s="852"/>
    </row>
    <row r="7902" spans="5:13">
      <c r="E7902" s="852"/>
      <c r="F7902" s="852"/>
      <c r="G7902" s="852"/>
      <c r="H7902" s="852"/>
      <c r="I7902" s="852"/>
      <c r="J7902" s="852"/>
      <c r="K7902" s="852"/>
      <c r="L7902" s="852"/>
      <c r="M7902" s="852"/>
    </row>
    <row r="7903" spans="5:13">
      <c r="E7903" s="852"/>
      <c r="F7903" s="852"/>
      <c r="G7903" s="852"/>
      <c r="H7903" s="852"/>
      <c r="I7903" s="852"/>
      <c r="J7903" s="852"/>
      <c r="K7903" s="852"/>
      <c r="L7903" s="852"/>
      <c r="M7903" s="852"/>
    </row>
    <row r="7904" spans="5:13">
      <c r="E7904" s="852"/>
      <c r="F7904" s="852"/>
      <c r="G7904" s="852"/>
      <c r="H7904" s="852"/>
      <c r="I7904" s="852"/>
      <c r="J7904" s="852"/>
      <c r="K7904" s="852"/>
      <c r="L7904" s="852"/>
      <c r="M7904" s="852"/>
    </row>
    <row r="7905" spans="8:8">
      <c r="H7905" s="1140"/>
    </row>
    <row r="7906" spans="8:8">
      <c r="H7906" s="1140"/>
    </row>
    <row r="7907" spans="8:8">
      <c r="H7907" s="1140"/>
    </row>
    <row r="7908" spans="8:8">
      <c r="H7908" s="1140"/>
    </row>
    <row r="7909" spans="8:8">
      <c r="H7909" s="1140"/>
    </row>
    <row r="7910" spans="8:8">
      <c r="H7910" s="1140"/>
    </row>
    <row r="7911" spans="8:8">
      <c r="H7911" s="1140"/>
    </row>
    <row r="7912" spans="8:8">
      <c r="H7912" s="1140"/>
    </row>
    <row r="7913" spans="8:8">
      <c r="H7913" s="1140"/>
    </row>
    <row r="7914" spans="8:8">
      <c r="H7914" s="1140"/>
    </row>
    <row r="7915" spans="8:8">
      <c r="H7915" s="1140"/>
    </row>
    <row r="7916" spans="8:8">
      <c r="H7916" s="1140"/>
    </row>
    <row r="7917" spans="8:8">
      <c r="H7917" s="1140"/>
    </row>
    <row r="7918" spans="8:8">
      <c r="H7918" s="1140"/>
    </row>
    <row r="7919" spans="8:8">
      <c r="H7919" s="1140"/>
    </row>
    <row r="7920" spans="8:8">
      <c r="H7920" s="1140"/>
    </row>
    <row r="7921" spans="8:8">
      <c r="H7921" s="1140"/>
    </row>
    <row r="7922" spans="8:8">
      <c r="H7922" s="1140"/>
    </row>
    <row r="7923" spans="8:8">
      <c r="H7923" s="1140"/>
    </row>
    <row r="7924" spans="8:8">
      <c r="H7924" s="1140"/>
    </row>
    <row r="7925" spans="8:8">
      <c r="H7925" s="1140"/>
    </row>
    <row r="7926" spans="8:8">
      <c r="H7926" s="1140"/>
    </row>
    <row r="7927" spans="8:8">
      <c r="H7927" s="1140"/>
    </row>
    <row r="7928" spans="8:8">
      <c r="H7928" s="1140"/>
    </row>
    <row r="7929" spans="8:8">
      <c r="H7929" s="1140"/>
    </row>
    <row r="7930" spans="8:8">
      <c r="H7930" s="1140"/>
    </row>
    <row r="7931" spans="8:8">
      <c r="H7931" s="1140"/>
    </row>
    <row r="7932" spans="8:8">
      <c r="H7932" s="1140"/>
    </row>
    <row r="7933" spans="8:8">
      <c r="H7933" s="1140"/>
    </row>
    <row r="7934" spans="8:8">
      <c r="H7934" s="1140"/>
    </row>
    <row r="7935" spans="8:8">
      <c r="H7935" s="1140"/>
    </row>
    <row r="7936" spans="8:8">
      <c r="H7936" s="1140"/>
    </row>
    <row r="7937" spans="8:8">
      <c r="H7937" s="1140"/>
    </row>
    <row r="7938" spans="8:8">
      <c r="H7938" s="1140"/>
    </row>
    <row r="7939" spans="8:8">
      <c r="H7939" s="1140"/>
    </row>
    <row r="7940" spans="8:8">
      <c r="H7940" s="1140"/>
    </row>
    <row r="7941" spans="8:8">
      <c r="H7941" s="1140"/>
    </row>
    <row r="7942" spans="8:8">
      <c r="H7942" s="1140"/>
    </row>
    <row r="7943" spans="8:8">
      <c r="H7943" s="1140"/>
    </row>
    <row r="7944" spans="8:8">
      <c r="H7944" s="1140"/>
    </row>
    <row r="7945" spans="8:8">
      <c r="H7945" s="1140"/>
    </row>
    <row r="7946" spans="8:8">
      <c r="H7946" s="1140"/>
    </row>
    <row r="7947" spans="8:8">
      <c r="H7947" s="1140"/>
    </row>
    <row r="7948" spans="8:8">
      <c r="H7948" s="1140"/>
    </row>
    <row r="7949" spans="8:8">
      <c r="H7949" s="1140"/>
    </row>
    <row r="7950" spans="8:8">
      <c r="H7950" s="1140"/>
    </row>
    <row r="7951" spans="8:8">
      <c r="H7951" s="1140"/>
    </row>
    <row r="7952" spans="8:8">
      <c r="H7952" s="1140"/>
    </row>
    <row r="7953" spans="8:8">
      <c r="H7953" s="1140"/>
    </row>
    <row r="7954" spans="8:8">
      <c r="H7954" s="1140"/>
    </row>
    <row r="7955" spans="8:8">
      <c r="H7955" s="1140"/>
    </row>
    <row r="7956" spans="8:8">
      <c r="H7956" s="1140"/>
    </row>
    <row r="7957" spans="8:8">
      <c r="H7957" s="1140"/>
    </row>
    <row r="7958" spans="8:8">
      <c r="H7958" s="1140"/>
    </row>
    <row r="7959" spans="8:8">
      <c r="H7959" s="1140"/>
    </row>
    <row r="7960" spans="8:8">
      <c r="H7960" s="1140"/>
    </row>
    <row r="7961" spans="8:8">
      <c r="H7961" s="1140"/>
    </row>
    <row r="7962" spans="8:8">
      <c r="H7962" s="1140"/>
    </row>
    <row r="7963" spans="8:8">
      <c r="H7963" s="1140"/>
    </row>
    <row r="7964" spans="8:8">
      <c r="H7964" s="1140"/>
    </row>
    <row r="7965" spans="8:8">
      <c r="H7965" s="1140"/>
    </row>
    <row r="7966" spans="8:8">
      <c r="H7966" s="1140"/>
    </row>
    <row r="7967" spans="8:8">
      <c r="H7967" s="1140"/>
    </row>
    <row r="7968" spans="8:8">
      <c r="H7968" s="1140"/>
    </row>
    <row r="7969" spans="8:8">
      <c r="H7969" s="1140"/>
    </row>
    <row r="7970" spans="8:8">
      <c r="H7970" s="1140"/>
    </row>
    <row r="7971" spans="8:8">
      <c r="H7971" s="1140"/>
    </row>
    <row r="7972" spans="8:8">
      <c r="H7972" s="1140"/>
    </row>
    <row r="7973" spans="8:8">
      <c r="H7973" s="1140"/>
    </row>
    <row r="7974" spans="8:8">
      <c r="H7974" s="1140"/>
    </row>
    <row r="7975" spans="8:8">
      <c r="H7975" s="1140"/>
    </row>
    <row r="7976" spans="8:8">
      <c r="H7976" s="1140"/>
    </row>
    <row r="7977" spans="8:8">
      <c r="H7977" s="1140"/>
    </row>
    <row r="7978" spans="8:8">
      <c r="H7978" s="1140"/>
    </row>
    <row r="7979" spans="8:8">
      <c r="H7979" s="1140"/>
    </row>
    <row r="7980" spans="8:8">
      <c r="H7980" s="1140"/>
    </row>
    <row r="7981" spans="8:8">
      <c r="H7981" s="1140"/>
    </row>
    <row r="7982" spans="8:8">
      <c r="H7982" s="1140"/>
    </row>
    <row r="7983" spans="8:8">
      <c r="H7983" s="1140"/>
    </row>
    <row r="7984" spans="8:8">
      <c r="H7984" s="1140"/>
    </row>
    <row r="7985" spans="8:8">
      <c r="H7985" s="1140"/>
    </row>
    <row r="7986" spans="8:8">
      <c r="H7986" s="1140"/>
    </row>
    <row r="7987" spans="8:8">
      <c r="H7987" s="1140"/>
    </row>
    <row r="7988" spans="8:8">
      <c r="H7988" s="1140"/>
    </row>
    <row r="7989" spans="8:8">
      <c r="H7989" s="1140"/>
    </row>
    <row r="7990" spans="8:8">
      <c r="H7990" s="1140"/>
    </row>
    <row r="7991" spans="8:8">
      <c r="H7991" s="1140"/>
    </row>
    <row r="7992" spans="8:8">
      <c r="H7992" s="1140"/>
    </row>
    <row r="7993" spans="8:8">
      <c r="H7993" s="1140"/>
    </row>
    <row r="7994" spans="8:8">
      <c r="H7994" s="1140"/>
    </row>
    <row r="7995" spans="8:8">
      <c r="H7995" s="1140"/>
    </row>
    <row r="7996" spans="8:8">
      <c r="H7996" s="1140"/>
    </row>
    <row r="7997" spans="8:8">
      <c r="H7997" s="1140"/>
    </row>
    <row r="7998" spans="8:8">
      <c r="H7998" s="1140"/>
    </row>
    <row r="7999" spans="8:8">
      <c r="H7999" s="1140"/>
    </row>
    <row r="8000" spans="8:8">
      <c r="H8000" s="1140"/>
    </row>
    <row r="8001" spans="8:8">
      <c r="H8001" s="1140"/>
    </row>
    <row r="8002" spans="8:8">
      <c r="H8002" s="1140"/>
    </row>
    <row r="8003" spans="8:8">
      <c r="H8003" s="1140"/>
    </row>
    <row r="8004" spans="8:8">
      <c r="H8004" s="1140"/>
    </row>
    <row r="8005" spans="8:8">
      <c r="H8005" s="1140"/>
    </row>
    <row r="8006" spans="8:8">
      <c r="H8006" s="1140"/>
    </row>
    <row r="8007" spans="8:8">
      <c r="H8007" s="1140"/>
    </row>
    <row r="8008" spans="8:8">
      <c r="H8008" s="1140"/>
    </row>
    <row r="8009" spans="8:8">
      <c r="H8009" s="1140"/>
    </row>
    <row r="8010" spans="8:8">
      <c r="H8010" s="1140"/>
    </row>
    <row r="8011" spans="8:8">
      <c r="H8011" s="1140"/>
    </row>
    <row r="8012" spans="8:8">
      <c r="H8012" s="1140"/>
    </row>
    <row r="8013" spans="8:8">
      <c r="H8013" s="1140"/>
    </row>
    <row r="8014" spans="8:8">
      <c r="H8014" s="1140"/>
    </row>
    <row r="8015" spans="8:8">
      <c r="H8015" s="1140"/>
    </row>
    <row r="8016" spans="8:8">
      <c r="H8016" s="1140"/>
    </row>
    <row r="8017" spans="8:8">
      <c r="H8017" s="1140"/>
    </row>
    <row r="8018" spans="8:8">
      <c r="H8018" s="1140"/>
    </row>
    <row r="8019" spans="8:8">
      <c r="H8019" s="1140"/>
    </row>
    <row r="8020" spans="8:8">
      <c r="H8020" s="1140"/>
    </row>
    <row r="8021" spans="8:8">
      <c r="H8021" s="1140"/>
    </row>
    <row r="8022" spans="8:8">
      <c r="H8022" s="1140"/>
    </row>
    <row r="8023" spans="8:8">
      <c r="H8023" s="1140"/>
    </row>
    <row r="8024" spans="8:8">
      <c r="H8024" s="1140"/>
    </row>
    <row r="8025" spans="8:8">
      <c r="H8025" s="1140"/>
    </row>
    <row r="8026" spans="8:8">
      <c r="H8026" s="1140"/>
    </row>
    <row r="8027" spans="8:8">
      <c r="H8027" s="1140"/>
    </row>
    <row r="8028" spans="8:8">
      <c r="H8028" s="1140"/>
    </row>
    <row r="8029" spans="8:8">
      <c r="H8029" s="1140"/>
    </row>
    <row r="8030" spans="8:8">
      <c r="H8030" s="1140"/>
    </row>
    <row r="8031" spans="8:8">
      <c r="H8031" s="1140"/>
    </row>
    <row r="8032" spans="8:8">
      <c r="H8032" s="1140"/>
    </row>
    <row r="8033" spans="8:8">
      <c r="H8033" s="1140"/>
    </row>
    <row r="8034" spans="8:8">
      <c r="H8034" s="1140"/>
    </row>
    <row r="8035" spans="8:8">
      <c r="H8035" s="1140"/>
    </row>
    <row r="8036" spans="8:8">
      <c r="H8036" s="1140"/>
    </row>
    <row r="8037" spans="8:8">
      <c r="H8037" s="1140"/>
    </row>
    <row r="8038" spans="8:8">
      <c r="H8038" s="1140"/>
    </row>
    <row r="8039" spans="8:8">
      <c r="H8039" s="1140"/>
    </row>
    <row r="8040" spans="8:8">
      <c r="H8040" s="1140"/>
    </row>
    <row r="8041" spans="8:8">
      <c r="H8041" s="1140"/>
    </row>
    <row r="8042" spans="8:8">
      <c r="H8042" s="1140"/>
    </row>
    <row r="8043" spans="8:8">
      <c r="H8043" s="1140"/>
    </row>
    <row r="8044" spans="8:8">
      <c r="H8044" s="1140"/>
    </row>
    <row r="8045" spans="8:8">
      <c r="H8045" s="1140"/>
    </row>
    <row r="8046" spans="8:8">
      <c r="H8046" s="1140"/>
    </row>
    <row r="8047" spans="8:8">
      <c r="H8047" s="1140"/>
    </row>
    <row r="8048" spans="8:8">
      <c r="H8048" s="1140"/>
    </row>
    <row r="8049" spans="8:8">
      <c r="H8049" s="1140"/>
    </row>
    <row r="8050" spans="8:8">
      <c r="H8050" s="1140"/>
    </row>
    <row r="8051" spans="8:8">
      <c r="H8051" s="1140"/>
    </row>
    <row r="8052" spans="8:8">
      <c r="H8052" s="1140"/>
    </row>
    <row r="8053" spans="8:8">
      <c r="H8053" s="1140"/>
    </row>
    <row r="8054" spans="8:8">
      <c r="H8054" s="1140"/>
    </row>
    <row r="8055" spans="8:8">
      <c r="H8055" s="1140"/>
    </row>
    <row r="8056" spans="8:8">
      <c r="H8056" s="1140"/>
    </row>
    <row r="8057" spans="8:8">
      <c r="H8057" s="1140"/>
    </row>
    <row r="8058" spans="8:8">
      <c r="H8058" s="1140"/>
    </row>
    <row r="8059" spans="8:8">
      <c r="H8059" s="1140"/>
    </row>
    <row r="8060" spans="8:8">
      <c r="H8060" s="1140"/>
    </row>
    <row r="8061" spans="8:8">
      <c r="H8061" s="1140"/>
    </row>
    <row r="8062" spans="8:8">
      <c r="H8062" s="1140"/>
    </row>
    <row r="8063" spans="8:8">
      <c r="H8063" s="1140"/>
    </row>
    <row r="8064" spans="8:8">
      <c r="H8064" s="1140"/>
    </row>
    <row r="8065" spans="8:8">
      <c r="H8065" s="1140"/>
    </row>
    <row r="8066" spans="8:8">
      <c r="H8066" s="1140"/>
    </row>
    <row r="8067" spans="8:8">
      <c r="H8067" s="1140"/>
    </row>
    <row r="8068" spans="8:8">
      <c r="H8068" s="1140"/>
    </row>
    <row r="8069" spans="8:8">
      <c r="H8069" s="1140"/>
    </row>
    <row r="8070" spans="8:8">
      <c r="H8070" s="1140"/>
    </row>
    <row r="8071" spans="8:8">
      <c r="H8071" s="1140"/>
    </row>
    <row r="8072" spans="8:8">
      <c r="H8072" s="1140"/>
    </row>
    <row r="8073" spans="8:8">
      <c r="H8073" s="1140"/>
    </row>
    <row r="8074" spans="8:8">
      <c r="H8074" s="1140"/>
    </row>
    <row r="8075" spans="8:8">
      <c r="H8075" s="1140"/>
    </row>
    <row r="8076" spans="8:8">
      <c r="H8076" s="1140"/>
    </row>
    <row r="8077" spans="8:8">
      <c r="H8077" s="1140"/>
    </row>
    <row r="8078" spans="8:8">
      <c r="H8078" s="1140"/>
    </row>
    <row r="8079" spans="8:8">
      <c r="H8079" s="1140"/>
    </row>
    <row r="8080" spans="8:8">
      <c r="H8080" s="1140"/>
    </row>
    <row r="8081" spans="8:8">
      <c r="H8081" s="1140"/>
    </row>
    <row r="8082" spans="8:8">
      <c r="H8082" s="1140"/>
    </row>
    <row r="8083" spans="8:8">
      <c r="H8083" s="1140"/>
    </row>
    <row r="8084" spans="8:8">
      <c r="H8084" s="1140"/>
    </row>
    <row r="8085" spans="8:8">
      <c r="H8085" s="1140"/>
    </row>
    <row r="8086" spans="8:8">
      <c r="H8086" s="1140"/>
    </row>
    <row r="8087" spans="8:8">
      <c r="H8087" s="1140"/>
    </row>
    <row r="8088" spans="8:8">
      <c r="H8088" s="1140"/>
    </row>
    <row r="8089" spans="8:8">
      <c r="H8089" s="1140"/>
    </row>
    <row r="8090" spans="8:8">
      <c r="H8090" s="1140"/>
    </row>
    <row r="8091" spans="8:8">
      <c r="H8091" s="1140"/>
    </row>
    <row r="8092" spans="8:8">
      <c r="H8092" s="1140"/>
    </row>
    <row r="8093" spans="8:8">
      <c r="H8093" s="1140"/>
    </row>
    <row r="8094" spans="8:8">
      <c r="H8094" s="1140"/>
    </row>
    <row r="8095" spans="8:8">
      <c r="H8095" s="1140"/>
    </row>
    <row r="8096" spans="8:8">
      <c r="H8096" s="1140"/>
    </row>
    <row r="8097" spans="8:8">
      <c r="H8097" s="1140"/>
    </row>
    <row r="8098" spans="8:8">
      <c r="H8098" s="1140"/>
    </row>
    <row r="8099" spans="8:8">
      <c r="H8099" s="1140"/>
    </row>
    <row r="8100" spans="8:8">
      <c r="H8100" s="1140"/>
    </row>
    <row r="8101" spans="8:8">
      <c r="H8101" s="1140"/>
    </row>
    <row r="8102" spans="8:8">
      <c r="H8102" s="1140"/>
    </row>
    <row r="8103" spans="8:8">
      <c r="H8103" s="1140"/>
    </row>
    <row r="8104" spans="8:8">
      <c r="H8104" s="1140"/>
    </row>
    <row r="8105" spans="8:8">
      <c r="H8105" s="1140"/>
    </row>
    <row r="8106" spans="8:8">
      <c r="H8106" s="1140"/>
    </row>
    <row r="8107" spans="8:8">
      <c r="H8107" s="1140"/>
    </row>
    <row r="8108" spans="8:8">
      <c r="H8108" s="1140"/>
    </row>
    <row r="8109" spans="8:8">
      <c r="H8109" s="1140"/>
    </row>
    <row r="8110" spans="8:8">
      <c r="H8110" s="1140"/>
    </row>
    <row r="8111" spans="8:8">
      <c r="H8111" s="1140"/>
    </row>
    <row r="8112" spans="8:8">
      <c r="H8112" s="1140"/>
    </row>
    <row r="8113" spans="8:8">
      <c r="H8113" s="1140"/>
    </row>
    <row r="8114" spans="8:8">
      <c r="H8114" s="1140"/>
    </row>
    <row r="8115" spans="8:8">
      <c r="H8115" s="1140"/>
    </row>
    <row r="8116" spans="8:8">
      <c r="H8116" s="1140"/>
    </row>
    <row r="8117" spans="8:8">
      <c r="H8117" s="1140"/>
    </row>
    <row r="8118" spans="8:8">
      <c r="H8118" s="1140"/>
    </row>
    <row r="8119" spans="8:8">
      <c r="H8119" s="1140"/>
    </row>
    <row r="8120" spans="8:8">
      <c r="H8120" s="1140"/>
    </row>
    <row r="8121" spans="8:8">
      <c r="H8121" s="1140"/>
    </row>
    <row r="8122" spans="8:8">
      <c r="H8122" s="1140"/>
    </row>
    <row r="8123" spans="8:8">
      <c r="H8123" s="1140"/>
    </row>
    <row r="8124" spans="8:8">
      <c r="H8124" s="1140"/>
    </row>
    <row r="8125" spans="8:8">
      <c r="H8125" s="1140"/>
    </row>
    <row r="8126" spans="8:8">
      <c r="H8126" s="1140"/>
    </row>
    <row r="8127" spans="8:8">
      <c r="H8127" s="1140"/>
    </row>
    <row r="8128" spans="8:8">
      <c r="H8128" s="1140"/>
    </row>
    <row r="8129" spans="8:8">
      <c r="H8129" s="1140"/>
    </row>
    <row r="8130" spans="8:8">
      <c r="H8130" s="1140"/>
    </row>
    <row r="8131" spans="8:8">
      <c r="H8131" s="1140"/>
    </row>
    <row r="8132" spans="8:8">
      <c r="H8132" s="1140"/>
    </row>
    <row r="8133" spans="8:8">
      <c r="H8133" s="1140"/>
    </row>
    <row r="8134" spans="8:8">
      <c r="H8134" s="1140"/>
    </row>
    <row r="8135" spans="8:8">
      <c r="H8135" s="1140"/>
    </row>
    <row r="8136" spans="8:8">
      <c r="H8136" s="1140"/>
    </row>
    <row r="8137" spans="8:8">
      <c r="H8137" s="1140"/>
    </row>
    <row r="8138" spans="8:8">
      <c r="H8138" s="1140"/>
    </row>
    <row r="8139" spans="8:8">
      <c r="H8139" s="1140"/>
    </row>
    <row r="8140" spans="8:8">
      <c r="H8140" s="1140"/>
    </row>
    <row r="8141" spans="8:8">
      <c r="H8141" s="1140"/>
    </row>
    <row r="8142" spans="8:8">
      <c r="H8142" s="1140"/>
    </row>
    <row r="8143" spans="8:8">
      <c r="H8143" s="1140"/>
    </row>
    <row r="8144" spans="8:8">
      <c r="H8144" s="1140"/>
    </row>
    <row r="8145" spans="8:8">
      <c r="H8145" s="1140"/>
    </row>
    <row r="8146" spans="8:8">
      <c r="H8146" s="1140"/>
    </row>
    <row r="8147" spans="8:8">
      <c r="H8147" s="1140"/>
    </row>
    <row r="8148" spans="8:8">
      <c r="H8148" s="1140"/>
    </row>
    <row r="8149" spans="8:8">
      <c r="H8149" s="1140"/>
    </row>
    <row r="8150" spans="8:8">
      <c r="H8150" s="1140"/>
    </row>
    <row r="8151" spans="8:8">
      <c r="H8151" s="1140"/>
    </row>
    <row r="8152" spans="8:8">
      <c r="H8152" s="1140"/>
    </row>
    <row r="8153" spans="8:8">
      <c r="H8153" s="1140"/>
    </row>
    <row r="8154" spans="8:8">
      <c r="H8154" s="1140"/>
    </row>
    <row r="8155" spans="8:8">
      <c r="H8155" s="1140"/>
    </row>
    <row r="8156" spans="8:8">
      <c r="H8156" s="1140"/>
    </row>
    <row r="8157" spans="8:8">
      <c r="H8157" s="1140"/>
    </row>
    <row r="8158" spans="8:8">
      <c r="H8158" s="1140"/>
    </row>
    <row r="8159" spans="8:8">
      <c r="H8159" s="1140"/>
    </row>
    <row r="8160" spans="8:8">
      <c r="H8160" s="1140"/>
    </row>
    <row r="8161" spans="8:8">
      <c r="H8161" s="1140"/>
    </row>
    <row r="8162" spans="8:8">
      <c r="H8162" s="1140"/>
    </row>
    <row r="8163" spans="8:8">
      <c r="H8163" s="1140"/>
    </row>
    <row r="8164" spans="8:8">
      <c r="H8164" s="1140"/>
    </row>
    <row r="8165" spans="8:8">
      <c r="H8165" s="1140"/>
    </row>
    <row r="8166" spans="8:8">
      <c r="H8166" s="1140"/>
    </row>
    <row r="8167" spans="8:8">
      <c r="H8167" s="1140"/>
    </row>
    <row r="8168" spans="8:8">
      <c r="H8168" s="1140"/>
    </row>
    <row r="8169" spans="8:8">
      <c r="H8169" s="1140"/>
    </row>
    <row r="8170" spans="8:8">
      <c r="H8170" s="1140"/>
    </row>
    <row r="8171" spans="8:8">
      <c r="H8171" s="1140"/>
    </row>
    <row r="8172" spans="8:8">
      <c r="H8172" s="1140"/>
    </row>
    <row r="8173" spans="8:8">
      <c r="H8173" s="1140"/>
    </row>
    <row r="8174" spans="8:8">
      <c r="H8174" s="1140"/>
    </row>
    <row r="8175" spans="8:8">
      <c r="H8175" s="1140"/>
    </row>
    <row r="8176" spans="8:8">
      <c r="H8176" s="1140"/>
    </row>
    <row r="8177" spans="8:8">
      <c r="H8177" s="1140"/>
    </row>
    <row r="8178" spans="8:8">
      <c r="H8178" s="1140"/>
    </row>
    <row r="8179" spans="8:8">
      <c r="H8179" s="1140"/>
    </row>
    <row r="8180" spans="8:8">
      <c r="H8180" s="1140"/>
    </row>
    <row r="8181" spans="8:8">
      <c r="H8181" s="1140"/>
    </row>
    <row r="8182" spans="8:8">
      <c r="H8182" s="1140"/>
    </row>
    <row r="8183" spans="8:8">
      <c r="H8183" s="1140"/>
    </row>
    <row r="8184" spans="8:8">
      <c r="H8184" s="1140"/>
    </row>
    <row r="8185" spans="8:8">
      <c r="H8185" s="1140"/>
    </row>
    <row r="8186" spans="8:8">
      <c r="H8186" s="1140"/>
    </row>
    <row r="8187" spans="8:8">
      <c r="H8187" s="1140"/>
    </row>
    <row r="8188" spans="8:8">
      <c r="H8188" s="1140"/>
    </row>
    <row r="8189" spans="8:8">
      <c r="H8189" s="1140"/>
    </row>
    <row r="8190" spans="8:8">
      <c r="H8190" s="1140"/>
    </row>
    <row r="8191" spans="8:8">
      <c r="H8191" s="1140"/>
    </row>
    <row r="8192" spans="8:8">
      <c r="H8192" s="1140"/>
    </row>
    <row r="8193" spans="8:8">
      <c r="H8193" s="1140"/>
    </row>
    <row r="8194" spans="8:8">
      <c r="H8194" s="1140"/>
    </row>
    <row r="8195" spans="8:8">
      <c r="H8195" s="1140"/>
    </row>
    <row r="8196" spans="8:8">
      <c r="H8196" s="1140"/>
    </row>
    <row r="8197" spans="8:8">
      <c r="H8197" s="1140"/>
    </row>
    <row r="8198" spans="8:8">
      <c r="H8198" s="1140"/>
    </row>
    <row r="8199" spans="8:8">
      <c r="H8199" s="1140"/>
    </row>
    <row r="8200" spans="8:8">
      <c r="H8200" s="1140"/>
    </row>
    <row r="8201" spans="8:8">
      <c r="H8201" s="1140"/>
    </row>
    <row r="8202" spans="8:8">
      <c r="H8202" s="1140"/>
    </row>
    <row r="8203" spans="8:8">
      <c r="H8203" s="1140"/>
    </row>
    <row r="8204" spans="8:8">
      <c r="H8204" s="1140"/>
    </row>
    <row r="8205" spans="8:8">
      <c r="H8205" s="1140"/>
    </row>
    <row r="8206" spans="8:8">
      <c r="H8206" s="1140"/>
    </row>
    <row r="8207" spans="8:8">
      <c r="H8207" s="1140"/>
    </row>
    <row r="8208" spans="8:8">
      <c r="H8208" s="1140"/>
    </row>
    <row r="8209" spans="8:8">
      <c r="H8209" s="1140"/>
    </row>
    <row r="8210" spans="8:8">
      <c r="H8210" s="1140"/>
    </row>
    <row r="8211" spans="8:8">
      <c r="H8211" s="1140"/>
    </row>
    <row r="8212" spans="8:8">
      <c r="H8212" s="1140"/>
    </row>
    <row r="8213" spans="8:8">
      <c r="H8213" s="1140"/>
    </row>
    <row r="8214" spans="8:8">
      <c r="H8214" s="1140"/>
    </row>
    <row r="8215" spans="8:8">
      <c r="H8215" s="1140"/>
    </row>
    <row r="8216" spans="8:8">
      <c r="H8216" s="1140"/>
    </row>
    <row r="8217" spans="8:8">
      <c r="H8217" s="1140"/>
    </row>
    <row r="8218" spans="8:8">
      <c r="H8218" s="1140"/>
    </row>
    <row r="8219" spans="8:8">
      <c r="H8219" s="1140"/>
    </row>
    <row r="8220" spans="8:8">
      <c r="H8220" s="1140"/>
    </row>
    <row r="8221" spans="8:8">
      <c r="H8221" s="1140"/>
    </row>
    <row r="8222" spans="8:8">
      <c r="H8222" s="1140"/>
    </row>
    <row r="8223" spans="8:8">
      <c r="H8223" s="1140"/>
    </row>
    <row r="8224" spans="8:8">
      <c r="H8224" s="1140"/>
    </row>
    <row r="8225" spans="8:8">
      <c r="H8225" s="1140"/>
    </row>
    <row r="8226" spans="8:8">
      <c r="H8226" s="1140"/>
    </row>
    <row r="8227" spans="8:8">
      <c r="H8227" s="1140"/>
    </row>
    <row r="8228" spans="8:8">
      <c r="H8228" s="1140"/>
    </row>
    <row r="8229" spans="8:8">
      <c r="H8229" s="1140"/>
    </row>
    <row r="8230" spans="8:8">
      <c r="H8230" s="1140"/>
    </row>
    <row r="8231" spans="8:8">
      <c r="H8231" s="1140"/>
    </row>
    <row r="8232" spans="8:8">
      <c r="H8232" s="1140"/>
    </row>
    <row r="8233" spans="8:8">
      <c r="H8233" s="1140"/>
    </row>
    <row r="8234" spans="8:8">
      <c r="H8234" s="1140"/>
    </row>
    <row r="8235" spans="8:8">
      <c r="H8235" s="1140"/>
    </row>
    <row r="8236" spans="8:8">
      <c r="H8236" s="1140"/>
    </row>
    <row r="8237" spans="8:8">
      <c r="H8237" s="1140"/>
    </row>
    <row r="8238" spans="8:8">
      <c r="H8238" s="1140"/>
    </row>
    <row r="8239" spans="8:8">
      <c r="H8239" s="1140"/>
    </row>
    <row r="8240" spans="8:8">
      <c r="H8240" s="1140"/>
    </row>
    <row r="8241" spans="8:8">
      <c r="H8241" s="1140"/>
    </row>
    <row r="8242" spans="8:8">
      <c r="H8242" s="1140"/>
    </row>
    <row r="8243" spans="8:8">
      <c r="H8243" s="1140"/>
    </row>
    <row r="8244" spans="8:8">
      <c r="H8244" s="1140"/>
    </row>
    <row r="8245" spans="8:8">
      <c r="H8245" s="1140"/>
    </row>
    <row r="8246" spans="8:8">
      <c r="H8246" s="1140"/>
    </row>
    <row r="8247" spans="8:8">
      <c r="H8247" s="1140"/>
    </row>
    <row r="8248" spans="8:8">
      <c r="H8248" s="1140"/>
    </row>
    <row r="8249" spans="8:8">
      <c r="H8249" s="1140"/>
    </row>
    <row r="8250" spans="8:8">
      <c r="H8250" s="1140"/>
    </row>
    <row r="8251" spans="8:8">
      <c r="H8251" s="1140"/>
    </row>
    <row r="8252" spans="8:8">
      <c r="H8252" s="1140"/>
    </row>
    <row r="8253" spans="8:8">
      <c r="H8253" s="1140"/>
    </row>
    <row r="8254" spans="8:8">
      <c r="H8254" s="1140"/>
    </row>
    <row r="8255" spans="8:8">
      <c r="H8255" s="1140"/>
    </row>
    <row r="8256" spans="8:8">
      <c r="H8256" s="1140"/>
    </row>
    <row r="8257" spans="8:8">
      <c r="H8257" s="1140"/>
    </row>
    <row r="8258" spans="8:8">
      <c r="H8258" s="1140"/>
    </row>
    <row r="8259" spans="8:8">
      <c r="H8259" s="1140"/>
    </row>
    <row r="8260" spans="8:8">
      <c r="H8260" s="1140"/>
    </row>
    <row r="8261" spans="8:8">
      <c r="H8261" s="1140"/>
    </row>
    <row r="8262" spans="8:8">
      <c r="H8262" s="1140"/>
    </row>
    <row r="8263" spans="8:8">
      <c r="H8263" s="1140"/>
    </row>
    <row r="8264" spans="8:8">
      <c r="H8264" s="1140"/>
    </row>
    <row r="8265" spans="8:8">
      <c r="H8265" s="1140"/>
    </row>
    <row r="8266" spans="8:8">
      <c r="H8266" s="1140"/>
    </row>
    <row r="8267" spans="8:8">
      <c r="H8267" s="1140"/>
    </row>
    <row r="8268" spans="8:8">
      <c r="H8268" s="1140"/>
    </row>
    <row r="8269" spans="8:8">
      <c r="H8269" s="1140"/>
    </row>
    <row r="8270" spans="8:8">
      <c r="H8270" s="1140"/>
    </row>
    <row r="8271" spans="8:8">
      <c r="H8271" s="1140"/>
    </row>
    <row r="8272" spans="8:8">
      <c r="H8272" s="1140"/>
    </row>
    <row r="8273" spans="8:8">
      <c r="H8273" s="1140"/>
    </row>
    <row r="8274" spans="8:8">
      <c r="H8274" s="1140"/>
    </row>
    <row r="8275" spans="8:8">
      <c r="H8275" s="1140"/>
    </row>
    <row r="8276" spans="8:8">
      <c r="H8276" s="1140"/>
    </row>
    <row r="8277" spans="8:8">
      <c r="H8277" s="1140"/>
    </row>
    <row r="8278" spans="8:8">
      <c r="H8278" s="1140"/>
    </row>
    <row r="8279" spans="8:8">
      <c r="H8279" s="1140"/>
    </row>
    <row r="8280" spans="8:8">
      <c r="H8280" s="1140"/>
    </row>
    <row r="8281" spans="8:8">
      <c r="H8281" s="1140"/>
    </row>
    <row r="8282" spans="8:8">
      <c r="H8282" s="1140"/>
    </row>
    <row r="8283" spans="8:8">
      <c r="H8283" s="1140"/>
    </row>
    <row r="8284" spans="8:8">
      <c r="H8284" s="1140"/>
    </row>
    <row r="8285" spans="8:8">
      <c r="H8285" s="1140"/>
    </row>
    <row r="8286" spans="8:8">
      <c r="H8286" s="1140"/>
    </row>
    <row r="8287" spans="8:8">
      <c r="H8287" s="1140"/>
    </row>
    <row r="8288" spans="8:8">
      <c r="H8288" s="1140"/>
    </row>
    <row r="8289" spans="8:8">
      <c r="H8289" s="1140"/>
    </row>
    <row r="8290" spans="8:8">
      <c r="H8290" s="1140"/>
    </row>
    <row r="8291" spans="8:8">
      <c r="H8291" s="1140"/>
    </row>
    <row r="8292" spans="8:8">
      <c r="H8292" s="1140"/>
    </row>
    <row r="8293" spans="8:8">
      <c r="H8293" s="1140"/>
    </row>
    <row r="8294" spans="8:8">
      <c r="H8294" s="1140"/>
    </row>
    <row r="8295" spans="8:8">
      <c r="H8295" s="1140"/>
    </row>
    <row r="8296" spans="8:8">
      <c r="H8296" s="1140"/>
    </row>
  </sheetData>
  <mergeCells count="13">
    <mergeCell ref="H2713:I2713"/>
    <mergeCell ref="E2341:K2341"/>
    <mergeCell ref="F2370:G2370"/>
    <mergeCell ref="F2374:G2374"/>
    <mergeCell ref="I2374:J2374"/>
    <mergeCell ref="I2390:J2390"/>
    <mergeCell ref="M3716:R3716"/>
    <mergeCell ref="O3111:P3111"/>
    <mergeCell ref="M3610:R3610"/>
    <mergeCell ref="M3611:R3611"/>
    <mergeCell ref="P3619:Q3619"/>
    <mergeCell ref="M3641:R3641"/>
    <mergeCell ref="P3645:Q3645"/>
  </mergeCells>
  <printOptions horizontalCentered="1"/>
  <pageMargins left="0.33" right="0.22" top="0.77" bottom="0.59" header="0.3" footer="0.24"/>
  <pageSetup paperSize="9" scale="75" orientation="portrait" r:id="rId1"/>
  <headerFooter alignWithMargins="0">
    <oddHeader>&amp;CElectrical Data 2016-2017&amp;R&amp;P</oddHeader>
  </headerFooter>
  <rowBreaks count="2" manualBreakCount="2">
    <brk id="2865" min="12" max="18" man="1"/>
    <brk id="3121" min="12" max="18" man="1"/>
  </rowBreaks>
  <drawing r:id="rId2"/>
</worksheet>
</file>

<file path=xl/worksheets/sheet5.xml><?xml version="1.0" encoding="utf-8"?>
<worksheet xmlns="http://schemas.openxmlformats.org/spreadsheetml/2006/main" xmlns:r="http://schemas.openxmlformats.org/officeDocument/2006/relationships">
  <dimension ref="A2:F428"/>
  <sheetViews>
    <sheetView view="pageBreakPreview" topLeftCell="A125" zoomScaleSheetLayoutView="100" workbookViewId="0">
      <selection activeCell="N135" sqref="N135"/>
    </sheetView>
  </sheetViews>
  <sheetFormatPr defaultRowHeight="15"/>
  <cols>
    <col min="1" max="1" width="11.5703125" bestFit="1" customWidth="1"/>
    <col min="2" max="2" width="5.7109375" customWidth="1"/>
    <col min="3" max="3" width="36.5703125" style="1353" customWidth="1"/>
    <col min="4" max="4" width="12.85546875" customWidth="1"/>
    <col min="5" max="5" width="10.28515625" customWidth="1"/>
    <col min="6" max="6" width="13" customWidth="1"/>
  </cols>
  <sheetData>
    <row r="2" spans="1:6" ht="15.75">
      <c r="A2" s="620">
        <v>32.1</v>
      </c>
      <c r="B2" s="585" t="s">
        <v>122</v>
      </c>
      <c r="C2" s="633" t="s">
        <v>1707</v>
      </c>
      <c r="D2" s="575"/>
      <c r="E2" s="578"/>
      <c r="F2" s="575"/>
    </row>
    <row r="3" spans="1:6" ht="31.5">
      <c r="A3" s="575"/>
      <c r="B3" s="576"/>
      <c r="C3" s="633" t="s">
        <v>1708</v>
      </c>
      <c r="D3" s="575"/>
      <c r="E3" s="578"/>
      <c r="F3" s="575"/>
    </row>
    <row r="4" spans="1:6" ht="15.75">
      <c r="A4" s="575"/>
      <c r="B4" s="576"/>
      <c r="C4" s="633" t="s">
        <v>1709</v>
      </c>
      <c r="D4" s="575"/>
      <c r="E4" s="578"/>
      <c r="F4" s="575"/>
    </row>
    <row r="5" spans="1:6" ht="31.5">
      <c r="A5" s="575"/>
      <c r="B5" s="576"/>
      <c r="C5" s="633" t="s">
        <v>1710</v>
      </c>
      <c r="D5" s="575"/>
      <c r="E5" s="578"/>
      <c r="F5" s="575"/>
    </row>
    <row r="6" spans="1:6" ht="15.75">
      <c r="A6" s="575"/>
      <c r="B6" s="576"/>
      <c r="C6" s="633" t="s">
        <v>1712</v>
      </c>
      <c r="D6" s="575"/>
      <c r="E6" s="578"/>
      <c r="F6" s="575"/>
    </row>
    <row r="7" spans="1:6" ht="15.75">
      <c r="A7" s="575"/>
      <c r="B7" s="576"/>
      <c r="C7" s="1342" t="s">
        <v>117</v>
      </c>
      <c r="D7" s="575"/>
      <c r="E7" s="578"/>
      <c r="F7" s="575"/>
    </row>
    <row r="8" spans="1:6" ht="31.5">
      <c r="A8" s="587">
        <v>190</v>
      </c>
      <c r="B8" s="585" t="s">
        <v>1576</v>
      </c>
      <c r="C8" s="633" t="s">
        <v>1715</v>
      </c>
      <c r="D8" s="587">
        <v>16123.55</v>
      </c>
      <c r="E8" s="573" t="s">
        <v>498</v>
      </c>
      <c r="F8" s="587">
        <v>3063.4744999999998</v>
      </c>
    </row>
    <row r="9" spans="1:6" ht="15.75">
      <c r="A9" s="587">
        <v>0.12</v>
      </c>
      <c r="B9" s="585" t="s">
        <v>126</v>
      </c>
      <c r="C9" s="633" t="s">
        <v>142</v>
      </c>
      <c r="D9" s="587">
        <v>4193.8</v>
      </c>
      <c r="E9" s="573" t="s">
        <v>126</v>
      </c>
      <c r="F9" s="585">
        <v>503.25600000000003</v>
      </c>
    </row>
    <row r="10" spans="1:6" ht="15.75">
      <c r="A10" s="587">
        <v>10</v>
      </c>
      <c r="B10" s="585" t="s">
        <v>140</v>
      </c>
      <c r="C10" s="633" t="s">
        <v>1718</v>
      </c>
      <c r="D10" s="587">
        <v>245.15520000000001</v>
      </c>
      <c r="E10" s="573" t="s">
        <v>140</v>
      </c>
      <c r="F10" s="585">
        <v>2451.5520000000001</v>
      </c>
    </row>
    <row r="11" spans="1:6" ht="15.75">
      <c r="A11" s="617">
        <v>1.54</v>
      </c>
      <c r="B11" s="585" t="s">
        <v>148</v>
      </c>
      <c r="C11" s="633" t="s">
        <v>1721</v>
      </c>
      <c r="D11" s="629">
        <v>41.9</v>
      </c>
      <c r="E11" s="573" t="s">
        <v>148</v>
      </c>
      <c r="F11" s="587">
        <v>64.525999999999996</v>
      </c>
    </row>
    <row r="12" spans="1:6" ht="15.75">
      <c r="A12" s="587">
        <v>1.1000000000000001</v>
      </c>
      <c r="B12" s="585" t="s">
        <v>1</v>
      </c>
      <c r="C12" s="633" t="s">
        <v>144</v>
      </c>
      <c r="D12" s="587">
        <v>769</v>
      </c>
      <c r="E12" s="573" t="s">
        <v>1</v>
      </c>
      <c r="F12" s="587">
        <v>845.90000000000009</v>
      </c>
    </row>
    <row r="13" spans="1:6" ht="15.75">
      <c r="A13" s="587">
        <v>2.1</v>
      </c>
      <c r="B13" s="585" t="s">
        <v>1</v>
      </c>
      <c r="C13" s="633" t="s">
        <v>145</v>
      </c>
      <c r="D13" s="587">
        <v>718</v>
      </c>
      <c r="E13" s="573" t="s">
        <v>1</v>
      </c>
      <c r="F13" s="587">
        <v>1507.8</v>
      </c>
    </row>
    <row r="14" spans="1:6" ht="15.75">
      <c r="A14" s="587">
        <v>2.2000000000000002</v>
      </c>
      <c r="B14" s="585" t="s">
        <v>1</v>
      </c>
      <c r="C14" s="633" t="s">
        <v>146</v>
      </c>
      <c r="D14" s="587">
        <v>502</v>
      </c>
      <c r="E14" s="573" t="s">
        <v>1</v>
      </c>
      <c r="F14" s="587">
        <v>1104.4000000000001</v>
      </c>
    </row>
    <row r="15" spans="1:6" ht="15.75">
      <c r="A15" s="587">
        <v>1.1000000000000001</v>
      </c>
      <c r="B15" s="585" t="s">
        <v>1</v>
      </c>
      <c r="C15" s="633" t="s">
        <v>147</v>
      </c>
      <c r="D15" s="587">
        <v>412</v>
      </c>
      <c r="E15" s="573" t="s">
        <v>1</v>
      </c>
      <c r="F15" s="587">
        <v>453.20000000000005</v>
      </c>
    </row>
    <row r="16" spans="1:6" ht="15.75">
      <c r="A16" s="575"/>
      <c r="B16" s="585" t="s">
        <v>129</v>
      </c>
      <c r="C16" s="633" t="s">
        <v>130</v>
      </c>
      <c r="D16" s="575"/>
      <c r="E16" s="573" t="s">
        <v>129</v>
      </c>
      <c r="F16" s="587">
        <v>0</v>
      </c>
    </row>
    <row r="17" spans="1:6" ht="15.75">
      <c r="A17" s="575"/>
      <c r="B17" s="576"/>
      <c r="C17" s="731"/>
      <c r="D17" s="575"/>
      <c r="E17" s="578"/>
      <c r="F17" s="582" t="s">
        <v>117</v>
      </c>
    </row>
    <row r="18" spans="1:6" ht="15.75">
      <c r="A18" s="575"/>
      <c r="B18" s="576"/>
      <c r="C18" s="633" t="s">
        <v>153</v>
      </c>
      <c r="D18" s="575"/>
      <c r="E18" s="578"/>
      <c r="F18" s="587">
        <v>9994.1084999999985</v>
      </c>
    </row>
    <row r="19" spans="1:6" ht="15.75">
      <c r="A19" s="575"/>
      <c r="B19" s="576"/>
      <c r="C19" s="731"/>
      <c r="D19" s="575"/>
      <c r="E19" s="578"/>
      <c r="F19" s="582" t="s">
        <v>117</v>
      </c>
    </row>
    <row r="20" spans="1:6" ht="15.75">
      <c r="A20" s="575"/>
      <c r="B20" s="576"/>
      <c r="C20" s="1038" t="s">
        <v>154</v>
      </c>
      <c r="D20" s="575"/>
      <c r="E20" s="578"/>
      <c r="F20" s="586">
        <v>999.41084999999987</v>
      </c>
    </row>
    <row r="21" spans="1:6">
      <c r="A21" s="2"/>
      <c r="B21" s="1"/>
      <c r="C21" s="1343"/>
      <c r="D21" s="1"/>
      <c r="E21" s="1"/>
      <c r="F21" s="1"/>
    </row>
    <row r="22" spans="1:6" ht="31.5">
      <c r="A22" s="620">
        <v>29.5</v>
      </c>
      <c r="B22" s="585" t="s">
        <v>122</v>
      </c>
      <c r="C22" s="633" t="s">
        <v>156</v>
      </c>
      <c r="D22" s="575"/>
      <c r="E22" s="578"/>
      <c r="F22" s="575"/>
    </row>
    <row r="23" spans="1:6" ht="31.5">
      <c r="A23" s="575"/>
      <c r="B23" s="576"/>
      <c r="C23" s="633" t="s">
        <v>157</v>
      </c>
      <c r="D23" s="575"/>
      <c r="E23" s="578"/>
      <c r="F23" s="575"/>
    </row>
    <row r="24" spans="1:6" ht="15.75">
      <c r="A24" s="575"/>
      <c r="B24" s="576"/>
      <c r="C24" s="633" t="s">
        <v>158</v>
      </c>
      <c r="D24" s="575"/>
      <c r="E24" s="578"/>
      <c r="F24" s="575"/>
    </row>
    <row r="25" spans="1:6" ht="15.75">
      <c r="A25" s="575"/>
      <c r="B25" s="576"/>
      <c r="C25" s="1342" t="s">
        <v>117</v>
      </c>
      <c r="D25" s="582" t="s">
        <v>117</v>
      </c>
      <c r="E25" s="578"/>
      <c r="F25" s="575"/>
    </row>
    <row r="26" spans="1:6" ht="31.5">
      <c r="A26" s="587">
        <v>10</v>
      </c>
      <c r="B26" s="585" t="s">
        <v>140</v>
      </c>
      <c r="C26" s="633" t="s">
        <v>159</v>
      </c>
      <c r="D26" s="629">
        <v>346.14</v>
      </c>
      <c r="E26" s="573" t="s">
        <v>140</v>
      </c>
      <c r="F26" s="587">
        <v>3461.3999999999996</v>
      </c>
    </row>
    <row r="27" spans="1:6" ht="15.75">
      <c r="A27" s="587">
        <v>0.21</v>
      </c>
      <c r="B27" s="585" t="s">
        <v>126</v>
      </c>
      <c r="C27" s="633" t="s">
        <v>142</v>
      </c>
      <c r="D27" s="587">
        <v>4193.8</v>
      </c>
      <c r="E27" s="573" t="s">
        <v>126</v>
      </c>
      <c r="F27" s="587">
        <v>880.69799999999998</v>
      </c>
    </row>
    <row r="28" spans="1:6" ht="31.5">
      <c r="A28" s="575"/>
      <c r="B28" s="576"/>
      <c r="C28" s="633" t="s">
        <v>160</v>
      </c>
      <c r="D28" s="573" t="s">
        <v>115</v>
      </c>
      <c r="E28" s="578"/>
      <c r="F28" s="573" t="s">
        <v>115</v>
      </c>
    </row>
    <row r="29" spans="1:6" ht="15.75">
      <c r="A29" s="587">
        <v>1.1000000000000001</v>
      </c>
      <c r="B29" s="585" t="s">
        <v>1</v>
      </c>
      <c r="C29" s="633" t="s">
        <v>144</v>
      </c>
      <c r="D29" s="587">
        <v>769</v>
      </c>
      <c r="E29" s="573" t="s">
        <v>1</v>
      </c>
      <c r="F29" s="587">
        <v>845.90000000000009</v>
      </c>
    </row>
    <row r="30" spans="1:6" ht="15.75">
      <c r="A30" s="587">
        <v>1.1000000000000001</v>
      </c>
      <c r="B30" s="585" t="s">
        <v>1</v>
      </c>
      <c r="C30" s="633" t="s">
        <v>145</v>
      </c>
      <c r="D30" s="587">
        <v>718</v>
      </c>
      <c r="E30" s="573" t="s">
        <v>1</v>
      </c>
      <c r="F30" s="587">
        <v>789.80000000000007</v>
      </c>
    </row>
    <row r="31" spans="1:6" ht="15.75">
      <c r="A31" s="587">
        <v>2.2000000000000002</v>
      </c>
      <c r="B31" s="585" t="s">
        <v>1</v>
      </c>
      <c r="C31" s="633" t="s">
        <v>146</v>
      </c>
      <c r="D31" s="587">
        <v>502</v>
      </c>
      <c r="E31" s="573" t="s">
        <v>1</v>
      </c>
      <c r="F31" s="587">
        <v>1104.4000000000001</v>
      </c>
    </row>
    <row r="32" spans="1:6" ht="15.75">
      <c r="A32" s="587">
        <v>2.2000000000000002</v>
      </c>
      <c r="B32" s="585" t="s">
        <v>1</v>
      </c>
      <c r="C32" s="633" t="s">
        <v>147</v>
      </c>
      <c r="D32" s="587">
        <v>412</v>
      </c>
      <c r="E32" s="573" t="s">
        <v>1</v>
      </c>
      <c r="F32" s="587">
        <v>906.40000000000009</v>
      </c>
    </row>
    <row r="33" spans="1:6" ht="15.75">
      <c r="A33" s="617">
        <v>20</v>
      </c>
      <c r="B33" s="585" t="s">
        <v>148</v>
      </c>
      <c r="C33" s="633" t="s">
        <v>125</v>
      </c>
      <c r="D33" s="587">
        <v>5800</v>
      </c>
      <c r="E33" s="573" t="s">
        <v>124</v>
      </c>
      <c r="F33" s="587">
        <v>116</v>
      </c>
    </row>
    <row r="34" spans="1:6" ht="15.75">
      <c r="A34" s="617">
        <v>2</v>
      </c>
      <c r="B34" s="585" t="s">
        <v>148</v>
      </c>
      <c r="C34" s="1344" t="s">
        <v>161</v>
      </c>
      <c r="D34" s="680">
        <v>36.1</v>
      </c>
      <c r="E34" s="573" t="s">
        <v>148</v>
      </c>
      <c r="F34" s="587">
        <v>72.2</v>
      </c>
    </row>
    <row r="35" spans="1:6" ht="15.75">
      <c r="A35" s="587">
        <v>1.6</v>
      </c>
      <c r="B35" s="585" t="s">
        <v>1</v>
      </c>
      <c r="C35" s="633" t="s">
        <v>145</v>
      </c>
      <c r="D35" s="587">
        <v>718</v>
      </c>
      <c r="E35" s="573" t="s">
        <v>1</v>
      </c>
      <c r="F35" s="587">
        <v>1148.8</v>
      </c>
    </row>
    <row r="36" spans="1:6" ht="15.75">
      <c r="A36" s="587">
        <v>0.5</v>
      </c>
      <c r="B36" s="585" t="s">
        <v>1</v>
      </c>
      <c r="C36" s="633" t="s">
        <v>146</v>
      </c>
      <c r="D36" s="587">
        <v>502</v>
      </c>
      <c r="E36" s="573" t="s">
        <v>1</v>
      </c>
      <c r="F36" s="587">
        <v>251</v>
      </c>
    </row>
    <row r="37" spans="1:6" ht="15.75">
      <c r="A37" s="587">
        <v>1.1000000000000001</v>
      </c>
      <c r="B37" s="585" t="s">
        <v>1</v>
      </c>
      <c r="C37" s="633" t="s">
        <v>147</v>
      </c>
      <c r="D37" s="587">
        <v>412</v>
      </c>
      <c r="E37" s="573" t="s">
        <v>1</v>
      </c>
      <c r="F37" s="587">
        <v>453.20000000000005</v>
      </c>
    </row>
    <row r="38" spans="1:6" ht="15.75">
      <c r="A38" s="575"/>
      <c r="B38" s="585" t="s">
        <v>129</v>
      </c>
      <c r="C38" s="633" t="s">
        <v>130</v>
      </c>
      <c r="D38" s="575"/>
      <c r="E38" s="573" t="s">
        <v>129</v>
      </c>
      <c r="F38" s="587">
        <v>0</v>
      </c>
    </row>
    <row r="39" spans="1:6" ht="15.75">
      <c r="A39" s="575"/>
      <c r="B39" s="576"/>
      <c r="C39" s="731"/>
      <c r="D39" s="575"/>
      <c r="E39" s="578"/>
      <c r="F39" s="582" t="s">
        <v>117</v>
      </c>
    </row>
    <row r="40" spans="1:6" ht="15.75">
      <c r="A40" s="575"/>
      <c r="B40" s="576"/>
      <c r="C40" s="633" t="s">
        <v>153</v>
      </c>
      <c r="D40" s="575"/>
      <c r="E40" s="578"/>
      <c r="F40" s="587">
        <v>10029.798000000001</v>
      </c>
    </row>
    <row r="41" spans="1:6" ht="15.75">
      <c r="A41" s="575"/>
      <c r="B41" s="576"/>
      <c r="C41" s="731"/>
      <c r="D41" s="575"/>
      <c r="E41" s="578"/>
      <c r="F41" s="582" t="s">
        <v>117</v>
      </c>
    </row>
    <row r="42" spans="1:6" ht="15.75">
      <c r="A42" s="575"/>
      <c r="B42" s="576"/>
      <c r="C42" s="1038" t="s">
        <v>154</v>
      </c>
      <c r="D42" s="575"/>
      <c r="E42" s="578"/>
      <c r="F42" s="586">
        <v>1002.9798000000001</v>
      </c>
    </row>
    <row r="43" spans="1:6" ht="15.75">
      <c r="A43" s="575"/>
      <c r="B43" s="576"/>
      <c r="C43" s="731"/>
      <c r="D43" s="575"/>
      <c r="E43" s="578"/>
      <c r="F43" s="582" t="s">
        <v>155</v>
      </c>
    </row>
    <row r="44" spans="1:6" ht="31.5">
      <c r="A44" s="620">
        <v>29.4</v>
      </c>
      <c r="B44" s="585" t="s">
        <v>122</v>
      </c>
      <c r="C44" s="633" t="s">
        <v>1665</v>
      </c>
      <c r="D44" s="575"/>
      <c r="E44" s="578"/>
      <c r="F44" s="575"/>
    </row>
    <row r="45" spans="1:6" ht="15.75">
      <c r="A45" s="575"/>
      <c r="B45" s="576"/>
      <c r="C45" s="633" t="s">
        <v>1667</v>
      </c>
      <c r="D45" s="575"/>
      <c r="E45" s="578"/>
      <c r="F45" s="575"/>
    </row>
    <row r="46" spans="1:6" ht="15.75">
      <c r="A46" s="575"/>
      <c r="B46" s="576"/>
      <c r="C46" s="1342" t="s">
        <v>117</v>
      </c>
      <c r="D46" s="575"/>
      <c r="E46" s="578"/>
      <c r="F46" s="575"/>
    </row>
    <row r="47" spans="1:6" ht="15.75">
      <c r="A47" s="587">
        <v>1.86</v>
      </c>
      <c r="B47" s="585" t="s">
        <v>140</v>
      </c>
      <c r="C47" s="633" t="s">
        <v>1668</v>
      </c>
      <c r="D47" s="629">
        <v>385</v>
      </c>
      <c r="E47" s="573" t="s">
        <v>140</v>
      </c>
      <c r="F47" s="587">
        <v>716.1</v>
      </c>
    </row>
    <row r="48" spans="1:6" ht="15.75">
      <c r="A48" s="587">
        <v>0.4</v>
      </c>
      <c r="B48" s="585" t="s">
        <v>148</v>
      </c>
      <c r="C48" s="633" t="s">
        <v>1641</v>
      </c>
      <c r="D48" s="696">
        <v>36.1</v>
      </c>
      <c r="E48" s="573" t="s">
        <v>148</v>
      </c>
      <c r="F48" s="587">
        <v>14.440000000000001</v>
      </c>
    </row>
    <row r="49" spans="1:6" ht="15.75">
      <c r="A49" s="587">
        <v>0.02</v>
      </c>
      <c r="B49" s="585" t="s">
        <v>126</v>
      </c>
      <c r="C49" s="633" t="s">
        <v>1664</v>
      </c>
      <c r="D49" s="587">
        <v>5585.8</v>
      </c>
      <c r="E49" s="573" t="s">
        <v>126</v>
      </c>
      <c r="F49" s="587">
        <v>111.71600000000001</v>
      </c>
    </row>
    <row r="50" spans="1:6" ht="15.75">
      <c r="A50" s="587">
        <v>1</v>
      </c>
      <c r="B50" s="585" t="s">
        <v>1</v>
      </c>
      <c r="C50" s="633" t="s">
        <v>144</v>
      </c>
      <c r="D50" s="587">
        <v>769</v>
      </c>
      <c r="E50" s="573" t="s">
        <v>1</v>
      </c>
      <c r="F50" s="587">
        <v>769</v>
      </c>
    </row>
    <row r="51" spans="1:6" ht="15.75">
      <c r="A51" s="587">
        <v>1</v>
      </c>
      <c r="B51" s="585" t="s">
        <v>1</v>
      </c>
      <c r="C51" s="633" t="s">
        <v>1666</v>
      </c>
      <c r="D51" s="587">
        <v>502</v>
      </c>
      <c r="E51" s="573" t="s">
        <v>1</v>
      </c>
      <c r="F51" s="587">
        <v>502</v>
      </c>
    </row>
    <row r="52" spans="1:6" ht="15.75">
      <c r="A52" s="575"/>
      <c r="B52" s="585" t="s">
        <v>129</v>
      </c>
      <c r="C52" s="633" t="s">
        <v>130</v>
      </c>
      <c r="D52" s="575"/>
      <c r="E52" s="573" t="s">
        <v>129</v>
      </c>
      <c r="F52" s="587"/>
    </row>
    <row r="53" spans="1:6" ht="15.75">
      <c r="A53" s="575"/>
      <c r="B53" s="576"/>
      <c r="C53" s="731"/>
      <c r="D53" s="575"/>
      <c r="E53" s="578"/>
      <c r="F53" s="582" t="s">
        <v>117</v>
      </c>
    </row>
    <row r="54" spans="1:6" ht="15.75">
      <c r="A54" s="575"/>
      <c r="B54" s="576"/>
      <c r="C54" s="633" t="s">
        <v>1669</v>
      </c>
      <c r="D54" s="575"/>
      <c r="E54" s="578"/>
      <c r="F54" s="587">
        <v>2113.2560000000003</v>
      </c>
    </row>
    <row r="55" spans="1:6" ht="15.75">
      <c r="A55" s="575"/>
      <c r="B55" s="576"/>
      <c r="C55" s="731"/>
      <c r="D55" s="575"/>
      <c r="E55" s="578"/>
      <c r="F55" s="582" t="s">
        <v>117</v>
      </c>
    </row>
    <row r="56" spans="1:6" ht="15.75">
      <c r="A56" s="575"/>
      <c r="B56" s="576"/>
      <c r="C56" s="1038" t="s">
        <v>154</v>
      </c>
      <c r="D56" s="575"/>
      <c r="E56" s="578"/>
      <c r="F56" s="586">
        <v>1136.1591397849463</v>
      </c>
    </row>
    <row r="57" spans="1:6" ht="15.75">
      <c r="A57" s="575"/>
      <c r="B57" s="576"/>
      <c r="C57" s="731"/>
      <c r="D57" s="575"/>
      <c r="E57" s="578"/>
      <c r="F57" s="582" t="s">
        <v>155</v>
      </c>
    </row>
    <row r="58" spans="1:6" ht="47.25">
      <c r="A58" s="1335"/>
      <c r="B58" s="585" t="s">
        <v>122</v>
      </c>
      <c r="C58" s="631" t="s">
        <v>4461</v>
      </c>
      <c r="D58" s="575"/>
      <c r="E58" s="1334"/>
      <c r="F58" s="575"/>
    </row>
    <row r="59" spans="1:6" ht="31.5">
      <c r="A59" s="575"/>
      <c r="B59" s="576"/>
      <c r="C59" s="631" t="s">
        <v>178</v>
      </c>
      <c r="D59" s="575"/>
      <c r="E59" s="1334"/>
      <c r="F59" s="575"/>
    </row>
    <row r="60" spans="1:6" ht="15.75">
      <c r="A60" s="575"/>
      <c r="B60" s="576"/>
      <c r="C60" s="631" t="s">
        <v>179</v>
      </c>
      <c r="D60" s="575"/>
      <c r="E60" s="1334"/>
      <c r="F60" s="575"/>
    </row>
    <row r="61" spans="1:6" ht="15.75">
      <c r="A61" s="575"/>
      <c r="B61" s="576"/>
      <c r="C61" s="1342" t="s">
        <v>117</v>
      </c>
      <c r="D61" s="575"/>
      <c r="E61" s="1334"/>
      <c r="F61" s="575"/>
    </row>
    <row r="62" spans="1:6" ht="15.75">
      <c r="A62" s="587">
        <v>0.67</v>
      </c>
      <c r="B62" s="585" t="s">
        <v>148</v>
      </c>
      <c r="C62" s="1007" t="s">
        <v>180</v>
      </c>
      <c r="D62" s="593">
        <v>72.400000000000006</v>
      </c>
      <c r="E62" s="573" t="s">
        <v>148</v>
      </c>
      <c r="F62" s="587">
        <f>D62*A62</f>
        <v>48.50800000000001</v>
      </c>
    </row>
    <row r="63" spans="1:6" ht="15.75">
      <c r="A63" s="587">
        <v>0.26</v>
      </c>
      <c r="B63" s="585" t="s">
        <v>1</v>
      </c>
      <c r="C63" s="633" t="s">
        <v>181</v>
      </c>
      <c r="D63" s="587">
        <v>615</v>
      </c>
      <c r="E63" s="585" t="s">
        <v>1</v>
      </c>
      <c r="F63" s="587">
        <f>D63*A63</f>
        <v>159.9</v>
      </c>
    </row>
    <row r="64" spans="1:6" ht="15.75">
      <c r="A64" s="587">
        <v>0.26</v>
      </c>
      <c r="B64" s="585" t="s">
        <v>1</v>
      </c>
      <c r="C64" s="633" t="s">
        <v>146</v>
      </c>
      <c r="D64" s="587">
        <v>502</v>
      </c>
      <c r="E64" s="585" t="s">
        <v>1</v>
      </c>
      <c r="F64" s="587">
        <f>D64*A64</f>
        <v>130.52000000000001</v>
      </c>
    </row>
    <row r="65" spans="1:6" ht="15.75">
      <c r="A65" s="587">
        <v>0.4</v>
      </c>
      <c r="B65" s="585" t="s">
        <v>1</v>
      </c>
      <c r="C65" s="633" t="s">
        <v>147</v>
      </c>
      <c r="D65" s="587">
        <v>412</v>
      </c>
      <c r="E65" s="585" t="s">
        <v>1</v>
      </c>
      <c r="F65" s="587">
        <f>D65*A65</f>
        <v>164.8</v>
      </c>
    </row>
    <row r="66" spans="1:6" ht="15.75">
      <c r="A66" s="587">
        <v>10</v>
      </c>
      <c r="B66" s="585" t="s">
        <v>1</v>
      </c>
      <c r="C66" s="633" t="s">
        <v>4460</v>
      </c>
      <c r="D66" s="587">
        <v>3.2</v>
      </c>
      <c r="E66" s="585" t="s">
        <v>1</v>
      </c>
      <c r="F66" s="587">
        <f>D66*A66</f>
        <v>32</v>
      </c>
    </row>
    <row r="67" spans="1:6" ht="15.75">
      <c r="A67" s="575"/>
      <c r="B67" s="576"/>
      <c r="C67" s="633" t="s">
        <v>153</v>
      </c>
      <c r="D67" s="575"/>
      <c r="E67" s="1334"/>
      <c r="F67" s="587">
        <f>SUM(F62:F66)</f>
        <v>535.72800000000007</v>
      </c>
    </row>
    <row r="68" spans="1:6" ht="15.75">
      <c r="A68" s="575"/>
      <c r="B68" s="576"/>
      <c r="C68" s="631" t="s">
        <v>154</v>
      </c>
      <c r="D68" s="575"/>
      <c r="E68" s="1334"/>
      <c r="F68" s="586">
        <f>F67/10</f>
        <v>53.572800000000008</v>
      </c>
    </row>
    <row r="70" spans="1:6" ht="31.5">
      <c r="A70" s="575"/>
      <c r="B70" s="576"/>
      <c r="C70" s="692" t="s">
        <v>170</v>
      </c>
      <c r="D70" s="575"/>
      <c r="E70" s="575"/>
      <c r="F70" s="575"/>
    </row>
    <row r="71" spans="1:6" ht="15.75">
      <c r="A71" s="575"/>
      <c r="B71" s="576"/>
      <c r="C71" s="731"/>
      <c r="D71" s="575"/>
      <c r="E71" s="575"/>
      <c r="F71" s="575"/>
    </row>
    <row r="72" spans="1:6" ht="15.75">
      <c r="A72" s="575">
        <v>0.8</v>
      </c>
      <c r="B72" s="585" t="s">
        <v>171</v>
      </c>
      <c r="C72" s="731" t="s">
        <v>172</v>
      </c>
      <c r="D72" s="661">
        <v>289.8</v>
      </c>
      <c r="E72" s="585" t="s">
        <v>171</v>
      </c>
      <c r="F72" s="575">
        <v>231.84000000000003</v>
      </c>
    </row>
    <row r="73" spans="1:6" ht="15.75">
      <c r="A73" s="575">
        <v>0.7</v>
      </c>
      <c r="B73" s="585" t="s">
        <v>1</v>
      </c>
      <c r="C73" s="731" t="s">
        <v>173</v>
      </c>
      <c r="D73" s="575">
        <v>615</v>
      </c>
      <c r="E73" s="585" t="s">
        <v>1</v>
      </c>
      <c r="F73" s="575">
        <v>430.5</v>
      </c>
    </row>
    <row r="74" spans="1:6" ht="15.75">
      <c r="A74" s="575">
        <v>10</v>
      </c>
      <c r="B74" s="576" t="s">
        <v>174</v>
      </c>
      <c r="C74" s="633" t="s">
        <v>175</v>
      </c>
      <c r="D74" s="575">
        <v>3.2</v>
      </c>
      <c r="E74" s="576" t="s">
        <v>174</v>
      </c>
      <c r="F74" s="575">
        <v>32</v>
      </c>
    </row>
    <row r="75" spans="1:6" ht="15.75">
      <c r="A75" s="575"/>
      <c r="B75" s="576"/>
      <c r="C75" s="633" t="s">
        <v>167</v>
      </c>
      <c r="D75" s="661" t="s">
        <v>176</v>
      </c>
      <c r="E75" s="1334"/>
      <c r="F75" s="575">
        <v>1.6</v>
      </c>
    </row>
    <row r="76" spans="1:6" ht="15.75">
      <c r="A76" s="575"/>
      <c r="B76" s="576"/>
      <c r="C76" s="633" t="s">
        <v>153</v>
      </c>
      <c r="D76" s="575"/>
      <c r="E76" s="1334"/>
      <c r="F76" s="575">
        <v>695.94</v>
      </c>
    </row>
    <row r="77" spans="1:6" ht="15.75">
      <c r="A77" s="575"/>
      <c r="B77" s="576"/>
      <c r="C77" s="631" t="s">
        <v>154</v>
      </c>
      <c r="D77" s="575"/>
      <c r="E77" s="1334"/>
      <c r="F77" s="575">
        <v>69.594000000000008</v>
      </c>
    </row>
    <row r="79" spans="1:6" ht="15.75">
      <c r="A79" s="575"/>
      <c r="B79" s="575"/>
      <c r="C79" s="731" t="s">
        <v>2571</v>
      </c>
      <c r="D79" s="575"/>
      <c r="E79" s="575"/>
      <c r="F79" s="575"/>
    </row>
    <row r="80" spans="1:6" ht="15.75">
      <c r="A80" s="575"/>
      <c r="B80" s="575"/>
      <c r="C80" s="731" t="s">
        <v>2573</v>
      </c>
      <c r="D80" s="575"/>
      <c r="E80" s="575"/>
      <c r="F80" s="575"/>
    </row>
    <row r="81" spans="1:6" ht="15.75">
      <c r="A81" s="575">
        <v>0.1</v>
      </c>
      <c r="B81" s="575" t="s">
        <v>240</v>
      </c>
      <c r="C81" s="731" t="s">
        <v>2189</v>
      </c>
      <c r="D81" s="575">
        <v>679</v>
      </c>
      <c r="E81" s="575" t="s">
        <v>227</v>
      </c>
      <c r="F81" s="575">
        <v>67.900000000000006</v>
      </c>
    </row>
    <row r="82" spans="1:6" ht="15.75">
      <c r="A82" s="575">
        <v>0.1</v>
      </c>
      <c r="B82" s="575" t="s">
        <v>2575</v>
      </c>
      <c r="C82" s="731" t="s">
        <v>1606</v>
      </c>
      <c r="D82" s="575">
        <v>502</v>
      </c>
      <c r="E82" s="575" t="s">
        <v>227</v>
      </c>
      <c r="F82" s="575">
        <v>50.2</v>
      </c>
    </row>
    <row r="83" spans="1:6" ht="15.75">
      <c r="A83" s="575">
        <v>10</v>
      </c>
      <c r="B83" s="575" t="s">
        <v>2577</v>
      </c>
      <c r="C83" s="731" t="s">
        <v>2578</v>
      </c>
      <c r="D83" s="618">
        <v>18</v>
      </c>
      <c r="E83" s="575" t="s">
        <v>2579</v>
      </c>
      <c r="F83" s="575">
        <v>1.8</v>
      </c>
    </row>
    <row r="84" spans="1:6" ht="15.75">
      <c r="A84" s="575">
        <v>0.25</v>
      </c>
      <c r="B84" s="575" t="s">
        <v>240</v>
      </c>
      <c r="C84" s="731" t="s">
        <v>2582</v>
      </c>
      <c r="D84" s="618">
        <v>3.5</v>
      </c>
      <c r="E84" s="575" t="s">
        <v>227</v>
      </c>
      <c r="F84" s="575">
        <v>1</v>
      </c>
    </row>
    <row r="85" spans="1:6" ht="15.75">
      <c r="A85" s="575"/>
      <c r="B85" s="575"/>
      <c r="C85" s="731"/>
      <c r="D85" s="575" t="s">
        <v>2585</v>
      </c>
      <c r="E85" s="575"/>
      <c r="F85" s="575">
        <v>120.9</v>
      </c>
    </row>
    <row r="86" spans="1:6" ht="15.75">
      <c r="A86" s="575"/>
      <c r="B86" s="575"/>
      <c r="C86" s="731"/>
      <c r="D86" s="575"/>
      <c r="E86" s="575"/>
      <c r="F86" s="575"/>
    </row>
    <row r="87" spans="1:6" ht="15.75">
      <c r="A87" s="575"/>
      <c r="B87" s="575"/>
      <c r="C87" s="1345" t="s">
        <v>2460</v>
      </c>
      <c r="D87" s="575" t="s">
        <v>2587</v>
      </c>
      <c r="E87" s="988" t="s">
        <v>2587</v>
      </c>
      <c r="F87" s="988" t="s">
        <v>2588</v>
      </c>
    </row>
    <row r="88" spans="1:6" ht="15.75">
      <c r="A88" s="575"/>
      <c r="B88" s="575"/>
      <c r="C88" s="1345"/>
      <c r="D88" s="575">
        <v>331</v>
      </c>
      <c r="E88" s="988">
        <v>331</v>
      </c>
      <c r="F88" s="988">
        <v>283</v>
      </c>
    </row>
    <row r="89" spans="1:6" ht="15.75">
      <c r="A89" s="575"/>
      <c r="B89" s="575"/>
      <c r="C89" s="1345" t="s">
        <v>2590</v>
      </c>
      <c r="D89" s="575">
        <v>120.9</v>
      </c>
      <c r="E89" s="988">
        <v>120.9</v>
      </c>
      <c r="F89" s="988">
        <v>120.9</v>
      </c>
    </row>
    <row r="90" spans="1:6" ht="15.75">
      <c r="A90" s="575"/>
      <c r="B90" s="575"/>
      <c r="C90" s="1345" t="s">
        <v>2196</v>
      </c>
      <c r="D90" s="575">
        <v>451.9</v>
      </c>
      <c r="E90" s="988">
        <v>451.9</v>
      </c>
      <c r="F90" s="988">
        <v>403.9</v>
      </c>
    </row>
    <row r="91" spans="1:6" ht="15.75">
      <c r="A91" s="575"/>
      <c r="B91" s="575"/>
      <c r="C91" s="1345"/>
      <c r="D91" s="575">
        <v>452</v>
      </c>
      <c r="E91" s="575">
        <v>452</v>
      </c>
      <c r="F91" s="575">
        <v>404</v>
      </c>
    </row>
    <row r="93" spans="1:6" ht="31.5">
      <c r="A93" s="575"/>
      <c r="B93" s="576"/>
      <c r="C93" s="731" t="s">
        <v>183</v>
      </c>
      <c r="D93" s="575"/>
      <c r="E93" s="575"/>
      <c r="F93" s="575"/>
    </row>
    <row r="94" spans="1:6" ht="31.5">
      <c r="A94" s="575"/>
      <c r="B94" s="576"/>
      <c r="C94" s="731" t="s">
        <v>191</v>
      </c>
      <c r="D94" s="575"/>
      <c r="E94" s="575"/>
      <c r="F94" s="575"/>
    </row>
    <row r="95" spans="1:6" ht="15.75">
      <c r="A95" s="575"/>
      <c r="B95" s="576"/>
      <c r="C95" s="731" t="s">
        <v>185</v>
      </c>
      <c r="D95" s="575"/>
      <c r="E95" s="575"/>
      <c r="F95" s="575"/>
    </row>
    <row r="96" spans="1:6" ht="15.75">
      <c r="A96" s="575"/>
      <c r="B96" s="576"/>
      <c r="C96" s="731"/>
      <c r="D96" s="575"/>
      <c r="E96" s="575"/>
      <c r="F96" s="575"/>
    </row>
    <row r="97" spans="1:6" ht="31.5">
      <c r="A97" s="575">
        <v>1.1100000000000001</v>
      </c>
      <c r="B97" s="576" t="s">
        <v>186</v>
      </c>
      <c r="C97" s="731" t="s">
        <v>187</v>
      </c>
      <c r="D97" s="575">
        <v>223.2</v>
      </c>
      <c r="E97" s="576" t="s">
        <v>186</v>
      </c>
      <c r="F97" s="575">
        <v>247.75200000000001</v>
      </c>
    </row>
    <row r="98" spans="1:6" ht="15.75">
      <c r="A98" s="575">
        <v>0.7</v>
      </c>
      <c r="B98" s="576" t="s">
        <v>188</v>
      </c>
      <c r="C98" s="731" t="s">
        <v>181</v>
      </c>
      <c r="D98" s="575">
        <v>615</v>
      </c>
      <c r="E98" s="576" t="s">
        <v>188</v>
      </c>
      <c r="F98" s="575">
        <v>430.5</v>
      </c>
    </row>
    <row r="99" spans="1:6" ht="31.5">
      <c r="A99" s="575">
        <v>10</v>
      </c>
      <c r="B99" s="576" t="s">
        <v>174</v>
      </c>
      <c r="C99" s="1007" t="s">
        <v>2648</v>
      </c>
      <c r="D99" s="612">
        <v>6.5</v>
      </c>
      <c r="E99" s="576" t="s">
        <v>174</v>
      </c>
      <c r="F99" s="575">
        <v>65</v>
      </c>
    </row>
    <row r="100" spans="1:6" ht="15.75">
      <c r="A100" s="575"/>
      <c r="B100" s="576"/>
      <c r="C100" s="633" t="s">
        <v>167</v>
      </c>
      <c r="D100" s="575" t="s">
        <v>166</v>
      </c>
      <c r="E100" s="1334"/>
      <c r="F100" s="575">
        <v>1.9</v>
      </c>
    </row>
    <row r="101" spans="1:6" ht="15.75">
      <c r="A101" s="575"/>
      <c r="B101" s="576"/>
      <c r="C101" s="731" t="s">
        <v>153</v>
      </c>
      <c r="D101" s="575"/>
      <c r="E101" s="1334"/>
      <c r="F101" s="575">
        <v>745.15199999999993</v>
      </c>
    </row>
    <row r="102" spans="1:6" ht="15.75">
      <c r="A102" s="575"/>
      <c r="B102" s="576"/>
      <c r="C102" s="731"/>
      <c r="D102" s="575"/>
      <c r="E102" s="1334"/>
      <c r="F102" s="575"/>
    </row>
    <row r="103" spans="1:6" ht="15.75">
      <c r="A103" s="575"/>
      <c r="B103" s="576"/>
      <c r="C103" s="731" t="s">
        <v>154</v>
      </c>
      <c r="D103" s="575"/>
      <c r="E103" s="1334"/>
      <c r="F103" s="575">
        <v>74.515199999999993</v>
      </c>
    </row>
    <row r="104" spans="1:6" ht="15.75">
      <c r="A104" s="575"/>
      <c r="B104" s="576"/>
      <c r="C104" s="731"/>
      <c r="D104" s="575"/>
      <c r="E104" s="1334"/>
      <c r="F104" s="575"/>
    </row>
    <row r="105" spans="1:6" ht="15.75">
      <c r="A105" s="575"/>
      <c r="B105" s="576"/>
      <c r="C105" s="731"/>
      <c r="D105" s="575"/>
      <c r="E105" s="1334"/>
      <c r="F105" s="575"/>
    </row>
    <row r="106" spans="1:6" ht="15.75">
      <c r="A106" s="575"/>
      <c r="B106" s="576"/>
      <c r="C106" s="731"/>
      <c r="D106" s="575"/>
      <c r="E106" s="1334"/>
      <c r="F106" s="575"/>
    </row>
    <row r="107" spans="1:6" ht="31.5">
      <c r="A107" s="575"/>
      <c r="B107" s="576"/>
      <c r="C107" s="731" t="s">
        <v>183</v>
      </c>
      <c r="D107" s="575"/>
      <c r="E107" s="1334"/>
      <c r="F107" s="575"/>
    </row>
    <row r="108" spans="1:6" ht="31.5">
      <c r="A108" s="575"/>
      <c r="B108" s="576"/>
      <c r="C108" s="731" t="s">
        <v>184</v>
      </c>
      <c r="D108" s="575"/>
      <c r="E108" s="1334"/>
      <c r="F108" s="575"/>
    </row>
    <row r="109" spans="1:6" ht="15.75">
      <c r="A109" s="575"/>
      <c r="B109" s="576"/>
      <c r="C109" s="731" t="s">
        <v>185</v>
      </c>
      <c r="D109" s="575"/>
      <c r="E109" s="1334"/>
      <c r="F109" s="575"/>
    </row>
    <row r="110" spans="1:6" ht="15.75">
      <c r="A110" s="575"/>
      <c r="B110" s="576"/>
      <c r="C110" s="731"/>
      <c r="D110" s="575"/>
      <c r="E110" s="1334"/>
      <c r="F110" s="575"/>
    </row>
    <row r="111" spans="1:6" ht="31.5">
      <c r="A111" s="575">
        <v>1.33</v>
      </c>
      <c r="B111" s="576" t="s">
        <v>186</v>
      </c>
      <c r="C111" s="731" t="s">
        <v>187</v>
      </c>
      <c r="D111" s="575">
        <v>234.3</v>
      </c>
      <c r="E111" s="576" t="s">
        <v>186</v>
      </c>
      <c r="F111" s="575">
        <v>311.61900000000003</v>
      </c>
    </row>
    <row r="112" spans="1:6" ht="15.75">
      <c r="A112" s="575">
        <v>0.7</v>
      </c>
      <c r="B112" s="576" t="s">
        <v>188</v>
      </c>
      <c r="C112" s="731" t="s">
        <v>181</v>
      </c>
      <c r="D112" s="575">
        <v>615</v>
      </c>
      <c r="E112" s="576" t="s">
        <v>188</v>
      </c>
      <c r="F112" s="575">
        <v>430.5</v>
      </c>
    </row>
    <row r="113" spans="1:6" ht="31.5">
      <c r="A113" s="575">
        <v>10</v>
      </c>
      <c r="B113" s="576" t="s">
        <v>174</v>
      </c>
      <c r="C113" s="867" t="s">
        <v>189</v>
      </c>
      <c r="D113" s="612">
        <v>7.4</v>
      </c>
      <c r="E113" s="576" t="s">
        <v>174</v>
      </c>
      <c r="F113" s="575">
        <v>74</v>
      </c>
    </row>
    <row r="114" spans="1:6" ht="15.75">
      <c r="A114" s="575"/>
      <c r="B114" s="576"/>
      <c r="C114" s="731" t="s">
        <v>167</v>
      </c>
      <c r="D114" s="575" t="s">
        <v>166</v>
      </c>
      <c r="E114" s="1334"/>
      <c r="F114" s="575">
        <v>1.5</v>
      </c>
    </row>
    <row r="115" spans="1:6" ht="15.75">
      <c r="A115" s="575"/>
      <c r="B115" s="576"/>
      <c r="C115" s="731" t="s">
        <v>153</v>
      </c>
      <c r="D115" s="575"/>
      <c r="E115" s="1334"/>
      <c r="F115" s="575">
        <v>817.61900000000003</v>
      </c>
    </row>
    <row r="116" spans="1:6" ht="15.75">
      <c r="A116" s="575"/>
      <c r="B116" s="576"/>
      <c r="C116" s="731"/>
      <c r="D116" s="575"/>
      <c r="E116" s="1334"/>
      <c r="F116" s="575"/>
    </row>
    <row r="117" spans="1:6" ht="15.75">
      <c r="A117" s="575"/>
      <c r="B117" s="576"/>
      <c r="C117" s="731" t="s">
        <v>154</v>
      </c>
      <c r="D117" s="575"/>
      <c r="E117" s="1334"/>
      <c r="F117" s="575">
        <v>81.761899999999997</v>
      </c>
    </row>
    <row r="119" spans="1:6" ht="31.5">
      <c r="A119" s="1335" t="s">
        <v>193</v>
      </c>
      <c r="B119" s="585" t="s">
        <v>122</v>
      </c>
      <c r="C119" s="633" t="s">
        <v>194</v>
      </c>
      <c r="D119" s="575"/>
      <c r="E119" s="578"/>
      <c r="F119" s="575"/>
    </row>
    <row r="120" spans="1:6" ht="31.5">
      <c r="A120" s="575"/>
      <c r="B120" s="576"/>
      <c r="C120" s="633" t="s">
        <v>195</v>
      </c>
      <c r="D120" s="575"/>
      <c r="E120" s="578"/>
      <c r="F120" s="575"/>
    </row>
    <row r="121" spans="1:6" ht="15.75">
      <c r="A121" s="575"/>
      <c r="B121" s="576"/>
      <c r="C121" s="1342" t="s">
        <v>117</v>
      </c>
      <c r="D121" s="575"/>
      <c r="E121" s="578"/>
      <c r="F121" s="575"/>
    </row>
    <row r="122" spans="1:6" ht="31.5">
      <c r="A122" s="575"/>
      <c r="B122" s="585" t="s">
        <v>196</v>
      </c>
      <c r="C122" s="633" t="s">
        <v>197</v>
      </c>
      <c r="D122" s="575"/>
      <c r="E122" s="578"/>
      <c r="F122" s="575"/>
    </row>
    <row r="123" spans="1:6" ht="31.5">
      <c r="A123" s="575"/>
      <c r="B123" s="576"/>
      <c r="C123" s="633" t="s">
        <v>4463</v>
      </c>
      <c r="D123" s="575"/>
      <c r="E123" s="578"/>
      <c r="F123" s="575"/>
    </row>
    <row r="124" spans="1:6" ht="31.5">
      <c r="A124" s="575"/>
      <c r="B124" s="576"/>
      <c r="C124" s="633" t="s">
        <v>198</v>
      </c>
      <c r="D124" s="575"/>
      <c r="E124" s="578"/>
      <c r="F124" s="575"/>
    </row>
    <row r="125" spans="1:6" ht="15.75">
      <c r="A125" s="575"/>
      <c r="B125" s="576"/>
      <c r="C125" s="633" t="s">
        <v>199</v>
      </c>
      <c r="D125" s="575"/>
      <c r="E125" s="578"/>
      <c r="F125" s="575"/>
    </row>
    <row r="126" spans="1:6" ht="15.75">
      <c r="A126" s="575"/>
      <c r="B126" s="576"/>
      <c r="C126" s="633" t="s">
        <v>200</v>
      </c>
      <c r="D126" s="575"/>
      <c r="E126" s="578"/>
      <c r="F126" s="575"/>
    </row>
    <row r="127" spans="1:6" ht="31.5">
      <c r="A127" s="575"/>
      <c r="B127" s="576"/>
      <c r="C127" s="633" t="s">
        <v>201</v>
      </c>
      <c r="D127" s="575"/>
      <c r="E127" s="578"/>
      <c r="F127" s="575"/>
    </row>
    <row r="128" spans="1:6" ht="15.75">
      <c r="A128" s="575"/>
      <c r="B128" s="576"/>
      <c r="C128" s="633" t="s">
        <v>202</v>
      </c>
      <c r="D128" s="575"/>
      <c r="E128" s="578"/>
      <c r="F128" s="575"/>
    </row>
    <row r="129" spans="1:6" ht="15.75">
      <c r="A129" s="575"/>
      <c r="B129" s="576"/>
      <c r="C129" s="1342" t="s">
        <v>117</v>
      </c>
      <c r="D129" s="575"/>
      <c r="E129" s="578"/>
      <c r="F129" s="575"/>
    </row>
    <row r="130" spans="1:6" ht="15.75">
      <c r="A130" s="587">
        <v>3</v>
      </c>
      <c r="B130" s="585" t="s">
        <v>203</v>
      </c>
      <c r="C130" s="633" t="s">
        <v>204</v>
      </c>
      <c r="D130" s="680">
        <v>193.05</v>
      </c>
      <c r="E130" s="573" t="s">
        <v>203</v>
      </c>
      <c r="F130" s="587">
        <v>579.15000000000009</v>
      </c>
    </row>
    <row r="131" spans="1:6" ht="31.5">
      <c r="A131" s="587">
        <v>1</v>
      </c>
      <c r="B131" s="585" t="s">
        <v>1</v>
      </c>
      <c r="C131" s="633" t="s">
        <v>205</v>
      </c>
      <c r="D131" s="615">
        <v>76</v>
      </c>
      <c r="E131" s="573" t="s">
        <v>206</v>
      </c>
      <c r="F131" s="587">
        <v>76</v>
      </c>
    </row>
    <row r="132" spans="1:6" ht="15.75">
      <c r="A132" s="587">
        <v>1</v>
      </c>
      <c r="B132" s="585" t="s">
        <v>1</v>
      </c>
      <c r="C132" s="633" t="s">
        <v>207</v>
      </c>
      <c r="D132" s="587">
        <v>70</v>
      </c>
      <c r="E132" s="573" t="s">
        <v>206</v>
      </c>
      <c r="F132" s="587">
        <v>70</v>
      </c>
    </row>
    <row r="133" spans="1:6" ht="31.5">
      <c r="A133" s="587">
        <v>1</v>
      </c>
      <c r="B133" s="585" t="s">
        <v>1</v>
      </c>
      <c r="C133" s="633" t="s">
        <v>208</v>
      </c>
      <c r="D133" s="587">
        <v>159.80000000000001</v>
      </c>
      <c r="E133" s="573" t="s">
        <v>206</v>
      </c>
      <c r="F133" s="587">
        <v>159.80000000000001</v>
      </c>
    </row>
    <row r="134" spans="1:6" ht="15.75">
      <c r="A134" s="587">
        <v>0.5</v>
      </c>
      <c r="B134" s="585" t="s">
        <v>209</v>
      </c>
      <c r="C134" s="633" t="s">
        <v>210</v>
      </c>
      <c r="D134" s="587">
        <v>667</v>
      </c>
      <c r="E134" s="573" t="s">
        <v>206</v>
      </c>
      <c r="F134" s="587">
        <v>333.5</v>
      </c>
    </row>
    <row r="135" spans="1:6" ht="15.75">
      <c r="A135" s="587">
        <v>0.5</v>
      </c>
      <c r="B135" s="585" t="s">
        <v>209</v>
      </c>
      <c r="C135" s="633" t="s">
        <v>145</v>
      </c>
      <c r="D135" s="587">
        <v>718</v>
      </c>
      <c r="E135" s="573" t="s">
        <v>206</v>
      </c>
      <c r="F135" s="587">
        <v>359</v>
      </c>
    </row>
    <row r="136" spans="1:6" ht="15.75">
      <c r="A136" s="587">
        <v>0.5</v>
      </c>
      <c r="B136" s="585" t="s">
        <v>209</v>
      </c>
      <c r="C136" s="633" t="s">
        <v>146</v>
      </c>
      <c r="D136" s="587">
        <v>502</v>
      </c>
      <c r="E136" s="573" t="s">
        <v>206</v>
      </c>
      <c r="F136" s="587">
        <v>251</v>
      </c>
    </row>
    <row r="137" spans="1:6" ht="15.75">
      <c r="A137" s="575"/>
      <c r="B137" s="585" t="s">
        <v>129</v>
      </c>
      <c r="C137" s="633" t="s">
        <v>211</v>
      </c>
      <c r="D137" s="680">
        <v>2.79</v>
      </c>
      <c r="E137" s="573" t="s">
        <v>129</v>
      </c>
      <c r="F137" s="587">
        <v>2.79</v>
      </c>
    </row>
    <row r="138" spans="1:6" ht="15.75">
      <c r="A138" s="575"/>
      <c r="B138" s="576"/>
      <c r="C138" s="633" t="s">
        <v>212</v>
      </c>
      <c r="D138" s="575"/>
      <c r="E138" s="578"/>
      <c r="F138" s="575"/>
    </row>
    <row r="139" spans="1:6" ht="15.75">
      <c r="A139" s="575"/>
      <c r="B139" s="576"/>
      <c r="C139" s="633" t="s">
        <v>213</v>
      </c>
      <c r="D139" s="575"/>
      <c r="E139" s="578"/>
      <c r="F139" s="575"/>
    </row>
    <row r="140" spans="1:6" ht="15.75">
      <c r="A140" s="575"/>
      <c r="B140" s="576"/>
      <c r="C140" s="633" t="s">
        <v>214</v>
      </c>
      <c r="D140" s="575"/>
      <c r="E140" s="573" t="s">
        <v>129</v>
      </c>
      <c r="F140" s="587">
        <v>0.12</v>
      </c>
    </row>
    <row r="141" spans="1:6" ht="15.75">
      <c r="A141" s="575"/>
      <c r="B141" s="576"/>
      <c r="C141" s="731"/>
      <c r="D141" s="575"/>
      <c r="E141" s="578"/>
      <c r="F141" s="582" t="s">
        <v>117</v>
      </c>
    </row>
    <row r="142" spans="1:6" ht="15.75">
      <c r="A142" s="575"/>
      <c r="B142" s="576"/>
      <c r="C142" s="633" t="s">
        <v>215</v>
      </c>
      <c r="D142" s="575"/>
      <c r="E142" s="578"/>
      <c r="F142" s="587">
        <v>1831.36</v>
      </c>
    </row>
    <row r="143" spans="1:6" ht="15.75">
      <c r="A143" s="575"/>
      <c r="B143" s="576"/>
      <c r="C143" s="731"/>
      <c r="D143" s="575"/>
      <c r="E143" s="578"/>
      <c r="F143" s="582" t="s">
        <v>117</v>
      </c>
    </row>
    <row r="144" spans="1:6" ht="15.75">
      <c r="A144" s="575"/>
      <c r="B144" s="576"/>
      <c r="C144" s="633" t="s">
        <v>216</v>
      </c>
      <c r="D144" s="575"/>
      <c r="E144" s="578"/>
      <c r="F144" s="587">
        <v>610.45333333333326</v>
      </c>
    </row>
    <row r="145" spans="1:6" ht="15.75">
      <c r="A145" s="575"/>
      <c r="B145" s="576"/>
      <c r="C145" s="731"/>
      <c r="D145" s="575"/>
      <c r="E145" s="578"/>
      <c r="F145" s="582" t="s">
        <v>117</v>
      </c>
    </row>
    <row r="146" spans="1:6" ht="31.5">
      <c r="A146" s="1335" t="s">
        <v>217</v>
      </c>
      <c r="B146" s="585" t="s">
        <v>218</v>
      </c>
      <c r="C146" s="633" t="s">
        <v>219</v>
      </c>
      <c r="D146" s="575"/>
      <c r="E146" s="578"/>
      <c r="F146" s="575"/>
    </row>
    <row r="147" spans="1:6" ht="31.5">
      <c r="A147" s="575"/>
      <c r="B147" s="576"/>
      <c r="C147" s="633" t="s">
        <v>4464</v>
      </c>
      <c r="D147" s="575"/>
      <c r="E147" s="578"/>
      <c r="F147" s="575"/>
    </row>
    <row r="148" spans="1:6" ht="31.5">
      <c r="A148" s="575"/>
      <c r="B148" s="576"/>
      <c r="C148" s="633" t="s">
        <v>198</v>
      </c>
      <c r="D148" s="575"/>
      <c r="E148" s="578"/>
      <c r="F148" s="575"/>
    </row>
    <row r="149" spans="1:6" ht="31.5">
      <c r="A149" s="575"/>
      <c r="B149" s="576"/>
      <c r="C149" s="633" t="s">
        <v>220</v>
      </c>
      <c r="D149" s="575"/>
      <c r="E149" s="578"/>
      <c r="F149" s="575"/>
    </row>
    <row r="150" spans="1:6" ht="15.75">
      <c r="A150" s="575"/>
      <c r="B150" s="576"/>
      <c r="C150" s="633" t="s">
        <v>221</v>
      </c>
      <c r="D150" s="575"/>
      <c r="E150" s="578"/>
      <c r="F150" s="575"/>
    </row>
    <row r="151" spans="1:6" ht="31.5">
      <c r="A151" s="575"/>
      <c r="B151" s="576"/>
      <c r="C151" s="633" t="s">
        <v>201</v>
      </c>
      <c r="D151" s="575"/>
      <c r="E151" s="578"/>
      <c r="F151" s="575"/>
    </row>
    <row r="152" spans="1:6" ht="15.75">
      <c r="A152" s="575"/>
      <c r="B152" s="576"/>
      <c r="C152" s="633" t="s">
        <v>202</v>
      </c>
      <c r="D152" s="575"/>
      <c r="E152" s="578"/>
      <c r="F152" s="575"/>
    </row>
    <row r="153" spans="1:6" ht="15.75">
      <c r="A153" s="575"/>
      <c r="B153" s="576"/>
      <c r="C153" s="1342" t="s">
        <v>117</v>
      </c>
      <c r="D153" s="575"/>
      <c r="E153" s="578"/>
      <c r="F153" s="575"/>
    </row>
    <row r="154" spans="1:6" ht="15.75">
      <c r="A154" s="587">
        <v>3</v>
      </c>
      <c r="B154" s="585" t="s">
        <v>203</v>
      </c>
      <c r="C154" s="633" t="s">
        <v>222</v>
      </c>
      <c r="D154" s="615">
        <v>115.85</v>
      </c>
      <c r="E154" s="573" t="s">
        <v>203</v>
      </c>
      <c r="F154" s="587">
        <v>347.54999999999995</v>
      </c>
    </row>
    <row r="155" spans="1:6" ht="15.75">
      <c r="A155" s="587">
        <v>1</v>
      </c>
      <c r="B155" s="585" t="s">
        <v>1</v>
      </c>
      <c r="C155" s="633" t="s">
        <v>223</v>
      </c>
      <c r="D155" s="615">
        <v>45</v>
      </c>
      <c r="E155" s="573" t="s">
        <v>206</v>
      </c>
      <c r="F155" s="587">
        <v>45</v>
      </c>
    </row>
    <row r="156" spans="1:6" ht="15.75">
      <c r="A156" s="587">
        <v>1</v>
      </c>
      <c r="B156" s="585" t="s">
        <v>1</v>
      </c>
      <c r="C156" s="633" t="s">
        <v>224</v>
      </c>
      <c r="D156" s="587">
        <v>47.3</v>
      </c>
      <c r="E156" s="573" t="s">
        <v>206</v>
      </c>
      <c r="F156" s="587">
        <v>47.3</v>
      </c>
    </row>
    <row r="157" spans="1:6" ht="15.75">
      <c r="A157" s="587">
        <v>1</v>
      </c>
      <c r="B157" s="585" t="s">
        <v>1</v>
      </c>
      <c r="C157" s="633" t="s">
        <v>225</v>
      </c>
      <c r="D157" s="587">
        <v>106.6</v>
      </c>
      <c r="E157" s="573" t="s">
        <v>206</v>
      </c>
      <c r="F157" s="587">
        <v>106.6</v>
      </c>
    </row>
    <row r="158" spans="1:6" ht="15.75">
      <c r="A158" s="587">
        <v>0.5</v>
      </c>
      <c r="B158" s="585" t="s">
        <v>209</v>
      </c>
      <c r="C158" s="633" t="s">
        <v>210</v>
      </c>
      <c r="D158" s="587">
        <v>667</v>
      </c>
      <c r="E158" s="573" t="s">
        <v>206</v>
      </c>
      <c r="F158" s="587">
        <v>333.5</v>
      </c>
    </row>
    <row r="159" spans="1:6" ht="15.75">
      <c r="A159" s="587">
        <v>0.5</v>
      </c>
      <c r="B159" s="585" t="s">
        <v>209</v>
      </c>
      <c r="C159" s="633" t="s">
        <v>145</v>
      </c>
      <c r="D159" s="587">
        <v>718</v>
      </c>
      <c r="E159" s="573" t="s">
        <v>206</v>
      </c>
      <c r="F159" s="587">
        <v>359</v>
      </c>
    </row>
    <row r="160" spans="1:6" ht="15.75">
      <c r="A160" s="587">
        <v>0.5</v>
      </c>
      <c r="B160" s="585" t="s">
        <v>209</v>
      </c>
      <c r="C160" s="633" t="s">
        <v>146</v>
      </c>
      <c r="D160" s="587">
        <v>502</v>
      </c>
      <c r="E160" s="573" t="s">
        <v>206</v>
      </c>
      <c r="F160" s="587">
        <v>251</v>
      </c>
    </row>
    <row r="161" spans="1:6" ht="15.75">
      <c r="A161" s="575"/>
      <c r="B161" s="585" t="s">
        <v>129</v>
      </c>
      <c r="C161" s="633" t="s">
        <v>211</v>
      </c>
      <c r="D161" s="573" t="s">
        <v>115</v>
      </c>
      <c r="E161" s="573" t="s">
        <v>129</v>
      </c>
      <c r="F161" s="587">
        <v>2.73</v>
      </c>
    </row>
    <row r="162" spans="1:6" ht="15.75">
      <c r="A162" s="575"/>
      <c r="B162" s="576"/>
      <c r="C162" s="633" t="s">
        <v>212</v>
      </c>
      <c r="D162" s="575"/>
      <c r="E162" s="578"/>
      <c r="F162" s="575"/>
    </row>
    <row r="163" spans="1:6" ht="15.75">
      <c r="A163" s="575"/>
      <c r="B163" s="576"/>
      <c r="C163" s="633" t="s">
        <v>213</v>
      </c>
      <c r="D163" s="575"/>
      <c r="E163" s="578"/>
      <c r="F163" s="575"/>
    </row>
    <row r="164" spans="1:6" ht="15.75">
      <c r="A164" s="575"/>
      <c r="B164" s="576"/>
      <c r="C164" s="633" t="s">
        <v>214</v>
      </c>
      <c r="D164" s="575"/>
      <c r="E164" s="573" t="s">
        <v>129</v>
      </c>
      <c r="F164" s="587">
        <v>0.27</v>
      </c>
    </row>
    <row r="165" spans="1:6" ht="15.75">
      <c r="A165" s="575"/>
      <c r="B165" s="576"/>
      <c r="C165" s="731"/>
      <c r="D165" s="575"/>
      <c r="E165" s="578"/>
      <c r="F165" s="582" t="s">
        <v>117</v>
      </c>
    </row>
    <row r="166" spans="1:6" ht="15.75">
      <c r="A166" s="575"/>
      <c r="B166" s="576"/>
      <c r="C166" s="633" t="s">
        <v>215</v>
      </c>
      <c r="D166" s="575"/>
      <c r="E166" s="578"/>
      <c r="F166" s="587">
        <v>1492.9499999999998</v>
      </c>
    </row>
    <row r="167" spans="1:6" ht="15.75">
      <c r="A167" s="575"/>
      <c r="B167" s="576"/>
      <c r="C167" s="731"/>
      <c r="D167" s="575"/>
      <c r="E167" s="578"/>
      <c r="F167" s="582" t="s">
        <v>117</v>
      </c>
    </row>
    <row r="168" spans="1:6" ht="15.75">
      <c r="A168" s="575"/>
      <c r="B168" s="576"/>
      <c r="C168" s="633" t="s">
        <v>216</v>
      </c>
      <c r="D168" s="575"/>
      <c r="E168" s="578"/>
      <c r="F168" s="587">
        <v>497.64999999999992</v>
      </c>
    </row>
    <row r="170" spans="1:6" ht="15.75">
      <c r="A170" s="852"/>
      <c r="B170" s="852"/>
      <c r="C170" s="1218" t="s">
        <v>4046</v>
      </c>
      <c r="D170" s="852"/>
      <c r="E170" s="852"/>
      <c r="F170" s="852"/>
    </row>
    <row r="171" spans="1:6" ht="110.25">
      <c r="A171" s="852"/>
      <c r="B171" s="852"/>
      <c r="C171" s="1220" t="s">
        <v>4068</v>
      </c>
      <c r="D171" s="852"/>
      <c r="E171" s="852"/>
      <c r="F171" s="852"/>
    </row>
    <row r="172" spans="1:6" ht="15.75">
      <c r="A172" s="852"/>
      <c r="B172" s="852"/>
      <c r="C172" s="1220"/>
      <c r="D172" s="852"/>
      <c r="E172" s="852"/>
      <c r="F172" s="852"/>
    </row>
    <row r="173" spans="1:6" ht="31.5">
      <c r="A173" s="1265">
        <v>1</v>
      </c>
      <c r="B173" s="1265" t="s">
        <v>231</v>
      </c>
      <c r="C173" s="1346" t="s">
        <v>4055</v>
      </c>
      <c r="D173" s="1265">
        <v>914.1</v>
      </c>
      <c r="E173" s="1265" t="s">
        <v>4069</v>
      </c>
      <c r="F173" s="1265">
        <v>9.141</v>
      </c>
    </row>
    <row r="174" spans="1:6" ht="15.75">
      <c r="A174" s="852"/>
      <c r="B174" s="852"/>
      <c r="C174" s="1220" t="s">
        <v>2142</v>
      </c>
      <c r="D174" s="852"/>
      <c r="E174" s="852"/>
      <c r="F174" s="852">
        <v>452.6</v>
      </c>
    </row>
    <row r="175" spans="1:6" ht="15.75">
      <c r="A175" s="852"/>
      <c r="B175" s="852"/>
      <c r="C175" s="1220" t="s">
        <v>3706</v>
      </c>
      <c r="D175" s="794"/>
      <c r="E175" s="852"/>
      <c r="F175" s="1231">
        <v>5.26</v>
      </c>
    </row>
    <row r="176" spans="1:6" ht="15.75">
      <c r="A176" s="852"/>
      <c r="B176" s="852"/>
      <c r="C176" s="1347" t="s">
        <v>4070</v>
      </c>
      <c r="D176" s="1230" t="s">
        <v>2553</v>
      </c>
      <c r="E176" s="852"/>
      <c r="F176" s="1230">
        <v>467.00100000000003</v>
      </c>
    </row>
    <row r="177" spans="1:6" ht="15.75">
      <c r="A177" s="852">
        <v>1</v>
      </c>
      <c r="B177" s="852" t="s">
        <v>164</v>
      </c>
      <c r="C177" s="1220" t="s">
        <v>4017</v>
      </c>
      <c r="D177" s="852">
        <v>636</v>
      </c>
      <c r="E177" s="852" t="s">
        <v>164</v>
      </c>
      <c r="F177" s="852">
        <v>636</v>
      </c>
    </row>
    <row r="178" spans="1:6" ht="15.75">
      <c r="A178" s="852">
        <v>1</v>
      </c>
      <c r="B178" s="852" t="s">
        <v>164</v>
      </c>
      <c r="C178" s="1220" t="s">
        <v>4008</v>
      </c>
      <c r="D178" s="852">
        <v>633</v>
      </c>
      <c r="E178" s="852" t="s">
        <v>164</v>
      </c>
      <c r="F178" s="852">
        <v>633</v>
      </c>
    </row>
    <row r="179" spans="1:6" ht="15.75">
      <c r="A179" s="852">
        <v>2</v>
      </c>
      <c r="B179" s="852" t="s">
        <v>164</v>
      </c>
      <c r="C179" s="1220" t="s">
        <v>3766</v>
      </c>
      <c r="D179" s="852">
        <v>497</v>
      </c>
      <c r="E179" s="852" t="s">
        <v>164</v>
      </c>
      <c r="F179" s="852">
        <v>994</v>
      </c>
    </row>
    <row r="180" spans="1:6" ht="15.75">
      <c r="A180" s="852"/>
      <c r="B180" s="852"/>
      <c r="C180" s="1348" t="s">
        <v>4071</v>
      </c>
      <c r="D180" s="852"/>
      <c r="E180" s="852"/>
      <c r="F180" s="1228">
        <v>2263</v>
      </c>
    </row>
    <row r="181" spans="1:6" ht="15.75">
      <c r="A181" s="852"/>
      <c r="B181" s="852"/>
      <c r="C181" s="1349" t="s">
        <v>2553</v>
      </c>
      <c r="D181" s="852"/>
      <c r="E181" s="852"/>
      <c r="F181" s="1230">
        <v>452.6</v>
      </c>
    </row>
    <row r="183" spans="1:6" ht="15.75">
      <c r="A183" s="852"/>
      <c r="B183" s="852"/>
      <c r="C183" s="1218" t="s">
        <v>4315</v>
      </c>
      <c r="D183" s="852"/>
      <c r="E183" s="852"/>
      <c r="F183" s="852"/>
    </row>
    <row r="184" spans="1:6" ht="15.75">
      <c r="A184" s="852"/>
      <c r="B184" s="852"/>
      <c r="C184" s="1220"/>
      <c r="D184" s="852"/>
      <c r="E184" s="852"/>
      <c r="F184" s="852"/>
    </row>
    <row r="185" spans="1:6" ht="31.5">
      <c r="A185" s="852"/>
      <c r="B185" s="852"/>
      <c r="C185" s="1218" t="s">
        <v>4316</v>
      </c>
      <c r="D185" s="852"/>
      <c r="E185" s="852"/>
      <c r="F185" s="852"/>
    </row>
    <row r="186" spans="1:6" ht="15.75">
      <c r="A186" s="852"/>
      <c r="B186" s="852"/>
      <c r="C186" s="1220"/>
      <c r="D186" s="852"/>
      <c r="E186" s="852"/>
      <c r="F186" s="852"/>
    </row>
    <row r="187" spans="1:6" ht="31.5">
      <c r="A187" s="852">
        <v>1</v>
      </c>
      <c r="B187" s="852" t="s">
        <v>164</v>
      </c>
      <c r="C187" s="1220" t="s">
        <v>4317</v>
      </c>
      <c r="D187" s="1308">
        <v>1197</v>
      </c>
      <c r="E187" s="852" t="s">
        <v>164</v>
      </c>
      <c r="F187" s="852">
        <v>1197</v>
      </c>
    </row>
    <row r="188" spans="1:6" ht="47.25">
      <c r="A188" s="852"/>
      <c r="B188" s="852"/>
      <c r="C188" s="1220" t="s">
        <v>4318</v>
      </c>
      <c r="D188" s="1222">
        <v>274.10000000000002</v>
      </c>
      <c r="E188" s="852" t="s">
        <v>164</v>
      </c>
      <c r="F188" s="852">
        <v>274.10000000000002</v>
      </c>
    </row>
    <row r="189" spans="1:6" ht="63">
      <c r="A189" s="852"/>
      <c r="B189" s="852"/>
      <c r="C189" s="1220" t="s">
        <v>4465</v>
      </c>
      <c r="D189" s="852"/>
      <c r="E189" s="852"/>
      <c r="F189" s="1222">
        <v>25.7</v>
      </c>
    </row>
    <row r="190" spans="1:6" ht="15.75">
      <c r="A190" s="852"/>
      <c r="B190" s="852"/>
      <c r="C190" s="1220" t="s">
        <v>4320</v>
      </c>
      <c r="D190" s="852"/>
      <c r="E190" s="1241">
        <v>1496.8</v>
      </c>
      <c r="F190" s="1231">
        <v>14.698</v>
      </c>
    </row>
    <row r="191" spans="1:6" ht="15.75">
      <c r="A191" s="852"/>
      <c r="B191" s="852"/>
      <c r="C191" s="1220" t="s">
        <v>4321</v>
      </c>
      <c r="D191" s="852"/>
      <c r="E191" s="852"/>
      <c r="F191" s="852">
        <v>407.5</v>
      </c>
    </row>
    <row r="192" spans="1:6" ht="15.75">
      <c r="A192" s="852"/>
      <c r="B192" s="852"/>
      <c r="C192" s="1349" t="s">
        <v>4322</v>
      </c>
      <c r="D192" s="852"/>
      <c r="E192" s="852"/>
      <c r="F192" s="1230">
        <v>1918.998</v>
      </c>
    </row>
    <row r="193" spans="1:6" ht="15.75">
      <c r="A193" s="852"/>
      <c r="B193" s="852"/>
      <c r="C193" s="1220"/>
      <c r="D193" s="852"/>
      <c r="E193" s="852"/>
      <c r="F193" s="852"/>
    </row>
    <row r="194" spans="1:6" ht="15.75">
      <c r="A194" s="852"/>
      <c r="B194" s="852"/>
      <c r="C194" s="1347" t="s">
        <v>656</v>
      </c>
      <c r="D194" s="852"/>
      <c r="E194" s="852"/>
      <c r="F194" s="852"/>
    </row>
    <row r="195" spans="1:6" ht="15.75">
      <c r="A195" s="852">
        <v>1</v>
      </c>
      <c r="B195" s="852" t="s">
        <v>164</v>
      </c>
      <c r="C195" s="1220" t="s">
        <v>4017</v>
      </c>
      <c r="D195" s="852">
        <v>636</v>
      </c>
      <c r="E195" s="852" t="s">
        <v>164</v>
      </c>
      <c r="F195" s="852">
        <v>636</v>
      </c>
    </row>
    <row r="196" spans="1:6" ht="15.75">
      <c r="A196" s="852">
        <v>2</v>
      </c>
      <c r="B196" s="852" t="s">
        <v>164</v>
      </c>
      <c r="C196" s="1220" t="s">
        <v>3710</v>
      </c>
      <c r="D196" s="852">
        <v>497</v>
      </c>
      <c r="E196" s="852" t="s">
        <v>164</v>
      </c>
      <c r="F196" s="852">
        <v>994</v>
      </c>
    </row>
    <row r="197" spans="1:6" ht="15.75">
      <c r="A197" s="852"/>
      <c r="B197" s="852"/>
      <c r="C197" s="1348" t="s">
        <v>4323</v>
      </c>
      <c r="D197" s="852"/>
      <c r="E197" s="852"/>
      <c r="F197" s="1228">
        <v>1630</v>
      </c>
    </row>
    <row r="198" spans="1:6" ht="15.75">
      <c r="A198" s="852"/>
      <c r="B198" s="852"/>
      <c r="C198" s="1349" t="s">
        <v>3615</v>
      </c>
      <c r="D198" s="852"/>
      <c r="E198" s="852"/>
      <c r="F198" s="1230">
        <v>407.5</v>
      </c>
    </row>
    <row r="200" spans="1:6" ht="15.75">
      <c r="A200" s="852"/>
      <c r="B200" s="852"/>
      <c r="C200" s="1218" t="s">
        <v>4327</v>
      </c>
      <c r="D200" s="852"/>
      <c r="E200" s="852"/>
      <c r="F200" s="852"/>
    </row>
    <row r="201" spans="1:6" ht="31.5">
      <c r="A201" s="852">
        <v>1</v>
      </c>
      <c r="B201" s="852" t="s">
        <v>164</v>
      </c>
      <c r="C201" s="1220" t="s">
        <v>4328</v>
      </c>
      <c r="D201" s="1222">
        <v>1130</v>
      </c>
      <c r="E201" s="852" t="s">
        <v>164</v>
      </c>
      <c r="F201" s="852">
        <v>1130</v>
      </c>
    </row>
    <row r="202" spans="1:6" ht="31.5">
      <c r="A202" s="852">
        <v>1</v>
      </c>
      <c r="B202" s="852" t="s">
        <v>164</v>
      </c>
      <c r="C202" s="1220" t="s">
        <v>4329</v>
      </c>
      <c r="D202" s="1223">
        <v>153.80000000000001</v>
      </c>
      <c r="E202" s="852" t="s">
        <v>164</v>
      </c>
      <c r="F202" s="852">
        <v>153.80000000000001</v>
      </c>
    </row>
    <row r="203" spans="1:6" ht="15.75">
      <c r="A203" s="852"/>
      <c r="B203" s="852"/>
      <c r="C203" s="1349" t="s">
        <v>4322</v>
      </c>
      <c r="D203" s="852"/>
      <c r="E203" s="852"/>
      <c r="F203" s="1230">
        <v>1284</v>
      </c>
    </row>
    <row r="205" spans="1:6" ht="15.75">
      <c r="A205" s="1335" t="s">
        <v>228</v>
      </c>
      <c r="B205" s="585" t="s">
        <v>122</v>
      </c>
      <c r="C205" s="633" t="s">
        <v>4466</v>
      </c>
      <c r="D205" s="575"/>
      <c r="E205" s="578"/>
      <c r="F205" s="575"/>
    </row>
    <row r="206" spans="1:6" ht="15.75">
      <c r="A206" s="575"/>
      <c r="B206" s="576"/>
      <c r="C206" s="633" t="s">
        <v>229</v>
      </c>
      <c r="D206" s="575"/>
      <c r="E206" s="578"/>
      <c r="F206" s="575"/>
    </row>
    <row r="207" spans="1:6" ht="15.75">
      <c r="A207" s="575"/>
      <c r="B207" s="576"/>
      <c r="C207" s="1342" t="s">
        <v>117</v>
      </c>
      <c r="D207" s="582" t="s">
        <v>117</v>
      </c>
      <c r="E207" s="578"/>
      <c r="F207" s="575"/>
    </row>
    <row r="208" spans="1:6" ht="15.75">
      <c r="A208" s="652">
        <v>0.53339999999999999</v>
      </c>
      <c r="B208" s="585" t="s">
        <v>174</v>
      </c>
      <c r="C208" s="1350" t="s">
        <v>230</v>
      </c>
      <c r="D208" s="615">
        <v>208.8</v>
      </c>
      <c r="E208" s="573" t="s">
        <v>174</v>
      </c>
      <c r="F208" s="587">
        <v>111.37392</v>
      </c>
    </row>
    <row r="209" spans="1:6" ht="15.75">
      <c r="A209" s="587">
        <v>4.24</v>
      </c>
      <c r="B209" s="585" t="s">
        <v>231</v>
      </c>
      <c r="C209" s="1351" t="s">
        <v>232</v>
      </c>
      <c r="D209" s="615">
        <v>35.61</v>
      </c>
      <c r="E209" s="573" t="s">
        <v>231</v>
      </c>
      <c r="F209" s="587">
        <v>150.9864</v>
      </c>
    </row>
    <row r="210" spans="1:6" ht="15.75">
      <c r="A210" s="587">
        <v>16</v>
      </c>
      <c r="B210" s="585" t="s">
        <v>233</v>
      </c>
      <c r="C210" s="1351" t="s">
        <v>234</v>
      </c>
      <c r="D210" s="615">
        <v>1</v>
      </c>
      <c r="E210" s="573" t="s">
        <v>227</v>
      </c>
      <c r="F210" s="587">
        <v>16</v>
      </c>
    </row>
    <row r="211" spans="1:6" ht="15.75">
      <c r="A211" s="652">
        <v>0.53339999999999999</v>
      </c>
      <c r="B211" s="585" t="s">
        <v>174</v>
      </c>
      <c r="C211" s="633" t="s">
        <v>235</v>
      </c>
      <c r="D211" s="587">
        <v>166.2037037037037</v>
      </c>
      <c r="E211" s="573" t="s">
        <v>174</v>
      </c>
      <c r="F211" s="587">
        <v>88.653055555555554</v>
      </c>
    </row>
    <row r="212" spans="1:6" ht="15.75">
      <c r="A212" s="575"/>
      <c r="B212" s="585" t="s">
        <v>129</v>
      </c>
      <c r="C212" s="633" t="s">
        <v>236</v>
      </c>
      <c r="D212" s="575"/>
      <c r="E212" s="573" t="s">
        <v>129</v>
      </c>
      <c r="F212" s="587"/>
    </row>
    <row r="213" spans="1:6" ht="31.5">
      <c r="A213" s="575"/>
      <c r="B213" s="576"/>
      <c r="C213" s="633" t="s">
        <v>237</v>
      </c>
      <c r="D213" s="575"/>
      <c r="E213" s="578"/>
      <c r="F213" s="575"/>
    </row>
    <row r="214" spans="1:6" ht="15.75">
      <c r="A214" s="575"/>
      <c r="B214" s="576"/>
      <c r="C214" s="731"/>
      <c r="D214" s="575"/>
      <c r="E214" s="578"/>
      <c r="F214" s="582" t="s">
        <v>117</v>
      </c>
    </row>
    <row r="215" spans="1:6" ht="15.75">
      <c r="A215" s="575"/>
      <c r="B215" s="576"/>
      <c r="C215" s="1337" t="s">
        <v>238</v>
      </c>
      <c r="D215" s="575"/>
      <c r="E215" s="578"/>
      <c r="F215" s="587">
        <v>367.01337555555557</v>
      </c>
    </row>
    <row r="216" spans="1:6" ht="15.75">
      <c r="A216" s="575"/>
      <c r="B216" s="576"/>
      <c r="C216" s="731"/>
      <c r="D216" s="575"/>
      <c r="E216" s="578"/>
      <c r="F216" s="582" t="s">
        <v>117</v>
      </c>
    </row>
    <row r="217" spans="1:6" ht="15.75">
      <c r="A217" s="575"/>
      <c r="B217" s="576"/>
      <c r="C217" s="1337" t="s">
        <v>239</v>
      </c>
      <c r="D217" s="575"/>
      <c r="E217" s="578"/>
      <c r="F217" s="586">
        <v>688.2</v>
      </c>
    </row>
    <row r="219" spans="1:6" ht="15.75">
      <c r="A219" s="620">
        <v>44.1</v>
      </c>
      <c r="B219" s="585" t="s">
        <v>122</v>
      </c>
      <c r="C219" s="633" t="s">
        <v>1858</v>
      </c>
      <c r="D219" s="575"/>
      <c r="E219" s="578"/>
      <c r="F219" s="575"/>
    </row>
    <row r="220" spans="1:6" ht="15.75">
      <c r="A220" s="575"/>
      <c r="B220" s="576"/>
      <c r="C220" s="633" t="s">
        <v>1859</v>
      </c>
      <c r="D220" s="575"/>
      <c r="E220" s="578"/>
      <c r="F220" s="575"/>
    </row>
    <row r="221" spans="1:6" ht="31.5">
      <c r="A221" s="575"/>
      <c r="B221" s="576"/>
      <c r="C221" s="633" t="s">
        <v>4467</v>
      </c>
      <c r="D221" s="575"/>
      <c r="E221" s="578"/>
      <c r="F221" s="575"/>
    </row>
    <row r="222" spans="1:6" ht="15.75">
      <c r="A222" s="575"/>
      <c r="B222" s="576"/>
      <c r="C222" s="1342" t="s">
        <v>117</v>
      </c>
      <c r="D222" s="575"/>
      <c r="E222" s="578"/>
      <c r="F222" s="575"/>
    </row>
    <row r="223" spans="1:6" ht="15.75">
      <c r="A223" s="587">
        <v>3</v>
      </c>
      <c r="B223" s="585" t="s">
        <v>203</v>
      </c>
      <c r="C223" s="633" t="s">
        <v>1861</v>
      </c>
      <c r="D223" s="587">
        <v>120.54</v>
      </c>
      <c r="E223" s="573" t="s">
        <v>203</v>
      </c>
      <c r="F223" s="587">
        <v>361.62</v>
      </c>
    </row>
    <row r="224" spans="1:6" ht="15.75">
      <c r="A224" s="587">
        <v>1</v>
      </c>
      <c r="B224" s="585" t="s">
        <v>209</v>
      </c>
      <c r="C224" s="633" t="s">
        <v>1862</v>
      </c>
      <c r="D224" s="680">
        <v>76</v>
      </c>
      <c r="E224" s="573" t="s">
        <v>209</v>
      </c>
      <c r="F224" s="587">
        <v>76</v>
      </c>
    </row>
    <row r="225" spans="1:6" ht="15.75">
      <c r="A225" s="587">
        <v>1</v>
      </c>
      <c r="B225" s="585" t="s">
        <v>209</v>
      </c>
      <c r="C225" s="633" t="s">
        <v>1863</v>
      </c>
      <c r="D225" s="587">
        <v>71</v>
      </c>
      <c r="E225" s="573" t="s">
        <v>209</v>
      </c>
      <c r="F225" s="587">
        <v>71</v>
      </c>
    </row>
    <row r="226" spans="1:6" ht="15.75">
      <c r="A226" s="587">
        <v>2</v>
      </c>
      <c r="B226" s="585" t="s">
        <v>209</v>
      </c>
      <c r="C226" s="633" t="s">
        <v>1864</v>
      </c>
      <c r="D226" s="587">
        <v>21.2</v>
      </c>
      <c r="E226" s="573" t="s">
        <v>209</v>
      </c>
      <c r="F226" s="587">
        <v>42.4</v>
      </c>
    </row>
    <row r="227" spans="1:6" ht="15.75">
      <c r="A227" s="587">
        <v>1</v>
      </c>
      <c r="B227" s="585" t="s">
        <v>209</v>
      </c>
      <c r="C227" s="633" t="s">
        <v>1865</v>
      </c>
      <c r="D227" s="587">
        <v>31.5</v>
      </c>
      <c r="E227" s="573" t="s">
        <v>209</v>
      </c>
      <c r="F227" s="587">
        <v>31.5</v>
      </c>
    </row>
    <row r="228" spans="1:6" ht="15.75">
      <c r="A228" s="587">
        <v>0.5</v>
      </c>
      <c r="B228" s="585" t="s">
        <v>209</v>
      </c>
      <c r="C228" s="633" t="s">
        <v>210</v>
      </c>
      <c r="D228" s="587">
        <v>667</v>
      </c>
      <c r="E228" s="573" t="s">
        <v>209</v>
      </c>
      <c r="F228" s="587">
        <v>333.5</v>
      </c>
    </row>
    <row r="229" spans="1:6" ht="31.5">
      <c r="A229" s="575"/>
      <c r="B229" s="585" t="s">
        <v>129</v>
      </c>
      <c r="C229" s="633" t="s">
        <v>1867</v>
      </c>
      <c r="D229" s="575"/>
      <c r="E229" s="573" t="s">
        <v>129</v>
      </c>
      <c r="F229" s="587"/>
    </row>
    <row r="230" spans="1:6" ht="15.75">
      <c r="A230" s="575"/>
      <c r="B230" s="576"/>
      <c r="C230" s="633" t="s">
        <v>1868</v>
      </c>
      <c r="D230" s="575"/>
      <c r="E230" s="578"/>
      <c r="F230" s="575"/>
    </row>
    <row r="231" spans="1:6" ht="15.75">
      <c r="A231" s="575"/>
      <c r="B231" s="576"/>
      <c r="C231" s="731"/>
      <c r="D231" s="575"/>
      <c r="E231" s="578"/>
      <c r="F231" s="582" t="s">
        <v>117</v>
      </c>
    </row>
    <row r="232" spans="1:6" ht="15.75">
      <c r="A232" s="575"/>
      <c r="B232" s="576"/>
      <c r="C232" s="633" t="s">
        <v>215</v>
      </c>
      <c r="D232" s="575"/>
      <c r="E232" s="578"/>
      <c r="F232" s="587">
        <v>916.02</v>
      </c>
    </row>
    <row r="233" spans="1:6" ht="15.75">
      <c r="A233" s="573" t="s">
        <v>115</v>
      </c>
      <c r="B233" s="576"/>
      <c r="C233" s="731"/>
      <c r="D233" s="575"/>
      <c r="E233" s="578"/>
      <c r="F233" s="575"/>
    </row>
    <row r="234" spans="1:6" ht="15.75">
      <c r="A234" s="575"/>
      <c r="B234" s="576"/>
      <c r="C234" s="731"/>
      <c r="D234" s="575"/>
      <c r="E234" s="578"/>
      <c r="F234" s="582" t="s">
        <v>117</v>
      </c>
    </row>
    <row r="235" spans="1:6" ht="15.75">
      <c r="A235" s="575"/>
      <c r="B235" s="576"/>
      <c r="C235" s="1038" t="s">
        <v>216</v>
      </c>
      <c r="D235" s="619"/>
      <c r="E235" s="630"/>
      <c r="F235" s="586">
        <v>305.33999999999997</v>
      </c>
    </row>
    <row r="236" spans="1:6" ht="31.5">
      <c r="A236" s="1335" t="s">
        <v>1744</v>
      </c>
      <c r="B236" s="585" t="s">
        <v>122</v>
      </c>
      <c r="C236" s="633" t="s">
        <v>1745</v>
      </c>
      <c r="D236" s="575"/>
      <c r="E236" s="578"/>
      <c r="F236" s="575"/>
    </row>
    <row r="237" spans="1:6" ht="15.75">
      <c r="A237" s="575"/>
      <c r="B237" s="576"/>
      <c r="C237" s="1342" t="s">
        <v>117</v>
      </c>
      <c r="D237" s="575"/>
      <c r="E237" s="578"/>
      <c r="F237" s="575"/>
    </row>
    <row r="238" spans="1:6" ht="15.75">
      <c r="A238" s="587">
        <v>0.14000000000000001</v>
      </c>
      <c r="B238" s="585" t="s">
        <v>126</v>
      </c>
      <c r="C238" s="633" t="s">
        <v>135</v>
      </c>
      <c r="D238" s="587">
        <v>3080.2</v>
      </c>
      <c r="E238" s="573" t="s">
        <v>126</v>
      </c>
      <c r="F238" s="587">
        <v>431.22800000000001</v>
      </c>
    </row>
    <row r="239" spans="1:6" ht="15.75">
      <c r="A239" s="587">
        <v>1.1000000000000001</v>
      </c>
      <c r="B239" s="585" t="s">
        <v>209</v>
      </c>
      <c r="C239" s="633" t="s">
        <v>144</v>
      </c>
      <c r="D239" s="587">
        <v>769</v>
      </c>
      <c r="E239" s="573" t="s">
        <v>209</v>
      </c>
      <c r="F239" s="587">
        <v>845.90000000000009</v>
      </c>
    </row>
    <row r="240" spans="1:6" ht="15.75">
      <c r="A240" s="587">
        <v>0.5</v>
      </c>
      <c r="B240" s="585" t="s">
        <v>209</v>
      </c>
      <c r="C240" s="633" t="s">
        <v>146</v>
      </c>
      <c r="D240" s="587">
        <v>502</v>
      </c>
      <c r="E240" s="573" t="s">
        <v>209</v>
      </c>
      <c r="F240" s="587">
        <v>251</v>
      </c>
    </row>
    <row r="241" spans="1:6" ht="15.75">
      <c r="A241" s="587">
        <v>1.1000000000000001</v>
      </c>
      <c r="B241" s="585" t="s">
        <v>209</v>
      </c>
      <c r="C241" s="633" t="s">
        <v>147</v>
      </c>
      <c r="D241" s="587">
        <v>412</v>
      </c>
      <c r="E241" s="573" t="s">
        <v>209</v>
      </c>
      <c r="F241" s="587">
        <v>453.20000000000005</v>
      </c>
    </row>
    <row r="242" spans="1:6" ht="15.75">
      <c r="A242" s="575"/>
      <c r="B242" s="585" t="s">
        <v>129</v>
      </c>
      <c r="C242" s="633" t="s">
        <v>130</v>
      </c>
      <c r="D242" s="573" t="s">
        <v>115</v>
      </c>
      <c r="E242" s="573" t="s">
        <v>129</v>
      </c>
      <c r="F242" s="587">
        <v>5</v>
      </c>
    </row>
    <row r="243" spans="1:6" ht="15.75">
      <c r="A243" s="575"/>
      <c r="B243" s="576"/>
      <c r="C243" s="731"/>
      <c r="D243" s="575"/>
      <c r="E243" s="578"/>
      <c r="F243" s="582" t="s">
        <v>117</v>
      </c>
    </row>
    <row r="244" spans="1:6" ht="15.75">
      <c r="A244" s="575"/>
      <c r="B244" s="576"/>
      <c r="C244" s="633" t="s">
        <v>153</v>
      </c>
      <c r="D244" s="575"/>
      <c r="E244" s="578"/>
      <c r="F244" s="587">
        <v>1986.3280000000002</v>
      </c>
    </row>
    <row r="245" spans="1:6" ht="15.75">
      <c r="A245" s="575"/>
      <c r="B245" s="576"/>
      <c r="C245" s="731"/>
      <c r="D245" s="575"/>
      <c r="E245" s="578"/>
      <c r="F245" s="582" t="s">
        <v>117</v>
      </c>
    </row>
    <row r="246" spans="1:6" ht="15.75">
      <c r="A246" s="575"/>
      <c r="B246" s="576"/>
      <c r="C246" s="1038" t="s">
        <v>154</v>
      </c>
      <c r="D246" s="575"/>
      <c r="E246" s="578"/>
      <c r="F246" s="586">
        <v>198.63280000000003</v>
      </c>
    </row>
    <row r="248" spans="1:6" ht="31.5">
      <c r="A248" s="575"/>
      <c r="B248" s="585" t="s">
        <v>122</v>
      </c>
      <c r="C248" s="633" t="s">
        <v>1765</v>
      </c>
      <c r="D248" s="575"/>
      <c r="E248" s="578"/>
      <c r="F248" s="575"/>
    </row>
    <row r="249" spans="1:6" ht="31.5">
      <c r="A249" s="575"/>
      <c r="B249" s="576"/>
      <c r="C249" s="633" t="s">
        <v>1766</v>
      </c>
      <c r="D249" s="575"/>
      <c r="E249" s="578"/>
      <c r="F249" s="575"/>
    </row>
    <row r="250" spans="1:6" ht="15.75">
      <c r="A250" s="575"/>
      <c r="B250" s="576"/>
      <c r="C250" s="633" t="s">
        <v>1767</v>
      </c>
      <c r="D250" s="575"/>
      <c r="E250" s="578"/>
      <c r="F250" s="575"/>
    </row>
    <row r="251" spans="1:6" ht="15.75">
      <c r="A251" s="575"/>
      <c r="B251" s="576"/>
      <c r="C251" s="1342" t="s">
        <v>117</v>
      </c>
      <c r="D251" s="575"/>
      <c r="E251" s="578"/>
      <c r="F251" s="575"/>
    </row>
    <row r="252" spans="1:6" ht="15.75">
      <c r="A252" s="587">
        <v>0.14000000000000001</v>
      </c>
      <c r="B252" s="585" t="s">
        <v>126</v>
      </c>
      <c r="C252" s="633" t="s">
        <v>133</v>
      </c>
      <c r="D252" s="587">
        <v>4193.8</v>
      </c>
      <c r="E252" s="573" t="s">
        <v>126</v>
      </c>
      <c r="F252" s="587">
        <v>587.13200000000006</v>
      </c>
    </row>
    <row r="253" spans="1:6" ht="15.75">
      <c r="A253" s="587">
        <v>1.1000000000000001</v>
      </c>
      <c r="B253" s="585" t="s">
        <v>209</v>
      </c>
      <c r="C253" s="633" t="s">
        <v>144</v>
      </c>
      <c r="D253" s="587">
        <v>769</v>
      </c>
      <c r="E253" s="573" t="s">
        <v>209</v>
      </c>
      <c r="F253" s="587">
        <v>845.90000000000009</v>
      </c>
    </row>
    <row r="254" spans="1:6" ht="15.75">
      <c r="A254" s="587">
        <v>0.5</v>
      </c>
      <c r="B254" s="585" t="s">
        <v>209</v>
      </c>
      <c r="C254" s="633" t="s">
        <v>146</v>
      </c>
      <c r="D254" s="587">
        <v>502</v>
      </c>
      <c r="E254" s="573" t="s">
        <v>209</v>
      </c>
      <c r="F254" s="587">
        <v>251</v>
      </c>
    </row>
    <row r="255" spans="1:6" ht="15.75">
      <c r="A255" s="587">
        <v>1.1000000000000001</v>
      </c>
      <c r="B255" s="585" t="s">
        <v>209</v>
      </c>
      <c r="C255" s="633" t="s">
        <v>147</v>
      </c>
      <c r="D255" s="587">
        <v>412</v>
      </c>
      <c r="E255" s="573" t="s">
        <v>209</v>
      </c>
      <c r="F255" s="587">
        <v>453.20000000000005</v>
      </c>
    </row>
    <row r="256" spans="1:6" ht="15.75">
      <c r="A256" s="587">
        <v>2</v>
      </c>
      <c r="B256" s="585" t="s">
        <v>148</v>
      </c>
      <c r="C256" s="633" t="s">
        <v>1771</v>
      </c>
      <c r="D256" s="587">
        <v>41.9</v>
      </c>
      <c r="E256" s="573" t="s">
        <v>148</v>
      </c>
      <c r="F256" s="587">
        <v>83.8</v>
      </c>
    </row>
    <row r="257" spans="1:6" ht="15.75">
      <c r="A257" s="575"/>
      <c r="B257" s="585" t="s">
        <v>129</v>
      </c>
      <c r="C257" s="633" t="s">
        <v>130</v>
      </c>
      <c r="D257" s="573" t="s">
        <v>115</v>
      </c>
      <c r="E257" s="573" t="s">
        <v>129</v>
      </c>
      <c r="F257" s="587">
        <v>5</v>
      </c>
    </row>
    <row r="258" spans="1:6" ht="15.75">
      <c r="A258" s="575"/>
      <c r="B258" s="576"/>
      <c r="C258" s="731"/>
      <c r="D258" s="575"/>
      <c r="E258" s="578"/>
      <c r="F258" s="582" t="s">
        <v>117</v>
      </c>
    </row>
    <row r="259" spans="1:6" ht="15.75">
      <c r="A259" s="573" t="s">
        <v>115</v>
      </c>
      <c r="B259" s="576"/>
      <c r="C259" s="633" t="s">
        <v>153</v>
      </c>
      <c r="D259" s="575"/>
      <c r="E259" s="578"/>
      <c r="F259" s="587">
        <v>2226.0320000000002</v>
      </c>
    </row>
    <row r="260" spans="1:6" ht="15.75">
      <c r="A260" s="575"/>
      <c r="B260" s="576"/>
      <c r="C260" s="692"/>
      <c r="D260" s="619"/>
      <c r="E260" s="630"/>
      <c r="F260" s="632" t="s">
        <v>117</v>
      </c>
    </row>
    <row r="261" spans="1:6" ht="15.75">
      <c r="A261" s="575"/>
      <c r="B261" s="576"/>
      <c r="C261" s="1038" t="s">
        <v>154</v>
      </c>
      <c r="D261" s="619"/>
      <c r="E261" s="630"/>
      <c r="F261" s="586">
        <v>222.60320000000002</v>
      </c>
    </row>
    <row r="263" spans="1:6" ht="15.75">
      <c r="A263" s="575"/>
      <c r="B263" s="585" t="s">
        <v>558</v>
      </c>
      <c r="C263" s="633" t="s">
        <v>1704</v>
      </c>
      <c r="D263" s="575"/>
      <c r="E263" s="578"/>
      <c r="F263" s="575"/>
    </row>
    <row r="264" spans="1:6" ht="15.75">
      <c r="A264" s="575"/>
      <c r="B264" s="576"/>
      <c r="C264" s="633" t="s">
        <v>1705</v>
      </c>
      <c r="D264" s="575"/>
      <c r="E264" s="578"/>
      <c r="F264" s="575"/>
    </row>
    <row r="265" spans="1:6" ht="15.75">
      <c r="A265" s="575"/>
      <c r="B265" s="576"/>
      <c r="C265" s="1342" t="s">
        <v>117</v>
      </c>
      <c r="D265" s="575"/>
      <c r="E265" s="578"/>
      <c r="F265" s="575"/>
    </row>
    <row r="266" spans="1:6" ht="15.75">
      <c r="A266" s="587">
        <v>0.04</v>
      </c>
      <c r="B266" s="585" t="s">
        <v>126</v>
      </c>
      <c r="C266" s="633" t="s">
        <v>1706</v>
      </c>
      <c r="D266" s="587">
        <v>4193.8</v>
      </c>
      <c r="E266" s="573" t="s">
        <v>126</v>
      </c>
      <c r="F266" s="587">
        <v>167.75200000000001</v>
      </c>
    </row>
    <row r="267" spans="1:6" ht="15.75">
      <c r="A267" s="587">
        <v>2.2000000000000002</v>
      </c>
      <c r="B267" s="585" t="s">
        <v>1</v>
      </c>
      <c r="C267" s="633" t="s">
        <v>145</v>
      </c>
      <c r="D267" s="587">
        <v>718</v>
      </c>
      <c r="E267" s="573" t="s">
        <v>1</v>
      </c>
      <c r="F267" s="587">
        <v>1579.6000000000001</v>
      </c>
    </row>
    <row r="268" spans="1:6" ht="15.75">
      <c r="A268" s="587">
        <v>0.5</v>
      </c>
      <c r="B268" s="585" t="s">
        <v>1</v>
      </c>
      <c r="C268" s="633" t="s">
        <v>146</v>
      </c>
      <c r="D268" s="587">
        <v>502</v>
      </c>
      <c r="E268" s="573" t="s">
        <v>1</v>
      </c>
      <c r="F268" s="587">
        <v>251</v>
      </c>
    </row>
    <row r="269" spans="1:6" ht="15.75">
      <c r="A269" s="587">
        <v>1.1000000000000001</v>
      </c>
      <c r="B269" s="585" t="s">
        <v>1</v>
      </c>
      <c r="C269" s="633" t="s">
        <v>147</v>
      </c>
      <c r="D269" s="587">
        <v>412</v>
      </c>
      <c r="E269" s="573" t="s">
        <v>1</v>
      </c>
      <c r="F269" s="587">
        <v>453.20000000000005</v>
      </c>
    </row>
    <row r="270" spans="1:6" ht="15.75">
      <c r="A270" s="575"/>
      <c r="B270" s="585" t="s">
        <v>129</v>
      </c>
      <c r="C270" s="633" t="s">
        <v>130</v>
      </c>
      <c r="D270" s="575"/>
      <c r="E270" s="573" t="s">
        <v>129</v>
      </c>
      <c r="F270" s="587">
        <v>0</v>
      </c>
    </row>
    <row r="271" spans="1:6" ht="15.75">
      <c r="A271" s="575"/>
      <c r="B271" s="576"/>
      <c r="C271" s="731"/>
      <c r="D271" s="575"/>
      <c r="E271" s="578"/>
      <c r="F271" s="582" t="s">
        <v>117</v>
      </c>
    </row>
    <row r="272" spans="1:6" ht="15.75">
      <c r="A272" s="575"/>
      <c r="B272" s="576"/>
      <c r="C272" s="633" t="s">
        <v>153</v>
      </c>
      <c r="D272" s="575"/>
      <c r="E272" s="578"/>
      <c r="F272" s="587">
        <v>2451.5520000000001</v>
      </c>
    </row>
    <row r="273" spans="1:6" ht="15.75">
      <c r="A273" s="575"/>
      <c r="B273" s="576"/>
      <c r="C273" s="731"/>
      <c r="D273" s="575"/>
      <c r="E273" s="578"/>
      <c r="F273" s="582" t="s">
        <v>117</v>
      </c>
    </row>
    <row r="274" spans="1:6" ht="15.75">
      <c r="A274" s="575"/>
      <c r="B274" s="576"/>
      <c r="C274" s="1038" t="s">
        <v>154</v>
      </c>
      <c r="D274" s="575"/>
      <c r="E274" s="578"/>
      <c r="F274" s="586">
        <v>245.15520000000001</v>
      </c>
    </row>
    <row r="276" spans="1:6" ht="31.5">
      <c r="A276" s="620"/>
      <c r="B276" s="585" t="s">
        <v>122</v>
      </c>
      <c r="C276" s="633" t="s">
        <v>4468</v>
      </c>
      <c r="D276" s="575"/>
      <c r="E276" s="578"/>
      <c r="F276" s="575"/>
    </row>
    <row r="277" spans="1:6" ht="15.75">
      <c r="A277" s="575"/>
      <c r="B277" s="576"/>
      <c r="C277" s="1342" t="s">
        <v>117</v>
      </c>
      <c r="D277" s="582" t="s">
        <v>117</v>
      </c>
      <c r="E277" s="578"/>
      <c r="F277" s="575"/>
    </row>
    <row r="278" spans="1:6" ht="15.75">
      <c r="A278" s="575"/>
      <c r="B278" s="576"/>
      <c r="C278" s="633" t="s">
        <v>4469</v>
      </c>
      <c r="D278" s="573" t="s">
        <v>115</v>
      </c>
      <c r="E278" s="578"/>
      <c r="F278" s="573" t="s">
        <v>115</v>
      </c>
    </row>
    <row r="279" spans="1:6" ht="15.75">
      <c r="A279" s="617">
        <v>2</v>
      </c>
      <c r="B279" s="585" t="s">
        <v>148</v>
      </c>
      <c r="C279" s="1344" t="s">
        <v>161</v>
      </c>
      <c r="D279" s="680">
        <v>36.1</v>
      </c>
      <c r="E279" s="573" t="s">
        <v>148</v>
      </c>
      <c r="F279" s="587">
        <f>D279*A279</f>
        <v>72.2</v>
      </c>
    </row>
    <row r="280" spans="1:6" ht="15.75">
      <c r="A280" s="587">
        <v>1.6</v>
      </c>
      <c r="B280" s="585" t="s">
        <v>1</v>
      </c>
      <c r="C280" s="633" t="s">
        <v>145</v>
      </c>
      <c r="D280" s="587">
        <v>718</v>
      </c>
      <c r="E280" s="573" t="s">
        <v>1</v>
      </c>
      <c r="F280" s="587">
        <f>D280*A280</f>
        <v>1148.8</v>
      </c>
    </row>
    <row r="281" spans="1:6" ht="15.75">
      <c r="A281" s="587">
        <v>0.5</v>
      </c>
      <c r="B281" s="585" t="s">
        <v>1</v>
      </c>
      <c r="C281" s="633" t="s">
        <v>146</v>
      </c>
      <c r="D281" s="587">
        <v>502</v>
      </c>
      <c r="E281" s="573" t="s">
        <v>1</v>
      </c>
      <c r="F281" s="587">
        <f>D281*A281</f>
        <v>251</v>
      </c>
    </row>
    <row r="282" spans="1:6" ht="15.75">
      <c r="A282" s="587">
        <v>1.1000000000000001</v>
      </c>
      <c r="B282" s="585" t="s">
        <v>1</v>
      </c>
      <c r="C282" s="633" t="s">
        <v>147</v>
      </c>
      <c r="D282" s="587">
        <v>412</v>
      </c>
      <c r="E282" s="573" t="s">
        <v>1</v>
      </c>
      <c r="F282" s="587">
        <f>D282*A282</f>
        <v>453.20000000000005</v>
      </c>
    </row>
    <row r="283" spans="1:6" ht="15.75">
      <c r="A283" s="575"/>
      <c r="B283" s="585" t="s">
        <v>129</v>
      </c>
      <c r="C283" s="633" t="s">
        <v>130</v>
      </c>
      <c r="D283" s="575"/>
      <c r="E283" s="573" t="s">
        <v>129</v>
      </c>
      <c r="F283" s="587">
        <v>0</v>
      </c>
    </row>
    <row r="284" spans="1:6" ht="15.75">
      <c r="A284" s="575"/>
      <c r="B284" s="576"/>
      <c r="C284" s="731"/>
      <c r="D284" s="575"/>
      <c r="E284" s="578"/>
      <c r="F284" s="582" t="s">
        <v>117</v>
      </c>
    </row>
    <row r="285" spans="1:6" ht="15.75">
      <c r="A285" s="575"/>
      <c r="B285" s="576"/>
      <c r="C285" s="633" t="s">
        <v>153</v>
      </c>
      <c r="D285" s="575"/>
      <c r="E285" s="578"/>
      <c r="F285" s="587">
        <f>SUM(F279:F284)</f>
        <v>1925.2</v>
      </c>
    </row>
    <row r="286" spans="1:6" ht="15.75">
      <c r="A286" s="575"/>
      <c r="B286" s="576"/>
      <c r="C286" s="731"/>
      <c r="D286" s="575"/>
      <c r="E286" s="578"/>
      <c r="F286" s="582" t="s">
        <v>117</v>
      </c>
    </row>
    <row r="287" spans="1:6" ht="15.75">
      <c r="A287" s="575"/>
      <c r="B287" s="576"/>
      <c r="C287" s="1038" t="s">
        <v>154</v>
      </c>
      <c r="D287" s="575"/>
      <c r="E287" s="578"/>
      <c r="F287" s="586">
        <f>F285/10</f>
        <v>192.52</v>
      </c>
    </row>
    <row r="288" spans="1:6" ht="15.75">
      <c r="A288" s="575"/>
      <c r="B288" s="576"/>
      <c r="C288" s="731"/>
      <c r="D288" s="575"/>
      <c r="E288" s="578"/>
      <c r="F288" s="582" t="s">
        <v>155</v>
      </c>
    </row>
    <row r="289" spans="1:6" ht="31.5">
      <c r="A289" s="620">
        <v>22.3</v>
      </c>
      <c r="B289" s="576"/>
      <c r="C289" s="633" t="s">
        <v>1575</v>
      </c>
      <c r="D289" s="575"/>
      <c r="E289" s="578"/>
      <c r="F289" s="575"/>
    </row>
    <row r="290" spans="1:6" ht="15.75">
      <c r="A290" s="575"/>
      <c r="B290" s="576"/>
      <c r="C290" s="1342" t="s">
        <v>117</v>
      </c>
      <c r="D290" s="582" t="s">
        <v>117</v>
      </c>
      <c r="E290" s="573" t="s">
        <v>117</v>
      </c>
      <c r="F290" s="575"/>
    </row>
    <row r="291" spans="1:6" ht="15.75">
      <c r="A291" s="575"/>
      <c r="B291" s="576"/>
      <c r="C291" s="731"/>
      <c r="D291" s="575"/>
      <c r="E291" s="578"/>
      <c r="F291" s="575"/>
    </row>
    <row r="292" spans="1:6" ht="31.5">
      <c r="A292" s="575"/>
      <c r="B292" s="576"/>
      <c r="C292" s="633" t="s">
        <v>1580</v>
      </c>
      <c r="D292" s="575"/>
      <c r="E292" s="578"/>
      <c r="F292" s="575"/>
    </row>
    <row r="293" spans="1:6" ht="31.5">
      <c r="A293" s="575"/>
      <c r="B293" s="576"/>
      <c r="C293" s="633" t="s">
        <v>1582</v>
      </c>
      <c r="D293" s="575"/>
      <c r="E293" s="578"/>
      <c r="F293" s="575"/>
    </row>
    <row r="294" spans="1:6" ht="31.5">
      <c r="A294" s="575"/>
      <c r="B294" s="576"/>
      <c r="C294" s="633" t="s">
        <v>1583</v>
      </c>
      <c r="D294" s="575"/>
      <c r="E294" s="578"/>
      <c r="F294" s="575"/>
    </row>
    <row r="295" spans="1:6" ht="47.25">
      <c r="A295" s="575"/>
      <c r="B295" s="576"/>
      <c r="C295" s="633" t="s">
        <v>1584</v>
      </c>
      <c r="D295" s="575"/>
      <c r="E295" s="578"/>
      <c r="F295" s="575"/>
    </row>
    <row r="296" spans="1:6" ht="31.5">
      <c r="A296" s="575"/>
      <c r="B296" s="576"/>
      <c r="C296" s="633" t="s">
        <v>1585</v>
      </c>
      <c r="D296" s="575"/>
      <c r="E296" s="578"/>
      <c r="F296" s="575"/>
    </row>
    <row r="297" spans="1:6" ht="15.75">
      <c r="A297" s="575"/>
      <c r="B297" s="576"/>
      <c r="C297" s="731"/>
      <c r="D297" s="575"/>
      <c r="E297" s="573" t="s">
        <v>115</v>
      </c>
      <c r="F297" s="651">
        <v>3.32E-2</v>
      </c>
    </row>
    <row r="298" spans="1:6" ht="31.5">
      <c r="A298" s="575"/>
      <c r="B298" s="576"/>
      <c r="C298" s="633" t="s">
        <v>1588</v>
      </c>
      <c r="D298" s="575"/>
      <c r="E298" s="703" t="s">
        <v>115</v>
      </c>
      <c r="F298" s="703" t="s">
        <v>115</v>
      </c>
    </row>
    <row r="299" spans="1:6" ht="31.5">
      <c r="A299" s="575"/>
      <c r="B299" s="576"/>
      <c r="C299" s="633" t="s">
        <v>1590</v>
      </c>
      <c r="D299" s="575"/>
      <c r="E299" s="578"/>
      <c r="F299" s="703" t="s">
        <v>115</v>
      </c>
    </row>
    <row r="300" spans="1:6" ht="15.75">
      <c r="A300" s="575"/>
      <c r="B300" s="576"/>
      <c r="C300" s="731"/>
      <c r="D300" s="575"/>
      <c r="E300" s="578"/>
      <c r="F300" s="575"/>
    </row>
    <row r="301" spans="1:6" ht="31.5">
      <c r="A301" s="708">
        <v>1.18E-2</v>
      </c>
      <c r="B301" s="585" t="s">
        <v>126</v>
      </c>
      <c r="C301" s="633" t="s">
        <v>621</v>
      </c>
      <c r="D301" s="587">
        <v>111600</v>
      </c>
      <c r="E301" s="573" t="s">
        <v>126</v>
      </c>
      <c r="F301" s="587">
        <v>1316.8799999999999</v>
      </c>
    </row>
    <row r="302" spans="1:6" ht="31.5">
      <c r="A302" s="708">
        <v>3.32E-2</v>
      </c>
      <c r="B302" s="585" t="s">
        <v>126</v>
      </c>
      <c r="C302" s="633" t="s">
        <v>622</v>
      </c>
      <c r="D302" s="587">
        <v>99400</v>
      </c>
      <c r="E302" s="573" t="s">
        <v>126</v>
      </c>
      <c r="F302" s="587">
        <v>3300.08</v>
      </c>
    </row>
    <row r="303" spans="1:6" ht="31.5">
      <c r="A303" s="708">
        <v>1.8550000000000001E-2</v>
      </c>
      <c r="B303" s="585" t="s">
        <v>126</v>
      </c>
      <c r="C303" s="633" t="s">
        <v>1591</v>
      </c>
      <c r="D303" s="587">
        <v>10275</v>
      </c>
      <c r="E303" s="573" t="s">
        <v>126</v>
      </c>
      <c r="F303" s="587">
        <v>190.60124999999999</v>
      </c>
    </row>
    <row r="304" spans="1:6" ht="15.75">
      <c r="A304" s="708">
        <v>1.46</v>
      </c>
      <c r="B304" s="585" t="s">
        <v>140</v>
      </c>
      <c r="C304" s="633" t="s">
        <v>1592</v>
      </c>
      <c r="D304" s="722">
        <v>269.10000000000002</v>
      </c>
      <c r="E304" s="573" t="s">
        <v>140</v>
      </c>
      <c r="F304" s="587">
        <v>392.88600000000002</v>
      </c>
    </row>
    <row r="305" spans="1:6" ht="31.5">
      <c r="A305" s="708">
        <v>2.0499999999999998</v>
      </c>
      <c r="B305" s="585" t="s">
        <v>140</v>
      </c>
      <c r="C305" s="633" t="s">
        <v>1593</v>
      </c>
      <c r="D305" s="587">
        <v>963</v>
      </c>
      <c r="E305" s="573" t="s">
        <v>140</v>
      </c>
      <c r="F305" s="587">
        <v>1974.1499999999999</v>
      </c>
    </row>
    <row r="306" spans="1:6" ht="15.75">
      <c r="A306" s="587">
        <v>2</v>
      </c>
      <c r="B306" s="585" t="s">
        <v>209</v>
      </c>
      <c r="C306" s="633" t="s">
        <v>1594</v>
      </c>
      <c r="D306" s="629">
        <v>35.1</v>
      </c>
      <c r="E306" s="573" t="s">
        <v>209</v>
      </c>
      <c r="F306" s="587">
        <v>70.2</v>
      </c>
    </row>
    <row r="307" spans="1:6" ht="15.75">
      <c r="A307" s="587">
        <v>6</v>
      </c>
      <c r="B307" s="585" t="s">
        <v>209</v>
      </c>
      <c r="C307" s="633" t="s">
        <v>1551</v>
      </c>
      <c r="D307" s="587">
        <v>43.6</v>
      </c>
      <c r="E307" s="573" t="s">
        <v>209</v>
      </c>
      <c r="F307" s="587">
        <v>261.60000000000002</v>
      </c>
    </row>
    <row r="308" spans="1:6" ht="31.5">
      <c r="A308" s="587">
        <v>2</v>
      </c>
      <c r="B308" s="585" t="s">
        <v>209</v>
      </c>
      <c r="C308" s="633" t="s">
        <v>3091</v>
      </c>
      <c r="D308" s="593">
        <v>53.8</v>
      </c>
      <c r="E308" s="573" t="s">
        <v>209</v>
      </c>
      <c r="F308" s="587">
        <v>107.6</v>
      </c>
    </row>
    <row r="309" spans="1:6" ht="15.75">
      <c r="A309" s="587">
        <v>1</v>
      </c>
      <c r="B309" s="585" t="s">
        <v>209</v>
      </c>
      <c r="C309" s="1352" t="s">
        <v>1596</v>
      </c>
      <c r="D309" s="680">
        <v>63.2</v>
      </c>
      <c r="E309" s="573" t="s">
        <v>209</v>
      </c>
      <c r="F309" s="587">
        <v>63.2</v>
      </c>
    </row>
    <row r="310" spans="1:6" ht="15.75">
      <c r="A310" s="587">
        <v>2.52</v>
      </c>
      <c r="B310" s="585" t="s">
        <v>140</v>
      </c>
      <c r="C310" s="633" t="s">
        <v>1597</v>
      </c>
      <c r="D310" s="587">
        <v>157.19</v>
      </c>
      <c r="E310" s="573" t="s">
        <v>140</v>
      </c>
      <c r="F310" s="587">
        <v>396.11880000000002</v>
      </c>
    </row>
    <row r="311" spans="1:6" ht="31.5">
      <c r="A311" s="575"/>
      <c r="B311" s="576"/>
      <c r="C311" s="633" t="s">
        <v>1598</v>
      </c>
      <c r="D311" s="1336" t="s">
        <v>129</v>
      </c>
      <c r="E311" s="578"/>
      <c r="F311" s="587">
        <v>0.21</v>
      </c>
    </row>
    <row r="312" spans="1:6" ht="15.75">
      <c r="A312" s="575"/>
      <c r="B312" s="576"/>
      <c r="C312" s="731"/>
      <c r="D312" s="575"/>
      <c r="E312" s="578"/>
      <c r="F312" s="582" t="s">
        <v>117</v>
      </c>
    </row>
    <row r="313" spans="1:6" ht="15.75">
      <c r="A313" s="575"/>
      <c r="B313" s="576"/>
      <c r="C313" s="1337" t="s">
        <v>1599</v>
      </c>
      <c r="D313" s="575"/>
      <c r="E313" s="578"/>
      <c r="F313" s="587">
        <v>8073.5260500000004</v>
      </c>
    </row>
    <row r="314" spans="1:6" ht="15.75">
      <c r="A314" s="575"/>
      <c r="B314" s="585" t="s">
        <v>115</v>
      </c>
      <c r="C314" s="731"/>
      <c r="D314" s="575"/>
      <c r="E314" s="578"/>
      <c r="F314" s="582" t="s">
        <v>117</v>
      </c>
    </row>
    <row r="315" spans="1:6" ht="15.75">
      <c r="A315" s="575"/>
      <c r="B315" s="576"/>
      <c r="C315" s="1038" t="s">
        <v>154</v>
      </c>
      <c r="D315" s="575"/>
      <c r="E315" s="578"/>
      <c r="F315" s="586">
        <v>3203.7801785714287</v>
      </c>
    </row>
    <row r="316" spans="1:6" ht="15.75">
      <c r="A316" s="575"/>
      <c r="B316" s="576"/>
      <c r="C316" s="731"/>
      <c r="D316" s="575"/>
      <c r="E316" s="578"/>
      <c r="F316" s="582" t="s">
        <v>155</v>
      </c>
    </row>
    <row r="317" spans="1:6" ht="15.75">
      <c r="A317" s="607">
        <v>9</v>
      </c>
      <c r="B317" s="585" t="s">
        <v>122</v>
      </c>
      <c r="C317" s="573" t="s">
        <v>742</v>
      </c>
      <c r="D317" s="575"/>
      <c r="E317" s="578"/>
      <c r="F317" s="575"/>
    </row>
    <row r="318" spans="1:6" ht="15.75">
      <c r="A318" s="575"/>
      <c r="B318" s="576"/>
      <c r="C318" s="573" t="s">
        <v>726</v>
      </c>
      <c r="D318" s="575"/>
      <c r="E318" s="578"/>
      <c r="F318" s="575"/>
    </row>
    <row r="319" spans="1:6" ht="15.75">
      <c r="A319" s="575"/>
      <c r="B319" s="576"/>
      <c r="C319" s="582" t="s">
        <v>117</v>
      </c>
      <c r="D319" s="575"/>
      <c r="E319" s="578"/>
      <c r="F319" s="575"/>
    </row>
    <row r="320" spans="1:6" ht="15.75">
      <c r="A320" s="587">
        <v>4240</v>
      </c>
      <c r="B320" s="585" t="s">
        <v>467</v>
      </c>
      <c r="C320" s="587" t="s">
        <v>726</v>
      </c>
      <c r="D320" s="587">
        <v>6912.72</v>
      </c>
      <c r="E320" s="573" t="s">
        <v>468</v>
      </c>
      <c r="F320" s="587">
        <v>29309.932800000002</v>
      </c>
    </row>
    <row r="321" spans="1:6" ht="15.75">
      <c r="A321" s="587">
        <v>2</v>
      </c>
      <c r="B321" s="585" t="s">
        <v>126</v>
      </c>
      <c r="C321" s="573" t="s">
        <v>136</v>
      </c>
      <c r="D321" s="587">
        <v>2801.8</v>
      </c>
      <c r="E321" s="573" t="s">
        <v>126</v>
      </c>
      <c r="F321" s="587">
        <v>5603.6</v>
      </c>
    </row>
    <row r="322" spans="1:6" ht="15.75">
      <c r="A322" s="587">
        <v>3.5</v>
      </c>
      <c r="B322" s="585" t="s">
        <v>209</v>
      </c>
      <c r="C322" s="573" t="s">
        <v>144</v>
      </c>
      <c r="D322" s="587">
        <v>769</v>
      </c>
      <c r="E322" s="573" t="s">
        <v>209</v>
      </c>
      <c r="F322" s="587">
        <v>2691.5</v>
      </c>
    </row>
    <row r="323" spans="1:6" ht="15.75">
      <c r="A323" s="587">
        <v>10.6</v>
      </c>
      <c r="B323" s="585" t="s">
        <v>209</v>
      </c>
      <c r="C323" s="573" t="s">
        <v>145</v>
      </c>
      <c r="D323" s="587">
        <v>718</v>
      </c>
      <c r="E323" s="573" t="s">
        <v>209</v>
      </c>
      <c r="F323" s="587">
        <v>7610.8</v>
      </c>
    </row>
    <row r="324" spans="1:6" ht="15.75">
      <c r="A324" s="587">
        <v>7.1</v>
      </c>
      <c r="B324" s="585" t="s">
        <v>209</v>
      </c>
      <c r="C324" s="573" t="s">
        <v>146</v>
      </c>
      <c r="D324" s="587">
        <v>502</v>
      </c>
      <c r="E324" s="573" t="s">
        <v>209</v>
      </c>
      <c r="F324" s="587">
        <v>3564.2</v>
      </c>
    </row>
    <row r="325" spans="1:6" ht="15.75">
      <c r="A325" s="587">
        <v>21.2</v>
      </c>
      <c r="B325" s="585" t="s">
        <v>209</v>
      </c>
      <c r="C325" s="573" t="s">
        <v>147</v>
      </c>
      <c r="D325" s="587">
        <v>412</v>
      </c>
      <c r="E325" s="573" t="s">
        <v>209</v>
      </c>
      <c r="F325" s="587">
        <v>8734.4</v>
      </c>
    </row>
    <row r="326" spans="1:6" ht="15.75">
      <c r="A326" s="575"/>
      <c r="B326" s="585" t="s">
        <v>129</v>
      </c>
      <c r="C326" s="573" t="s">
        <v>130</v>
      </c>
      <c r="D326" s="575"/>
      <c r="E326" s="573" t="s">
        <v>129</v>
      </c>
      <c r="F326" s="587">
        <v>0</v>
      </c>
    </row>
    <row r="327" spans="1:6" ht="15.75">
      <c r="A327" s="575"/>
      <c r="B327" s="576"/>
      <c r="C327" s="575"/>
      <c r="D327" s="575"/>
      <c r="E327" s="578"/>
      <c r="F327" s="582" t="s">
        <v>117</v>
      </c>
    </row>
    <row r="328" spans="1:6" ht="15.75">
      <c r="A328" s="575"/>
      <c r="B328" s="576"/>
      <c r="C328" s="573" t="s">
        <v>455</v>
      </c>
      <c r="D328" s="575"/>
      <c r="E328" s="578"/>
      <c r="F328" s="587">
        <v>57514.432800000002</v>
      </c>
    </row>
    <row r="329" spans="1:6" ht="15.75">
      <c r="A329" s="575"/>
      <c r="B329" s="576"/>
      <c r="C329" s="575"/>
      <c r="D329" s="575"/>
      <c r="E329" s="578"/>
      <c r="F329" s="582" t="s">
        <v>117</v>
      </c>
    </row>
    <row r="330" spans="1:6" ht="15.75">
      <c r="A330" s="575"/>
      <c r="B330" s="576"/>
      <c r="C330" s="1336" t="s">
        <v>383</v>
      </c>
      <c r="D330" s="575"/>
      <c r="E330" s="578"/>
      <c r="F330" s="587">
        <v>5751.4432800000004</v>
      </c>
    </row>
    <row r="331" spans="1:6" ht="15.75">
      <c r="A331" s="575"/>
      <c r="B331" s="576"/>
      <c r="C331" s="575"/>
      <c r="D331" s="575"/>
      <c r="E331" s="578"/>
      <c r="F331" s="582" t="s">
        <v>155</v>
      </c>
    </row>
    <row r="332" spans="1:6" ht="15.75">
      <c r="A332" s="575"/>
      <c r="B332" s="576"/>
      <c r="C332" s="573" t="s">
        <v>482</v>
      </c>
      <c r="D332" s="575"/>
      <c r="E332" s="578"/>
      <c r="F332" s="586">
        <v>5810.6432800000002</v>
      </c>
    </row>
    <row r="333" spans="1:6" ht="15.75">
      <c r="A333" s="575"/>
      <c r="B333" s="576"/>
      <c r="C333" s="573" t="s">
        <v>486</v>
      </c>
      <c r="D333" s="575"/>
      <c r="E333" s="578"/>
      <c r="F333" s="586">
        <v>5929.9432800000004</v>
      </c>
    </row>
    <row r="334" spans="1:6" ht="15.75">
      <c r="A334" s="575"/>
      <c r="B334" s="576"/>
      <c r="C334" s="573" t="s">
        <v>489</v>
      </c>
      <c r="D334" s="575"/>
      <c r="E334" s="578"/>
      <c r="F334" s="586">
        <v>6049.2432800000006</v>
      </c>
    </row>
    <row r="336" spans="1:6" ht="15.75">
      <c r="A336" s="822">
        <v>52</v>
      </c>
      <c r="B336" s="585" t="s">
        <v>122</v>
      </c>
      <c r="C336" s="573" t="s">
        <v>1984</v>
      </c>
      <c r="D336" s="575"/>
      <c r="E336" s="578"/>
      <c r="F336" s="575"/>
    </row>
    <row r="337" spans="1:6" ht="15.75">
      <c r="A337" s="575"/>
      <c r="B337" s="576"/>
      <c r="C337" s="573" t="s">
        <v>1985</v>
      </c>
      <c r="D337" s="575"/>
      <c r="E337" s="578"/>
      <c r="F337" s="575"/>
    </row>
    <row r="338" spans="1:6" ht="15.75">
      <c r="A338" s="575"/>
      <c r="B338" s="576"/>
      <c r="C338" s="573" t="s">
        <v>1987</v>
      </c>
      <c r="D338" s="575"/>
      <c r="E338" s="578"/>
      <c r="F338" s="575"/>
    </row>
    <row r="339" spans="1:6" ht="15.75">
      <c r="A339" s="575"/>
      <c r="B339" s="576"/>
      <c r="C339" s="573" t="s">
        <v>1989</v>
      </c>
      <c r="D339" s="575"/>
      <c r="E339" s="578"/>
      <c r="F339" s="575"/>
    </row>
    <row r="340" spans="1:6" ht="15.75">
      <c r="A340" s="575"/>
      <c r="B340" s="576"/>
      <c r="C340" s="573" t="s">
        <v>1990</v>
      </c>
      <c r="D340" s="575"/>
      <c r="E340" s="578"/>
      <c r="F340" s="575"/>
    </row>
    <row r="341" spans="1:6" ht="15.75">
      <c r="A341" s="575"/>
      <c r="B341" s="576"/>
      <c r="C341" s="573" t="s">
        <v>1991</v>
      </c>
      <c r="D341" s="575"/>
      <c r="E341" s="578"/>
      <c r="F341" s="575"/>
    </row>
    <row r="342" spans="1:6" ht="15.75">
      <c r="A342" s="575"/>
      <c r="B342" s="576"/>
      <c r="C342" s="573" t="s">
        <v>1992</v>
      </c>
      <c r="D342" s="575"/>
      <c r="E342" s="578"/>
      <c r="F342" s="575"/>
    </row>
    <row r="343" spans="1:6" ht="15.75">
      <c r="A343" s="575"/>
      <c r="B343" s="576"/>
      <c r="C343" s="573" t="s">
        <v>1993</v>
      </c>
      <c r="D343" s="575"/>
      <c r="E343" s="578"/>
      <c r="F343" s="575"/>
    </row>
    <row r="344" spans="1:6" ht="15.75">
      <c r="A344" s="575"/>
      <c r="B344" s="576"/>
      <c r="C344" s="582" t="s">
        <v>155</v>
      </c>
      <c r="D344" s="582" t="s">
        <v>155</v>
      </c>
      <c r="E344" s="578"/>
      <c r="F344" s="575"/>
    </row>
    <row r="345" spans="1:6" ht="15.75">
      <c r="A345" s="575"/>
      <c r="B345" s="585" t="s">
        <v>122</v>
      </c>
      <c r="C345" s="573" t="s">
        <v>1994</v>
      </c>
      <c r="D345" s="575"/>
      <c r="E345" s="578"/>
      <c r="F345" s="575"/>
    </row>
    <row r="346" spans="1:6" ht="15.75">
      <c r="A346" s="575"/>
      <c r="B346" s="576"/>
      <c r="C346" s="573" t="s">
        <v>1995</v>
      </c>
      <c r="D346" s="575"/>
      <c r="E346" s="578"/>
      <c r="F346" s="575"/>
    </row>
    <row r="347" spans="1:6" ht="15.75">
      <c r="A347" s="575"/>
      <c r="B347" s="585" t="s">
        <v>1258</v>
      </c>
      <c r="C347" s="573" t="s">
        <v>1996</v>
      </c>
      <c r="D347" s="575"/>
      <c r="E347" s="578"/>
      <c r="F347" s="575"/>
    </row>
    <row r="348" spans="1:6" ht="15.75">
      <c r="A348" s="575"/>
      <c r="B348" s="576"/>
      <c r="C348" s="582" t="s">
        <v>117</v>
      </c>
      <c r="D348" s="575"/>
      <c r="E348" s="578"/>
      <c r="F348" s="575"/>
    </row>
    <row r="349" spans="1:6" ht="15.75">
      <c r="A349" s="587">
        <v>1</v>
      </c>
      <c r="B349" s="585" t="s">
        <v>231</v>
      </c>
      <c r="C349" s="573" t="s">
        <v>1997</v>
      </c>
      <c r="D349" s="587">
        <v>26</v>
      </c>
      <c r="E349" s="573" t="s">
        <v>231</v>
      </c>
      <c r="F349" s="587">
        <v>26</v>
      </c>
    </row>
    <row r="350" spans="1:6" ht="15.75">
      <c r="A350" s="587">
        <v>1</v>
      </c>
      <c r="B350" s="585" t="s">
        <v>129</v>
      </c>
      <c r="C350" s="573" t="s">
        <v>1998</v>
      </c>
      <c r="D350" s="587">
        <v>18.2</v>
      </c>
      <c r="E350" s="573" t="s">
        <v>129</v>
      </c>
      <c r="F350" s="587">
        <v>18.2</v>
      </c>
    </row>
    <row r="351" spans="1:6" ht="15.75">
      <c r="A351" s="587">
        <v>1</v>
      </c>
      <c r="B351" s="585" t="s">
        <v>231</v>
      </c>
      <c r="C351" s="573" t="s">
        <v>1999</v>
      </c>
      <c r="D351" s="587">
        <v>143.57999999999998</v>
      </c>
      <c r="E351" s="573" t="s">
        <v>231</v>
      </c>
      <c r="F351" s="587">
        <v>143.57999999999998</v>
      </c>
    </row>
    <row r="352" spans="1:6" ht="15.75">
      <c r="A352" s="575"/>
      <c r="B352" s="576"/>
      <c r="C352" s="575"/>
      <c r="D352" s="573" t="s">
        <v>115</v>
      </c>
      <c r="E352" s="578"/>
      <c r="F352" s="582" t="s">
        <v>117</v>
      </c>
    </row>
    <row r="353" spans="1:6" ht="15.75">
      <c r="A353" s="575"/>
      <c r="B353" s="576"/>
      <c r="C353" s="573" t="s">
        <v>2000</v>
      </c>
      <c r="D353" s="575" t="s">
        <v>3101</v>
      </c>
      <c r="E353" s="578"/>
      <c r="F353" s="586">
        <v>187.77999999999997</v>
      </c>
    </row>
    <row r="354" spans="1:6" ht="15.75">
      <c r="A354" s="575"/>
      <c r="B354" s="576"/>
      <c r="C354" s="573" t="s">
        <v>115</v>
      </c>
      <c r="D354" s="573" t="s">
        <v>115</v>
      </c>
      <c r="E354" s="578"/>
      <c r="F354" s="582" t="s">
        <v>155</v>
      </c>
    </row>
    <row r="355" spans="1:6" ht="15.75">
      <c r="A355" s="575"/>
      <c r="B355" s="585" t="s">
        <v>1225</v>
      </c>
      <c r="C355" s="573" t="s">
        <v>2002</v>
      </c>
      <c r="D355" s="575"/>
      <c r="E355" s="578"/>
      <c r="F355" s="575"/>
    </row>
    <row r="356" spans="1:6" ht="15.75">
      <c r="A356" s="575"/>
      <c r="B356" s="576"/>
      <c r="C356" s="582" t="s">
        <v>117</v>
      </c>
      <c r="D356" s="575"/>
      <c r="E356" s="578"/>
      <c r="F356" s="575"/>
    </row>
    <row r="357" spans="1:6" ht="15.75">
      <c r="A357" s="587">
        <v>1</v>
      </c>
      <c r="B357" s="585" t="s">
        <v>231</v>
      </c>
      <c r="C357" s="573" t="s">
        <v>2004</v>
      </c>
      <c r="D357" s="587">
        <v>35</v>
      </c>
      <c r="E357" s="573" t="s">
        <v>231</v>
      </c>
      <c r="F357" s="587">
        <v>35</v>
      </c>
    </row>
    <row r="358" spans="1:6" ht="15.75">
      <c r="A358" s="587">
        <v>1</v>
      </c>
      <c r="B358" s="585" t="s">
        <v>129</v>
      </c>
      <c r="C358" s="573" t="s">
        <v>2006</v>
      </c>
      <c r="D358" s="587">
        <v>14</v>
      </c>
      <c r="E358" s="573" t="s">
        <v>129</v>
      </c>
      <c r="F358" s="587">
        <v>14</v>
      </c>
    </row>
    <row r="359" spans="1:6" ht="15.75">
      <c r="A359" s="587">
        <v>1</v>
      </c>
      <c r="B359" s="585" t="s">
        <v>231</v>
      </c>
      <c r="C359" s="573" t="s">
        <v>1999</v>
      </c>
      <c r="D359" s="587">
        <v>143.56666666666666</v>
      </c>
      <c r="E359" s="573" t="s">
        <v>231</v>
      </c>
      <c r="F359" s="587">
        <v>143.56666666666666</v>
      </c>
    </row>
    <row r="360" spans="1:6" ht="15.75">
      <c r="A360" s="575"/>
      <c r="B360" s="576"/>
      <c r="C360" s="575"/>
      <c r="D360" s="573" t="s">
        <v>115</v>
      </c>
      <c r="E360" s="578"/>
      <c r="F360" s="582" t="s">
        <v>117</v>
      </c>
    </row>
    <row r="361" spans="1:6" ht="15.75">
      <c r="A361" s="575"/>
      <c r="B361" s="576"/>
      <c r="C361" s="573" t="s">
        <v>2000</v>
      </c>
      <c r="D361" s="575"/>
      <c r="E361" s="578"/>
      <c r="F361" s="586">
        <v>192.56666666666666</v>
      </c>
    </row>
    <row r="362" spans="1:6" ht="15.75">
      <c r="A362" s="575"/>
      <c r="B362" s="576"/>
      <c r="C362" s="575"/>
      <c r="D362" s="573" t="s">
        <v>115</v>
      </c>
      <c r="E362" s="578"/>
      <c r="F362" s="582" t="s">
        <v>155</v>
      </c>
    </row>
    <row r="363" spans="1:6" ht="15.75">
      <c r="A363" s="575"/>
      <c r="B363" s="585" t="s">
        <v>1196</v>
      </c>
      <c r="C363" s="573" t="s">
        <v>2007</v>
      </c>
      <c r="D363" s="575"/>
      <c r="E363" s="578"/>
      <c r="F363" s="575"/>
    </row>
    <row r="364" spans="1:6" ht="15.75">
      <c r="A364" s="575"/>
      <c r="B364" s="576"/>
      <c r="C364" s="582" t="s">
        <v>117</v>
      </c>
      <c r="D364" s="575"/>
      <c r="E364" s="578"/>
      <c r="F364" s="575"/>
    </row>
    <row r="365" spans="1:6" ht="15.75">
      <c r="A365" s="587">
        <v>1</v>
      </c>
      <c r="B365" s="585" t="s">
        <v>231</v>
      </c>
      <c r="C365" s="573" t="s">
        <v>2009</v>
      </c>
      <c r="D365" s="587">
        <v>52</v>
      </c>
      <c r="E365" s="573" t="s">
        <v>231</v>
      </c>
      <c r="F365" s="587">
        <v>52</v>
      </c>
    </row>
    <row r="366" spans="1:6" ht="15.75">
      <c r="A366" s="587">
        <v>1</v>
      </c>
      <c r="B366" s="585" t="s">
        <v>129</v>
      </c>
      <c r="C366" s="573" t="s">
        <v>2005</v>
      </c>
      <c r="D366" s="587">
        <v>10.4</v>
      </c>
      <c r="E366" s="573" t="s">
        <v>129</v>
      </c>
      <c r="F366" s="587">
        <v>10.4</v>
      </c>
    </row>
    <row r="367" spans="1:6" ht="15.75">
      <c r="A367" s="587">
        <v>1</v>
      </c>
      <c r="B367" s="585" t="s">
        <v>231</v>
      </c>
      <c r="C367" s="573" t="s">
        <v>1999</v>
      </c>
      <c r="D367" s="587">
        <v>146.91333333333333</v>
      </c>
      <c r="E367" s="573" t="s">
        <v>231</v>
      </c>
      <c r="F367" s="587">
        <v>146.91333333333333</v>
      </c>
    </row>
    <row r="368" spans="1:6" ht="15.75">
      <c r="A368" s="575"/>
      <c r="B368" s="576"/>
      <c r="C368" s="575"/>
      <c r="D368" s="573" t="s">
        <v>115</v>
      </c>
      <c r="E368" s="578"/>
      <c r="F368" s="582" t="s">
        <v>117</v>
      </c>
    </row>
    <row r="369" spans="1:6" ht="15.75">
      <c r="A369" s="575"/>
      <c r="B369" s="576"/>
      <c r="C369" s="573" t="s">
        <v>2000</v>
      </c>
      <c r="D369" s="575"/>
      <c r="E369" s="578"/>
      <c r="F369" s="586">
        <v>209.31333333333333</v>
      </c>
    </row>
    <row r="370" spans="1:6" ht="15.75">
      <c r="A370" s="575"/>
      <c r="B370" s="576"/>
      <c r="C370" s="575"/>
      <c r="D370" s="573" t="s">
        <v>115</v>
      </c>
      <c r="E370" s="578"/>
      <c r="F370" s="582" t="s">
        <v>155</v>
      </c>
    </row>
    <row r="371" spans="1:6" ht="15.75">
      <c r="A371" s="1341" t="s">
        <v>416</v>
      </c>
      <c r="B371" s="585" t="s">
        <v>122</v>
      </c>
      <c r="C371" s="573" t="s">
        <v>1626</v>
      </c>
      <c r="D371" s="575"/>
      <c r="E371" s="578"/>
      <c r="F371" s="575"/>
    </row>
    <row r="372" spans="1:6" ht="15.75">
      <c r="A372" s="575"/>
      <c r="B372" s="576"/>
      <c r="C372" s="573" t="s">
        <v>1678</v>
      </c>
      <c r="D372" s="575"/>
      <c r="E372" s="578"/>
      <c r="F372" s="575"/>
    </row>
    <row r="373" spans="1:6" ht="15.75">
      <c r="A373" s="575"/>
      <c r="B373" s="576"/>
      <c r="C373" s="573" t="s">
        <v>1679</v>
      </c>
      <c r="D373" s="575"/>
      <c r="E373" s="578"/>
      <c r="F373" s="575"/>
    </row>
    <row r="374" spans="1:6" ht="15.75">
      <c r="A374" s="575"/>
      <c r="B374" s="576"/>
      <c r="C374" s="573" t="s">
        <v>4470</v>
      </c>
      <c r="D374" s="575"/>
      <c r="E374" s="578"/>
      <c r="F374" s="575"/>
    </row>
    <row r="375" spans="1:6" ht="15.75">
      <c r="A375" s="575"/>
      <c r="B375" s="576"/>
      <c r="C375" s="582" t="s">
        <v>117</v>
      </c>
      <c r="D375" s="575"/>
      <c r="E375" s="578"/>
      <c r="F375" s="575"/>
    </row>
    <row r="376" spans="1:6" ht="15.75">
      <c r="A376" s="587">
        <v>0.24</v>
      </c>
      <c r="B376" s="585" t="s">
        <v>126</v>
      </c>
      <c r="C376" s="573" t="s">
        <v>1683</v>
      </c>
      <c r="D376" s="587">
        <v>973.3599999999999</v>
      </c>
      <c r="E376" s="573" t="s">
        <v>126</v>
      </c>
      <c r="F376" s="587">
        <v>233.60639999999998</v>
      </c>
    </row>
    <row r="377" spans="1:6" ht="15.75">
      <c r="A377" s="617">
        <v>0.11700000000000001</v>
      </c>
      <c r="B377" s="585" t="s">
        <v>124</v>
      </c>
      <c r="C377" s="573" t="s">
        <v>125</v>
      </c>
      <c r="D377" s="587">
        <v>5800</v>
      </c>
      <c r="E377" s="573" t="s">
        <v>124</v>
      </c>
      <c r="F377" s="587">
        <v>678.6</v>
      </c>
    </row>
    <row r="378" spans="1:6" ht="15.75">
      <c r="A378" s="587">
        <v>0.5</v>
      </c>
      <c r="B378" s="585" t="s">
        <v>1</v>
      </c>
      <c r="C378" s="573" t="s">
        <v>144</v>
      </c>
      <c r="D378" s="587">
        <v>769</v>
      </c>
      <c r="E378" s="573" t="s">
        <v>1</v>
      </c>
      <c r="F378" s="587">
        <v>384.5</v>
      </c>
    </row>
    <row r="379" spans="1:6" ht="15.75">
      <c r="A379" s="587">
        <v>1.1000000000000001</v>
      </c>
      <c r="B379" s="585" t="s">
        <v>1</v>
      </c>
      <c r="C379" s="573" t="s">
        <v>1628</v>
      </c>
      <c r="D379" s="587">
        <v>502</v>
      </c>
      <c r="E379" s="573" t="s">
        <v>1</v>
      </c>
      <c r="F379" s="587">
        <v>552.20000000000005</v>
      </c>
    </row>
    <row r="380" spans="1:6" ht="15.75">
      <c r="A380" s="587">
        <v>4.3</v>
      </c>
      <c r="B380" s="585" t="s">
        <v>1</v>
      </c>
      <c r="C380" s="573" t="s">
        <v>147</v>
      </c>
      <c r="D380" s="587">
        <v>412</v>
      </c>
      <c r="E380" s="573" t="s">
        <v>1</v>
      </c>
      <c r="F380" s="587">
        <v>1771.6</v>
      </c>
    </row>
    <row r="381" spans="1:6" ht="15.75">
      <c r="A381" s="575"/>
      <c r="B381" s="585" t="s">
        <v>129</v>
      </c>
      <c r="C381" s="573" t="s">
        <v>130</v>
      </c>
      <c r="D381" s="575"/>
      <c r="E381" s="573" t="s">
        <v>129</v>
      </c>
      <c r="F381" s="587">
        <v>0</v>
      </c>
    </row>
    <row r="382" spans="1:6" ht="15.75">
      <c r="A382" s="575"/>
      <c r="B382" s="576"/>
      <c r="C382" s="575"/>
      <c r="D382" s="575"/>
      <c r="E382" s="578"/>
      <c r="F382" s="582" t="s">
        <v>117</v>
      </c>
    </row>
    <row r="383" spans="1:6" ht="15.75">
      <c r="A383" s="575"/>
      <c r="B383" s="576"/>
      <c r="C383" s="573" t="s">
        <v>153</v>
      </c>
      <c r="D383" s="575"/>
      <c r="E383" s="578"/>
      <c r="F383" s="587">
        <v>3620.5064000000002</v>
      </c>
    </row>
    <row r="384" spans="1:6" ht="15.75">
      <c r="A384" s="575"/>
      <c r="B384" s="576"/>
      <c r="C384" s="575"/>
      <c r="D384" s="575"/>
      <c r="E384" s="578"/>
      <c r="F384" s="582" t="s">
        <v>117</v>
      </c>
    </row>
    <row r="385" spans="1:6" ht="15.75">
      <c r="A385" s="575"/>
      <c r="B385" s="576"/>
      <c r="C385" s="589" t="s">
        <v>154</v>
      </c>
      <c r="D385" s="575"/>
      <c r="E385" s="578"/>
      <c r="F385" s="586">
        <v>362.05064000000004</v>
      </c>
    </row>
    <row r="387" spans="1:6" ht="15.75">
      <c r="A387" s="852"/>
      <c r="B387" s="852"/>
      <c r="C387" s="1230" t="s">
        <v>4388</v>
      </c>
      <c r="D387" s="852"/>
      <c r="E387" s="852"/>
      <c r="F387" s="852"/>
    </row>
    <row r="388" spans="1:6" ht="15.75">
      <c r="A388" s="852"/>
      <c r="B388" s="852"/>
      <c r="C388" s="852"/>
      <c r="D388" s="852"/>
      <c r="E388" s="852"/>
      <c r="F388" s="852"/>
    </row>
    <row r="389" spans="1:6" ht="189">
      <c r="A389" s="852"/>
      <c r="B389" s="852"/>
      <c r="C389" s="1220" t="s">
        <v>3974</v>
      </c>
      <c r="D389" s="852"/>
      <c r="E389" s="852"/>
      <c r="F389" s="852"/>
    </row>
    <row r="390" spans="1:6" ht="15.75">
      <c r="A390" s="852"/>
      <c r="B390" s="852"/>
      <c r="C390" s="852"/>
      <c r="D390" s="852"/>
      <c r="E390" s="852"/>
      <c r="F390" s="852"/>
    </row>
    <row r="391" spans="1:6" ht="15.75">
      <c r="A391" s="852"/>
      <c r="B391" s="852"/>
      <c r="C391" s="852" t="s">
        <v>4380</v>
      </c>
      <c r="D391" s="852"/>
      <c r="E391" s="852"/>
      <c r="F391" s="852">
        <v>9539.9</v>
      </c>
    </row>
    <row r="392" spans="1:6" ht="47.25">
      <c r="A392" s="852">
        <v>360</v>
      </c>
      <c r="B392" s="852" t="s">
        <v>231</v>
      </c>
      <c r="C392" s="1220" t="s">
        <v>4389</v>
      </c>
      <c r="D392" s="1223">
        <v>33.299999999999997</v>
      </c>
      <c r="E392" s="852" t="s">
        <v>231</v>
      </c>
      <c r="F392" s="852">
        <v>11987.999999999998</v>
      </c>
    </row>
    <row r="393" spans="1:6" ht="31.5">
      <c r="A393" s="852">
        <v>180</v>
      </c>
      <c r="B393" s="852" t="s">
        <v>231</v>
      </c>
      <c r="C393" s="1220" t="s">
        <v>3977</v>
      </c>
      <c r="D393" s="1223">
        <v>13.5</v>
      </c>
      <c r="E393" s="852" t="s">
        <v>3834</v>
      </c>
      <c r="F393" s="852">
        <v>2430</v>
      </c>
    </row>
    <row r="394" spans="1:6" ht="15.75">
      <c r="A394" s="852"/>
      <c r="B394" s="852"/>
      <c r="C394" s="852" t="s">
        <v>236</v>
      </c>
      <c r="D394" s="852"/>
      <c r="E394" s="852"/>
      <c r="F394" s="852"/>
    </row>
    <row r="395" spans="1:6" ht="15.75">
      <c r="A395" s="852"/>
      <c r="B395" s="852"/>
      <c r="C395" s="1227" t="s">
        <v>3978</v>
      </c>
      <c r="D395" s="852"/>
      <c r="E395" s="852"/>
      <c r="F395" s="1228">
        <v>19097.899999999998</v>
      </c>
    </row>
    <row r="396" spans="1:6" ht="15.75">
      <c r="A396" s="852"/>
      <c r="B396" s="852"/>
      <c r="C396" s="1229" t="s">
        <v>3970</v>
      </c>
      <c r="D396" s="852"/>
      <c r="E396" s="852"/>
      <c r="F396" s="1230">
        <v>212.19888888888886</v>
      </c>
    </row>
    <row r="398" spans="1:6" ht="15.75">
      <c r="A398" s="575"/>
      <c r="B398" s="576"/>
      <c r="C398" s="573" t="s">
        <v>4471</v>
      </c>
      <c r="D398" s="575"/>
      <c r="E398" s="1355"/>
      <c r="F398" s="575"/>
    </row>
    <row r="399" spans="1:6" ht="15.75">
      <c r="A399" s="575"/>
      <c r="B399" s="576"/>
      <c r="C399" s="573" t="s">
        <v>2258</v>
      </c>
      <c r="D399" s="575"/>
      <c r="E399" s="1355"/>
      <c r="F399" s="575"/>
    </row>
    <row r="400" spans="1:6" ht="15.75">
      <c r="A400" s="575"/>
      <c r="B400" s="576"/>
      <c r="C400" s="573" t="s">
        <v>2261</v>
      </c>
      <c r="D400" s="575"/>
      <c r="E400" s="1355"/>
      <c r="F400" s="575"/>
    </row>
    <row r="401" spans="1:6" ht="15.75">
      <c r="A401" s="575"/>
      <c r="B401" s="576"/>
      <c r="C401" s="573" t="s">
        <v>2262</v>
      </c>
      <c r="D401" s="575"/>
      <c r="E401" s="1355"/>
      <c r="F401" s="575"/>
    </row>
    <row r="402" spans="1:6" ht="15.75">
      <c r="A402" s="575"/>
      <c r="B402" s="576"/>
      <c r="C402" s="582" t="s">
        <v>117</v>
      </c>
      <c r="D402" s="582" t="s">
        <v>117</v>
      </c>
      <c r="E402" s="1355"/>
      <c r="F402" s="587"/>
    </row>
    <row r="403" spans="1:6" ht="15.75">
      <c r="A403" s="575">
        <v>8</v>
      </c>
      <c r="B403" s="585" t="s">
        <v>1576</v>
      </c>
      <c r="C403" s="573" t="s">
        <v>2264</v>
      </c>
      <c r="D403" s="866">
        <v>4.0999999999999996</v>
      </c>
      <c r="E403" s="1354" t="s">
        <v>227</v>
      </c>
      <c r="F403" s="587">
        <f>D403*A403</f>
        <v>32.799999999999997</v>
      </c>
    </row>
    <row r="404" spans="1:6" ht="15.75">
      <c r="A404" s="575">
        <v>8</v>
      </c>
      <c r="B404" s="585" t="s">
        <v>1576</v>
      </c>
      <c r="C404" s="573" t="s">
        <v>2265</v>
      </c>
      <c r="D404" s="866">
        <v>3.69</v>
      </c>
      <c r="E404" s="1354" t="s">
        <v>227</v>
      </c>
      <c r="F404" s="587">
        <v>29.52</v>
      </c>
    </row>
    <row r="405" spans="1:6" ht="15.75">
      <c r="A405" s="575">
        <v>8</v>
      </c>
      <c r="B405" s="585" t="s">
        <v>1576</v>
      </c>
      <c r="C405" s="573" t="s">
        <v>2266</v>
      </c>
      <c r="D405" s="866">
        <v>4.0999999999999996</v>
      </c>
      <c r="E405" s="1354" t="s">
        <v>227</v>
      </c>
      <c r="F405" s="587">
        <v>32.799999999999997</v>
      </c>
    </row>
    <row r="406" spans="1:6" ht="15.75">
      <c r="A406" s="575">
        <v>0.75</v>
      </c>
      <c r="B406" s="585" t="s">
        <v>148</v>
      </c>
      <c r="C406" s="573" t="s">
        <v>2267</v>
      </c>
      <c r="D406" s="615">
        <v>176.4</v>
      </c>
      <c r="E406" s="1354" t="s">
        <v>227</v>
      </c>
      <c r="F406" s="587">
        <v>132.30000000000001</v>
      </c>
    </row>
    <row r="407" spans="1:6" ht="15.75">
      <c r="A407" s="575">
        <v>2.25</v>
      </c>
      <c r="B407" s="585" t="s">
        <v>2268</v>
      </c>
      <c r="C407" s="573" t="s">
        <v>2269</v>
      </c>
      <c r="D407" s="615">
        <v>140.41</v>
      </c>
      <c r="E407" s="1354" t="s">
        <v>2268</v>
      </c>
      <c r="F407" s="587">
        <v>315.92250000000001</v>
      </c>
    </row>
    <row r="408" spans="1:6" ht="15.75">
      <c r="A408" s="575">
        <v>4.5</v>
      </c>
      <c r="B408" s="585" t="s">
        <v>2268</v>
      </c>
      <c r="C408" s="573" t="s">
        <v>2270</v>
      </c>
      <c r="D408" s="615">
        <v>65</v>
      </c>
      <c r="E408" s="1354" t="s">
        <v>2268</v>
      </c>
      <c r="F408" s="587">
        <v>292.5</v>
      </c>
    </row>
    <row r="409" spans="1:6" ht="15.75">
      <c r="A409" s="575">
        <v>6</v>
      </c>
      <c r="B409" s="585" t="s">
        <v>1576</v>
      </c>
      <c r="C409" s="573" t="s">
        <v>2272</v>
      </c>
      <c r="D409" s="615">
        <v>8</v>
      </c>
      <c r="E409" s="1354" t="s">
        <v>227</v>
      </c>
      <c r="F409" s="587">
        <v>48</v>
      </c>
    </row>
    <row r="410" spans="1:6" ht="15.75">
      <c r="A410" s="575">
        <v>6</v>
      </c>
      <c r="B410" s="585" t="s">
        <v>1576</v>
      </c>
      <c r="C410" s="573" t="s">
        <v>2273</v>
      </c>
      <c r="D410" s="615">
        <v>8.61</v>
      </c>
      <c r="E410" s="1354" t="s">
        <v>227</v>
      </c>
      <c r="F410" s="587">
        <v>51.66</v>
      </c>
    </row>
    <row r="411" spans="1:6" ht="15.75">
      <c r="A411" s="575">
        <v>4</v>
      </c>
      <c r="B411" s="585" t="s">
        <v>1576</v>
      </c>
      <c r="C411" s="573" t="s">
        <v>2274</v>
      </c>
      <c r="D411" s="615">
        <v>8.61</v>
      </c>
      <c r="E411" s="1354" t="s">
        <v>227</v>
      </c>
      <c r="F411" s="587">
        <v>34.44</v>
      </c>
    </row>
    <row r="412" spans="1:6" ht="15.75">
      <c r="A412" s="575">
        <v>300</v>
      </c>
      <c r="B412" s="585" t="s">
        <v>2275</v>
      </c>
      <c r="C412" s="573" t="s">
        <v>2276</v>
      </c>
      <c r="D412" s="615">
        <v>30</v>
      </c>
      <c r="E412" s="1354" t="s">
        <v>2277</v>
      </c>
      <c r="F412" s="587">
        <v>90</v>
      </c>
    </row>
    <row r="413" spans="1:6" ht="15.75">
      <c r="A413" s="575">
        <v>300</v>
      </c>
      <c r="B413" s="585" t="s">
        <v>2275</v>
      </c>
      <c r="C413" s="573" t="s">
        <v>2278</v>
      </c>
      <c r="D413" s="615">
        <v>44.99</v>
      </c>
      <c r="E413" s="1354" t="s">
        <v>2279</v>
      </c>
      <c r="F413" s="587">
        <v>26.994</v>
      </c>
    </row>
    <row r="414" spans="1:6" ht="15.75">
      <c r="A414" s="575">
        <v>1.5</v>
      </c>
      <c r="B414" s="585" t="s">
        <v>148</v>
      </c>
      <c r="C414" s="573" t="s">
        <v>2280</v>
      </c>
      <c r="D414" s="615">
        <v>20.95</v>
      </c>
      <c r="E414" s="1354" t="s">
        <v>148</v>
      </c>
      <c r="F414" s="587">
        <v>31.424999999999997</v>
      </c>
    </row>
    <row r="415" spans="1:6" ht="15.75">
      <c r="A415" s="575">
        <v>2.25</v>
      </c>
      <c r="B415" s="585" t="s">
        <v>2268</v>
      </c>
      <c r="C415" s="573" t="s">
        <v>2281</v>
      </c>
      <c r="D415" s="615">
        <v>212.41</v>
      </c>
      <c r="E415" s="1354" t="s">
        <v>2268</v>
      </c>
      <c r="F415" s="587">
        <v>477.92250000000001</v>
      </c>
    </row>
    <row r="416" spans="1:6" ht="15.75">
      <c r="A416" s="575">
        <v>0.75</v>
      </c>
      <c r="B416" s="585" t="s">
        <v>2268</v>
      </c>
      <c r="C416" s="573" t="s">
        <v>2282</v>
      </c>
      <c r="D416" s="615">
        <v>205.21</v>
      </c>
      <c r="E416" s="1354" t="s">
        <v>2268</v>
      </c>
      <c r="F416" s="587">
        <v>153.9075</v>
      </c>
    </row>
    <row r="417" spans="1:6" ht="15.75">
      <c r="A417" s="575">
        <v>2.25</v>
      </c>
      <c r="B417" s="585" t="s">
        <v>2268</v>
      </c>
      <c r="C417" s="573" t="s">
        <v>2283</v>
      </c>
      <c r="D417" s="615">
        <v>185.21</v>
      </c>
      <c r="E417" s="1354" t="s">
        <v>2268</v>
      </c>
      <c r="F417" s="587">
        <v>416.72250000000003</v>
      </c>
    </row>
    <row r="418" spans="1:6" ht="15.75">
      <c r="A418" s="575">
        <v>500</v>
      </c>
      <c r="B418" s="585" t="s">
        <v>2275</v>
      </c>
      <c r="C418" s="573" t="s">
        <v>2284</v>
      </c>
      <c r="D418" s="615">
        <v>52.25</v>
      </c>
      <c r="E418" s="1354" t="s">
        <v>148</v>
      </c>
      <c r="F418" s="587">
        <v>26.125</v>
      </c>
    </row>
    <row r="419" spans="1:6" ht="15.75">
      <c r="A419" s="575">
        <v>1</v>
      </c>
      <c r="B419" s="585" t="s">
        <v>1576</v>
      </c>
      <c r="C419" s="573" t="s">
        <v>2286</v>
      </c>
      <c r="D419" s="615">
        <v>131.21</v>
      </c>
      <c r="E419" s="1355" t="s">
        <v>2287</v>
      </c>
      <c r="F419" s="629">
        <v>131.21</v>
      </c>
    </row>
    <row r="420" spans="1:6" ht="15.75">
      <c r="A420" s="575">
        <v>1</v>
      </c>
      <c r="B420" s="585" t="s">
        <v>1576</v>
      </c>
      <c r="C420" s="573" t="s">
        <v>2289</v>
      </c>
      <c r="D420" s="615">
        <v>12.3</v>
      </c>
      <c r="E420" s="1355" t="s">
        <v>2287</v>
      </c>
      <c r="F420" s="629">
        <v>12.3</v>
      </c>
    </row>
    <row r="421" spans="1:6" ht="15.75">
      <c r="A421" s="575">
        <v>4</v>
      </c>
      <c r="B421" s="585" t="s">
        <v>1576</v>
      </c>
      <c r="C421" s="641" t="s">
        <v>2291</v>
      </c>
      <c r="D421" s="587">
        <v>615</v>
      </c>
      <c r="E421" s="1354" t="s">
        <v>227</v>
      </c>
      <c r="F421" s="587">
        <v>2460</v>
      </c>
    </row>
    <row r="422" spans="1:6" ht="15.75">
      <c r="A422" s="575">
        <v>2</v>
      </c>
      <c r="B422" s="585" t="s">
        <v>1576</v>
      </c>
      <c r="C422" s="641" t="s">
        <v>2292</v>
      </c>
      <c r="D422" s="587">
        <v>595</v>
      </c>
      <c r="E422" s="1354" t="s">
        <v>227</v>
      </c>
      <c r="F422" s="587">
        <v>1190</v>
      </c>
    </row>
    <row r="423" spans="1:6" ht="15.75">
      <c r="A423" s="575">
        <v>2</v>
      </c>
      <c r="B423" s="585" t="s">
        <v>1576</v>
      </c>
      <c r="C423" s="641" t="s">
        <v>2293</v>
      </c>
      <c r="D423" s="587">
        <v>412</v>
      </c>
      <c r="E423" s="1354" t="s">
        <v>227</v>
      </c>
      <c r="F423" s="587">
        <v>824</v>
      </c>
    </row>
    <row r="424" spans="1:6" ht="15.75">
      <c r="A424" s="575"/>
      <c r="B424" s="585"/>
      <c r="C424" s="573" t="s">
        <v>2296</v>
      </c>
      <c r="D424" s="587"/>
      <c r="E424" s="1354"/>
      <c r="F424" s="587">
        <v>20</v>
      </c>
    </row>
    <row r="425" spans="1:6" ht="15.75">
      <c r="A425" s="575"/>
      <c r="B425" s="576"/>
      <c r="C425" s="575"/>
      <c r="D425" s="587"/>
      <c r="E425" s="578"/>
      <c r="F425" s="622" t="s">
        <v>2297</v>
      </c>
    </row>
    <row r="426" spans="1:6" ht="15.75">
      <c r="A426" s="575"/>
      <c r="B426" s="576"/>
      <c r="C426" s="573" t="s">
        <v>4472</v>
      </c>
      <c r="D426" s="575"/>
      <c r="E426" s="578"/>
      <c r="F426" s="575">
        <v>6830.549</v>
      </c>
    </row>
    <row r="427" spans="1:6" ht="15.75">
      <c r="A427" s="575"/>
      <c r="B427" s="576"/>
      <c r="C427" s="619"/>
      <c r="D427" s="619"/>
      <c r="E427" s="630"/>
      <c r="F427" s="582" t="s">
        <v>155</v>
      </c>
    </row>
    <row r="428" spans="1:6" ht="15.75">
      <c r="A428" s="575"/>
      <c r="B428" s="576"/>
      <c r="C428" s="619" t="s">
        <v>169</v>
      </c>
      <c r="D428" s="619"/>
      <c r="E428" s="630"/>
      <c r="F428" s="584">
        <v>1204.6823633156966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M104"/>
  <sheetViews>
    <sheetView view="pageBreakPreview" zoomScaleSheetLayoutView="100" workbookViewId="0">
      <selection activeCell="C7" sqref="C7"/>
    </sheetView>
  </sheetViews>
  <sheetFormatPr defaultRowHeight="15.75"/>
  <cols>
    <col min="1" max="1" width="6" style="530" customWidth="1"/>
    <col min="2" max="2" width="10.7109375" style="530" customWidth="1"/>
    <col min="3" max="3" width="58.140625" style="531" customWidth="1"/>
    <col min="4" max="4" width="12.140625" style="532" customWidth="1"/>
    <col min="5" max="5" width="10.42578125" style="529" customWidth="1"/>
    <col min="6" max="6" width="14.42578125" style="529" customWidth="1"/>
    <col min="7" max="16384" width="9.140625" style="518"/>
  </cols>
  <sheetData>
    <row r="1" spans="1:6" ht="46.5" customHeight="1">
      <c r="A1" s="1484" t="s">
        <v>3002</v>
      </c>
      <c r="B1" s="1485"/>
      <c r="C1" s="1485"/>
      <c r="D1" s="1485"/>
      <c r="E1" s="1485"/>
      <c r="F1" s="1486"/>
    </row>
    <row r="2" spans="1:6" ht="23.25" customHeight="1">
      <c r="A2" s="1431" t="s">
        <v>3004</v>
      </c>
      <c r="B2" s="1432"/>
      <c r="C2" s="1432"/>
      <c r="D2" s="1432"/>
      <c r="E2" s="1432"/>
      <c r="F2" s="1433"/>
    </row>
    <row r="3" spans="1:6" ht="36">
      <c r="A3" s="558" t="s">
        <v>3006</v>
      </c>
      <c r="B3" s="558" t="s">
        <v>3</v>
      </c>
      <c r="C3" s="558" t="s">
        <v>4</v>
      </c>
      <c r="D3" s="559" t="s">
        <v>10</v>
      </c>
      <c r="E3" s="558" t="s">
        <v>5</v>
      </c>
      <c r="F3" s="558" t="s">
        <v>6</v>
      </c>
    </row>
    <row r="4" spans="1:6" ht="28.5" customHeight="1">
      <c r="A4" s="519">
        <v>1</v>
      </c>
      <c r="B4" s="520" t="e">
        <f>Dtl!#REF!</f>
        <v>#REF!</v>
      </c>
      <c r="C4" s="521" t="e">
        <f>Dtl!#REF!</f>
        <v>#REF!</v>
      </c>
      <c r="D4" s="520">
        <v>31.4</v>
      </c>
      <c r="E4" s="519" t="s">
        <v>110</v>
      </c>
      <c r="F4" s="520" t="e">
        <f>B4*D4</f>
        <v>#REF!</v>
      </c>
    </row>
    <row r="5" spans="1:6" ht="47.25" customHeight="1">
      <c r="A5" s="519">
        <v>2</v>
      </c>
      <c r="B5" s="520" t="e">
        <f>Dtl!#REF!</f>
        <v>#REF!</v>
      </c>
      <c r="C5" s="522" t="e">
        <f>Dtl!#REF!</f>
        <v>#REF!</v>
      </c>
      <c r="D5" s="520">
        <f>'Old Data'!X1347</f>
        <v>1217.4889999999998</v>
      </c>
      <c r="E5" s="519" t="s">
        <v>110</v>
      </c>
      <c r="F5" s="520" t="e">
        <f t="shared" ref="F5:F24" si="0">B5*D5</f>
        <v>#REF!</v>
      </c>
    </row>
    <row r="6" spans="1:6" ht="44.25" customHeight="1">
      <c r="A6" s="519">
        <v>3</v>
      </c>
      <c r="B6" s="520">
        <f>Dtl!H12</f>
        <v>3.24</v>
      </c>
      <c r="C6" s="521" t="str">
        <f>Dtl!B10</f>
        <v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v>
      </c>
      <c r="D6" s="520">
        <v>41.6</v>
      </c>
      <c r="E6" s="519" t="s">
        <v>110</v>
      </c>
      <c r="F6" s="520">
        <f t="shared" si="0"/>
        <v>134.78400000000002</v>
      </c>
    </row>
    <row r="7" spans="1:6" ht="168.75" customHeight="1">
      <c r="A7" s="519">
        <v>4</v>
      </c>
      <c r="B7" s="520" t="e">
        <f>Dtl!#REF!</f>
        <v>#REF!</v>
      </c>
      <c r="C7" s="509" t="e">
        <f>Dtl!#REF!</f>
        <v>#REF!</v>
      </c>
      <c r="D7" s="520">
        <f>'Old Data'!K1264</f>
        <v>1002.9798000000001</v>
      </c>
      <c r="E7" s="519" t="s">
        <v>110</v>
      </c>
      <c r="F7" s="520" t="e">
        <f t="shared" si="0"/>
        <v>#REF!</v>
      </c>
    </row>
    <row r="8" spans="1:6" ht="45" customHeight="1">
      <c r="A8" s="519">
        <v>5</v>
      </c>
      <c r="B8" s="519" t="e">
        <f>Dtl!#REF!</f>
        <v>#REF!</v>
      </c>
      <c r="C8" s="509" t="s">
        <v>111</v>
      </c>
      <c r="D8" s="520">
        <f>[4]Data!$K$3738</f>
        <v>75.23</v>
      </c>
      <c r="E8" s="519" t="s">
        <v>110</v>
      </c>
      <c r="F8" s="520" t="e">
        <f t="shared" si="0"/>
        <v>#REF!</v>
      </c>
    </row>
    <row r="9" spans="1:6" ht="43.5" customHeight="1">
      <c r="A9" s="519">
        <v>6</v>
      </c>
      <c r="B9" s="520">
        <f>Dtl!H69</f>
        <v>283.45200000000006</v>
      </c>
      <c r="C9" s="511" t="s">
        <v>177</v>
      </c>
      <c r="D9" s="520">
        <f>[4]Data!$K$3348</f>
        <v>98.77</v>
      </c>
      <c r="E9" s="519" t="s">
        <v>110</v>
      </c>
      <c r="F9" s="520">
        <f t="shared" si="0"/>
        <v>27996.554040000003</v>
      </c>
    </row>
    <row r="10" spans="1:6" ht="49.5" customHeight="1">
      <c r="A10" s="519">
        <v>7</v>
      </c>
      <c r="B10" s="520">
        <f>Dtl!H94</f>
        <v>444.91999999999985</v>
      </c>
      <c r="C10" s="521" t="str">
        <f>Dtl!B82</f>
        <v>Painting the old walls with one coat of approved best exterinal emulsion paint in addition to one coat of approved primer cement paint over cement plastered wall surfaces and ceiling including cost of cement paints, putty, brushes, watering, curing, etc.,shes, watering, curing, etc.</v>
      </c>
      <c r="D10" s="520">
        <f>[4]Data!$K$3371</f>
        <v>69.59</v>
      </c>
      <c r="E10" s="519" t="s">
        <v>110</v>
      </c>
      <c r="F10" s="520">
        <f t="shared" si="0"/>
        <v>30961.982799999991</v>
      </c>
    </row>
    <row r="11" spans="1:6" ht="91.5" customHeight="1">
      <c r="A11" s="519">
        <v>8</v>
      </c>
      <c r="B11" s="520">
        <f>Dtl!H103</f>
        <v>4</v>
      </c>
      <c r="C11" s="521" t="str">
        <f>Dtl!B101</f>
        <v xml:space="preserve">Supplying and fixing of 15 mm dia C.P. Long body tap of best quality including cost of fittings with required specials, bends, labour for fixing etc., all complete and as directed by the departmental officers.(The quality and brand of fittings should be got approved from Executive Engineer before use).
</v>
      </c>
      <c r="D11" s="520">
        <f>[4]Data!$AF$3115</f>
        <v>452</v>
      </c>
      <c r="E11" s="519" t="s">
        <v>240</v>
      </c>
      <c r="F11" s="520">
        <f t="shared" si="0"/>
        <v>1808</v>
      </c>
    </row>
    <row r="12" spans="1:6" ht="111" customHeight="1">
      <c r="A12" s="519">
        <v>9</v>
      </c>
      <c r="B12" s="520">
        <f>Dtl!H106</f>
        <v>3</v>
      </c>
      <c r="C12" s="521" t="str">
        <f>Dtl!B104</f>
        <v>Supplying and fixing of 15mm dia CP short body Tap of Best quality including cost of fittings with required specials, bends, labour for fixing etc., all complete and as directed by the departmental officers.,(The quality and brand of fittings should be got approved from Executive Engineer before use).</v>
      </c>
      <c r="D12" s="520">
        <f>[4]Data!$AH$3115</f>
        <v>404</v>
      </c>
      <c r="E12" s="519" t="s">
        <v>240</v>
      </c>
      <c r="F12" s="520">
        <f t="shared" si="0"/>
        <v>1212</v>
      </c>
    </row>
    <row r="13" spans="1:6" ht="116.25" customHeight="1">
      <c r="A13" s="519">
        <v>10</v>
      </c>
      <c r="B13" s="520">
        <f>Dtl!H111</f>
        <v>20.748000000000005</v>
      </c>
      <c r="C13" s="521" t="str">
        <f>Dtl!B107</f>
        <v>Painting the old wood work with one coats of approved first class synthetic enamel ready mixed paint in addition to one coat of primer of approved quality and shade,  the paint should be supplied by the contractor at his own cost (The quality and the shade of paint should be got approved by the Executive Engineer before use) complying with relevant standard specifications.</v>
      </c>
      <c r="D13" s="520">
        <f>[4]Data!$K$3216</f>
        <v>81.760000000000005</v>
      </c>
      <c r="E13" s="519" t="s">
        <v>110</v>
      </c>
      <c r="F13" s="520">
        <f t="shared" si="0"/>
        <v>1696.3564800000004</v>
      </c>
    </row>
    <row r="14" spans="1:6" ht="112.5" customHeight="1">
      <c r="A14" s="519">
        <v>11</v>
      </c>
      <c r="B14" s="520">
        <f>Dtl!H117</f>
        <v>16.380000000000003</v>
      </c>
      <c r="C14" s="521" t="str">
        <f>Dtl!B112</f>
        <v>Painting the old Iron work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14" s="520">
        <f>'Old Data'!K3247</f>
        <v>116.5248</v>
      </c>
      <c r="E14" s="519" t="s">
        <v>110</v>
      </c>
      <c r="F14" s="520">
        <f t="shared" si="0"/>
        <v>1908.6762240000003</v>
      </c>
    </row>
    <row r="15" spans="1:6" ht="127.5" customHeight="1">
      <c r="A15" s="519">
        <v>12</v>
      </c>
      <c r="B15" s="520"/>
      <c r="C15" s="521" t="e">
        <f>Dtl!#REF!</f>
        <v>#REF!</v>
      </c>
      <c r="D15" s="520"/>
      <c r="E15" s="519"/>
      <c r="F15" s="520"/>
    </row>
    <row r="16" spans="1:6" ht="68.25" customHeight="1">
      <c r="A16" s="519"/>
      <c r="B16" s="520" t="e">
        <f>Dtl!#REF!</f>
        <v>#REF!</v>
      </c>
      <c r="C16" s="521" t="e">
        <f>Dtl!#REF!</f>
        <v>#REF!</v>
      </c>
      <c r="D16" s="520">
        <f>[4]Data!$K$2063</f>
        <v>610.45000000000005</v>
      </c>
      <c r="E16" s="519" t="s">
        <v>231</v>
      </c>
      <c r="F16" s="520" t="e">
        <f t="shared" si="0"/>
        <v>#REF!</v>
      </c>
    </row>
    <row r="17" spans="1:13" ht="69" customHeight="1">
      <c r="A17" s="519"/>
      <c r="B17" s="520" t="e">
        <f>Dtl!#REF!</f>
        <v>#REF!</v>
      </c>
      <c r="C17" s="521" t="e">
        <f>Dtl!#REF!</f>
        <v>#REF!</v>
      </c>
      <c r="D17" s="520">
        <f>[4]Data!$K$2087</f>
        <v>497.65</v>
      </c>
      <c r="E17" s="519" t="s">
        <v>231</v>
      </c>
      <c r="F17" s="520" t="e">
        <f t="shared" si="0"/>
        <v>#REF!</v>
      </c>
    </row>
    <row r="18" spans="1:13" ht="63.75" customHeight="1">
      <c r="A18" s="519">
        <v>13</v>
      </c>
      <c r="B18" s="520">
        <f>Dtl!H122</f>
        <v>6</v>
      </c>
      <c r="C18" s="508" t="s">
        <v>2998</v>
      </c>
      <c r="D18" s="520">
        <v>635</v>
      </c>
      <c r="E18" s="519" t="s">
        <v>240</v>
      </c>
      <c r="F18" s="520">
        <f t="shared" si="0"/>
        <v>3810</v>
      </c>
    </row>
    <row r="19" spans="1:13" ht="72.75" customHeight="1">
      <c r="A19" s="519">
        <v>14</v>
      </c>
      <c r="B19" s="520" t="e">
        <f>Dtl!#REF!</f>
        <v>#REF!</v>
      </c>
      <c r="C19" s="509" t="s">
        <v>2999</v>
      </c>
      <c r="D19" s="520">
        <v>81</v>
      </c>
      <c r="E19" s="519" t="s">
        <v>240</v>
      </c>
      <c r="F19" s="520" t="e">
        <f t="shared" si="0"/>
        <v>#REF!</v>
      </c>
    </row>
    <row r="20" spans="1:13" ht="89.25" customHeight="1">
      <c r="A20" s="519">
        <v>15</v>
      </c>
      <c r="B20" s="520" t="e">
        <f>Dtl!#REF!</f>
        <v>#REF!</v>
      </c>
      <c r="C20" s="509" t="s">
        <v>3000</v>
      </c>
      <c r="D20" s="520">
        <v>431</v>
      </c>
      <c r="E20" s="519" t="s">
        <v>240</v>
      </c>
      <c r="F20" s="520" t="e">
        <f t="shared" si="0"/>
        <v>#REF!</v>
      </c>
    </row>
    <row r="21" spans="1:13" ht="108.75" customHeight="1">
      <c r="A21" s="519">
        <v>16</v>
      </c>
      <c r="B21" s="520">
        <f>Dtl!H125</f>
        <v>6</v>
      </c>
      <c r="C21" s="508" t="s">
        <v>3001</v>
      </c>
      <c r="D21" s="520">
        <v>1160</v>
      </c>
      <c r="E21" s="519" t="s">
        <v>240</v>
      </c>
      <c r="F21" s="520">
        <f t="shared" si="0"/>
        <v>6960</v>
      </c>
    </row>
    <row r="22" spans="1:13" ht="138.75" customHeight="1">
      <c r="A22" s="519">
        <v>17</v>
      </c>
      <c r="B22" s="520" t="e">
        <f>Dtl!#REF!</f>
        <v>#REF!</v>
      </c>
      <c r="C22" s="523" t="e">
        <f>Dtl!#REF!</f>
        <v>#REF!</v>
      </c>
      <c r="D22" s="520">
        <f>[4]Data!$K$3038</f>
        <v>1300</v>
      </c>
      <c r="E22" s="519" t="s">
        <v>240</v>
      </c>
      <c r="F22" s="520" t="e">
        <f t="shared" si="0"/>
        <v>#REF!</v>
      </c>
    </row>
    <row r="23" spans="1:13" ht="27.75" customHeight="1">
      <c r="A23" s="519">
        <v>18</v>
      </c>
      <c r="B23" s="520" t="e">
        <f>Dtl!#REF!</f>
        <v>#REF!</v>
      </c>
      <c r="C23" s="511" t="s">
        <v>241</v>
      </c>
      <c r="D23" s="520">
        <f>[4]Data!$K$2277</f>
        <v>467</v>
      </c>
      <c r="E23" s="519"/>
      <c r="F23" s="520" t="e">
        <f t="shared" si="0"/>
        <v>#REF!</v>
      </c>
    </row>
    <row r="24" spans="1:13" ht="137.25" customHeight="1">
      <c r="A24" s="519">
        <v>19</v>
      </c>
      <c r="B24" s="520" t="e">
        <f>Dtl!#REF!</f>
        <v>#REF!</v>
      </c>
      <c r="C24" s="523" t="e">
        <f>Dtl!#REF!</f>
        <v>#REF!</v>
      </c>
      <c r="D24" s="520">
        <f>[4]Data!$K$1185</f>
        <v>688.2</v>
      </c>
      <c r="E24" s="519" t="s">
        <v>110</v>
      </c>
      <c r="F24" s="520" t="e">
        <f t="shared" si="0"/>
        <v>#REF!</v>
      </c>
      <c r="M24" s="518" t="s">
        <v>109</v>
      </c>
    </row>
    <row r="25" spans="1:13">
      <c r="A25" s="519"/>
      <c r="B25" s="520"/>
      <c r="C25" s="512"/>
      <c r="D25" s="1487" t="s">
        <v>3007</v>
      </c>
      <c r="E25" s="1488"/>
      <c r="F25" s="516" t="e">
        <f>SUM(F4:F24)</f>
        <v>#REF!</v>
      </c>
    </row>
    <row r="26" spans="1:13">
      <c r="A26" s="519"/>
      <c r="B26" s="520"/>
      <c r="C26" s="513" t="s">
        <v>243</v>
      </c>
      <c r="D26" s="516"/>
      <c r="E26" s="570"/>
      <c r="F26" s="520" t="e">
        <f>F25*0.12</f>
        <v>#REF!</v>
      </c>
    </row>
    <row r="27" spans="1:13">
      <c r="A27" s="519"/>
      <c r="B27" s="520"/>
      <c r="C27" s="512"/>
      <c r="D27" s="1482" t="s">
        <v>3008</v>
      </c>
      <c r="E27" s="1483"/>
      <c r="F27" s="516" t="e">
        <f>SUM(F25:F26)</f>
        <v>#REF!</v>
      </c>
    </row>
    <row r="28" spans="1:13">
      <c r="A28" s="519"/>
      <c r="B28" s="520"/>
      <c r="C28" s="514" t="s">
        <v>244</v>
      </c>
      <c r="D28" s="571"/>
      <c r="E28" s="572"/>
      <c r="F28" s="520" t="e">
        <f>F27*0.01</f>
        <v>#REF!</v>
      </c>
    </row>
    <row r="29" spans="1:13">
      <c r="A29" s="519"/>
      <c r="B29" s="520"/>
      <c r="C29" s="515" t="s">
        <v>245</v>
      </c>
      <c r="D29" s="571"/>
      <c r="E29" s="572"/>
      <c r="F29" s="520" t="e">
        <f>F27*0.075</f>
        <v>#REF!</v>
      </c>
    </row>
    <row r="30" spans="1:13">
      <c r="A30" s="519"/>
      <c r="B30" s="520"/>
      <c r="C30" s="524"/>
      <c r="D30" s="1482" t="s">
        <v>257</v>
      </c>
      <c r="E30" s="1483"/>
      <c r="F30" s="516" t="e">
        <f>SUM(F27:F29)</f>
        <v>#REF!</v>
      </c>
    </row>
    <row r="31" spans="1:13" ht="24" customHeight="1">
      <c r="A31" s="519"/>
      <c r="B31" s="520"/>
      <c r="C31" s="524"/>
      <c r="D31" s="1482" t="s">
        <v>2914</v>
      </c>
      <c r="E31" s="1483"/>
      <c r="F31" s="516">
        <v>576700</v>
      </c>
      <c r="G31" s="525" t="e">
        <f>F31-F30</f>
        <v>#REF!</v>
      </c>
    </row>
    <row r="32" spans="1:13">
      <c r="A32" s="527"/>
      <c r="B32" s="527"/>
      <c r="C32" s="526"/>
      <c r="D32" s="528"/>
      <c r="E32" s="526"/>
      <c r="F32" s="526"/>
    </row>
    <row r="33" spans="1:6">
      <c r="A33" s="527"/>
      <c r="B33" s="527"/>
      <c r="C33" s="526"/>
      <c r="D33" s="528"/>
      <c r="E33" s="526"/>
      <c r="F33" s="528"/>
    </row>
    <row r="34" spans="1:6">
      <c r="A34" s="527"/>
      <c r="B34" s="527"/>
      <c r="C34" s="518"/>
      <c r="D34" s="525"/>
      <c r="E34" s="518"/>
      <c r="F34" s="518"/>
    </row>
    <row r="35" spans="1:6">
      <c r="A35" s="527"/>
      <c r="B35" s="527"/>
      <c r="C35" s="518"/>
      <c r="D35" s="525"/>
      <c r="E35" s="518"/>
      <c r="F35" s="518"/>
    </row>
    <row r="36" spans="1:6">
      <c r="A36" s="527"/>
      <c r="B36" s="527"/>
      <c r="C36" s="518"/>
      <c r="D36" s="525"/>
      <c r="E36" s="518"/>
      <c r="F36" s="518"/>
    </row>
    <row r="37" spans="1:6">
      <c r="A37" s="527"/>
      <c r="B37" s="527"/>
      <c r="C37" s="518"/>
      <c r="D37" s="525"/>
      <c r="E37" s="518"/>
      <c r="F37" s="525"/>
    </row>
    <row r="38" spans="1:6">
      <c r="A38" s="527"/>
      <c r="B38" s="527"/>
      <c r="C38" s="518"/>
      <c r="D38" s="525"/>
      <c r="E38" s="518"/>
      <c r="F38" s="518"/>
    </row>
    <row r="39" spans="1:6">
      <c r="A39" s="527"/>
      <c r="B39" s="527"/>
      <c r="C39" s="518"/>
      <c r="D39" s="525"/>
      <c r="E39" s="518"/>
      <c r="F39" s="518"/>
    </row>
    <row r="40" spans="1:6">
      <c r="A40" s="527"/>
      <c r="B40" s="527"/>
      <c r="C40" s="518"/>
      <c r="D40" s="525"/>
      <c r="E40" s="518"/>
      <c r="F40" s="518"/>
    </row>
    <row r="41" spans="1:6">
      <c r="A41" s="527"/>
      <c r="B41" s="527"/>
      <c r="C41" s="518"/>
      <c r="D41" s="525"/>
      <c r="E41" s="518"/>
      <c r="F41" s="518"/>
    </row>
    <row r="42" spans="1:6">
      <c r="A42" s="527"/>
      <c r="B42" s="527"/>
      <c r="C42" s="518"/>
      <c r="D42" s="525"/>
      <c r="E42" s="518"/>
      <c r="F42" s="518"/>
    </row>
    <row r="43" spans="1:6">
      <c r="A43" s="527"/>
      <c r="B43" s="527"/>
      <c r="C43" s="518"/>
      <c r="D43" s="525"/>
      <c r="E43" s="518"/>
      <c r="F43" s="518"/>
    </row>
    <row r="44" spans="1:6">
      <c r="A44" s="527"/>
      <c r="B44" s="527"/>
      <c r="C44" s="518"/>
      <c r="D44" s="525"/>
      <c r="E44" s="518"/>
      <c r="F44" s="518"/>
    </row>
    <row r="45" spans="1:6">
      <c r="A45" s="527"/>
      <c r="B45" s="527"/>
      <c r="C45" s="518"/>
      <c r="D45" s="525"/>
      <c r="E45" s="518"/>
      <c r="F45" s="518"/>
    </row>
    <row r="46" spans="1:6">
      <c r="A46" s="527"/>
      <c r="B46" s="527"/>
      <c r="C46" s="518"/>
      <c r="D46" s="525"/>
      <c r="E46" s="518"/>
      <c r="F46" s="518"/>
    </row>
    <row r="47" spans="1:6">
      <c r="A47" s="527"/>
      <c r="B47" s="527"/>
      <c r="C47" s="518"/>
      <c r="D47" s="525"/>
      <c r="E47" s="518"/>
      <c r="F47" s="518"/>
    </row>
    <row r="48" spans="1:6">
      <c r="A48" s="527"/>
      <c r="B48" s="527"/>
      <c r="C48" s="518"/>
      <c r="D48" s="525"/>
      <c r="E48" s="518"/>
      <c r="F48" s="518"/>
    </row>
    <row r="49" spans="1:6">
      <c r="A49" s="527"/>
      <c r="B49" s="527"/>
      <c r="C49" s="518"/>
      <c r="D49" s="525"/>
      <c r="E49" s="518"/>
      <c r="F49" s="518"/>
    </row>
    <row r="50" spans="1:6">
      <c r="A50" s="527"/>
      <c r="B50" s="527"/>
      <c r="C50" s="518"/>
      <c r="D50" s="525"/>
      <c r="E50" s="518"/>
      <c r="F50" s="518"/>
    </row>
    <row r="51" spans="1:6">
      <c r="A51" s="527"/>
      <c r="B51" s="527"/>
      <c r="C51" s="518"/>
      <c r="D51" s="525"/>
      <c r="E51" s="518"/>
      <c r="F51" s="518"/>
    </row>
    <row r="52" spans="1:6">
      <c r="A52" s="527"/>
      <c r="B52" s="527"/>
      <c r="C52" s="518"/>
      <c r="D52" s="525"/>
      <c r="E52" s="518"/>
      <c r="F52" s="518"/>
    </row>
    <row r="53" spans="1:6">
      <c r="A53" s="527"/>
      <c r="B53" s="527"/>
      <c r="C53" s="518"/>
      <c r="D53" s="525"/>
      <c r="E53" s="518"/>
      <c r="F53" s="518"/>
    </row>
    <row r="54" spans="1:6">
      <c r="A54" s="527"/>
      <c r="B54" s="527"/>
      <c r="C54" s="518"/>
      <c r="D54" s="525"/>
      <c r="E54" s="518"/>
      <c r="F54" s="518"/>
    </row>
    <row r="55" spans="1:6">
      <c r="A55" s="527"/>
      <c r="B55" s="527"/>
      <c r="C55" s="518"/>
      <c r="D55" s="525"/>
      <c r="E55" s="518"/>
      <c r="F55" s="518"/>
    </row>
    <row r="56" spans="1:6">
      <c r="A56" s="527"/>
      <c r="B56" s="527"/>
      <c r="C56" s="518"/>
      <c r="D56" s="525"/>
      <c r="E56" s="518"/>
      <c r="F56" s="518"/>
    </row>
    <row r="57" spans="1:6">
      <c r="A57" s="527"/>
      <c r="B57" s="527"/>
      <c r="C57" s="518"/>
      <c r="D57" s="525"/>
      <c r="E57" s="518"/>
      <c r="F57" s="518"/>
    </row>
    <row r="58" spans="1:6">
      <c r="A58" s="527"/>
      <c r="B58" s="527"/>
      <c r="C58" s="518"/>
      <c r="D58" s="525"/>
      <c r="E58" s="518"/>
      <c r="F58" s="518"/>
    </row>
    <row r="59" spans="1:6">
      <c r="A59" s="527"/>
      <c r="B59" s="527"/>
      <c r="C59" s="518"/>
      <c r="D59" s="525"/>
      <c r="E59" s="518"/>
      <c r="F59" s="518"/>
    </row>
    <row r="60" spans="1:6">
      <c r="A60" s="527"/>
      <c r="B60" s="527"/>
      <c r="C60" s="518"/>
      <c r="D60" s="525"/>
      <c r="E60" s="518"/>
      <c r="F60" s="518"/>
    </row>
    <row r="61" spans="1:6">
      <c r="A61" s="527"/>
      <c r="B61" s="527"/>
      <c r="C61" s="518"/>
      <c r="D61" s="525"/>
      <c r="E61" s="518"/>
      <c r="F61" s="518"/>
    </row>
    <row r="62" spans="1:6">
      <c r="A62" s="527"/>
      <c r="B62" s="527"/>
      <c r="C62" s="518"/>
      <c r="D62" s="525"/>
      <c r="E62" s="518"/>
      <c r="F62" s="518"/>
    </row>
    <row r="63" spans="1:6">
      <c r="A63" s="527"/>
      <c r="B63" s="527"/>
      <c r="C63" s="518"/>
      <c r="D63" s="525"/>
      <c r="E63" s="518"/>
      <c r="F63" s="518"/>
    </row>
    <row r="64" spans="1:6">
      <c r="A64" s="527"/>
      <c r="B64" s="527"/>
      <c r="C64" s="518"/>
      <c r="D64" s="525"/>
      <c r="E64" s="518"/>
      <c r="F64" s="518"/>
    </row>
    <row r="65" spans="1:6">
      <c r="A65" s="527"/>
      <c r="B65" s="527"/>
      <c r="C65" s="518"/>
      <c r="D65" s="525"/>
      <c r="E65" s="518"/>
      <c r="F65" s="518"/>
    </row>
    <row r="66" spans="1:6">
      <c r="A66" s="527"/>
      <c r="B66" s="527"/>
      <c r="C66" s="518"/>
      <c r="D66" s="525"/>
      <c r="E66" s="518"/>
      <c r="F66" s="518"/>
    </row>
    <row r="67" spans="1:6">
      <c r="A67" s="527"/>
      <c r="B67" s="527"/>
      <c r="C67" s="518"/>
      <c r="D67" s="525"/>
      <c r="E67" s="518"/>
      <c r="F67" s="518"/>
    </row>
    <row r="68" spans="1:6">
      <c r="A68" s="527"/>
      <c r="B68" s="527"/>
      <c r="C68" s="518"/>
      <c r="D68" s="525"/>
      <c r="E68" s="518"/>
      <c r="F68" s="518"/>
    </row>
    <row r="69" spans="1:6">
      <c r="A69" s="527"/>
      <c r="B69" s="527"/>
      <c r="C69" s="518"/>
      <c r="D69" s="525"/>
      <c r="E69" s="518"/>
      <c r="F69" s="518"/>
    </row>
    <row r="70" spans="1:6">
      <c r="A70" s="527"/>
      <c r="B70" s="527"/>
      <c r="C70" s="518"/>
      <c r="D70" s="525"/>
      <c r="E70" s="518"/>
      <c r="F70" s="518"/>
    </row>
    <row r="71" spans="1:6">
      <c r="A71" s="527"/>
      <c r="B71" s="527"/>
      <c r="C71" s="518"/>
      <c r="D71" s="525"/>
      <c r="E71" s="518"/>
      <c r="F71" s="518"/>
    </row>
    <row r="72" spans="1:6">
      <c r="A72" s="527"/>
      <c r="B72" s="527"/>
      <c r="C72" s="518"/>
      <c r="D72" s="525"/>
      <c r="E72" s="518"/>
      <c r="F72" s="518"/>
    </row>
    <row r="73" spans="1:6">
      <c r="A73" s="527"/>
      <c r="B73" s="527"/>
      <c r="C73" s="518"/>
      <c r="D73" s="525"/>
      <c r="E73" s="518"/>
      <c r="F73" s="518"/>
    </row>
    <row r="74" spans="1:6">
      <c r="A74" s="527"/>
      <c r="B74" s="527"/>
      <c r="C74" s="518"/>
      <c r="D74" s="525"/>
      <c r="E74" s="518"/>
      <c r="F74" s="518"/>
    </row>
    <row r="75" spans="1:6">
      <c r="A75" s="527"/>
      <c r="B75" s="527"/>
      <c r="C75" s="518"/>
      <c r="D75" s="525"/>
      <c r="E75" s="518"/>
      <c r="F75" s="518"/>
    </row>
    <row r="76" spans="1:6">
      <c r="A76" s="527"/>
      <c r="B76" s="527"/>
      <c r="C76" s="518"/>
      <c r="D76" s="525"/>
      <c r="E76" s="518"/>
      <c r="F76" s="518"/>
    </row>
    <row r="77" spans="1:6">
      <c r="A77" s="527"/>
      <c r="B77" s="527"/>
      <c r="C77" s="518"/>
      <c r="D77" s="525"/>
      <c r="E77" s="518"/>
      <c r="F77" s="518"/>
    </row>
    <row r="78" spans="1:6">
      <c r="A78" s="527"/>
      <c r="B78" s="527"/>
      <c r="C78" s="518"/>
      <c r="D78" s="525"/>
      <c r="E78" s="518"/>
      <c r="F78" s="518"/>
    </row>
    <row r="79" spans="1:6">
      <c r="A79" s="527"/>
      <c r="B79" s="527"/>
      <c r="C79" s="518"/>
      <c r="D79" s="525"/>
      <c r="E79" s="518"/>
      <c r="F79" s="518"/>
    </row>
    <row r="80" spans="1:6">
      <c r="A80" s="527"/>
      <c r="B80" s="527"/>
      <c r="C80" s="518"/>
      <c r="D80" s="525"/>
      <c r="E80" s="518"/>
      <c r="F80" s="518"/>
    </row>
    <row r="81" spans="1:6">
      <c r="A81" s="527"/>
      <c r="B81" s="527"/>
      <c r="C81" s="518"/>
      <c r="D81" s="525"/>
      <c r="E81" s="518"/>
      <c r="F81" s="518"/>
    </row>
    <row r="82" spans="1:6">
      <c r="A82" s="527"/>
      <c r="B82" s="527"/>
      <c r="C82" s="518"/>
      <c r="D82" s="525"/>
      <c r="E82" s="518"/>
      <c r="F82" s="518"/>
    </row>
    <row r="83" spans="1:6">
      <c r="A83" s="527"/>
      <c r="B83" s="527"/>
      <c r="C83" s="518"/>
      <c r="D83" s="525"/>
      <c r="E83" s="518"/>
      <c r="F83" s="518"/>
    </row>
    <row r="84" spans="1:6">
      <c r="A84" s="527"/>
      <c r="B84" s="527"/>
      <c r="C84" s="518"/>
      <c r="D84" s="525"/>
      <c r="E84" s="518"/>
      <c r="F84" s="518"/>
    </row>
    <row r="85" spans="1:6">
      <c r="A85" s="527"/>
      <c r="B85" s="527"/>
      <c r="C85" s="518"/>
      <c r="D85" s="525"/>
      <c r="E85" s="518"/>
      <c r="F85" s="518"/>
    </row>
    <row r="86" spans="1:6">
      <c r="A86" s="527"/>
      <c r="B86" s="527"/>
      <c r="C86" s="518"/>
      <c r="D86" s="525"/>
      <c r="E86" s="518"/>
      <c r="F86" s="518"/>
    </row>
    <row r="87" spans="1:6">
      <c r="A87" s="527"/>
      <c r="B87" s="527"/>
      <c r="C87" s="518"/>
      <c r="D87" s="525"/>
      <c r="E87" s="518"/>
      <c r="F87" s="518"/>
    </row>
    <row r="88" spans="1:6">
      <c r="A88" s="527"/>
      <c r="B88" s="527"/>
      <c r="C88" s="518"/>
      <c r="D88" s="525"/>
      <c r="E88" s="518"/>
      <c r="F88" s="518"/>
    </row>
    <row r="89" spans="1:6">
      <c r="A89" s="527"/>
      <c r="B89" s="527"/>
      <c r="C89" s="518"/>
      <c r="D89" s="525"/>
      <c r="E89" s="518"/>
      <c r="F89" s="518"/>
    </row>
    <row r="90" spans="1:6">
      <c r="A90" s="527"/>
      <c r="B90" s="527"/>
      <c r="C90" s="518"/>
      <c r="D90" s="525"/>
      <c r="E90" s="518"/>
      <c r="F90" s="518"/>
    </row>
    <row r="91" spans="1:6">
      <c r="A91" s="527"/>
      <c r="B91" s="527"/>
      <c r="C91" s="518"/>
      <c r="D91" s="525"/>
      <c r="E91" s="518"/>
      <c r="F91" s="518"/>
    </row>
    <row r="92" spans="1:6">
      <c r="A92" s="527"/>
      <c r="B92" s="527"/>
      <c r="C92" s="518"/>
      <c r="D92" s="525"/>
      <c r="E92" s="518"/>
      <c r="F92" s="518"/>
    </row>
    <row r="93" spans="1:6">
      <c r="A93" s="527"/>
      <c r="B93" s="527"/>
      <c r="C93" s="518"/>
      <c r="D93" s="525"/>
      <c r="E93" s="518"/>
      <c r="F93" s="518"/>
    </row>
    <row r="94" spans="1:6">
      <c r="A94" s="527"/>
      <c r="B94" s="527"/>
      <c r="C94" s="518"/>
      <c r="D94" s="525"/>
      <c r="E94" s="518"/>
      <c r="F94" s="518"/>
    </row>
    <row r="95" spans="1:6">
      <c r="A95" s="527"/>
      <c r="B95" s="527"/>
      <c r="C95" s="518"/>
      <c r="D95" s="525"/>
      <c r="E95" s="518"/>
      <c r="F95" s="518"/>
    </row>
    <row r="96" spans="1:6">
      <c r="A96" s="527"/>
      <c r="B96" s="527"/>
      <c r="C96" s="518"/>
      <c r="D96" s="525"/>
      <c r="E96" s="518"/>
      <c r="F96" s="518"/>
    </row>
    <row r="97" spans="1:6">
      <c r="A97" s="527"/>
      <c r="B97" s="527"/>
      <c r="C97" s="518"/>
      <c r="D97" s="525"/>
      <c r="E97" s="518"/>
      <c r="F97" s="518"/>
    </row>
    <row r="98" spans="1:6">
      <c r="A98" s="527"/>
      <c r="B98" s="527"/>
      <c r="C98" s="518"/>
      <c r="D98" s="525"/>
      <c r="E98" s="518"/>
      <c r="F98" s="518"/>
    </row>
    <row r="99" spans="1:6">
      <c r="A99" s="527"/>
      <c r="B99" s="527"/>
      <c r="C99" s="518"/>
      <c r="D99" s="525"/>
      <c r="E99" s="518"/>
      <c r="F99" s="518"/>
    </row>
    <row r="100" spans="1:6">
      <c r="A100" s="527"/>
      <c r="B100" s="527"/>
      <c r="C100" s="518"/>
      <c r="D100" s="525"/>
      <c r="E100" s="518"/>
      <c r="F100" s="518"/>
    </row>
    <row r="101" spans="1:6">
      <c r="A101" s="527"/>
      <c r="B101" s="527"/>
      <c r="C101" s="518"/>
      <c r="D101" s="525"/>
      <c r="E101" s="518"/>
      <c r="F101" s="518"/>
    </row>
    <row r="102" spans="1:6">
      <c r="A102" s="527"/>
      <c r="B102" s="527"/>
      <c r="C102" s="518"/>
      <c r="D102" s="525"/>
      <c r="E102" s="518"/>
      <c r="F102" s="518"/>
    </row>
    <row r="103" spans="1:6">
      <c r="A103" s="527"/>
      <c r="B103" s="527"/>
      <c r="C103" s="518"/>
      <c r="D103" s="525"/>
      <c r="E103" s="518"/>
      <c r="F103" s="518"/>
    </row>
    <row r="104" spans="1:6">
      <c r="A104" s="527"/>
      <c r="B104" s="527"/>
      <c r="C104" s="518"/>
      <c r="D104" s="525"/>
      <c r="E104" s="518"/>
      <c r="F104" s="518"/>
    </row>
  </sheetData>
  <mergeCells count="6">
    <mergeCell ref="D31:E31"/>
    <mergeCell ref="A1:F1"/>
    <mergeCell ref="A2:F2"/>
    <mergeCell ref="D25:E25"/>
    <mergeCell ref="D27:E27"/>
    <mergeCell ref="D30:E30"/>
  </mergeCells>
  <printOptions horizontalCentered="1"/>
  <pageMargins left="0.19685039370078741" right="0" top="0.59055118110236227" bottom="0" header="0" footer="0"/>
  <pageSetup paperSize="9" scale="70" orientation="portrait" r:id="rId1"/>
</worksheet>
</file>

<file path=xl/worksheets/sheet7.xml><?xml version="1.0" encoding="utf-8"?>
<worksheet xmlns="http://schemas.openxmlformats.org/spreadsheetml/2006/main" xmlns:r="http://schemas.openxmlformats.org/officeDocument/2006/relationships">
  <dimension ref="A1:L348"/>
  <sheetViews>
    <sheetView view="pageBreakPreview" zoomScaleSheetLayoutView="100" workbookViewId="0">
      <selection activeCell="B5" sqref="B5"/>
    </sheetView>
  </sheetViews>
  <sheetFormatPr defaultRowHeight="14.25"/>
  <cols>
    <col min="1" max="1" width="5.7109375" style="517" customWidth="1"/>
    <col min="2" max="2" width="52" style="504" customWidth="1"/>
    <col min="3" max="3" width="9.140625" style="517" customWidth="1"/>
    <col min="4" max="4" width="9.85546875" style="517" customWidth="1"/>
    <col min="5" max="5" width="11.42578125" style="517" customWidth="1"/>
    <col min="6" max="6" width="12.140625" style="517" customWidth="1"/>
    <col min="7" max="7" width="11.85546875" style="555" customWidth="1"/>
    <col min="8" max="8" width="11.140625" style="555" customWidth="1"/>
    <col min="9" max="16384" width="9.140625" style="504"/>
  </cols>
  <sheetData>
    <row r="1" spans="1:8" ht="42.75" customHeight="1">
      <c r="A1" s="1489" t="str">
        <f>Abt!A1</f>
        <v xml:space="preserve"> NAME OF WORK : Special Repair works for the Existing Fire and Rescue Service Station Building at Ganapathy in Coimbatore City.</v>
      </c>
      <c r="B1" s="1490"/>
      <c r="C1" s="1490"/>
      <c r="D1" s="1490"/>
      <c r="E1" s="1490"/>
      <c r="F1" s="1490"/>
      <c r="G1" s="1490"/>
      <c r="H1" s="1491"/>
    </row>
    <row r="2" spans="1:8" ht="24.95" customHeight="1">
      <c r="A2" s="1492" t="s">
        <v>3003</v>
      </c>
      <c r="B2" s="1492"/>
      <c r="C2" s="1492"/>
      <c r="D2" s="1492"/>
      <c r="E2" s="1492"/>
      <c r="F2" s="1492"/>
      <c r="G2" s="1492"/>
      <c r="H2" s="1492"/>
    </row>
    <row r="3" spans="1:8" ht="37.5" customHeight="1">
      <c r="A3" s="565" t="s">
        <v>3005</v>
      </c>
      <c r="B3" s="556" t="s">
        <v>7</v>
      </c>
      <c r="C3" s="1493" t="s">
        <v>1</v>
      </c>
      <c r="D3" s="1493"/>
      <c r="E3" s="557" t="s">
        <v>8</v>
      </c>
      <c r="F3" s="557" t="s">
        <v>2</v>
      </c>
      <c r="G3" s="557" t="s">
        <v>9</v>
      </c>
      <c r="H3" s="557" t="s">
        <v>0</v>
      </c>
    </row>
    <row r="4" spans="1:8" ht="38.25" customHeight="1">
      <c r="A4" s="533">
        <v>1</v>
      </c>
      <c r="B4" s="1333" t="s">
        <v>88</v>
      </c>
      <c r="C4" s="562"/>
      <c r="D4" s="562"/>
      <c r="E4" s="562"/>
      <c r="F4" s="562"/>
      <c r="G4" s="534"/>
      <c r="H4" s="534"/>
    </row>
    <row r="5" spans="1:8" ht="19.5" customHeight="1">
      <c r="A5" s="533"/>
      <c r="B5" s="510" t="s">
        <v>14</v>
      </c>
      <c r="C5" s="562">
        <v>1</v>
      </c>
      <c r="D5" s="562">
        <v>1</v>
      </c>
      <c r="E5" s="562">
        <v>3.77</v>
      </c>
      <c r="F5" s="562">
        <v>3.8849999999999998</v>
      </c>
      <c r="G5" s="534"/>
      <c r="H5" s="534">
        <f>C5*D5*E5*F5</f>
        <v>14.64645</v>
      </c>
    </row>
    <row r="6" spans="1:8" ht="19.5" customHeight="1">
      <c r="A6" s="533"/>
      <c r="B6" s="510" t="s">
        <v>15</v>
      </c>
      <c r="C6" s="562">
        <v>1</v>
      </c>
      <c r="D6" s="562">
        <v>1</v>
      </c>
      <c r="E6" s="562">
        <v>13.45</v>
      </c>
      <c r="F6" s="562">
        <v>11.49</v>
      </c>
      <c r="G6" s="534"/>
      <c r="H6" s="534">
        <f>C6*D6*E6*F6</f>
        <v>154.54050000000001</v>
      </c>
    </row>
    <row r="7" spans="1:8" ht="19.5" customHeight="1">
      <c r="A7" s="533"/>
      <c r="B7" s="510" t="s">
        <v>16</v>
      </c>
      <c r="C7" s="562">
        <v>1</v>
      </c>
      <c r="D7" s="562">
        <v>1</v>
      </c>
      <c r="E7" s="562">
        <v>15.3</v>
      </c>
      <c r="F7" s="562"/>
      <c r="G7" s="534">
        <v>0.23</v>
      </c>
      <c r="H7" s="534">
        <f>G7*E7*D7*C7</f>
        <v>3.5190000000000001</v>
      </c>
    </row>
    <row r="8" spans="1:8" ht="19.5" customHeight="1">
      <c r="A8" s="533"/>
      <c r="B8" s="510" t="s">
        <v>17</v>
      </c>
      <c r="C8" s="562">
        <v>1</v>
      </c>
      <c r="D8" s="562">
        <v>1</v>
      </c>
      <c r="E8" s="562">
        <v>47.42</v>
      </c>
      <c r="F8" s="562"/>
      <c r="G8" s="534">
        <v>0.23</v>
      </c>
      <c r="H8" s="534">
        <f>G8*E8*D8*C8</f>
        <v>10.906600000000001</v>
      </c>
    </row>
    <row r="9" spans="1:8" ht="19.5" customHeight="1">
      <c r="A9" s="533"/>
      <c r="B9" s="510" t="s">
        <v>18</v>
      </c>
      <c r="C9" s="562">
        <v>1</v>
      </c>
      <c r="D9" s="562">
        <v>1</v>
      </c>
      <c r="E9" s="562">
        <v>12.7</v>
      </c>
      <c r="F9" s="562"/>
      <c r="G9" s="534">
        <v>0.23</v>
      </c>
      <c r="H9" s="534">
        <f>G9*E9*D9*C9</f>
        <v>2.9209999999999998</v>
      </c>
    </row>
    <row r="10" spans="1:8" ht="22.5" customHeight="1">
      <c r="A10" s="533"/>
      <c r="B10" s="510"/>
      <c r="C10" s="562"/>
      <c r="D10" s="562"/>
      <c r="E10" s="562"/>
      <c r="F10" s="562"/>
      <c r="G10" s="535" t="s">
        <v>19</v>
      </c>
      <c r="H10" s="535">
        <f>SUM(H5:H9)</f>
        <v>186.53354999999999</v>
      </c>
    </row>
    <row r="11" spans="1:8" ht="45" customHeight="1">
      <c r="A11" s="533">
        <v>2</v>
      </c>
      <c r="B11" s="1332" t="s">
        <v>20</v>
      </c>
      <c r="C11" s="562"/>
      <c r="D11" s="562"/>
      <c r="E11" s="562"/>
      <c r="F11" s="562"/>
      <c r="G11" s="534"/>
      <c r="H11" s="534"/>
    </row>
    <row r="12" spans="1:8" ht="19.5" customHeight="1">
      <c r="A12" s="533"/>
      <c r="B12" s="510" t="s">
        <v>14</v>
      </c>
      <c r="C12" s="562">
        <v>1</v>
      </c>
      <c r="D12" s="562">
        <v>1</v>
      </c>
      <c r="E12" s="562">
        <v>3.77</v>
      </c>
      <c r="F12" s="562">
        <v>3.8849999999999998</v>
      </c>
      <c r="G12" s="534"/>
      <c r="H12" s="534">
        <f>C12*D12*E12*F12</f>
        <v>14.64645</v>
      </c>
    </row>
    <row r="13" spans="1:8" ht="19.5" customHeight="1">
      <c r="A13" s="533"/>
      <c r="B13" s="510" t="s">
        <v>15</v>
      </c>
      <c r="C13" s="562">
        <v>1</v>
      </c>
      <c r="D13" s="562">
        <v>1</v>
      </c>
      <c r="E13" s="562">
        <v>13.45</v>
      </c>
      <c r="F13" s="562">
        <v>11.49</v>
      </c>
      <c r="G13" s="534"/>
      <c r="H13" s="534">
        <f>C13*D13*E13*F13</f>
        <v>154.54050000000001</v>
      </c>
    </row>
    <row r="14" spans="1:8" ht="19.5" customHeight="1">
      <c r="A14" s="533"/>
      <c r="B14" s="510" t="s">
        <v>21</v>
      </c>
      <c r="C14" s="562">
        <v>-1</v>
      </c>
      <c r="D14" s="562">
        <v>1</v>
      </c>
      <c r="E14" s="562">
        <v>11.16</v>
      </c>
      <c r="F14" s="562">
        <v>0.23</v>
      </c>
      <c r="G14" s="534"/>
      <c r="H14" s="534">
        <f>C14*D14*E14*F14</f>
        <v>-2.5668000000000002</v>
      </c>
    </row>
    <row r="15" spans="1:8" ht="19.5" customHeight="1">
      <c r="A15" s="533"/>
      <c r="B15" s="510" t="s">
        <v>16</v>
      </c>
      <c r="C15" s="562">
        <v>1</v>
      </c>
      <c r="D15" s="562">
        <v>1</v>
      </c>
      <c r="E15" s="562">
        <v>15.3</v>
      </c>
      <c r="F15" s="562"/>
      <c r="G15" s="534">
        <v>0.1</v>
      </c>
      <c r="H15" s="534">
        <f>G15*E15*D15*C15</f>
        <v>1.5300000000000002</v>
      </c>
    </row>
    <row r="16" spans="1:8" ht="19.5" customHeight="1">
      <c r="A16" s="533"/>
      <c r="B16" s="510" t="s">
        <v>17</v>
      </c>
      <c r="C16" s="562">
        <v>1</v>
      </c>
      <c r="D16" s="562">
        <v>1</v>
      </c>
      <c r="E16" s="562">
        <v>47.42</v>
      </c>
      <c r="F16" s="562"/>
      <c r="G16" s="534">
        <v>0.1</v>
      </c>
      <c r="H16" s="534">
        <f>G16*E16*D16*C16</f>
        <v>4.742</v>
      </c>
    </row>
    <row r="17" spans="1:8" ht="19.5" customHeight="1">
      <c r="A17" s="533"/>
      <c r="B17" s="510" t="s">
        <v>22</v>
      </c>
      <c r="C17" s="562">
        <v>1</v>
      </c>
      <c r="D17" s="562">
        <v>1</v>
      </c>
      <c r="E17" s="562">
        <v>12.7</v>
      </c>
      <c r="F17" s="562"/>
      <c r="G17" s="534">
        <v>0.1</v>
      </c>
      <c r="H17" s="534">
        <f>G17*E17*D17*C17</f>
        <v>1.27</v>
      </c>
    </row>
    <row r="18" spans="1:8" ht="19.5" customHeight="1">
      <c r="A18" s="533"/>
      <c r="B18" s="510" t="s">
        <v>18</v>
      </c>
      <c r="C18" s="562">
        <v>1</v>
      </c>
      <c r="D18" s="562">
        <v>1</v>
      </c>
      <c r="E18" s="562">
        <v>11.16</v>
      </c>
      <c r="F18" s="562">
        <v>0.1</v>
      </c>
      <c r="G18" s="534"/>
      <c r="H18" s="534">
        <f>F18*E18*D18*C18</f>
        <v>1.1160000000000001</v>
      </c>
    </row>
    <row r="19" spans="1:8" ht="19.5" customHeight="1">
      <c r="A19" s="533"/>
      <c r="B19" s="510"/>
      <c r="C19" s="562"/>
      <c r="D19" s="562"/>
      <c r="E19" s="562"/>
      <c r="F19" s="562"/>
      <c r="G19" s="535" t="s">
        <v>19</v>
      </c>
      <c r="H19" s="534">
        <f>SUM(H12:H18)</f>
        <v>175.27815000000001</v>
      </c>
    </row>
    <row r="20" spans="1:8" ht="39" customHeight="1">
      <c r="A20" s="533">
        <v>3</v>
      </c>
      <c r="B20" s="536" t="s">
        <v>94</v>
      </c>
      <c r="C20" s="562"/>
      <c r="D20" s="562"/>
      <c r="E20" s="562"/>
      <c r="F20" s="562"/>
      <c r="G20" s="535"/>
      <c r="H20" s="534"/>
    </row>
    <row r="21" spans="1:8" ht="19.5" customHeight="1">
      <c r="A21" s="533"/>
      <c r="B21" s="510" t="s">
        <v>95</v>
      </c>
      <c r="C21" s="562">
        <v>1</v>
      </c>
      <c r="D21" s="562">
        <v>2</v>
      </c>
      <c r="E21" s="562">
        <v>2.7</v>
      </c>
      <c r="F21" s="562">
        <v>1.5</v>
      </c>
      <c r="G21" s="535"/>
      <c r="H21" s="534">
        <f>F21*E21*D21*C21</f>
        <v>8.1000000000000014</v>
      </c>
    </row>
    <row r="22" spans="1:8" ht="19.5" customHeight="1">
      <c r="A22" s="533"/>
      <c r="B22" s="510"/>
      <c r="C22" s="562"/>
      <c r="D22" s="562"/>
      <c r="E22" s="562"/>
      <c r="F22" s="562"/>
      <c r="G22" s="535" t="s">
        <v>19</v>
      </c>
      <c r="H22" s="535">
        <f>SUM(H21)</f>
        <v>8.1000000000000014</v>
      </c>
    </row>
    <row r="23" spans="1:8" ht="135" customHeight="1">
      <c r="A23" s="533">
        <v>4</v>
      </c>
      <c r="B23" s="564" t="s">
        <v>96</v>
      </c>
      <c r="C23" s="562"/>
      <c r="D23" s="562"/>
      <c r="E23" s="562"/>
      <c r="F23" s="562"/>
      <c r="G23" s="535"/>
      <c r="H23" s="534"/>
    </row>
    <row r="24" spans="1:8" ht="19.5" customHeight="1">
      <c r="A24" s="533"/>
      <c r="B24" s="510" t="s">
        <v>95</v>
      </c>
      <c r="C24" s="562">
        <v>1</v>
      </c>
      <c r="D24" s="562">
        <v>2</v>
      </c>
      <c r="E24" s="562">
        <v>2.7</v>
      </c>
      <c r="F24" s="562">
        <v>1.5</v>
      </c>
      <c r="G24" s="535"/>
      <c r="H24" s="534">
        <f>F24*E24*D24*C24</f>
        <v>8.1000000000000014</v>
      </c>
    </row>
    <row r="25" spans="1:8" ht="19.5" customHeight="1">
      <c r="A25" s="533"/>
      <c r="B25" s="510"/>
      <c r="C25" s="562"/>
      <c r="D25" s="562"/>
      <c r="E25" s="562"/>
      <c r="F25" s="562"/>
      <c r="G25" s="535" t="s">
        <v>19</v>
      </c>
      <c r="H25" s="535">
        <f>SUM(H24)</f>
        <v>8.1000000000000014</v>
      </c>
    </row>
    <row r="26" spans="1:8" ht="19.5" customHeight="1">
      <c r="A26" s="533">
        <v>5</v>
      </c>
      <c r="B26" s="537" t="s">
        <v>246</v>
      </c>
      <c r="C26" s="562"/>
      <c r="D26" s="562"/>
      <c r="E26" s="562"/>
      <c r="F26" s="562"/>
      <c r="G26" s="535"/>
      <c r="H26" s="535"/>
    </row>
    <row r="27" spans="1:8" ht="19.5" customHeight="1">
      <c r="A27" s="533"/>
      <c r="B27" s="538" t="s">
        <v>12</v>
      </c>
      <c r="C27" s="562"/>
      <c r="D27" s="562"/>
      <c r="E27" s="562"/>
      <c r="F27" s="562"/>
      <c r="G27" s="534"/>
      <c r="H27" s="535"/>
    </row>
    <row r="28" spans="1:8" ht="19.5" customHeight="1">
      <c r="A28" s="533"/>
      <c r="B28" s="539" t="s">
        <v>23</v>
      </c>
      <c r="C28" s="534">
        <v>1</v>
      </c>
      <c r="D28" s="534">
        <v>1</v>
      </c>
      <c r="E28" s="534">
        <v>14.7</v>
      </c>
      <c r="F28" s="534"/>
      <c r="G28" s="534">
        <v>3.18</v>
      </c>
      <c r="H28" s="535">
        <f>G28*E28*D28*C28</f>
        <v>46.746000000000002</v>
      </c>
    </row>
    <row r="29" spans="1:8" ht="19.5" customHeight="1">
      <c r="A29" s="533"/>
      <c r="B29" s="539" t="s">
        <v>24</v>
      </c>
      <c r="C29" s="534">
        <v>-1</v>
      </c>
      <c r="D29" s="534">
        <v>1</v>
      </c>
      <c r="E29" s="534">
        <v>1</v>
      </c>
      <c r="F29" s="534"/>
      <c r="G29" s="534">
        <v>2.1</v>
      </c>
      <c r="H29" s="535">
        <f>G29*E29*D29*C29</f>
        <v>-2.1</v>
      </c>
    </row>
    <row r="30" spans="1:8" ht="19.5" customHeight="1">
      <c r="A30" s="533"/>
      <c r="B30" s="539" t="s">
        <v>25</v>
      </c>
      <c r="C30" s="534">
        <v>-1</v>
      </c>
      <c r="D30" s="534">
        <v>2</v>
      </c>
      <c r="E30" s="534">
        <v>1.35</v>
      </c>
      <c r="F30" s="534"/>
      <c r="G30" s="534">
        <v>1.35</v>
      </c>
      <c r="H30" s="535">
        <f>G30*E30*D30*C30</f>
        <v>-3.6450000000000005</v>
      </c>
    </row>
    <row r="31" spans="1:8" ht="19.5" customHeight="1">
      <c r="A31" s="533"/>
      <c r="B31" s="539" t="s">
        <v>26</v>
      </c>
      <c r="C31" s="534">
        <v>-1</v>
      </c>
      <c r="D31" s="534">
        <v>1</v>
      </c>
      <c r="E31" s="534">
        <v>0.75</v>
      </c>
      <c r="F31" s="534"/>
      <c r="G31" s="534">
        <v>2.1</v>
      </c>
      <c r="H31" s="535">
        <f>G31*E31*D31*C31</f>
        <v>-1.5750000000000002</v>
      </c>
    </row>
    <row r="32" spans="1:8" ht="19.5" customHeight="1">
      <c r="A32" s="533"/>
      <c r="B32" s="539" t="s">
        <v>27</v>
      </c>
      <c r="C32" s="534">
        <v>1</v>
      </c>
      <c r="D32" s="534">
        <v>1</v>
      </c>
      <c r="E32" s="534">
        <v>5.2</v>
      </c>
      <c r="F32" s="534">
        <v>0.1</v>
      </c>
      <c r="G32" s="534"/>
      <c r="H32" s="535">
        <f>F32*E32*D32*C32</f>
        <v>0.52</v>
      </c>
    </row>
    <row r="33" spans="1:8" ht="19.5" customHeight="1">
      <c r="A33" s="533"/>
      <c r="B33" s="539" t="s">
        <v>28</v>
      </c>
      <c r="C33" s="534">
        <v>1</v>
      </c>
      <c r="D33" s="534">
        <v>2</v>
      </c>
      <c r="E33" s="534">
        <v>6.75</v>
      </c>
      <c r="F33" s="534">
        <v>0.1</v>
      </c>
      <c r="G33" s="534"/>
      <c r="H33" s="535">
        <f>F33*E33*D33*C33</f>
        <v>1.35</v>
      </c>
    </row>
    <row r="34" spans="1:8" ht="19.5" customHeight="1">
      <c r="A34" s="533"/>
      <c r="B34" s="539" t="s">
        <v>29</v>
      </c>
      <c r="C34" s="534">
        <v>1</v>
      </c>
      <c r="D34" s="534">
        <v>1</v>
      </c>
      <c r="E34" s="534">
        <v>8.4</v>
      </c>
      <c r="F34" s="534"/>
      <c r="G34" s="534">
        <v>1.68</v>
      </c>
      <c r="H34" s="535">
        <f>G34*E34*D34*C34</f>
        <v>14.112</v>
      </c>
    </row>
    <row r="35" spans="1:8" ht="19.5" customHeight="1">
      <c r="A35" s="533"/>
      <c r="B35" s="539" t="s">
        <v>26</v>
      </c>
      <c r="C35" s="534">
        <v>-1</v>
      </c>
      <c r="D35" s="534">
        <v>1</v>
      </c>
      <c r="E35" s="534">
        <v>0.75</v>
      </c>
      <c r="F35" s="534"/>
      <c r="G35" s="534">
        <v>2.1</v>
      </c>
      <c r="H35" s="535">
        <f>G35*E35*D35*C35</f>
        <v>-1.5750000000000002</v>
      </c>
    </row>
    <row r="36" spans="1:8" ht="19.5" customHeight="1">
      <c r="A36" s="533"/>
      <c r="B36" s="539" t="s">
        <v>27</v>
      </c>
      <c r="C36" s="534">
        <v>1</v>
      </c>
      <c r="D36" s="534">
        <v>1</v>
      </c>
      <c r="E36" s="534">
        <v>5.7</v>
      </c>
      <c r="F36" s="534">
        <v>0.15</v>
      </c>
      <c r="G36" s="534"/>
      <c r="H36" s="535">
        <f>F36*E36*D36*C36</f>
        <v>0.85499999999999998</v>
      </c>
    </row>
    <row r="37" spans="1:8" ht="19.5" customHeight="1">
      <c r="A37" s="533"/>
      <c r="B37" s="539" t="s">
        <v>30</v>
      </c>
      <c r="C37" s="534">
        <v>1</v>
      </c>
      <c r="D37" s="534">
        <v>1</v>
      </c>
      <c r="E37" s="534">
        <v>4.62</v>
      </c>
      <c r="F37" s="534"/>
      <c r="G37" s="534">
        <v>3.18</v>
      </c>
      <c r="H37" s="535">
        <f>G37*E37*D37*C37</f>
        <v>14.691600000000001</v>
      </c>
    </row>
    <row r="38" spans="1:8" ht="19.5" customHeight="1">
      <c r="A38" s="533"/>
      <c r="B38" s="539" t="s">
        <v>26</v>
      </c>
      <c r="C38" s="534">
        <v>-1</v>
      </c>
      <c r="D38" s="534">
        <v>1</v>
      </c>
      <c r="E38" s="534">
        <v>0.75</v>
      </c>
      <c r="F38" s="534"/>
      <c r="G38" s="534">
        <v>2.1</v>
      </c>
      <c r="H38" s="535">
        <f>G38*E38*D38*C38</f>
        <v>-1.5750000000000002</v>
      </c>
    </row>
    <row r="39" spans="1:8" ht="19.5" customHeight="1">
      <c r="A39" s="533"/>
      <c r="B39" s="539" t="s">
        <v>31</v>
      </c>
      <c r="C39" s="534">
        <v>-1</v>
      </c>
      <c r="D39" s="534">
        <v>1</v>
      </c>
      <c r="E39" s="534">
        <v>0.6</v>
      </c>
      <c r="F39" s="534"/>
      <c r="G39" s="534">
        <v>0.6</v>
      </c>
      <c r="H39" s="535">
        <f>G39*E39*D39*C39</f>
        <v>-0.36</v>
      </c>
    </row>
    <row r="40" spans="1:8" ht="19.5" customHeight="1">
      <c r="A40" s="533"/>
      <c r="B40" s="539" t="s">
        <v>32</v>
      </c>
      <c r="C40" s="534">
        <v>1</v>
      </c>
      <c r="D40" s="534">
        <v>1</v>
      </c>
      <c r="E40" s="534">
        <v>5.7</v>
      </c>
      <c r="F40" s="534">
        <v>0.15</v>
      </c>
      <c r="G40" s="534"/>
      <c r="H40" s="535">
        <f>F40*E40*D40*C40</f>
        <v>0.85499999999999998</v>
      </c>
    </row>
    <row r="41" spans="1:8" ht="19.5" customHeight="1">
      <c r="A41" s="533"/>
      <c r="B41" s="539" t="s">
        <v>33</v>
      </c>
      <c r="C41" s="534">
        <v>1</v>
      </c>
      <c r="D41" s="534">
        <v>1</v>
      </c>
      <c r="E41" s="534">
        <v>2.4</v>
      </c>
      <c r="F41" s="534">
        <v>0.1</v>
      </c>
      <c r="G41" s="534"/>
      <c r="H41" s="535">
        <f>F41*E41*D41*C41</f>
        <v>0.24</v>
      </c>
    </row>
    <row r="42" spans="1:8" ht="19.5" customHeight="1">
      <c r="A42" s="533"/>
      <c r="B42" s="539" t="s">
        <v>34</v>
      </c>
      <c r="C42" s="534">
        <v>1</v>
      </c>
      <c r="D42" s="534">
        <v>1</v>
      </c>
      <c r="E42" s="534">
        <v>14.7</v>
      </c>
      <c r="F42" s="534"/>
      <c r="G42" s="534">
        <v>3.18</v>
      </c>
      <c r="H42" s="535">
        <f>G42*E42*D42*C42</f>
        <v>46.746000000000002</v>
      </c>
    </row>
    <row r="43" spans="1:8" ht="19.5" customHeight="1">
      <c r="A43" s="533"/>
      <c r="B43" s="539" t="s">
        <v>24</v>
      </c>
      <c r="C43" s="534">
        <v>-1</v>
      </c>
      <c r="D43" s="534">
        <v>1</v>
      </c>
      <c r="E43" s="534">
        <v>1</v>
      </c>
      <c r="F43" s="534"/>
      <c r="G43" s="534">
        <v>2.1</v>
      </c>
      <c r="H43" s="535">
        <f>G43*E43*D43*C43</f>
        <v>-2.1</v>
      </c>
    </row>
    <row r="44" spans="1:8" ht="19.5" customHeight="1">
      <c r="A44" s="533"/>
      <c r="B44" s="539" t="s">
        <v>25</v>
      </c>
      <c r="C44" s="534">
        <v>-1</v>
      </c>
      <c r="D44" s="534">
        <v>2</v>
      </c>
      <c r="E44" s="534">
        <v>1.35</v>
      </c>
      <c r="F44" s="534"/>
      <c r="G44" s="534">
        <v>1.35</v>
      </c>
      <c r="H44" s="535">
        <f>G44*E44*D44*C44</f>
        <v>-3.6450000000000005</v>
      </c>
    </row>
    <row r="45" spans="1:8" ht="19.5" customHeight="1">
      <c r="A45" s="533"/>
      <c r="B45" s="539" t="s">
        <v>26</v>
      </c>
      <c r="C45" s="534">
        <v>-1</v>
      </c>
      <c r="D45" s="534">
        <v>1</v>
      </c>
      <c r="E45" s="534">
        <v>0.75</v>
      </c>
      <c r="F45" s="534"/>
      <c r="G45" s="534">
        <v>2.1</v>
      </c>
      <c r="H45" s="535">
        <f>G45*E45*D45*C45</f>
        <v>-1.5750000000000002</v>
      </c>
    </row>
    <row r="46" spans="1:8" ht="19.5" customHeight="1">
      <c r="A46" s="533"/>
      <c r="B46" s="539" t="s">
        <v>27</v>
      </c>
      <c r="C46" s="534">
        <v>1</v>
      </c>
      <c r="D46" s="534">
        <v>1</v>
      </c>
      <c r="E46" s="534">
        <v>5.2</v>
      </c>
      <c r="F46" s="534">
        <v>0.1</v>
      </c>
      <c r="G46" s="534"/>
      <c r="H46" s="535">
        <f>F46*E46*D46*C46</f>
        <v>0.52</v>
      </c>
    </row>
    <row r="47" spans="1:8" ht="19.5" customHeight="1">
      <c r="A47" s="533"/>
      <c r="B47" s="539" t="s">
        <v>28</v>
      </c>
      <c r="C47" s="534">
        <v>1</v>
      </c>
      <c r="D47" s="534">
        <v>2</v>
      </c>
      <c r="E47" s="534">
        <v>6.75</v>
      </c>
      <c r="F47" s="534">
        <v>0.1</v>
      </c>
      <c r="G47" s="534"/>
      <c r="H47" s="535">
        <f>F47*E47*D47*C47</f>
        <v>1.35</v>
      </c>
    </row>
    <row r="48" spans="1:8" ht="19.5" customHeight="1">
      <c r="A48" s="533"/>
      <c r="B48" s="539" t="s">
        <v>29</v>
      </c>
      <c r="C48" s="534">
        <v>1</v>
      </c>
      <c r="D48" s="534">
        <v>1</v>
      </c>
      <c r="E48" s="534">
        <v>8.4</v>
      </c>
      <c r="F48" s="534"/>
      <c r="G48" s="534">
        <v>1.68</v>
      </c>
      <c r="H48" s="535">
        <f>G48*E48*D48*C48</f>
        <v>14.112</v>
      </c>
    </row>
    <row r="49" spans="1:8" ht="19.5" customHeight="1">
      <c r="A49" s="533"/>
      <c r="B49" s="539" t="s">
        <v>26</v>
      </c>
      <c r="C49" s="534">
        <v>-1</v>
      </c>
      <c r="D49" s="534">
        <v>1</v>
      </c>
      <c r="E49" s="534">
        <v>0.75</v>
      </c>
      <c r="F49" s="534"/>
      <c r="G49" s="534">
        <v>2.1</v>
      </c>
      <c r="H49" s="535">
        <f>G49*E49*D49*C49</f>
        <v>-1.5750000000000002</v>
      </c>
    </row>
    <row r="50" spans="1:8" ht="19.5" customHeight="1">
      <c r="A50" s="533"/>
      <c r="B50" s="539" t="s">
        <v>27</v>
      </c>
      <c r="C50" s="534">
        <v>1</v>
      </c>
      <c r="D50" s="534">
        <v>1</v>
      </c>
      <c r="E50" s="534">
        <v>5.7</v>
      </c>
      <c r="F50" s="534">
        <v>0.15</v>
      </c>
      <c r="G50" s="534"/>
      <c r="H50" s="535">
        <f>F50*E50*D50*C50</f>
        <v>0.85499999999999998</v>
      </c>
    </row>
    <row r="51" spans="1:8" ht="19.5" customHeight="1">
      <c r="A51" s="533"/>
      <c r="B51" s="539" t="s">
        <v>30</v>
      </c>
      <c r="C51" s="534">
        <v>1</v>
      </c>
      <c r="D51" s="534">
        <v>1</v>
      </c>
      <c r="E51" s="534">
        <v>4.62</v>
      </c>
      <c r="F51" s="534"/>
      <c r="G51" s="534">
        <v>1.68</v>
      </c>
      <c r="H51" s="535">
        <f>G51*E51*D51*C51</f>
        <v>7.7615999999999996</v>
      </c>
    </row>
    <row r="52" spans="1:8" ht="19.5" customHeight="1">
      <c r="A52" s="533"/>
      <c r="B52" s="539" t="s">
        <v>26</v>
      </c>
      <c r="C52" s="534">
        <v>-1</v>
      </c>
      <c r="D52" s="534">
        <v>1</v>
      </c>
      <c r="E52" s="534">
        <v>0.75</v>
      </c>
      <c r="F52" s="534"/>
      <c r="G52" s="534">
        <v>2.1</v>
      </c>
      <c r="H52" s="535">
        <f>G52*E52*D52*C52</f>
        <v>-1.5750000000000002</v>
      </c>
    </row>
    <row r="53" spans="1:8" ht="19.5" customHeight="1">
      <c r="A53" s="533"/>
      <c r="B53" s="539" t="s">
        <v>31</v>
      </c>
      <c r="C53" s="534">
        <v>-1</v>
      </c>
      <c r="D53" s="534">
        <v>1</v>
      </c>
      <c r="E53" s="534">
        <v>0.6</v>
      </c>
      <c r="F53" s="534"/>
      <c r="G53" s="534">
        <v>0.6</v>
      </c>
      <c r="H53" s="535">
        <f>G53*E53*D53*C53</f>
        <v>-0.36</v>
      </c>
    </row>
    <row r="54" spans="1:8" ht="19.5" customHeight="1">
      <c r="A54" s="533"/>
      <c r="B54" s="539" t="s">
        <v>32</v>
      </c>
      <c r="C54" s="534">
        <v>1</v>
      </c>
      <c r="D54" s="534">
        <v>1</v>
      </c>
      <c r="E54" s="534">
        <v>5.7</v>
      </c>
      <c r="F54" s="534">
        <v>0.15</v>
      </c>
      <c r="G54" s="534"/>
      <c r="H54" s="535">
        <f>F54*E54*D54*C54</f>
        <v>0.85499999999999998</v>
      </c>
    </row>
    <row r="55" spans="1:8" ht="19.5" customHeight="1">
      <c r="A55" s="533"/>
      <c r="B55" s="539" t="s">
        <v>33</v>
      </c>
      <c r="C55" s="534">
        <v>1</v>
      </c>
      <c r="D55" s="534">
        <v>1</v>
      </c>
      <c r="E55" s="534">
        <v>2.4</v>
      </c>
      <c r="F55" s="534">
        <v>0.1</v>
      </c>
      <c r="G55" s="534"/>
      <c r="H55" s="535">
        <f>F55*E55*D55*C55</f>
        <v>0.24</v>
      </c>
    </row>
    <row r="56" spans="1:8" ht="19.5" customHeight="1">
      <c r="A56" s="533"/>
      <c r="B56" s="539" t="s">
        <v>36</v>
      </c>
      <c r="C56" s="560">
        <v>1</v>
      </c>
      <c r="D56" s="560">
        <v>1</v>
      </c>
      <c r="E56" s="560">
        <v>19.96</v>
      </c>
      <c r="F56" s="560"/>
      <c r="G56" s="560">
        <v>3.18</v>
      </c>
      <c r="H56" s="535">
        <f>G56*E56*D56*C56</f>
        <v>63.472800000000007</v>
      </c>
    </row>
    <row r="57" spans="1:8" ht="19.5" customHeight="1">
      <c r="A57" s="533"/>
      <c r="B57" s="539" t="s">
        <v>24</v>
      </c>
      <c r="C57" s="560">
        <v>-1</v>
      </c>
      <c r="D57" s="560">
        <v>1</v>
      </c>
      <c r="E57" s="560">
        <v>1</v>
      </c>
      <c r="F57" s="560"/>
      <c r="G57" s="560">
        <v>2.1</v>
      </c>
      <c r="H57" s="535">
        <f>G57*E57*D57*C57</f>
        <v>-2.1</v>
      </c>
    </row>
    <row r="58" spans="1:8" ht="19.5" customHeight="1">
      <c r="A58" s="533"/>
      <c r="B58" s="539" t="s">
        <v>25</v>
      </c>
      <c r="C58" s="560">
        <v>-1</v>
      </c>
      <c r="D58" s="560">
        <v>2</v>
      </c>
      <c r="E58" s="560">
        <v>1.35</v>
      </c>
      <c r="F58" s="560"/>
      <c r="G58" s="560">
        <v>1.35</v>
      </c>
      <c r="H58" s="535">
        <f>G58*E58*D58*C58</f>
        <v>-3.6450000000000005</v>
      </c>
    </row>
    <row r="59" spans="1:8" ht="19.5" customHeight="1">
      <c r="A59" s="533"/>
      <c r="B59" s="539" t="s">
        <v>27</v>
      </c>
      <c r="C59" s="560">
        <v>1</v>
      </c>
      <c r="D59" s="560">
        <v>1</v>
      </c>
      <c r="E59" s="560">
        <v>5.2</v>
      </c>
      <c r="F59" s="560">
        <v>0.1</v>
      </c>
      <c r="G59" s="560"/>
      <c r="H59" s="535">
        <f>F59*E59*D59*C59</f>
        <v>0.52</v>
      </c>
    </row>
    <row r="60" spans="1:8" ht="19.5" customHeight="1">
      <c r="A60" s="533"/>
      <c r="B60" s="539" t="s">
        <v>28</v>
      </c>
      <c r="C60" s="560">
        <v>1</v>
      </c>
      <c r="D60" s="560">
        <v>2</v>
      </c>
      <c r="E60" s="560">
        <v>6.75</v>
      </c>
      <c r="F60" s="560">
        <v>0.1</v>
      </c>
      <c r="G60" s="560"/>
      <c r="H60" s="535">
        <f>F60*E60*D60*C60</f>
        <v>1.35</v>
      </c>
    </row>
    <row r="61" spans="1:8" ht="19.5" customHeight="1">
      <c r="A61" s="533"/>
      <c r="B61" s="539" t="s">
        <v>43</v>
      </c>
      <c r="C61" s="560">
        <v>1</v>
      </c>
      <c r="D61" s="560">
        <v>1</v>
      </c>
      <c r="E61" s="560">
        <v>14.2</v>
      </c>
      <c r="F61" s="560"/>
      <c r="G61" s="560">
        <v>3.18</v>
      </c>
      <c r="H61" s="535">
        <f>G61*E61*D61*C61</f>
        <v>45.155999999999999</v>
      </c>
    </row>
    <row r="62" spans="1:8" ht="19.5" customHeight="1">
      <c r="A62" s="533"/>
      <c r="B62" s="539" t="s">
        <v>24</v>
      </c>
      <c r="C62" s="560">
        <v>-1</v>
      </c>
      <c r="D62" s="560">
        <v>1</v>
      </c>
      <c r="E62" s="560">
        <v>1</v>
      </c>
      <c r="F62" s="560"/>
      <c r="G62" s="560">
        <v>2.1</v>
      </c>
      <c r="H62" s="535">
        <f>G62*E62*D62*C62</f>
        <v>-2.1</v>
      </c>
    </row>
    <row r="63" spans="1:8" ht="19.5" customHeight="1">
      <c r="A63" s="533"/>
      <c r="B63" s="539" t="s">
        <v>27</v>
      </c>
      <c r="C63" s="560">
        <v>1</v>
      </c>
      <c r="D63" s="560">
        <v>1</v>
      </c>
      <c r="E63" s="560">
        <v>5.2</v>
      </c>
      <c r="F63" s="560">
        <v>0.1</v>
      </c>
      <c r="G63" s="560"/>
      <c r="H63" s="535">
        <f>F63*E63*D63*C63</f>
        <v>0.52</v>
      </c>
    </row>
    <row r="64" spans="1:8" ht="19.5" customHeight="1">
      <c r="A64" s="533"/>
      <c r="B64" s="539" t="s">
        <v>37</v>
      </c>
      <c r="C64" s="560">
        <v>-1</v>
      </c>
      <c r="D64" s="560">
        <v>1</v>
      </c>
      <c r="E64" s="560">
        <v>0.9</v>
      </c>
      <c r="F64" s="560"/>
      <c r="G64" s="560">
        <v>0.6</v>
      </c>
      <c r="H64" s="535">
        <f>G64*E64*D64*C64</f>
        <v>-0.54</v>
      </c>
    </row>
    <row r="65" spans="1:8" ht="19.5" customHeight="1">
      <c r="A65" s="533"/>
      <c r="B65" s="539" t="s">
        <v>38</v>
      </c>
      <c r="C65" s="560">
        <v>1</v>
      </c>
      <c r="D65" s="560">
        <v>1</v>
      </c>
      <c r="E65" s="560">
        <v>3</v>
      </c>
      <c r="F65" s="560">
        <v>0.1</v>
      </c>
      <c r="G65" s="560"/>
      <c r="H65" s="535">
        <f>F65*E65*D65*C65</f>
        <v>0.30000000000000004</v>
      </c>
    </row>
    <row r="66" spans="1:8" ht="19.5" customHeight="1">
      <c r="A66" s="533"/>
      <c r="B66" s="539" t="s">
        <v>39</v>
      </c>
      <c r="C66" s="560">
        <v>1</v>
      </c>
      <c r="D66" s="560">
        <v>2</v>
      </c>
      <c r="E66" s="560">
        <v>0.9</v>
      </c>
      <c r="F66" s="560"/>
      <c r="G66" s="560">
        <v>1.35</v>
      </c>
      <c r="H66" s="535">
        <f t="shared" ref="H66:H72" si="0">G66*E66*D66*C66</f>
        <v>2.4300000000000002</v>
      </c>
    </row>
    <row r="67" spans="1:8" ht="19.5" customHeight="1">
      <c r="A67" s="533"/>
      <c r="B67" s="539" t="s">
        <v>39</v>
      </c>
      <c r="C67" s="560">
        <v>1</v>
      </c>
      <c r="D67" s="560">
        <v>2</v>
      </c>
      <c r="E67" s="560">
        <v>0.45</v>
      </c>
      <c r="F67" s="560"/>
      <c r="G67" s="560">
        <v>1.35</v>
      </c>
      <c r="H67" s="535">
        <f t="shared" si="0"/>
        <v>1.2150000000000001</v>
      </c>
    </row>
    <row r="68" spans="1:8" ht="19.5" customHeight="1">
      <c r="A68" s="533"/>
      <c r="B68" s="539" t="s">
        <v>32</v>
      </c>
      <c r="C68" s="560">
        <v>1</v>
      </c>
      <c r="D68" s="560">
        <v>2</v>
      </c>
      <c r="E68" s="560">
        <v>0.12</v>
      </c>
      <c r="F68" s="560"/>
      <c r="G68" s="560">
        <v>1.35</v>
      </c>
      <c r="H68" s="535">
        <f t="shared" si="0"/>
        <v>0.32400000000000001</v>
      </c>
    </row>
    <row r="69" spans="1:8" ht="19.5" customHeight="1">
      <c r="A69" s="533"/>
      <c r="B69" s="539" t="s">
        <v>40</v>
      </c>
      <c r="C69" s="560">
        <v>1</v>
      </c>
      <c r="D69" s="560">
        <v>1</v>
      </c>
      <c r="E69" s="560">
        <v>14.4</v>
      </c>
      <c r="F69" s="560"/>
      <c r="G69" s="560">
        <v>3.18</v>
      </c>
      <c r="H69" s="535">
        <f t="shared" si="0"/>
        <v>45.792000000000002</v>
      </c>
    </row>
    <row r="70" spans="1:8" ht="19.5" customHeight="1">
      <c r="A70" s="533"/>
      <c r="B70" s="539" t="s">
        <v>41</v>
      </c>
      <c r="C70" s="560">
        <v>-1</v>
      </c>
      <c r="D70" s="560">
        <v>1</v>
      </c>
      <c r="E70" s="560">
        <v>2.1</v>
      </c>
      <c r="F70" s="560"/>
      <c r="G70" s="560">
        <v>3</v>
      </c>
      <c r="H70" s="535">
        <f t="shared" si="0"/>
        <v>-6.3000000000000007</v>
      </c>
    </row>
    <row r="71" spans="1:8" ht="19.5" customHeight="1">
      <c r="A71" s="533"/>
      <c r="B71" s="539" t="s">
        <v>42</v>
      </c>
      <c r="C71" s="560">
        <v>-1</v>
      </c>
      <c r="D71" s="560">
        <v>2</v>
      </c>
      <c r="E71" s="560">
        <v>1</v>
      </c>
      <c r="F71" s="560"/>
      <c r="G71" s="560">
        <v>2.1</v>
      </c>
      <c r="H71" s="535">
        <f t="shared" si="0"/>
        <v>-4.2</v>
      </c>
    </row>
    <row r="72" spans="1:8" ht="19.5" customHeight="1">
      <c r="A72" s="533"/>
      <c r="B72" s="539" t="s">
        <v>25</v>
      </c>
      <c r="C72" s="560">
        <v>-1</v>
      </c>
      <c r="D72" s="560">
        <v>1</v>
      </c>
      <c r="E72" s="560">
        <v>1.35</v>
      </c>
      <c r="F72" s="560"/>
      <c r="G72" s="560">
        <v>1.35</v>
      </c>
      <c r="H72" s="535">
        <f t="shared" si="0"/>
        <v>-1.8225000000000002</v>
      </c>
    </row>
    <row r="73" spans="1:8" ht="19.5" customHeight="1">
      <c r="A73" s="533"/>
      <c r="B73" s="539" t="s">
        <v>28</v>
      </c>
      <c r="C73" s="560">
        <v>1</v>
      </c>
      <c r="D73" s="560">
        <v>1</v>
      </c>
      <c r="E73" s="560">
        <v>5.4</v>
      </c>
      <c r="F73" s="560">
        <v>0.1</v>
      </c>
      <c r="G73" s="560"/>
      <c r="H73" s="535">
        <f>F73*E73*D73*C73</f>
        <v>0.54</v>
      </c>
    </row>
    <row r="74" spans="1:8" ht="19.5" customHeight="1">
      <c r="A74" s="533"/>
      <c r="B74" s="539" t="s">
        <v>44</v>
      </c>
      <c r="C74" s="560">
        <v>1</v>
      </c>
      <c r="D74" s="560">
        <v>1</v>
      </c>
      <c r="E74" s="560">
        <v>14.2</v>
      </c>
      <c r="F74" s="560"/>
      <c r="G74" s="560">
        <v>3.18</v>
      </c>
      <c r="H74" s="535">
        <f>G74*E74*D74*C74</f>
        <v>45.155999999999999</v>
      </c>
    </row>
    <row r="75" spans="1:8" ht="19.5" customHeight="1">
      <c r="A75" s="533"/>
      <c r="B75" s="539" t="s">
        <v>24</v>
      </c>
      <c r="C75" s="560">
        <v>-1</v>
      </c>
      <c r="D75" s="560">
        <v>1</v>
      </c>
      <c r="E75" s="560">
        <v>1</v>
      </c>
      <c r="F75" s="560"/>
      <c r="G75" s="560">
        <v>2.1</v>
      </c>
      <c r="H75" s="535">
        <f>G75*E75*D75*C75</f>
        <v>-2.1</v>
      </c>
    </row>
    <row r="76" spans="1:8" ht="19.5" customHeight="1">
      <c r="A76" s="533"/>
      <c r="B76" s="539" t="s">
        <v>27</v>
      </c>
      <c r="C76" s="560">
        <v>1</v>
      </c>
      <c r="D76" s="560">
        <v>1</v>
      </c>
      <c r="E76" s="560">
        <v>5.2</v>
      </c>
      <c r="F76" s="560">
        <v>0.1</v>
      </c>
      <c r="G76" s="560"/>
      <c r="H76" s="535">
        <f>F76*E76*D76*C76</f>
        <v>0.52</v>
      </c>
    </row>
    <row r="77" spans="1:8" ht="19.5" customHeight="1">
      <c r="A77" s="533"/>
      <c r="B77" s="539" t="s">
        <v>37</v>
      </c>
      <c r="C77" s="560">
        <v>-1</v>
      </c>
      <c r="D77" s="560">
        <v>1</v>
      </c>
      <c r="E77" s="560">
        <v>0.9</v>
      </c>
      <c r="F77" s="560"/>
      <c r="G77" s="560">
        <v>0.6</v>
      </c>
      <c r="H77" s="535">
        <f>G77*E77*D77*C77</f>
        <v>-0.54</v>
      </c>
    </row>
    <row r="78" spans="1:8" ht="19.5" customHeight="1">
      <c r="A78" s="533"/>
      <c r="B78" s="539" t="s">
        <v>38</v>
      </c>
      <c r="C78" s="560">
        <v>1</v>
      </c>
      <c r="D78" s="560">
        <v>1</v>
      </c>
      <c r="E78" s="560">
        <v>3</v>
      </c>
      <c r="F78" s="560">
        <v>0.1</v>
      </c>
      <c r="G78" s="560"/>
      <c r="H78" s="535">
        <f>F78*E78*D78*C78</f>
        <v>0.30000000000000004</v>
      </c>
    </row>
    <row r="79" spans="1:8" ht="19.5" customHeight="1">
      <c r="A79" s="533"/>
      <c r="B79" s="539" t="s">
        <v>39</v>
      </c>
      <c r="C79" s="560">
        <v>1</v>
      </c>
      <c r="D79" s="560">
        <v>2</v>
      </c>
      <c r="E79" s="560">
        <v>0.9</v>
      </c>
      <c r="F79" s="560"/>
      <c r="G79" s="560">
        <v>0.75</v>
      </c>
      <c r="H79" s="535">
        <f t="shared" ref="H79:H85" si="1">G79*E79*D79*C79</f>
        <v>1.35</v>
      </c>
    </row>
    <row r="80" spans="1:8" ht="19.5" customHeight="1">
      <c r="A80" s="533"/>
      <c r="B80" s="539" t="s">
        <v>39</v>
      </c>
      <c r="C80" s="560">
        <v>1</v>
      </c>
      <c r="D80" s="560">
        <v>2</v>
      </c>
      <c r="E80" s="560">
        <v>0.45</v>
      </c>
      <c r="F80" s="560"/>
      <c r="G80" s="560">
        <v>0.75</v>
      </c>
      <c r="H80" s="535">
        <f t="shared" si="1"/>
        <v>0.67500000000000004</v>
      </c>
    </row>
    <row r="81" spans="1:8" ht="19.5" customHeight="1">
      <c r="A81" s="533"/>
      <c r="B81" s="539" t="s">
        <v>32</v>
      </c>
      <c r="C81" s="560">
        <v>1</v>
      </c>
      <c r="D81" s="560">
        <v>2</v>
      </c>
      <c r="E81" s="560">
        <v>0.12</v>
      </c>
      <c r="F81" s="560"/>
      <c r="G81" s="560">
        <v>0.75</v>
      </c>
      <c r="H81" s="535">
        <f t="shared" si="1"/>
        <v>0.18</v>
      </c>
    </row>
    <row r="82" spans="1:8" ht="19.5" customHeight="1">
      <c r="A82" s="533"/>
      <c r="B82" s="539" t="s">
        <v>45</v>
      </c>
      <c r="C82" s="560">
        <v>1</v>
      </c>
      <c r="D82" s="560">
        <v>1</v>
      </c>
      <c r="E82" s="560">
        <v>10.24</v>
      </c>
      <c r="F82" s="560"/>
      <c r="G82" s="560">
        <v>3.18</v>
      </c>
      <c r="H82" s="535">
        <f t="shared" si="1"/>
        <v>32.563200000000002</v>
      </c>
    </row>
    <row r="83" spans="1:8" ht="19.5" customHeight="1">
      <c r="A83" s="533"/>
      <c r="B83" s="539" t="s">
        <v>24</v>
      </c>
      <c r="C83" s="560">
        <v>-1</v>
      </c>
      <c r="D83" s="560">
        <v>1</v>
      </c>
      <c r="E83" s="560">
        <v>1</v>
      </c>
      <c r="F83" s="560"/>
      <c r="G83" s="560">
        <v>2.1</v>
      </c>
      <c r="H83" s="535">
        <f t="shared" si="1"/>
        <v>-2.1</v>
      </c>
    </row>
    <row r="84" spans="1:8" ht="19.5" customHeight="1">
      <c r="A84" s="533"/>
      <c r="B84" s="539" t="s">
        <v>46</v>
      </c>
      <c r="C84" s="560">
        <v>-1</v>
      </c>
      <c r="D84" s="560">
        <v>1</v>
      </c>
      <c r="E84" s="560">
        <v>1.35</v>
      </c>
      <c r="F84" s="560"/>
      <c r="G84" s="560">
        <v>0.6</v>
      </c>
      <c r="H84" s="535">
        <f t="shared" si="1"/>
        <v>-0.81</v>
      </c>
    </row>
    <row r="85" spans="1:8" ht="19.5" customHeight="1">
      <c r="A85" s="533"/>
      <c r="B85" s="539"/>
      <c r="C85" s="560"/>
      <c r="D85" s="560"/>
      <c r="E85" s="560"/>
      <c r="F85" s="560"/>
      <c r="G85" s="560"/>
      <c r="H85" s="535">
        <f t="shared" si="1"/>
        <v>0</v>
      </c>
    </row>
    <row r="86" spans="1:8" ht="19.5" customHeight="1">
      <c r="A86" s="533"/>
      <c r="B86" s="539" t="s">
        <v>32</v>
      </c>
      <c r="C86" s="560">
        <v>1</v>
      </c>
      <c r="D86" s="560">
        <v>1</v>
      </c>
      <c r="E86" s="560">
        <v>5.2</v>
      </c>
      <c r="F86" s="560">
        <v>0.1</v>
      </c>
      <c r="G86" s="560"/>
      <c r="H86" s="535">
        <f>F86*E86*D86*C86</f>
        <v>0.52</v>
      </c>
    </row>
    <row r="87" spans="1:8" ht="19.5" customHeight="1">
      <c r="A87" s="533"/>
      <c r="B87" s="539" t="s">
        <v>32</v>
      </c>
      <c r="C87" s="560">
        <v>1</v>
      </c>
      <c r="D87" s="560">
        <v>1</v>
      </c>
      <c r="E87" s="560">
        <v>3.9</v>
      </c>
      <c r="F87" s="560">
        <v>0.1</v>
      </c>
      <c r="G87" s="560"/>
      <c r="H87" s="535">
        <f>F87*E87*D87*C87</f>
        <v>0.39</v>
      </c>
    </row>
    <row r="88" spans="1:8" ht="19.5" customHeight="1">
      <c r="A88" s="533"/>
      <c r="B88" s="539" t="s">
        <v>47</v>
      </c>
      <c r="C88" s="560">
        <v>1</v>
      </c>
      <c r="D88" s="560">
        <v>1</v>
      </c>
      <c r="E88" s="560">
        <v>7.54</v>
      </c>
      <c r="F88" s="560"/>
      <c r="G88" s="560">
        <v>3.18</v>
      </c>
      <c r="H88" s="535">
        <f>G88*E88*D88*C88</f>
        <v>23.9772</v>
      </c>
    </row>
    <row r="89" spans="1:8" ht="19.5" customHeight="1">
      <c r="A89" s="533"/>
      <c r="B89" s="539" t="s">
        <v>24</v>
      </c>
      <c r="C89" s="560">
        <v>-1</v>
      </c>
      <c r="D89" s="560">
        <v>1</v>
      </c>
      <c r="E89" s="560">
        <v>1</v>
      </c>
      <c r="F89" s="560"/>
      <c r="G89" s="560">
        <v>2.1</v>
      </c>
      <c r="H89" s="535">
        <f>G89*E89*D89*C89</f>
        <v>-2.1</v>
      </c>
    </row>
    <row r="90" spans="1:8" ht="19.5" customHeight="1">
      <c r="A90" s="533"/>
      <c r="B90" s="539" t="s">
        <v>32</v>
      </c>
      <c r="C90" s="560">
        <v>1</v>
      </c>
      <c r="D90" s="560">
        <v>1</v>
      </c>
      <c r="E90" s="560">
        <v>5.2</v>
      </c>
      <c r="F90" s="560">
        <v>0.1</v>
      </c>
      <c r="G90" s="560"/>
      <c r="H90" s="535">
        <f>F90*E90*D90*C90</f>
        <v>0.52</v>
      </c>
    </row>
    <row r="91" spans="1:8" ht="19.5" customHeight="1">
      <c r="A91" s="533"/>
      <c r="B91" s="539" t="s">
        <v>48</v>
      </c>
      <c r="C91" s="560">
        <v>1</v>
      </c>
      <c r="D91" s="560">
        <v>2</v>
      </c>
      <c r="E91" s="560">
        <v>2</v>
      </c>
      <c r="F91" s="560"/>
      <c r="G91" s="560">
        <v>3.18</v>
      </c>
      <c r="H91" s="535">
        <f>G91*E91*D91*C91</f>
        <v>12.72</v>
      </c>
    </row>
    <row r="92" spans="1:8" ht="19.5" customHeight="1">
      <c r="A92" s="533"/>
      <c r="B92" s="539" t="s">
        <v>49</v>
      </c>
      <c r="C92" s="560">
        <v>1</v>
      </c>
      <c r="D92" s="560">
        <v>1</v>
      </c>
      <c r="E92" s="560">
        <v>11.1</v>
      </c>
      <c r="F92" s="560"/>
      <c r="G92" s="560">
        <v>3.3</v>
      </c>
      <c r="H92" s="535">
        <f>G92*E92*D92*C92</f>
        <v>36.629999999999995</v>
      </c>
    </row>
    <row r="93" spans="1:8" ht="19.5" customHeight="1">
      <c r="A93" s="533"/>
      <c r="B93" s="539" t="s">
        <v>50</v>
      </c>
      <c r="C93" s="560">
        <v>1</v>
      </c>
      <c r="D93" s="560">
        <v>1</v>
      </c>
      <c r="E93" s="560">
        <v>12.92</v>
      </c>
      <c r="F93" s="560"/>
      <c r="G93" s="560">
        <v>3.18</v>
      </c>
      <c r="H93" s="535">
        <f>G93*E93*D93*C93</f>
        <v>41.085599999999999</v>
      </c>
    </row>
    <row r="94" spans="1:8" ht="19.5" customHeight="1">
      <c r="A94" s="533"/>
      <c r="B94" s="539" t="s">
        <v>24</v>
      </c>
      <c r="C94" s="560">
        <v>-1</v>
      </c>
      <c r="D94" s="560">
        <v>5</v>
      </c>
      <c r="E94" s="560">
        <v>1</v>
      </c>
      <c r="F94" s="560"/>
      <c r="G94" s="560">
        <v>2.1</v>
      </c>
      <c r="H94" s="535">
        <f>G94*E94*D94*C94</f>
        <v>-10.5</v>
      </c>
    </row>
    <row r="95" spans="1:8" ht="19.5" customHeight="1">
      <c r="A95" s="533"/>
      <c r="B95" s="539" t="s">
        <v>51</v>
      </c>
      <c r="C95" s="560">
        <v>-1</v>
      </c>
      <c r="D95" s="560">
        <v>1</v>
      </c>
      <c r="E95" s="560">
        <v>2.4</v>
      </c>
      <c r="F95" s="560"/>
      <c r="G95" s="560">
        <v>3.18</v>
      </c>
      <c r="H95" s="535">
        <f>G95*E95*D95*C95</f>
        <v>-7.6319999999999997</v>
      </c>
    </row>
    <row r="96" spans="1:8" ht="19.5" customHeight="1">
      <c r="A96" s="533"/>
      <c r="B96" s="538" t="s">
        <v>52</v>
      </c>
      <c r="C96" s="560"/>
      <c r="D96" s="560"/>
      <c r="E96" s="560"/>
      <c r="F96" s="560"/>
      <c r="G96" s="560"/>
      <c r="H96" s="535"/>
    </row>
    <row r="97" spans="1:8" ht="19.5" customHeight="1">
      <c r="A97" s="533"/>
      <c r="B97" s="539" t="s">
        <v>53</v>
      </c>
      <c r="C97" s="560">
        <v>1</v>
      </c>
      <c r="D97" s="560">
        <v>1</v>
      </c>
      <c r="E97" s="560">
        <v>13</v>
      </c>
      <c r="F97" s="560"/>
      <c r="G97" s="560">
        <v>3.18</v>
      </c>
      <c r="H97" s="535">
        <f>G97*E97*D97*C97</f>
        <v>41.34</v>
      </c>
    </row>
    <row r="98" spans="1:8" ht="19.5" customHeight="1">
      <c r="A98" s="533"/>
      <c r="B98" s="539" t="s">
        <v>24</v>
      </c>
      <c r="C98" s="560">
        <v>-1</v>
      </c>
      <c r="D98" s="560">
        <v>1</v>
      </c>
      <c r="E98" s="560">
        <v>0.75</v>
      </c>
      <c r="F98" s="560"/>
      <c r="G98" s="560">
        <v>2.1</v>
      </c>
      <c r="H98" s="535">
        <f>G98*E98*D98*C98</f>
        <v>-1.5750000000000002</v>
      </c>
    </row>
    <row r="99" spans="1:8" ht="19.5" customHeight="1">
      <c r="A99" s="533"/>
      <c r="B99" s="539" t="s">
        <v>24</v>
      </c>
      <c r="C99" s="560">
        <v>-1</v>
      </c>
      <c r="D99" s="560">
        <v>1</v>
      </c>
      <c r="E99" s="560">
        <v>1</v>
      </c>
      <c r="F99" s="560"/>
      <c r="G99" s="560">
        <v>2.1</v>
      </c>
      <c r="H99" s="535">
        <f>G99*E99*D99*C99</f>
        <v>-2.1</v>
      </c>
    </row>
    <row r="100" spans="1:8" ht="19.5" customHeight="1">
      <c r="A100" s="533"/>
      <c r="B100" s="539" t="s">
        <v>25</v>
      </c>
      <c r="C100" s="560">
        <v>-1</v>
      </c>
      <c r="D100" s="560">
        <v>1</v>
      </c>
      <c r="E100" s="560">
        <v>1.35</v>
      </c>
      <c r="F100" s="560"/>
      <c r="G100" s="560">
        <v>1.35</v>
      </c>
      <c r="H100" s="535">
        <f>G100*E100*D100*C100</f>
        <v>-1.8225000000000002</v>
      </c>
    </row>
    <row r="101" spans="1:8" ht="19.5" customHeight="1">
      <c r="A101" s="533"/>
      <c r="B101" s="539" t="s">
        <v>28</v>
      </c>
      <c r="C101" s="560">
        <v>1</v>
      </c>
      <c r="D101" s="560">
        <v>1</v>
      </c>
      <c r="E101" s="560">
        <v>5.4</v>
      </c>
      <c r="F101" s="560">
        <v>0.1</v>
      </c>
      <c r="G101" s="560"/>
      <c r="H101" s="535">
        <f>F101*E101*D101*C101</f>
        <v>0.54</v>
      </c>
    </row>
    <row r="102" spans="1:8" ht="19.5" customHeight="1">
      <c r="A102" s="533"/>
      <c r="B102" s="539" t="s">
        <v>27</v>
      </c>
      <c r="C102" s="560">
        <v>1</v>
      </c>
      <c r="D102" s="560">
        <v>1</v>
      </c>
      <c r="E102" s="560">
        <v>5.2</v>
      </c>
      <c r="F102" s="560">
        <v>0.1</v>
      </c>
      <c r="G102" s="560"/>
      <c r="H102" s="535">
        <f>F102*E102*D102*C102</f>
        <v>0.52</v>
      </c>
    </row>
    <row r="103" spans="1:8" ht="19.5" customHeight="1">
      <c r="A103" s="533"/>
      <c r="B103" s="539" t="s">
        <v>27</v>
      </c>
      <c r="C103" s="560">
        <v>1</v>
      </c>
      <c r="D103" s="560">
        <v>1</v>
      </c>
      <c r="E103" s="560">
        <v>4.95</v>
      </c>
      <c r="F103" s="560">
        <v>0.1</v>
      </c>
      <c r="G103" s="560"/>
      <c r="H103" s="535">
        <f>F103*E103*D103*C103</f>
        <v>0.49500000000000005</v>
      </c>
    </row>
    <row r="104" spans="1:8" ht="19.5" customHeight="1">
      <c r="A104" s="533"/>
      <c r="B104" s="539" t="s">
        <v>54</v>
      </c>
      <c r="C104" s="560">
        <v>1</v>
      </c>
      <c r="D104" s="560">
        <v>1</v>
      </c>
      <c r="E104" s="560">
        <v>14.7</v>
      </c>
      <c r="F104" s="560"/>
      <c r="G104" s="560">
        <v>3.18</v>
      </c>
      <c r="H104" s="535">
        <f t="shared" ref="H104:H109" si="2">G104*E104*D104*C104</f>
        <v>46.746000000000002</v>
      </c>
    </row>
    <row r="105" spans="1:8" ht="19.5" customHeight="1">
      <c r="A105" s="533"/>
      <c r="B105" s="539" t="s">
        <v>24</v>
      </c>
      <c r="C105" s="560">
        <v>-1</v>
      </c>
      <c r="D105" s="560">
        <v>1</v>
      </c>
      <c r="E105" s="560">
        <v>0.75</v>
      </c>
      <c r="F105" s="560"/>
      <c r="G105" s="560">
        <v>2.1</v>
      </c>
      <c r="H105" s="535">
        <f t="shared" si="2"/>
        <v>-1.5750000000000002</v>
      </c>
    </row>
    <row r="106" spans="1:8" ht="19.5" customHeight="1">
      <c r="A106" s="533"/>
      <c r="B106" s="539" t="s">
        <v>24</v>
      </c>
      <c r="C106" s="560">
        <v>-1</v>
      </c>
      <c r="D106" s="560">
        <v>1</v>
      </c>
      <c r="E106" s="560">
        <v>1</v>
      </c>
      <c r="F106" s="560"/>
      <c r="G106" s="560">
        <v>2.1</v>
      </c>
      <c r="H106" s="535">
        <f t="shared" si="2"/>
        <v>-2.1</v>
      </c>
    </row>
    <row r="107" spans="1:8" ht="19.5" customHeight="1">
      <c r="A107" s="533"/>
      <c r="B107" s="539" t="s">
        <v>55</v>
      </c>
      <c r="C107" s="560">
        <v>1</v>
      </c>
      <c r="D107" s="560">
        <v>1</v>
      </c>
      <c r="E107" s="560">
        <v>8.4</v>
      </c>
      <c r="F107" s="560"/>
      <c r="G107" s="560">
        <v>1.68</v>
      </c>
      <c r="H107" s="535">
        <f t="shared" si="2"/>
        <v>14.112</v>
      </c>
    </row>
    <row r="108" spans="1:8" ht="19.5" customHeight="1">
      <c r="A108" s="533"/>
      <c r="B108" s="539" t="s">
        <v>24</v>
      </c>
      <c r="C108" s="560">
        <v>-1</v>
      </c>
      <c r="D108" s="560">
        <v>1</v>
      </c>
      <c r="E108" s="560">
        <v>0.75</v>
      </c>
      <c r="F108" s="560"/>
      <c r="G108" s="560">
        <v>2.1</v>
      </c>
      <c r="H108" s="535">
        <f t="shared" si="2"/>
        <v>-1.5750000000000002</v>
      </c>
    </row>
    <row r="109" spans="1:8" ht="19.5" customHeight="1">
      <c r="A109" s="533"/>
      <c r="B109" s="539" t="s">
        <v>56</v>
      </c>
      <c r="C109" s="560">
        <v>-1</v>
      </c>
      <c r="D109" s="560">
        <v>1</v>
      </c>
      <c r="E109" s="560">
        <v>0.75</v>
      </c>
      <c r="F109" s="560"/>
      <c r="G109" s="560">
        <v>0.6</v>
      </c>
      <c r="H109" s="535">
        <f t="shared" si="2"/>
        <v>-0.44999999999999996</v>
      </c>
    </row>
    <row r="110" spans="1:8" ht="19.5" customHeight="1">
      <c r="A110" s="533"/>
      <c r="B110" s="539" t="s">
        <v>27</v>
      </c>
      <c r="C110" s="560">
        <v>1</v>
      </c>
      <c r="D110" s="560">
        <v>1</v>
      </c>
      <c r="E110" s="560">
        <v>4.95</v>
      </c>
      <c r="F110" s="560">
        <v>0.1</v>
      </c>
      <c r="G110" s="560"/>
      <c r="H110" s="535">
        <f>F110*E110*D110*C110</f>
        <v>0.49500000000000005</v>
      </c>
    </row>
    <row r="111" spans="1:8" ht="19.5" customHeight="1">
      <c r="A111" s="533"/>
      <c r="B111" s="539" t="s">
        <v>25</v>
      </c>
      <c r="C111" s="560">
        <v>-1</v>
      </c>
      <c r="D111" s="560">
        <v>2</v>
      </c>
      <c r="E111" s="560">
        <v>1.35</v>
      </c>
      <c r="F111" s="560"/>
      <c r="G111" s="560">
        <v>1.35</v>
      </c>
      <c r="H111" s="535">
        <f>G111*E111*D111*C111</f>
        <v>-3.6450000000000005</v>
      </c>
    </row>
    <row r="112" spans="1:8" ht="19.5" customHeight="1">
      <c r="A112" s="533"/>
      <c r="B112" s="539" t="s">
        <v>32</v>
      </c>
      <c r="C112" s="560">
        <v>1</v>
      </c>
      <c r="D112" s="560">
        <v>2</v>
      </c>
      <c r="E112" s="560">
        <v>5.4</v>
      </c>
      <c r="F112" s="560">
        <v>0.1</v>
      </c>
      <c r="G112" s="560"/>
      <c r="H112" s="535">
        <f>F112*E112*D112*C112</f>
        <v>1.08</v>
      </c>
    </row>
    <row r="113" spans="1:8" ht="19.5" customHeight="1">
      <c r="A113" s="533"/>
      <c r="B113" s="539" t="s">
        <v>57</v>
      </c>
      <c r="C113" s="560">
        <v>1</v>
      </c>
      <c r="D113" s="560">
        <v>1</v>
      </c>
      <c r="E113" s="560">
        <v>16.59</v>
      </c>
      <c r="F113" s="560"/>
      <c r="G113" s="560">
        <v>3.18</v>
      </c>
      <c r="H113" s="535">
        <f>G113*E113*D113*C113</f>
        <v>52.7562</v>
      </c>
    </row>
    <row r="114" spans="1:8" ht="19.5" customHeight="1">
      <c r="A114" s="533"/>
      <c r="B114" s="539" t="s">
        <v>24</v>
      </c>
      <c r="C114" s="560">
        <v>-1</v>
      </c>
      <c r="D114" s="560">
        <v>1</v>
      </c>
      <c r="E114" s="560">
        <v>1.35</v>
      </c>
      <c r="F114" s="560"/>
      <c r="G114" s="560">
        <v>1.35</v>
      </c>
      <c r="H114" s="535">
        <f>G114*E114*D114*C114</f>
        <v>-1.8225000000000002</v>
      </c>
    </row>
    <row r="115" spans="1:8" ht="19.5" customHeight="1">
      <c r="A115" s="533"/>
      <c r="B115" s="539" t="s">
        <v>32</v>
      </c>
      <c r="C115" s="560">
        <v>1</v>
      </c>
      <c r="D115" s="560">
        <v>1</v>
      </c>
      <c r="E115" s="560">
        <v>5.2</v>
      </c>
      <c r="F115" s="560">
        <v>0.1</v>
      </c>
      <c r="G115" s="560"/>
      <c r="H115" s="535">
        <f>F115*E115*D115*C115</f>
        <v>0.52</v>
      </c>
    </row>
    <row r="116" spans="1:8" ht="19.5" customHeight="1">
      <c r="A116" s="533"/>
      <c r="B116" s="539" t="s">
        <v>25</v>
      </c>
      <c r="C116" s="560">
        <v>-1</v>
      </c>
      <c r="D116" s="560">
        <v>1</v>
      </c>
      <c r="E116" s="560">
        <v>1.35</v>
      </c>
      <c r="F116" s="560"/>
      <c r="G116" s="560">
        <v>1.35</v>
      </c>
      <c r="H116" s="535">
        <f>G116*E116*D116*C116</f>
        <v>-1.8225000000000002</v>
      </c>
    </row>
    <row r="117" spans="1:8" ht="19.5" customHeight="1">
      <c r="A117" s="533"/>
      <c r="B117" s="539" t="s">
        <v>28</v>
      </c>
      <c r="C117" s="560">
        <v>1</v>
      </c>
      <c r="D117" s="560">
        <v>1</v>
      </c>
      <c r="E117" s="560">
        <v>5.2</v>
      </c>
      <c r="F117" s="560">
        <v>0.1</v>
      </c>
      <c r="G117" s="560"/>
      <c r="H117" s="535">
        <f>F117*E117*D117*C117</f>
        <v>0.52</v>
      </c>
    </row>
    <row r="118" spans="1:8" ht="19.5" customHeight="1">
      <c r="A118" s="533"/>
      <c r="B118" s="539" t="s">
        <v>46</v>
      </c>
      <c r="C118" s="560">
        <v>-1</v>
      </c>
      <c r="D118" s="560">
        <v>1</v>
      </c>
      <c r="E118" s="560">
        <v>1.35</v>
      </c>
      <c r="F118" s="560"/>
      <c r="G118" s="560">
        <v>0.6</v>
      </c>
      <c r="H118" s="535">
        <f>G118*E118*D118*C118</f>
        <v>-0.81</v>
      </c>
    </row>
    <row r="119" spans="1:8" ht="19.5" customHeight="1">
      <c r="A119" s="533"/>
      <c r="B119" s="539" t="s">
        <v>56</v>
      </c>
      <c r="C119" s="560">
        <v>-1</v>
      </c>
      <c r="D119" s="560">
        <v>1</v>
      </c>
      <c r="E119" s="560">
        <v>0.75</v>
      </c>
      <c r="F119" s="560"/>
      <c r="G119" s="560">
        <v>0.6</v>
      </c>
      <c r="H119" s="535">
        <f>G119*E119*D119*C119</f>
        <v>-0.44999999999999996</v>
      </c>
    </row>
    <row r="120" spans="1:8" ht="19.5" customHeight="1">
      <c r="A120" s="533"/>
      <c r="B120" s="539" t="s">
        <v>58</v>
      </c>
      <c r="C120" s="560">
        <v>1</v>
      </c>
      <c r="D120" s="560">
        <v>1</v>
      </c>
      <c r="E120" s="560">
        <v>2.7</v>
      </c>
      <c r="F120" s="560">
        <v>0.1</v>
      </c>
      <c r="G120" s="560"/>
      <c r="H120" s="535">
        <f>F120*E120*D120*C120</f>
        <v>0.27</v>
      </c>
    </row>
    <row r="121" spans="1:8" ht="19.5" customHeight="1">
      <c r="A121" s="533"/>
      <c r="B121" s="539" t="s">
        <v>59</v>
      </c>
      <c r="C121" s="560">
        <v>1</v>
      </c>
      <c r="D121" s="560">
        <v>1</v>
      </c>
      <c r="E121" s="560">
        <v>13.5</v>
      </c>
      <c r="F121" s="560"/>
      <c r="G121" s="560">
        <v>3.18</v>
      </c>
      <c r="H121" s="535">
        <f>G121*E121*D121*C121</f>
        <v>42.93</v>
      </c>
    </row>
    <row r="122" spans="1:8" ht="19.5" customHeight="1">
      <c r="A122" s="533"/>
      <c r="B122" s="539" t="s">
        <v>24</v>
      </c>
      <c r="C122" s="560">
        <v>-1</v>
      </c>
      <c r="D122" s="560">
        <v>1</v>
      </c>
      <c r="E122" s="560">
        <v>1</v>
      </c>
      <c r="F122" s="560"/>
      <c r="G122" s="560">
        <v>2.1</v>
      </c>
      <c r="H122" s="535">
        <f>G122*E122*D122*C122</f>
        <v>-2.1</v>
      </c>
    </row>
    <row r="123" spans="1:8" ht="19.5" customHeight="1">
      <c r="A123" s="533"/>
      <c r="B123" s="539" t="s">
        <v>25</v>
      </c>
      <c r="C123" s="560">
        <v>-1</v>
      </c>
      <c r="D123" s="560">
        <v>1</v>
      </c>
      <c r="E123" s="560">
        <v>1.35</v>
      </c>
      <c r="F123" s="560"/>
      <c r="G123" s="560">
        <v>1.35</v>
      </c>
      <c r="H123" s="535">
        <f>G123*E123*D123*C123</f>
        <v>-1.8225000000000002</v>
      </c>
    </row>
    <row r="124" spans="1:8" ht="19.5" customHeight="1">
      <c r="A124" s="533"/>
      <c r="B124" s="539" t="s">
        <v>27</v>
      </c>
      <c r="C124" s="560">
        <v>1</v>
      </c>
      <c r="D124" s="560">
        <v>1</v>
      </c>
      <c r="E124" s="560">
        <v>5.2</v>
      </c>
      <c r="F124" s="560">
        <v>0.1</v>
      </c>
      <c r="G124" s="560"/>
      <c r="H124" s="535">
        <f>F124*E124*D124*C124</f>
        <v>0.52</v>
      </c>
    </row>
    <row r="125" spans="1:8" ht="19.5" customHeight="1">
      <c r="A125" s="533"/>
      <c r="B125" s="539" t="s">
        <v>28</v>
      </c>
      <c r="C125" s="560">
        <v>1</v>
      </c>
      <c r="D125" s="560">
        <v>1</v>
      </c>
      <c r="E125" s="560">
        <v>5.4</v>
      </c>
      <c r="F125" s="560">
        <v>0.1</v>
      </c>
      <c r="G125" s="560"/>
      <c r="H125" s="535">
        <f>F125*E125*D125*C125</f>
        <v>0.54</v>
      </c>
    </row>
    <row r="126" spans="1:8" ht="19.5" customHeight="1">
      <c r="A126" s="533"/>
      <c r="B126" s="539" t="s">
        <v>60</v>
      </c>
      <c r="C126" s="560">
        <v>1</v>
      </c>
      <c r="D126" s="560">
        <v>1</v>
      </c>
      <c r="E126" s="560">
        <v>16.5</v>
      </c>
      <c r="F126" s="560"/>
      <c r="G126" s="560">
        <v>3.18</v>
      </c>
      <c r="H126" s="535">
        <f>G126*E126*D126*C126</f>
        <v>52.470000000000006</v>
      </c>
    </row>
    <row r="127" spans="1:8" ht="19.5" customHeight="1">
      <c r="A127" s="533"/>
      <c r="B127" s="539" t="s">
        <v>24</v>
      </c>
      <c r="C127" s="560">
        <v>-1</v>
      </c>
      <c r="D127" s="560">
        <v>1</v>
      </c>
      <c r="E127" s="560">
        <v>1</v>
      </c>
      <c r="F127" s="560"/>
      <c r="G127" s="560">
        <v>2.1</v>
      </c>
      <c r="H127" s="535">
        <f>G127*E127*D127*C127</f>
        <v>-2.1</v>
      </c>
    </row>
    <row r="128" spans="1:8" ht="19.5" customHeight="1">
      <c r="A128" s="533"/>
      <c r="B128" s="539" t="s">
        <v>25</v>
      </c>
      <c r="C128" s="560">
        <v>-1</v>
      </c>
      <c r="D128" s="560">
        <v>1</v>
      </c>
      <c r="E128" s="560">
        <v>1.35</v>
      </c>
      <c r="F128" s="560"/>
      <c r="G128" s="560">
        <v>1.35</v>
      </c>
      <c r="H128" s="535">
        <f>G128*E128*D128*C128</f>
        <v>-1.8225000000000002</v>
      </c>
    </row>
    <row r="129" spans="1:8" ht="19.5" customHeight="1">
      <c r="A129" s="533"/>
      <c r="B129" s="539" t="s">
        <v>55</v>
      </c>
      <c r="C129" s="560">
        <v>1</v>
      </c>
      <c r="D129" s="560">
        <v>1</v>
      </c>
      <c r="E129" s="560">
        <v>8.4</v>
      </c>
      <c r="F129" s="560"/>
      <c r="G129" s="560">
        <v>1.68</v>
      </c>
      <c r="H129" s="535">
        <f>G129*E129*D129*C129</f>
        <v>14.112</v>
      </c>
    </row>
    <row r="130" spans="1:8" ht="19.5" customHeight="1">
      <c r="A130" s="533"/>
      <c r="B130" s="539" t="s">
        <v>26</v>
      </c>
      <c r="C130" s="560">
        <v>-1</v>
      </c>
      <c r="D130" s="560">
        <v>1</v>
      </c>
      <c r="E130" s="560">
        <v>0.75</v>
      </c>
      <c r="F130" s="560"/>
      <c r="G130" s="560">
        <v>2.1</v>
      </c>
      <c r="H130" s="535">
        <f>G130*E130*D130*C130</f>
        <v>-1.5750000000000002</v>
      </c>
    </row>
    <row r="131" spans="1:8" ht="19.5" customHeight="1">
      <c r="A131" s="533"/>
      <c r="B131" s="539" t="s">
        <v>27</v>
      </c>
      <c r="C131" s="560">
        <v>1</v>
      </c>
      <c r="D131" s="560">
        <v>1</v>
      </c>
      <c r="E131" s="560">
        <v>4.95</v>
      </c>
      <c r="F131" s="560">
        <v>0.1</v>
      </c>
      <c r="G131" s="560"/>
      <c r="H131" s="535">
        <f>F131*E131*D131*C131</f>
        <v>0.49500000000000005</v>
      </c>
    </row>
    <row r="132" spans="1:8" ht="19.5" customHeight="1">
      <c r="A132" s="533"/>
      <c r="B132" s="539" t="s">
        <v>56</v>
      </c>
      <c r="C132" s="560">
        <v>-1</v>
      </c>
      <c r="D132" s="560">
        <v>1</v>
      </c>
      <c r="E132" s="560">
        <v>0.75</v>
      </c>
      <c r="F132" s="560"/>
      <c r="G132" s="560">
        <v>0.6</v>
      </c>
      <c r="H132" s="535">
        <f>G132*E132*D132*C132</f>
        <v>-0.44999999999999996</v>
      </c>
    </row>
    <row r="133" spans="1:8" ht="19.5" customHeight="1">
      <c r="A133" s="533"/>
      <c r="B133" s="539" t="s">
        <v>61</v>
      </c>
      <c r="C133" s="560">
        <v>1</v>
      </c>
      <c r="D133" s="560">
        <v>1</v>
      </c>
      <c r="E133" s="560">
        <v>2.7</v>
      </c>
      <c r="F133" s="560">
        <v>0.1</v>
      </c>
      <c r="G133" s="560"/>
      <c r="H133" s="535">
        <f>F133*E133*D133*C133</f>
        <v>0.27</v>
      </c>
    </row>
    <row r="134" spans="1:8" ht="19.5" customHeight="1">
      <c r="A134" s="533"/>
      <c r="B134" s="539" t="s">
        <v>62</v>
      </c>
      <c r="C134" s="560">
        <v>1</v>
      </c>
      <c r="D134" s="560">
        <v>1</v>
      </c>
      <c r="E134" s="560">
        <v>16.5</v>
      </c>
      <c r="F134" s="560"/>
      <c r="G134" s="560">
        <v>3.18</v>
      </c>
      <c r="H134" s="535">
        <f>G134*E134*D134*C134</f>
        <v>52.470000000000006</v>
      </c>
    </row>
    <row r="135" spans="1:8" ht="19.5" customHeight="1">
      <c r="A135" s="533"/>
      <c r="B135" s="539" t="s">
        <v>24</v>
      </c>
      <c r="C135" s="560">
        <v>-1</v>
      </c>
      <c r="D135" s="560">
        <v>1</v>
      </c>
      <c r="E135" s="560">
        <v>1</v>
      </c>
      <c r="F135" s="560"/>
      <c r="G135" s="560">
        <v>2.1</v>
      </c>
      <c r="H135" s="535">
        <f>G135*E135*D135*C135</f>
        <v>-2.1</v>
      </c>
    </row>
    <row r="136" spans="1:8" ht="19.5" customHeight="1">
      <c r="A136" s="533"/>
      <c r="B136" s="539" t="s">
        <v>25</v>
      </c>
      <c r="C136" s="560">
        <v>-1</v>
      </c>
      <c r="D136" s="560">
        <v>1</v>
      </c>
      <c r="E136" s="560">
        <v>1.35</v>
      </c>
      <c r="F136" s="560"/>
      <c r="G136" s="560">
        <v>1.35</v>
      </c>
      <c r="H136" s="535">
        <f>G136*E136*D136*C136</f>
        <v>-1.8225000000000002</v>
      </c>
    </row>
    <row r="137" spans="1:8" ht="19.5" customHeight="1">
      <c r="A137" s="533"/>
      <c r="B137" s="539" t="s">
        <v>55</v>
      </c>
      <c r="C137" s="560">
        <v>1</v>
      </c>
      <c r="D137" s="560">
        <v>1</v>
      </c>
      <c r="E137" s="560">
        <v>8.4</v>
      </c>
      <c r="F137" s="560"/>
      <c r="G137" s="560">
        <v>1.68</v>
      </c>
      <c r="H137" s="535">
        <f>G137*E137*D137*C137</f>
        <v>14.112</v>
      </c>
    </row>
    <row r="138" spans="1:8" ht="19.5" customHeight="1">
      <c r="A138" s="533"/>
      <c r="B138" s="539" t="s">
        <v>26</v>
      </c>
      <c r="C138" s="560">
        <v>-1</v>
      </c>
      <c r="D138" s="560">
        <v>1</v>
      </c>
      <c r="E138" s="560">
        <v>0.75</v>
      </c>
      <c r="F138" s="560"/>
      <c r="G138" s="560">
        <v>2.1</v>
      </c>
      <c r="H138" s="535">
        <f>G138*E138*D138*C138</f>
        <v>-1.5750000000000002</v>
      </c>
    </row>
    <row r="139" spans="1:8" ht="19.5" customHeight="1">
      <c r="A139" s="533"/>
      <c r="B139" s="539" t="s">
        <v>27</v>
      </c>
      <c r="C139" s="560">
        <v>1</v>
      </c>
      <c r="D139" s="560">
        <v>1</v>
      </c>
      <c r="E139" s="560">
        <v>4.95</v>
      </c>
      <c r="F139" s="560">
        <v>0.1</v>
      </c>
      <c r="G139" s="560"/>
      <c r="H139" s="535">
        <f>F139*E139*D139*C139</f>
        <v>0.49500000000000005</v>
      </c>
    </row>
    <row r="140" spans="1:8" ht="19.5" customHeight="1">
      <c r="A140" s="533"/>
      <c r="B140" s="539" t="s">
        <v>56</v>
      </c>
      <c r="C140" s="560">
        <v>-1</v>
      </c>
      <c r="D140" s="560">
        <v>1</v>
      </c>
      <c r="E140" s="560">
        <v>0.75</v>
      </c>
      <c r="F140" s="560"/>
      <c r="G140" s="560">
        <v>0.6</v>
      </c>
      <c r="H140" s="535">
        <f>G140*E140*D140*C140</f>
        <v>-0.44999999999999996</v>
      </c>
    </row>
    <row r="141" spans="1:8" ht="19.5" customHeight="1">
      <c r="A141" s="533"/>
      <c r="B141" s="539" t="s">
        <v>61</v>
      </c>
      <c r="C141" s="560">
        <v>1</v>
      </c>
      <c r="D141" s="560">
        <v>1</v>
      </c>
      <c r="E141" s="560">
        <v>2.7</v>
      </c>
      <c r="F141" s="560">
        <v>0.1</v>
      </c>
      <c r="G141" s="560"/>
      <c r="H141" s="535">
        <f>F141*E141*D141*C141</f>
        <v>0.27</v>
      </c>
    </row>
    <row r="142" spans="1:8" ht="19.5" customHeight="1">
      <c r="A142" s="533"/>
      <c r="B142" s="539" t="s">
        <v>50</v>
      </c>
      <c r="C142" s="560">
        <v>1</v>
      </c>
      <c r="D142" s="560">
        <v>1</v>
      </c>
      <c r="E142" s="560">
        <v>19.079999999999998</v>
      </c>
      <c r="F142" s="560"/>
      <c r="G142" s="560">
        <v>3.18</v>
      </c>
      <c r="H142" s="535">
        <f>G142*E142*D142*C142</f>
        <v>60.674399999999999</v>
      </c>
    </row>
    <row r="143" spans="1:8" ht="19.5" customHeight="1">
      <c r="A143" s="533"/>
      <c r="B143" s="539" t="s">
        <v>24</v>
      </c>
      <c r="C143" s="560">
        <v>-1</v>
      </c>
      <c r="D143" s="560">
        <v>3</v>
      </c>
      <c r="E143" s="560">
        <v>1</v>
      </c>
      <c r="F143" s="560"/>
      <c r="G143" s="560">
        <v>2.1</v>
      </c>
      <c r="H143" s="535">
        <f>G143*E143*D143*C143</f>
        <v>-6.3000000000000007</v>
      </c>
    </row>
    <row r="144" spans="1:8" ht="19.5" customHeight="1">
      <c r="A144" s="533"/>
      <c r="B144" s="539" t="s">
        <v>25</v>
      </c>
      <c r="C144" s="560">
        <v>-1</v>
      </c>
      <c r="D144" s="560">
        <v>1</v>
      </c>
      <c r="E144" s="560">
        <v>1.35</v>
      </c>
      <c r="F144" s="560"/>
      <c r="G144" s="560">
        <v>1.35</v>
      </c>
      <c r="H144" s="535">
        <f>G144*E144*D144*C144</f>
        <v>-1.8225000000000002</v>
      </c>
    </row>
    <row r="145" spans="1:8" ht="19.5" customHeight="1">
      <c r="A145" s="533"/>
      <c r="B145" s="539" t="s">
        <v>63</v>
      </c>
      <c r="C145" s="560">
        <v>1</v>
      </c>
      <c r="D145" s="560">
        <v>1</v>
      </c>
      <c r="E145" s="560">
        <v>5.4</v>
      </c>
      <c r="F145" s="560">
        <v>0.1</v>
      </c>
      <c r="G145" s="560"/>
      <c r="H145" s="535">
        <f>F145*E145*D145*C145</f>
        <v>0.54</v>
      </c>
    </row>
    <row r="146" spans="1:8" ht="19.5" customHeight="1">
      <c r="A146" s="533"/>
      <c r="B146" s="539" t="s">
        <v>51</v>
      </c>
      <c r="C146" s="560">
        <v>-1</v>
      </c>
      <c r="D146" s="560">
        <v>1</v>
      </c>
      <c r="E146" s="560">
        <v>2.4</v>
      </c>
      <c r="F146" s="560"/>
      <c r="G146" s="560">
        <v>3.18</v>
      </c>
      <c r="H146" s="535">
        <f>G146*E146*D146*C146</f>
        <v>-7.6319999999999997</v>
      </c>
    </row>
    <row r="147" spans="1:8" ht="19.5" customHeight="1">
      <c r="A147" s="533"/>
      <c r="B147" s="539" t="s">
        <v>49</v>
      </c>
      <c r="C147" s="560">
        <v>1</v>
      </c>
      <c r="D147" s="560">
        <v>1</v>
      </c>
      <c r="E147" s="560">
        <v>11.1</v>
      </c>
      <c r="F147" s="560"/>
      <c r="G147" s="560">
        <v>3.3</v>
      </c>
      <c r="H147" s="535">
        <f>G147*E147*D147*C147</f>
        <v>36.629999999999995</v>
      </c>
    </row>
    <row r="148" spans="1:8" ht="19.5" customHeight="1">
      <c r="A148" s="533"/>
      <c r="B148" s="539" t="s">
        <v>64</v>
      </c>
      <c r="C148" s="560">
        <v>-1</v>
      </c>
      <c r="D148" s="560">
        <v>1</v>
      </c>
      <c r="E148" s="560">
        <v>1.8</v>
      </c>
      <c r="F148" s="560"/>
      <c r="G148" s="560">
        <v>2.2000000000000002</v>
      </c>
      <c r="H148" s="535">
        <f>G148*E148*D148*C148</f>
        <v>-3.9600000000000004</v>
      </c>
    </row>
    <row r="149" spans="1:8" ht="19.5" customHeight="1">
      <c r="A149" s="533"/>
      <c r="B149" s="539" t="s">
        <v>32</v>
      </c>
      <c r="C149" s="560">
        <v>1</v>
      </c>
      <c r="D149" s="560">
        <v>1</v>
      </c>
      <c r="E149" s="560">
        <v>8</v>
      </c>
      <c r="F149" s="560">
        <v>0.1</v>
      </c>
      <c r="G149" s="560"/>
      <c r="H149" s="535">
        <f>F149*E149*D149*C149</f>
        <v>0.8</v>
      </c>
    </row>
    <row r="150" spans="1:8" ht="19.5" customHeight="1">
      <c r="A150" s="533"/>
      <c r="B150" s="539" t="s">
        <v>65</v>
      </c>
      <c r="C150" s="560">
        <v>1</v>
      </c>
      <c r="D150" s="560">
        <v>1</v>
      </c>
      <c r="E150" s="560">
        <v>11.1</v>
      </c>
      <c r="F150" s="560"/>
      <c r="G150" s="560">
        <v>2.4</v>
      </c>
      <c r="H150" s="535">
        <f>G150*E150*D150*C150</f>
        <v>26.639999999999997</v>
      </c>
    </row>
    <row r="151" spans="1:8" ht="19.5" customHeight="1">
      <c r="A151" s="533"/>
      <c r="B151" s="539" t="s">
        <v>24</v>
      </c>
      <c r="C151" s="560">
        <v>-1</v>
      </c>
      <c r="D151" s="560">
        <v>1</v>
      </c>
      <c r="E151" s="560">
        <v>0.9</v>
      </c>
      <c r="F151" s="560"/>
      <c r="G151" s="560">
        <v>2.1</v>
      </c>
      <c r="H151" s="535">
        <f>G151*E151*D151*C151</f>
        <v>-1.8900000000000001</v>
      </c>
    </row>
    <row r="152" spans="1:8" ht="19.5" customHeight="1">
      <c r="A152" s="533"/>
      <c r="B152" s="539" t="s">
        <v>27</v>
      </c>
      <c r="C152" s="560">
        <v>1</v>
      </c>
      <c r="D152" s="560">
        <v>1</v>
      </c>
      <c r="E152" s="560">
        <v>5.0999999999999996</v>
      </c>
      <c r="F152" s="560">
        <v>0.1</v>
      </c>
      <c r="G152" s="560"/>
      <c r="H152" s="535">
        <f>F152*E152*D152*C152</f>
        <v>0.51</v>
      </c>
    </row>
    <row r="153" spans="1:8" ht="19.5" customHeight="1">
      <c r="A153" s="533"/>
      <c r="B153" s="539" t="s">
        <v>64</v>
      </c>
      <c r="C153" s="560">
        <v>-1</v>
      </c>
      <c r="D153" s="560">
        <v>1</v>
      </c>
      <c r="E153" s="560">
        <v>1.8</v>
      </c>
      <c r="F153" s="560"/>
      <c r="G153" s="560">
        <v>2.2000000000000002</v>
      </c>
      <c r="H153" s="535">
        <f>G153*E153*D153*C153</f>
        <v>-3.9600000000000004</v>
      </c>
    </row>
    <row r="154" spans="1:8" ht="19.5" customHeight="1">
      <c r="A154" s="533"/>
      <c r="B154" s="539" t="s">
        <v>32</v>
      </c>
      <c r="C154" s="560">
        <v>1</v>
      </c>
      <c r="D154" s="560">
        <v>1</v>
      </c>
      <c r="E154" s="560">
        <v>8</v>
      </c>
      <c r="F154" s="560">
        <v>0.1</v>
      </c>
      <c r="G154" s="560"/>
      <c r="H154" s="540">
        <f>F154*E154*D154*C154</f>
        <v>0.8</v>
      </c>
    </row>
    <row r="155" spans="1:8" ht="19.5" customHeight="1">
      <c r="A155" s="533"/>
      <c r="B155" s="539"/>
      <c r="C155" s="549"/>
      <c r="D155" s="549"/>
      <c r="E155" s="549"/>
      <c r="F155" s="549"/>
      <c r="G155" s="541" t="s">
        <v>19</v>
      </c>
      <c r="H155" s="541">
        <f>SUM(H28:H154)</f>
        <v>845.40959999999939</v>
      </c>
    </row>
    <row r="156" spans="1:8" ht="33.75" customHeight="1">
      <c r="A156" s="533">
        <v>6</v>
      </c>
      <c r="B156" s="507" t="s">
        <v>177</v>
      </c>
      <c r="C156" s="562"/>
      <c r="D156" s="562"/>
      <c r="E156" s="562"/>
      <c r="F156" s="562"/>
      <c r="G156" s="534"/>
      <c r="H156" s="535"/>
    </row>
    <row r="157" spans="1:8" ht="15.75">
      <c r="A157" s="533"/>
      <c r="B157" s="538" t="s">
        <v>12</v>
      </c>
      <c r="C157" s="562"/>
      <c r="D157" s="562"/>
      <c r="E157" s="562"/>
      <c r="F157" s="562"/>
      <c r="G157" s="534"/>
      <c r="H157" s="535"/>
    </row>
    <row r="158" spans="1:8" ht="15.75">
      <c r="A158" s="533"/>
      <c r="B158" s="539" t="s">
        <v>23</v>
      </c>
      <c r="C158" s="534">
        <v>1</v>
      </c>
      <c r="D158" s="534">
        <v>1</v>
      </c>
      <c r="E158" s="534">
        <v>14.7</v>
      </c>
      <c r="F158" s="534"/>
      <c r="G158" s="534">
        <v>3.18</v>
      </c>
      <c r="H158" s="535">
        <f>G158*E158*D158*C158</f>
        <v>46.746000000000002</v>
      </c>
    </row>
    <row r="159" spans="1:8" ht="15.75">
      <c r="A159" s="533"/>
      <c r="B159" s="539" t="s">
        <v>24</v>
      </c>
      <c r="C159" s="534">
        <v>-1</v>
      </c>
      <c r="D159" s="534">
        <v>1</v>
      </c>
      <c r="E159" s="534">
        <v>1</v>
      </c>
      <c r="F159" s="534"/>
      <c r="G159" s="534">
        <v>2.1</v>
      </c>
      <c r="H159" s="535">
        <f t="shared" ref="H159:H222" si="3">G159*E159*D159*C159</f>
        <v>-2.1</v>
      </c>
    </row>
    <row r="160" spans="1:8" ht="15.75">
      <c r="A160" s="533"/>
      <c r="B160" s="539" t="s">
        <v>25</v>
      </c>
      <c r="C160" s="534">
        <v>-1</v>
      </c>
      <c r="D160" s="534">
        <v>2</v>
      </c>
      <c r="E160" s="534">
        <v>1.35</v>
      </c>
      <c r="F160" s="534"/>
      <c r="G160" s="534">
        <v>1.35</v>
      </c>
      <c r="H160" s="535">
        <f t="shared" si="3"/>
        <v>-3.6450000000000005</v>
      </c>
    </row>
    <row r="161" spans="1:12" ht="15.75">
      <c r="A161" s="533"/>
      <c r="B161" s="539" t="s">
        <v>26</v>
      </c>
      <c r="C161" s="534">
        <v>-1</v>
      </c>
      <c r="D161" s="534">
        <v>1</v>
      </c>
      <c r="E161" s="534">
        <v>0.75</v>
      </c>
      <c r="F161" s="534"/>
      <c r="G161" s="534">
        <v>2.1</v>
      </c>
      <c r="H161" s="535">
        <f t="shared" si="3"/>
        <v>-1.5750000000000002</v>
      </c>
    </row>
    <row r="162" spans="1:12" ht="15.75">
      <c r="A162" s="533"/>
      <c r="B162" s="539" t="s">
        <v>27</v>
      </c>
      <c r="C162" s="534">
        <v>1</v>
      </c>
      <c r="D162" s="534">
        <v>1</v>
      </c>
      <c r="E162" s="534">
        <v>5.2</v>
      </c>
      <c r="F162" s="534">
        <v>0.1</v>
      </c>
      <c r="G162" s="534"/>
      <c r="H162" s="535">
        <f>F162*E162*D162*C162</f>
        <v>0.52</v>
      </c>
    </row>
    <row r="163" spans="1:12" ht="15.75">
      <c r="A163" s="533"/>
      <c r="B163" s="539" t="s">
        <v>28</v>
      </c>
      <c r="C163" s="534">
        <v>1</v>
      </c>
      <c r="D163" s="534">
        <v>2</v>
      </c>
      <c r="E163" s="534">
        <v>6.75</v>
      </c>
      <c r="F163" s="534">
        <v>0.1</v>
      </c>
      <c r="G163" s="534"/>
      <c r="H163" s="535">
        <f>F163*E163*D163*C163</f>
        <v>1.35</v>
      </c>
    </row>
    <row r="164" spans="1:12" ht="15.75">
      <c r="A164" s="533"/>
      <c r="B164" s="539" t="s">
        <v>29</v>
      </c>
      <c r="C164" s="534">
        <v>1</v>
      </c>
      <c r="D164" s="534">
        <v>1</v>
      </c>
      <c r="E164" s="534">
        <v>8.4</v>
      </c>
      <c r="F164" s="534"/>
      <c r="G164" s="534">
        <v>1.68</v>
      </c>
      <c r="H164" s="535">
        <f t="shared" si="3"/>
        <v>14.112</v>
      </c>
    </row>
    <row r="165" spans="1:12" ht="15.75">
      <c r="A165" s="533"/>
      <c r="B165" s="539" t="s">
        <v>26</v>
      </c>
      <c r="C165" s="534">
        <v>-1</v>
      </c>
      <c r="D165" s="534">
        <v>1</v>
      </c>
      <c r="E165" s="534">
        <v>0.75</v>
      </c>
      <c r="F165" s="534"/>
      <c r="G165" s="534">
        <v>2.1</v>
      </c>
      <c r="H165" s="535">
        <f t="shared" si="3"/>
        <v>-1.5750000000000002</v>
      </c>
    </row>
    <row r="166" spans="1:12" ht="15.75">
      <c r="A166" s="533"/>
      <c r="B166" s="539" t="s">
        <v>27</v>
      </c>
      <c r="C166" s="534">
        <v>1</v>
      </c>
      <c r="D166" s="534">
        <v>1</v>
      </c>
      <c r="E166" s="534">
        <v>5.7</v>
      </c>
      <c r="F166" s="534">
        <v>0.15</v>
      </c>
      <c r="G166" s="534"/>
      <c r="H166" s="535">
        <f>F166*E166*D166*C166</f>
        <v>0.85499999999999998</v>
      </c>
    </row>
    <row r="167" spans="1:12" ht="15.75">
      <c r="A167" s="533"/>
      <c r="B167" s="539" t="s">
        <v>30</v>
      </c>
      <c r="C167" s="534">
        <v>1</v>
      </c>
      <c r="D167" s="534">
        <v>1</v>
      </c>
      <c r="E167" s="534">
        <v>4.62</v>
      </c>
      <c r="F167" s="534"/>
      <c r="G167" s="534">
        <v>3.18</v>
      </c>
      <c r="H167" s="535">
        <f t="shared" si="3"/>
        <v>14.691600000000001</v>
      </c>
    </row>
    <row r="168" spans="1:12" ht="15.75">
      <c r="A168" s="533"/>
      <c r="B168" s="539" t="s">
        <v>26</v>
      </c>
      <c r="C168" s="534">
        <v>-1</v>
      </c>
      <c r="D168" s="534">
        <v>1</v>
      </c>
      <c r="E168" s="534">
        <v>0.75</v>
      </c>
      <c r="F168" s="534"/>
      <c r="G168" s="534">
        <v>2.1</v>
      </c>
      <c r="H168" s="535">
        <f t="shared" si="3"/>
        <v>-1.5750000000000002</v>
      </c>
    </row>
    <row r="169" spans="1:12" ht="15.75">
      <c r="A169" s="533"/>
      <c r="B169" s="539" t="s">
        <v>31</v>
      </c>
      <c r="C169" s="534">
        <v>-1</v>
      </c>
      <c r="D169" s="534">
        <v>1</v>
      </c>
      <c r="E169" s="534">
        <v>0.6</v>
      </c>
      <c r="F169" s="534"/>
      <c r="G169" s="534">
        <v>0.6</v>
      </c>
      <c r="H169" s="535">
        <f t="shared" si="3"/>
        <v>-0.36</v>
      </c>
    </row>
    <row r="170" spans="1:12" ht="15.75">
      <c r="A170" s="533"/>
      <c r="B170" s="539" t="s">
        <v>32</v>
      </c>
      <c r="C170" s="534">
        <v>1</v>
      </c>
      <c r="D170" s="534">
        <v>1</v>
      </c>
      <c r="E170" s="534">
        <v>5.7</v>
      </c>
      <c r="F170" s="534">
        <v>0.15</v>
      </c>
      <c r="G170" s="534"/>
      <c r="H170" s="535">
        <f>F170*E170*D170*C170</f>
        <v>0.85499999999999998</v>
      </c>
    </row>
    <row r="171" spans="1:12" ht="15.75">
      <c r="A171" s="533"/>
      <c r="B171" s="539" t="s">
        <v>33</v>
      </c>
      <c r="C171" s="534">
        <v>1</v>
      </c>
      <c r="D171" s="534">
        <v>1</v>
      </c>
      <c r="E171" s="534">
        <v>2.4</v>
      </c>
      <c r="F171" s="534">
        <v>0.1</v>
      </c>
      <c r="G171" s="534"/>
      <c r="H171" s="535">
        <f>F171*E171*D171*C171</f>
        <v>0.24</v>
      </c>
    </row>
    <row r="172" spans="1:12" ht="15.75">
      <c r="A172" s="533"/>
      <c r="B172" s="539" t="s">
        <v>34</v>
      </c>
      <c r="C172" s="534">
        <v>1</v>
      </c>
      <c r="D172" s="534">
        <v>1</v>
      </c>
      <c r="E172" s="534">
        <v>14.7</v>
      </c>
      <c r="F172" s="534"/>
      <c r="G172" s="534">
        <v>3.18</v>
      </c>
      <c r="H172" s="535">
        <f t="shared" si="3"/>
        <v>46.746000000000002</v>
      </c>
      <c r="L172" s="504" t="s">
        <v>35</v>
      </c>
    </row>
    <row r="173" spans="1:12" ht="15.75">
      <c r="A173" s="533"/>
      <c r="B173" s="539" t="s">
        <v>24</v>
      </c>
      <c r="C173" s="534">
        <v>-1</v>
      </c>
      <c r="D173" s="534">
        <v>1</v>
      </c>
      <c r="E173" s="534">
        <v>1</v>
      </c>
      <c r="F173" s="534"/>
      <c r="G173" s="534">
        <v>2.1</v>
      </c>
      <c r="H173" s="535">
        <f t="shared" si="3"/>
        <v>-2.1</v>
      </c>
    </row>
    <row r="174" spans="1:12" ht="15.75">
      <c r="A174" s="533"/>
      <c r="B174" s="539" t="s">
        <v>25</v>
      </c>
      <c r="C174" s="534">
        <v>-1</v>
      </c>
      <c r="D174" s="534">
        <v>2</v>
      </c>
      <c r="E174" s="534">
        <v>1.35</v>
      </c>
      <c r="F174" s="534"/>
      <c r="G174" s="534">
        <v>1.35</v>
      </c>
      <c r="H174" s="535">
        <f t="shared" si="3"/>
        <v>-3.6450000000000005</v>
      </c>
    </row>
    <row r="175" spans="1:12" ht="15.75">
      <c r="A175" s="533"/>
      <c r="B175" s="539" t="s">
        <v>26</v>
      </c>
      <c r="C175" s="534">
        <v>-1</v>
      </c>
      <c r="D175" s="534">
        <v>1</v>
      </c>
      <c r="E175" s="534">
        <v>0.75</v>
      </c>
      <c r="F175" s="534"/>
      <c r="G175" s="534">
        <v>2.1</v>
      </c>
      <c r="H175" s="535">
        <f t="shared" si="3"/>
        <v>-1.5750000000000002</v>
      </c>
    </row>
    <row r="176" spans="1:12" ht="19.5" customHeight="1">
      <c r="A176" s="533"/>
      <c r="B176" s="539" t="s">
        <v>27</v>
      </c>
      <c r="C176" s="534">
        <v>1</v>
      </c>
      <c r="D176" s="534">
        <v>1</v>
      </c>
      <c r="E176" s="534">
        <v>5.2</v>
      </c>
      <c r="F176" s="534">
        <v>0.1</v>
      </c>
      <c r="G176" s="534"/>
      <c r="H176" s="535">
        <f>F176*E176*D176*C176</f>
        <v>0.52</v>
      </c>
    </row>
    <row r="177" spans="1:8" ht="18.75" customHeight="1">
      <c r="A177" s="533"/>
      <c r="B177" s="539" t="s">
        <v>28</v>
      </c>
      <c r="C177" s="534">
        <v>1</v>
      </c>
      <c r="D177" s="534">
        <v>2</v>
      </c>
      <c r="E177" s="534">
        <v>6.75</v>
      </c>
      <c r="F177" s="534">
        <v>0.1</v>
      </c>
      <c r="G177" s="534"/>
      <c r="H177" s="535">
        <f>F177*E177*D177*C177</f>
        <v>1.35</v>
      </c>
    </row>
    <row r="178" spans="1:8" ht="19.5" customHeight="1">
      <c r="A178" s="533"/>
      <c r="B178" s="539" t="s">
        <v>29</v>
      </c>
      <c r="C178" s="534">
        <v>1</v>
      </c>
      <c r="D178" s="534">
        <v>1</v>
      </c>
      <c r="E178" s="534">
        <v>8.4</v>
      </c>
      <c r="F178" s="534"/>
      <c r="G178" s="534">
        <v>1.68</v>
      </c>
      <c r="H178" s="535">
        <f t="shared" si="3"/>
        <v>14.112</v>
      </c>
    </row>
    <row r="179" spans="1:8" ht="19.5" customHeight="1">
      <c r="A179" s="533"/>
      <c r="B179" s="539" t="s">
        <v>26</v>
      </c>
      <c r="C179" s="534">
        <v>-1</v>
      </c>
      <c r="D179" s="534">
        <v>1</v>
      </c>
      <c r="E179" s="534">
        <v>0.75</v>
      </c>
      <c r="F179" s="534"/>
      <c r="G179" s="534">
        <v>2.1</v>
      </c>
      <c r="H179" s="535">
        <f t="shared" si="3"/>
        <v>-1.5750000000000002</v>
      </c>
    </row>
    <row r="180" spans="1:8" ht="19.5" customHeight="1">
      <c r="A180" s="533"/>
      <c r="B180" s="539" t="s">
        <v>27</v>
      </c>
      <c r="C180" s="534">
        <v>1</v>
      </c>
      <c r="D180" s="534">
        <v>1</v>
      </c>
      <c r="E180" s="534">
        <v>5.7</v>
      </c>
      <c r="F180" s="534">
        <v>0.15</v>
      </c>
      <c r="G180" s="534"/>
      <c r="H180" s="535">
        <f>F180*E180*D180*C180</f>
        <v>0.85499999999999998</v>
      </c>
    </row>
    <row r="181" spans="1:8" ht="19.5" customHeight="1">
      <c r="A181" s="533"/>
      <c r="B181" s="539" t="s">
        <v>30</v>
      </c>
      <c r="C181" s="534">
        <v>1</v>
      </c>
      <c r="D181" s="534">
        <v>1</v>
      </c>
      <c r="E181" s="534">
        <v>4.62</v>
      </c>
      <c r="F181" s="534"/>
      <c r="G181" s="534">
        <v>1.68</v>
      </c>
      <c r="H181" s="535">
        <f t="shared" si="3"/>
        <v>7.7615999999999996</v>
      </c>
    </row>
    <row r="182" spans="1:8" ht="19.5" customHeight="1">
      <c r="A182" s="533"/>
      <c r="B182" s="539" t="s">
        <v>26</v>
      </c>
      <c r="C182" s="534">
        <v>-1</v>
      </c>
      <c r="D182" s="534">
        <v>1</v>
      </c>
      <c r="E182" s="534">
        <v>0.75</v>
      </c>
      <c r="F182" s="534"/>
      <c r="G182" s="534">
        <v>2.1</v>
      </c>
      <c r="H182" s="535">
        <f t="shared" si="3"/>
        <v>-1.5750000000000002</v>
      </c>
    </row>
    <row r="183" spans="1:8" ht="19.5" customHeight="1">
      <c r="A183" s="533"/>
      <c r="B183" s="539" t="s">
        <v>31</v>
      </c>
      <c r="C183" s="534">
        <v>-1</v>
      </c>
      <c r="D183" s="534">
        <v>1</v>
      </c>
      <c r="E183" s="534">
        <v>0.6</v>
      </c>
      <c r="F183" s="534"/>
      <c r="G183" s="534">
        <v>0.6</v>
      </c>
      <c r="H183" s="535">
        <f t="shared" si="3"/>
        <v>-0.36</v>
      </c>
    </row>
    <row r="184" spans="1:8" ht="19.5" customHeight="1">
      <c r="A184" s="533"/>
      <c r="B184" s="539" t="s">
        <v>32</v>
      </c>
      <c r="C184" s="534">
        <v>1</v>
      </c>
      <c r="D184" s="534">
        <v>1</v>
      </c>
      <c r="E184" s="534">
        <v>5.7</v>
      </c>
      <c r="F184" s="534">
        <v>0.15</v>
      </c>
      <c r="G184" s="534"/>
      <c r="H184" s="535">
        <f>F184*E184*D184*C184</f>
        <v>0.85499999999999998</v>
      </c>
    </row>
    <row r="185" spans="1:8" ht="19.5" customHeight="1">
      <c r="A185" s="533"/>
      <c r="B185" s="539" t="s">
        <v>33</v>
      </c>
      <c r="C185" s="534">
        <v>1</v>
      </c>
      <c r="D185" s="534">
        <v>1</v>
      </c>
      <c r="E185" s="534">
        <v>2.4</v>
      </c>
      <c r="F185" s="534">
        <v>0.1</v>
      </c>
      <c r="G185" s="534"/>
      <c r="H185" s="535">
        <f>F185*E185*D185*C185</f>
        <v>0.24</v>
      </c>
    </row>
    <row r="186" spans="1:8" ht="19.5" customHeight="1">
      <c r="A186" s="533"/>
      <c r="B186" s="539" t="s">
        <v>36</v>
      </c>
      <c r="C186" s="560">
        <v>1</v>
      </c>
      <c r="D186" s="560">
        <v>1</v>
      </c>
      <c r="E186" s="560">
        <v>19.96</v>
      </c>
      <c r="F186" s="560"/>
      <c r="G186" s="560">
        <v>3.18</v>
      </c>
      <c r="H186" s="535">
        <f t="shared" si="3"/>
        <v>63.472800000000007</v>
      </c>
    </row>
    <row r="187" spans="1:8" ht="19.5" customHeight="1">
      <c r="A187" s="533"/>
      <c r="B187" s="539" t="s">
        <v>24</v>
      </c>
      <c r="C187" s="560">
        <v>-1</v>
      </c>
      <c r="D187" s="560">
        <v>1</v>
      </c>
      <c r="E187" s="560">
        <v>1</v>
      </c>
      <c r="F187" s="560"/>
      <c r="G187" s="560">
        <v>2.1</v>
      </c>
      <c r="H187" s="535">
        <f t="shared" si="3"/>
        <v>-2.1</v>
      </c>
    </row>
    <row r="188" spans="1:8" ht="19.5" customHeight="1">
      <c r="A188" s="533"/>
      <c r="B188" s="539" t="s">
        <v>25</v>
      </c>
      <c r="C188" s="560">
        <v>-1</v>
      </c>
      <c r="D188" s="560">
        <v>2</v>
      </c>
      <c r="E188" s="560">
        <v>1.35</v>
      </c>
      <c r="F188" s="560"/>
      <c r="G188" s="560">
        <v>1.35</v>
      </c>
      <c r="H188" s="535">
        <f t="shared" si="3"/>
        <v>-3.6450000000000005</v>
      </c>
    </row>
    <row r="189" spans="1:8" ht="19.5" customHeight="1">
      <c r="A189" s="533"/>
      <c r="B189" s="539" t="s">
        <v>27</v>
      </c>
      <c r="C189" s="560">
        <v>1</v>
      </c>
      <c r="D189" s="560">
        <v>1</v>
      </c>
      <c r="E189" s="560">
        <v>5.2</v>
      </c>
      <c r="F189" s="560">
        <v>0.1</v>
      </c>
      <c r="G189" s="560"/>
      <c r="H189" s="535">
        <f>F189*E189*D189*C189</f>
        <v>0.52</v>
      </c>
    </row>
    <row r="190" spans="1:8" ht="19.5" customHeight="1">
      <c r="A190" s="533"/>
      <c r="B190" s="539" t="s">
        <v>28</v>
      </c>
      <c r="C190" s="560">
        <v>1</v>
      </c>
      <c r="D190" s="560">
        <v>2</v>
      </c>
      <c r="E190" s="560">
        <v>6.75</v>
      </c>
      <c r="F190" s="560">
        <v>0.1</v>
      </c>
      <c r="G190" s="560"/>
      <c r="H190" s="535">
        <f>F190*E190*D190*C190</f>
        <v>1.35</v>
      </c>
    </row>
    <row r="191" spans="1:8" ht="19.5" customHeight="1">
      <c r="A191" s="533"/>
      <c r="B191" s="539" t="s">
        <v>43</v>
      </c>
      <c r="C191" s="560">
        <v>1</v>
      </c>
      <c r="D191" s="560">
        <v>1</v>
      </c>
      <c r="E191" s="560">
        <v>14.2</v>
      </c>
      <c r="F191" s="560"/>
      <c r="G191" s="560">
        <v>3.18</v>
      </c>
      <c r="H191" s="535">
        <f t="shared" si="3"/>
        <v>45.155999999999999</v>
      </c>
    </row>
    <row r="192" spans="1:8" ht="19.5" customHeight="1">
      <c r="A192" s="533"/>
      <c r="B192" s="539" t="s">
        <v>24</v>
      </c>
      <c r="C192" s="560">
        <v>-1</v>
      </c>
      <c r="D192" s="560">
        <v>1</v>
      </c>
      <c r="E192" s="560">
        <v>1</v>
      </c>
      <c r="F192" s="560"/>
      <c r="G192" s="560">
        <v>2.1</v>
      </c>
      <c r="H192" s="535">
        <f t="shared" si="3"/>
        <v>-2.1</v>
      </c>
    </row>
    <row r="193" spans="1:8" ht="19.5" customHeight="1">
      <c r="A193" s="533"/>
      <c r="B193" s="539" t="s">
        <v>27</v>
      </c>
      <c r="C193" s="560">
        <v>1</v>
      </c>
      <c r="D193" s="560">
        <v>1</v>
      </c>
      <c r="E193" s="560">
        <v>5.2</v>
      </c>
      <c r="F193" s="560">
        <v>0.1</v>
      </c>
      <c r="G193" s="560"/>
      <c r="H193" s="535">
        <f>F193*E193*D193*C193</f>
        <v>0.52</v>
      </c>
    </row>
    <row r="194" spans="1:8" ht="19.5" customHeight="1">
      <c r="A194" s="533"/>
      <c r="B194" s="539" t="s">
        <v>37</v>
      </c>
      <c r="C194" s="560">
        <v>-1</v>
      </c>
      <c r="D194" s="560">
        <v>1</v>
      </c>
      <c r="E194" s="560">
        <v>0.9</v>
      </c>
      <c r="F194" s="560"/>
      <c r="G194" s="560">
        <v>0.6</v>
      </c>
      <c r="H194" s="535">
        <f t="shared" si="3"/>
        <v>-0.54</v>
      </c>
    </row>
    <row r="195" spans="1:8" ht="19.5" customHeight="1">
      <c r="A195" s="533"/>
      <c r="B195" s="539" t="s">
        <v>38</v>
      </c>
      <c r="C195" s="560">
        <v>1</v>
      </c>
      <c r="D195" s="560">
        <v>1</v>
      </c>
      <c r="E195" s="560">
        <v>3</v>
      </c>
      <c r="F195" s="560">
        <v>0.1</v>
      </c>
      <c r="G195" s="560"/>
      <c r="H195" s="535">
        <f>F195*E195*D195*C195</f>
        <v>0.30000000000000004</v>
      </c>
    </row>
    <row r="196" spans="1:8" ht="19.5" customHeight="1">
      <c r="A196" s="533"/>
      <c r="B196" s="539" t="s">
        <v>39</v>
      </c>
      <c r="C196" s="560">
        <v>1</v>
      </c>
      <c r="D196" s="560">
        <v>2</v>
      </c>
      <c r="E196" s="560">
        <v>0.9</v>
      </c>
      <c r="F196" s="560"/>
      <c r="G196" s="560">
        <v>1.35</v>
      </c>
      <c r="H196" s="535">
        <f t="shared" si="3"/>
        <v>2.4300000000000002</v>
      </c>
    </row>
    <row r="197" spans="1:8" ht="19.5" customHeight="1">
      <c r="A197" s="533"/>
      <c r="B197" s="539" t="s">
        <v>39</v>
      </c>
      <c r="C197" s="560">
        <v>1</v>
      </c>
      <c r="D197" s="560">
        <v>2</v>
      </c>
      <c r="E197" s="560">
        <v>0.45</v>
      </c>
      <c r="F197" s="560"/>
      <c r="G197" s="560">
        <v>1.35</v>
      </c>
      <c r="H197" s="535">
        <f t="shared" si="3"/>
        <v>1.2150000000000001</v>
      </c>
    </row>
    <row r="198" spans="1:8" ht="19.5" customHeight="1">
      <c r="A198" s="533"/>
      <c r="B198" s="539" t="s">
        <v>32</v>
      </c>
      <c r="C198" s="560">
        <v>1</v>
      </c>
      <c r="D198" s="560">
        <v>2</v>
      </c>
      <c r="E198" s="560">
        <v>0.12</v>
      </c>
      <c r="F198" s="560"/>
      <c r="G198" s="560">
        <v>1.35</v>
      </c>
      <c r="H198" s="535">
        <f t="shared" si="3"/>
        <v>0.32400000000000001</v>
      </c>
    </row>
    <row r="199" spans="1:8" ht="19.5" customHeight="1">
      <c r="A199" s="533"/>
      <c r="B199" s="539" t="s">
        <v>40</v>
      </c>
      <c r="C199" s="560">
        <v>1</v>
      </c>
      <c r="D199" s="560">
        <v>1</v>
      </c>
      <c r="E199" s="560">
        <v>14.4</v>
      </c>
      <c r="F199" s="560"/>
      <c r="G199" s="560">
        <v>3.18</v>
      </c>
      <c r="H199" s="535">
        <f t="shared" si="3"/>
        <v>45.792000000000002</v>
      </c>
    </row>
    <row r="200" spans="1:8" ht="19.5" customHeight="1">
      <c r="A200" s="533"/>
      <c r="B200" s="539" t="s">
        <v>41</v>
      </c>
      <c r="C200" s="560">
        <v>-1</v>
      </c>
      <c r="D200" s="560">
        <v>1</v>
      </c>
      <c r="E200" s="560">
        <v>2.1</v>
      </c>
      <c r="F200" s="560"/>
      <c r="G200" s="560">
        <v>3</v>
      </c>
      <c r="H200" s="535">
        <f t="shared" si="3"/>
        <v>-6.3000000000000007</v>
      </c>
    </row>
    <row r="201" spans="1:8" ht="19.5" customHeight="1">
      <c r="A201" s="533"/>
      <c r="B201" s="539" t="s">
        <v>42</v>
      </c>
      <c r="C201" s="560">
        <v>-1</v>
      </c>
      <c r="D201" s="560">
        <v>2</v>
      </c>
      <c r="E201" s="560">
        <v>1</v>
      </c>
      <c r="F201" s="560"/>
      <c r="G201" s="560">
        <v>2.1</v>
      </c>
      <c r="H201" s="535">
        <f t="shared" si="3"/>
        <v>-4.2</v>
      </c>
    </row>
    <row r="202" spans="1:8" ht="19.5" customHeight="1">
      <c r="A202" s="533"/>
      <c r="B202" s="539" t="s">
        <v>25</v>
      </c>
      <c r="C202" s="560">
        <v>-1</v>
      </c>
      <c r="D202" s="560">
        <v>1</v>
      </c>
      <c r="E202" s="560">
        <v>1.35</v>
      </c>
      <c r="F202" s="560"/>
      <c r="G202" s="560">
        <v>1.35</v>
      </c>
      <c r="H202" s="535">
        <f t="shared" si="3"/>
        <v>-1.8225000000000002</v>
      </c>
    </row>
    <row r="203" spans="1:8" ht="19.5" customHeight="1">
      <c r="A203" s="533"/>
      <c r="B203" s="539" t="s">
        <v>28</v>
      </c>
      <c r="C203" s="560">
        <v>1</v>
      </c>
      <c r="D203" s="560">
        <v>1</v>
      </c>
      <c r="E203" s="560">
        <v>5.4</v>
      </c>
      <c r="F203" s="560">
        <v>0.1</v>
      </c>
      <c r="G203" s="560"/>
      <c r="H203" s="535">
        <f>F203*E203*D203*C203</f>
        <v>0.54</v>
      </c>
    </row>
    <row r="204" spans="1:8" ht="19.5" customHeight="1">
      <c r="A204" s="533"/>
      <c r="B204" s="539" t="s">
        <v>44</v>
      </c>
      <c r="C204" s="560">
        <v>1</v>
      </c>
      <c r="D204" s="560">
        <v>1</v>
      </c>
      <c r="E204" s="560">
        <v>14.2</v>
      </c>
      <c r="F204" s="560"/>
      <c r="G204" s="560">
        <v>3.18</v>
      </c>
      <c r="H204" s="535">
        <f t="shared" si="3"/>
        <v>45.155999999999999</v>
      </c>
    </row>
    <row r="205" spans="1:8" ht="19.5" customHeight="1">
      <c r="A205" s="533"/>
      <c r="B205" s="539" t="s">
        <v>24</v>
      </c>
      <c r="C205" s="560">
        <v>-1</v>
      </c>
      <c r="D205" s="560">
        <v>1</v>
      </c>
      <c r="E205" s="560">
        <v>1</v>
      </c>
      <c r="F205" s="560"/>
      <c r="G205" s="560">
        <v>2.1</v>
      </c>
      <c r="H205" s="535">
        <f t="shared" si="3"/>
        <v>-2.1</v>
      </c>
    </row>
    <row r="206" spans="1:8" ht="19.5" customHeight="1">
      <c r="A206" s="533"/>
      <c r="B206" s="539" t="s">
        <v>27</v>
      </c>
      <c r="C206" s="560">
        <v>1</v>
      </c>
      <c r="D206" s="560">
        <v>1</v>
      </c>
      <c r="E206" s="560">
        <v>5.2</v>
      </c>
      <c r="F206" s="560">
        <v>0.1</v>
      </c>
      <c r="G206" s="560"/>
      <c r="H206" s="535">
        <f>F206*E206*D206*C206</f>
        <v>0.52</v>
      </c>
    </row>
    <row r="207" spans="1:8" ht="19.5" customHeight="1">
      <c r="A207" s="533"/>
      <c r="B207" s="539" t="s">
        <v>37</v>
      </c>
      <c r="C207" s="560">
        <v>-1</v>
      </c>
      <c r="D207" s="560">
        <v>1</v>
      </c>
      <c r="E207" s="560">
        <v>0.9</v>
      </c>
      <c r="F207" s="560"/>
      <c r="G207" s="560">
        <v>0.6</v>
      </c>
      <c r="H207" s="535">
        <f t="shared" si="3"/>
        <v>-0.54</v>
      </c>
    </row>
    <row r="208" spans="1:8" ht="19.5" customHeight="1">
      <c r="A208" s="533"/>
      <c r="B208" s="539" t="s">
        <v>38</v>
      </c>
      <c r="C208" s="560">
        <v>1</v>
      </c>
      <c r="D208" s="560">
        <v>1</v>
      </c>
      <c r="E208" s="560">
        <v>3</v>
      </c>
      <c r="F208" s="560">
        <v>0.1</v>
      </c>
      <c r="G208" s="560"/>
      <c r="H208" s="535">
        <f>F208*E208*D208*C208</f>
        <v>0.30000000000000004</v>
      </c>
    </row>
    <row r="209" spans="1:8" ht="19.5" customHeight="1">
      <c r="A209" s="533"/>
      <c r="B209" s="539" t="s">
        <v>39</v>
      </c>
      <c r="C209" s="560">
        <v>1</v>
      </c>
      <c r="D209" s="560">
        <v>2</v>
      </c>
      <c r="E209" s="560">
        <v>0.9</v>
      </c>
      <c r="F209" s="560"/>
      <c r="G209" s="560">
        <v>0.75</v>
      </c>
      <c r="H209" s="535">
        <f t="shared" si="3"/>
        <v>1.35</v>
      </c>
    </row>
    <row r="210" spans="1:8" ht="19.5" customHeight="1">
      <c r="A210" s="533"/>
      <c r="B210" s="539" t="s">
        <v>39</v>
      </c>
      <c r="C210" s="560">
        <v>1</v>
      </c>
      <c r="D210" s="560">
        <v>2</v>
      </c>
      <c r="E210" s="560">
        <v>0.45</v>
      </c>
      <c r="F210" s="560"/>
      <c r="G210" s="560">
        <v>0.75</v>
      </c>
      <c r="H210" s="535">
        <f t="shared" si="3"/>
        <v>0.67500000000000004</v>
      </c>
    </row>
    <row r="211" spans="1:8" ht="19.5" customHeight="1">
      <c r="A211" s="533"/>
      <c r="B211" s="539" t="s">
        <v>32</v>
      </c>
      <c r="C211" s="560">
        <v>1</v>
      </c>
      <c r="D211" s="560">
        <v>2</v>
      </c>
      <c r="E211" s="560">
        <v>0.12</v>
      </c>
      <c r="F211" s="560"/>
      <c r="G211" s="560">
        <v>0.75</v>
      </c>
      <c r="H211" s="535">
        <f t="shared" si="3"/>
        <v>0.18</v>
      </c>
    </row>
    <row r="212" spans="1:8" ht="19.5" customHeight="1">
      <c r="A212" s="533"/>
      <c r="B212" s="539" t="s">
        <v>45</v>
      </c>
      <c r="C212" s="560">
        <v>1</v>
      </c>
      <c r="D212" s="560">
        <v>1</v>
      </c>
      <c r="E212" s="560">
        <v>10.24</v>
      </c>
      <c r="F212" s="560"/>
      <c r="G212" s="560">
        <v>3.18</v>
      </c>
      <c r="H212" s="535">
        <f t="shared" si="3"/>
        <v>32.563200000000002</v>
      </c>
    </row>
    <row r="213" spans="1:8" ht="19.5" customHeight="1">
      <c r="A213" s="533"/>
      <c r="B213" s="539" t="s">
        <v>24</v>
      </c>
      <c r="C213" s="560">
        <v>-1</v>
      </c>
      <c r="D213" s="560">
        <v>1</v>
      </c>
      <c r="E213" s="560">
        <v>1</v>
      </c>
      <c r="F213" s="560"/>
      <c r="G213" s="560">
        <v>2.1</v>
      </c>
      <c r="H213" s="535">
        <f t="shared" si="3"/>
        <v>-2.1</v>
      </c>
    </row>
    <row r="214" spans="1:8" ht="18.75" customHeight="1">
      <c r="A214" s="533"/>
      <c r="B214" s="539" t="s">
        <v>46</v>
      </c>
      <c r="C214" s="560">
        <v>-1</v>
      </c>
      <c r="D214" s="560">
        <v>1</v>
      </c>
      <c r="E214" s="560">
        <v>1.35</v>
      </c>
      <c r="F214" s="560"/>
      <c r="G214" s="560">
        <v>0.6</v>
      </c>
      <c r="H214" s="535">
        <f t="shared" si="3"/>
        <v>-0.81</v>
      </c>
    </row>
    <row r="215" spans="1:8" ht="19.5" hidden="1" customHeight="1">
      <c r="A215" s="533"/>
      <c r="B215" s="539"/>
      <c r="C215" s="560"/>
      <c r="D215" s="560"/>
      <c r="E215" s="560"/>
      <c r="F215" s="560"/>
      <c r="G215" s="560"/>
      <c r="H215" s="535">
        <f t="shared" si="3"/>
        <v>0</v>
      </c>
    </row>
    <row r="216" spans="1:8" ht="19.5" customHeight="1">
      <c r="A216" s="533"/>
      <c r="B216" s="539" t="s">
        <v>32</v>
      </c>
      <c r="C216" s="560">
        <v>1</v>
      </c>
      <c r="D216" s="560">
        <v>1</v>
      </c>
      <c r="E216" s="560">
        <v>5.2</v>
      </c>
      <c r="F216" s="560">
        <v>0.1</v>
      </c>
      <c r="G216" s="560"/>
      <c r="H216" s="535">
        <f>F216*E216*D216*C216</f>
        <v>0.52</v>
      </c>
    </row>
    <row r="217" spans="1:8" ht="19.5" customHeight="1">
      <c r="A217" s="533"/>
      <c r="B217" s="539" t="s">
        <v>32</v>
      </c>
      <c r="C217" s="560">
        <v>1</v>
      </c>
      <c r="D217" s="560">
        <v>1</v>
      </c>
      <c r="E217" s="560">
        <v>3.9</v>
      </c>
      <c r="F217" s="560">
        <v>0.1</v>
      </c>
      <c r="G217" s="560"/>
      <c r="H217" s="535">
        <f>F217*E217*D217*C217</f>
        <v>0.39</v>
      </c>
    </row>
    <row r="218" spans="1:8" ht="19.5" customHeight="1">
      <c r="A218" s="533"/>
      <c r="B218" s="539" t="s">
        <v>47</v>
      </c>
      <c r="C218" s="560">
        <v>1</v>
      </c>
      <c r="D218" s="560">
        <v>1</v>
      </c>
      <c r="E218" s="560">
        <v>7.54</v>
      </c>
      <c r="F218" s="560"/>
      <c r="G218" s="560">
        <v>3.18</v>
      </c>
      <c r="H218" s="535">
        <f t="shared" si="3"/>
        <v>23.9772</v>
      </c>
    </row>
    <row r="219" spans="1:8" ht="19.5" customHeight="1">
      <c r="A219" s="533"/>
      <c r="B219" s="539" t="s">
        <v>24</v>
      </c>
      <c r="C219" s="560">
        <v>-1</v>
      </c>
      <c r="D219" s="560">
        <v>1</v>
      </c>
      <c r="E219" s="560">
        <v>1</v>
      </c>
      <c r="F219" s="560"/>
      <c r="G219" s="560">
        <v>2.1</v>
      </c>
      <c r="H219" s="535">
        <f t="shared" si="3"/>
        <v>-2.1</v>
      </c>
    </row>
    <row r="220" spans="1:8" ht="19.5" customHeight="1">
      <c r="A220" s="533"/>
      <c r="B220" s="539" t="s">
        <v>32</v>
      </c>
      <c r="C220" s="560">
        <v>1</v>
      </c>
      <c r="D220" s="560">
        <v>1</v>
      </c>
      <c r="E220" s="560">
        <v>5.2</v>
      </c>
      <c r="F220" s="560">
        <v>0.1</v>
      </c>
      <c r="G220" s="560"/>
      <c r="H220" s="535">
        <f>F220*E220*D220*C220</f>
        <v>0.52</v>
      </c>
    </row>
    <row r="221" spans="1:8" ht="19.5" customHeight="1">
      <c r="A221" s="533"/>
      <c r="B221" s="539" t="s">
        <v>48</v>
      </c>
      <c r="C221" s="560">
        <v>1</v>
      </c>
      <c r="D221" s="560">
        <v>2</v>
      </c>
      <c r="E221" s="560">
        <v>2</v>
      </c>
      <c r="F221" s="560"/>
      <c r="G221" s="560">
        <v>3.18</v>
      </c>
      <c r="H221" s="535">
        <f t="shared" si="3"/>
        <v>12.72</v>
      </c>
    </row>
    <row r="222" spans="1:8" ht="19.5" customHeight="1">
      <c r="A222" s="533"/>
      <c r="B222" s="539" t="s">
        <v>49</v>
      </c>
      <c r="C222" s="560">
        <v>1</v>
      </c>
      <c r="D222" s="560">
        <v>1</v>
      </c>
      <c r="E222" s="560">
        <v>11.1</v>
      </c>
      <c r="F222" s="560"/>
      <c r="G222" s="560">
        <v>3.3</v>
      </c>
      <c r="H222" s="535">
        <f t="shared" si="3"/>
        <v>36.629999999999995</v>
      </c>
    </row>
    <row r="223" spans="1:8" ht="19.5" customHeight="1">
      <c r="A223" s="533"/>
      <c r="B223" s="539" t="s">
        <v>50</v>
      </c>
      <c r="C223" s="560">
        <v>1</v>
      </c>
      <c r="D223" s="560">
        <v>1</v>
      </c>
      <c r="E223" s="560">
        <v>12.92</v>
      </c>
      <c r="F223" s="560"/>
      <c r="G223" s="560">
        <v>3.18</v>
      </c>
      <c r="H223" s="535">
        <f t="shared" ref="H223:H283" si="4">G223*E223*D223*C223</f>
        <v>41.085599999999999</v>
      </c>
    </row>
    <row r="224" spans="1:8" ht="19.5" customHeight="1">
      <c r="A224" s="533"/>
      <c r="B224" s="539" t="s">
        <v>24</v>
      </c>
      <c r="C224" s="560">
        <v>-1</v>
      </c>
      <c r="D224" s="560">
        <v>5</v>
      </c>
      <c r="E224" s="560">
        <v>1</v>
      </c>
      <c r="F224" s="560"/>
      <c r="G224" s="560">
        <v>2.1</v>
      </c>
      <c r="H224" s="535">
        <f t="shared" si="4"/>
        <v>-10.5</v>
      </c>
    </row>
    <row r="225" spans="1:8" ht="19.5" customHeight="1">
      <c r="A225" s="533"/>
      <c r="B225" s="539" t="s">
        <v>51</v>
      </c>
      <c r="C225" s="560">
        <v>-1</v>
      </c>
      <c r="D225" s="560">
        <v>1</v>
      </c>
      <c r="E225" s="560">
        <v>2.4</v>
      </c>
      <c r="F225" s="560"/>
      <c r="G225" s="560">
        <v>3.18</v>
      </c>
      <c r="H225" s="535">
        <f t="shared" si="4"/>
        <v>-7.6319999999999997</v>
      </c>
    </row>
    <row r="226" spans="1:8" ht="19.5" customHeight="1">
      <c r="A226" s="533"/>
      <c r="B226" s="538" t="s">
        <v>52</v>
      </c>
      <c r="C226" s="560"/>
      <c r="D226" s="560"/>
      <c r="E226" s="560"/>
      <c r="F226" s="560"/>
      <c r="G226" s="560"/>
      <c r="H226" s="535"/>
    </row>
    <row r="227" spans="1:8" ht="19.5" customHeight="1">
      <c r="A227" s="533"/>
      <c r="B227" s="539" t="s">
        <v>53</v>
      </c>
      <c r="C227" s="560">
        <v>1</v>
      </c>
      <c r="D227" s="560">
        <v>1</v>
      </c>
      <c r="E227" s="560">
        <v>13</v>
      </c>
      <c r="F227" s="560"/>
      <c r="G227" s="560">
        <v>3.18</v>
      </c>
      <c r="H227" s="535">
        <f t="shared" si="4"/>
        <v>41.34</v>
      </c>
    </row>
    <row r="228" spans="1:8" ht="19.5" customHeight="1">
      <c r="A228" s="533"/>
      <c r="B228" s="539" t="s">
        <v>24</v>
      </c>
      <c r="C228" s="560">
        <v>-1</v>
      </c>
      <c r="D228" s="560">
        <v>1</v>
      </c>
      <c r="E228" s="560">
        <v>0.75</v>
      </c>
      <c r="F228" s="560"/>
      <c r="G228" s="560">
        <v>2.1</v>
      </c>
      <c r="H228" s="535">
        <f t="shared" si="4"/>
        <v>-1.5750000000000002</v>
      </c>
    </row>
    <row r="229" spans="1:8" ht="19.5" customHeight="1">
      <c r="A229" s="533"/>
      <c r="B229" s="539" t="s">
        <v>24</v>
      </c>
      <c r="C229" s="560">
        <v>-1</v>
      </c>
      <c r="D229" s="560">
        <v>1</v>
      </c>
      <c r="E229" s="560">
        <v>1</v>
      </c>
      <c r="F229" s="560"/>
      <c r="G229" s="560">
        <v>2.1</v>
      </c>
      <c r="H229" s="535">
        <f t="shared" si="4"/>
        <v>-2.1</v>
      </c>
    </row>
    <row r="230" spans="1:8" ht="19.5" customHeight="1">
      <c r="A230" s="533"/>
      <c r="B230" s="539" t="s">
        <v>25</v>
      </c>
      <c r="C230" s="560">
        <v>-1</v>
      </c>
      <c r="D230" s="560">
        <v>1</v>
      </c>
      <c r="E230" s="560">
        <v>1.35</v>
      </c>
      <c r="F230" s="560"/>
      <c r="G230" s="560">
        <v>1.35</v>
      </c>
      <c r="H230" s="535">
        <f t="shared" si="4"/>
        <v>-1.8225000000000002</v>
      </c>
    </row>
    <row r="231" spans="1:8" ht="19.5" customHeight="1">
      <c r="A231" s="533"/>
      <c r="B231" s="539" t="s">
        <v>28</v>
      </c>
      <c r="C231" s="560">
        <v>1</v>
      </c>
      <c r="D231" s="560">
        <v>1</v>
      </c>
      <c r="E231" s="560">
        <v>5.4</v>
      </c>
      <c r="F231" s="560">
        <v>0.1</v>
      </c>
      <c r="G231" s="560"/>
      <c r="H231" s="535">
        <f>F231*E231*D231*C231</f>
        <v>0.54</v>
      </c>
    </row>
    <row r="232" spans="1:8" ht="19.5" customHeight="1">
      <c r="A232" s="533"/>
      <c r="B232" s="539" t="s">
        <v>27</v>
      </c>
      <c r="C232" s="560">
        <v>1</v>
      </c>
      <c r="D232" s="560">
        <v>1</v>
      </c>
      <c r="E232" s="560">
        <v>5.2</v>
      </c>
      <c r="F232" s="560">
        <v>0.1</v>
      </c>
      <c r="G232" s="560"/>
      <c r="H232" s="535">
        <f>F232*E232*D232*C232</f>
        <v>0.52</v>
      </c>
    </row>
    <row r="233" spans="1:8" ht="19.5" customHeight="1">
      <c r="A233" s="533"/>
      <c r="B233" s="539" t="s">
        <v>27</v>
      </c>
      <c r="C233" s="560">
        <v>1</v>
      </c>
      <c r="D233" s="560">
        <v>1</v>
      </c>
      <c r="E233" s="560">
        <v>4.95</v>
      </c>
      <c r="F233" s="560">
        <v>0.1</v>
      </c>
      <c r="G233" s="560"/>
      <c r="H233" s="535">
        <f>F233*E233*D233*C233</f>
        <v>0.49500000000000005</v>
      </c>
    </row>
    <row r="234" spans="1:8" ht="19.5" customHeight="1">
      <c r="A234" s="533"/>
      <c r="B234" s="539" t="s">
        <v>54</v>
      </c>
      <c r="C234" s="560">
        <v>1</v>
      </c>
      <c r="D234" s="560">
        <v>1</v>
      </c>
      <c r="E234" s="560">
        <v>14.7</v>
      </c>
      <c r="F234" s="560"/>
      <c r="G234" s="560">
        <v>3.18</v>
      </c>
      <c r="H234" s="535">
        <f t="shared" si="4"/>
        <v>46.746000000000002</v>
      </c>
    </row>
    <row r="235" spans="1:8" ht="19.5" customHeight="1">
      <c r="A235" s="533"/>
      <c r="B235" s="539" t="s">
        <v>24</v>
      </c>
      <c r="C235" s="560">
        <v>-1</v>
      </c>
      <c r="D235" s="560">
        <v>1</v>
      </c>
      <c r="E235" s="560">
        <v>0.75</v>
      </c>
      <c r="F235" s="560"/>
      <c r="G235" s="560">
        <v>2.1</v>
      </c>
      <c r="H235" s="535">
        <f t="shared" si="4"/>
        <v>-1.5750000000000002</v>
      </c>
    </row>
    <row r="236" spans="1:8" ht="19.5" customHeight="1">
      <c r="A236" s="533"/>
      <c r="B236" s="539" t="s">
        <v>24</v>
      </c>
      <c r="C236" s="560">
        <v>-1</v>
      </c>
      <c r="D236" s="560">
        <v>1</v>
      </c>
      <c r="E236" s="560">
        <v>1</v>
      </c>
      <c r="F236" s="560"/>
      <c r="G236" s="560">
        <v>2.1</v>
      </c>
      <c r="H236" s="535">
        <f t="shared" si="4"/>
        <v>-2.1</v>
      </c>
    </row>
    <row r="237" spans="1:8" ht="19.5" customHeight="1">
      <c r="A237" s="533"/>
      <c r="B237" s="539" t="s">
        <v>55</v>
      </c>
      <c r="C237" s="560">
        <v>1</v>
      </c>
      <c r="D237" s="560">
        <v>1</v>
      </c>
      <c r="E237" s="560">
        <v>8.4</v>
      </c>
      <c r="F237" s="560"/>
      <c r="G237" s="560">
        <v>1.68</v>
      </c>
      <c r="H237" s="535">
        <f t="shared" si="4"/>
        <v>14.112</v>
      </c>
    </row>
    <row r="238" spans="1:8" ht="19.5" customHeight="1">
      <c r="A238" s="533"/>
      <c r="B238" s="539" t="s">
        <v>24</v>
      </c>
      <c r="C238" s="560">
        <v>-1</v>
      </c>
      <c r="D238" s="560">
        <v>1</v>
      </c>
      <c r="E238" s="560">
        <v>0.75</v>
      </c>
      <c r="F238" s="560"/>
      <c r="G238" s="560">
        <v>2.1</v>
      </c>
      <c r="H238" s="535">
        <f t="shared" si="4"/>
        <v>-1.5750000000000002</v>
      </c>
    </row>
    <row r="239" spans="1:8" ht="19.5" customHeight="1">
      <c r="A239" s="533"/>
      <c r="B239" s="539" t="s">
        <v>56</v>
      </c>
      <c r="C239" s="560">
        <v>-1</v>
      </c>
      <c r="D239" s="560">
        <v>1</v>
      </c>
      <c r="E239" s="560">
        <v>0.75</v>
      </c>
      <c r="F239" s="560"/>
      <c r="G239" s="560">
        <v>0.6</v>
      </c>
      <c r="H239" s="535">
        <f t="shared" si="4"/>
        <v>-0.44999999999999996</v>
      </c>
    </row>
    <row r="240" spans="1:8" ht="19.5" customHeight="1">
      <c r="A240" s="533"/>
      <c r="B240" s="539" t="s">
        <v>27</v>
      </c>
      <c r="C240" s="560">
        <v>1</v>
      </c>
      <c r="D240" s="560">
        <v>1</v>
      </c>
      <c r="E240" s="560">
        <v>4.95</v>
      </c>
      <c r="F240" s="560">
        <v>0.1</v>
      </c>
      <c r="G240" s="560"/>
      <c r="H240" s="535">
        <f>F240*E240*D240*C240</f>
        <v>0.49500000000000005</v>
      </c>
    </row>
    <row r="241" spans="1:8" ht="19.5" customHeight="1">
      <c r="A241" s="533"/>
      <c r="B241" s="539" t="s">
        <v>25</v>
      </c>
      <c r="C241" s="560">
        <v>-1</v>
      </c>
      <c r="D241" s="560">
        <v>2</v>
      </c>
      <c r="E241" s="560">
        <v>1.35</v>
      </c>
      <c r="F241" s="560"/>
      <c r="G241" s="560">
        <v>1.35</v>
      </c>
      <c r="H241" s="535">
        <f t="shared" si="4"/>
        <v>-3.6450000000000005</v>
      </c>
    </row>
    <row r="242" spans="1:8" ht="19.5" customHeight="1">
      <c r="A242" s="533"/>
      <c r="B242" s="539" t="s">
        <v>32</v>
      </c>
      <c r="C242" s="560">
        <v>1</v>
      </c>
      <c r="D242" s="560">
        <v>2</v>
      </c>
      <c r="E242" s="560">
        <v>5.4</v>
      </c>
      <c r="F242" s="560">
        <v>0.1</v>
      </c>
      <c r="G242" s="560"/>
      <c r="H242" s="535">
        <f>F242*E242*D242*C242</f>
        <v>1.08</v>
      </c>
    </row>
    <row r="243" spans="1:8" ht="19.5" customHeight="1">
      <c r="A243" s="533"/>
      <c r="B243" s="539" t="s">
        <v>57</v>
      </c>
      <c r="C243" s="560">
        <v>1</v>
      </c>
      <c r="D243" s="560">
        <v>1</v>
      </c>
      <c r="E243" s="560">
        <v>16.59</v>
      </c>
      <c r="F243" s="560"/>
      <c r="G243" s="560">
        <v>3.18</v>
      </c>
      <c r="H243" s="535">
        <f t="shared" si="4"/>
        <v>52.7562</v>
      </c>
    </row>
    <row r="244" spans="1:8" ht="19.5" customHeight="1">
      <c r="A244" s="533"/>
      <c r="B244" s="539" t="s">
        <v>24</v>
      </c>
      <c r="C244" s="560">
        <v>-1</v>
      </c>
      <c r="D244" s="560">
        <v>1</v>
      </c>
      <c r="E244" s="560">
        <v>1.35</v>
      </c>
      <c r="F244" s="560"/>
      <c r="G244" s="560">
        <v>1.35</v>
      </c>
      <c r="H244" s="535">
        <f t="shared" si="4"/>
        <v>-1.8225000000000002</v>
      </c>
    </row>
    <row r="245" spans="1:8" ht="19.5" customHeight="1">
      <c r="A245" s="533"/>
      <c r="B245" s="539" t="s">
        <v>32</v>
      </c>
      <c r="C245" s="560">
        <v>1</v>
      </c>
      <c r="D245" s="560">
        <v>1</v>
      </c>
      <c r="E245" s="560">
        <v>5.2</v>
      </c>
      <c r="F245" s="560">
        <v>0.1</v>
      </c>
      <c r="G245" s="560"/>
      <c r="H245" s="535">
        <f>F245*E245*D245*C245</f>
        <v>0.52</v>
      </c>
    </row>
    <row r="246" spans="1:8" ht="19.5" customHeight="1">
      <c r="A246" s="533"/>
      <c r="B246" s="539" t="s">
        <v>25</v>
      </c>
      <c r="C246" s="560">
        <v>-1</v>
      </c>
      <c r="D246" s="560">
        <v>1</v>
      </c>
      <c r="E246" s="560">
        <v>1.35</v>
      </c>
      <c r="F246" s="560"/>
      <c r="G246" s="560">
        <v>1.35</v>
      </c>
      <c r="H246" s="535">
        <f t="shared" si="4"/>
        <v>-1.8225000000000002</v>
      </c>
    </row>
    <row r="247" spans="1:8" ht="19.5" customHeight="1">
      <c r="A247" s="533"/>
      <c r="B247" s="539" t="s">
        <v>28</v>
      </c>
      <c r="C247" s="560">
        <v>1</v>
      </c>
      <c r="D247" s="560">
        <v>1</v>
      </c>
      <c r="E247" s="560">
        <v>5.2</v>
      </c>
      <c r="F247" s="560">
        <v>0.1</v>
      </c>
      <c r="G247" s="560"/>
      <c r="H247" s="535">
        <f>F247*E247*D247*C247</f>
        <v>0.52</v>
      </c>
    </row>
    <row r="248" spans="1:8" ht="19.5" customHeight="1">
      <c r="A248" s="533"/>
      <c r="B248" s="539" t="s">
        <v>46</v>
      </c>
      <c r="C248" s="560">
        <v>-1</v>
      </c>
      <c r="D248" s="560">
        <v>1</v>
      </c>
      <c r="E248" s="560">
        <v>1.35</v>
      </c>
      <c r="F248" s="560"/>
      <c r="G248" s="560">
        <v>0.6</v>
      </c>
      <c r="H248" s="535">
        <f t="shared" si="4"/>
        <v>-0.81</v>
      </c>
    </row>
    <row r="249" spans="1:8" ht="19.5" customHeight="1">
      <c r="A249" s="533"/>
      <c r="B249" s="539" t="s">
        <v>56</v>
      </c>
      <c r="C249" s="560">
        <v>-1</v>
      </c>
      <c r="D249" s="560">
        <v>1</v>
      </c>
      <c r="E249" s="560">
        <v>0.75</v>
      </c>
      <c r="F249" s="560"/>
      <c r="G249" s="560">
        <v>0.6</v>
      </c>
      <c r="H249" s="535">
        <f t="shared" si="4"/>
        <v>-0.44999999999999996</v>
      </c>
    </row>
    <row r="250" spans="1:8" ht="19.5" customHeight="1">
      <c r="A250" s="533"/>
      <c r="B250" s="539" t="s">
        <v>58</v>
      </c>
      <c r="C250" s="560">
        <v>1</v>
      </c>
      <c r="D250" s="560">
        <v>1</v>
      </c>
      <c r="E250" s="560">
        <v>2.7</v>
      </c>
      <c r="F250" s="560">
        <v>0.1</v>
      </c>
      <c r="G250" s="560"/>
      <c r="H250" s="535">
        <f>F250*E250*D250*C250</f>
        <v>0.27</v>
      </c>
    </row>
    <row r="251" spans="1:8" ht="19.5" customHeight="1">
      <c r="A251" s="533"/>
      <c r="B251" s="539" t="s">
        <v>59</v>
      </c>
      <c r="C251" s="560">
        <v>1</v>
      </c>
      <c r="D251" s="560">
        <v>1</v>
      </c>
      <c r="E251" s="560">
        <v>13.5</v>
      </c>
      <c r="F251" s="560"/>
      <c r="G251" s="560">
        <v>3.18</v>
      </c>
      <c r="H251" s="535">
        <f t="shared" si="4"/>
        <v>42.93</v>
      </c>
    </row>
    <row r="252" spans="1:8" ht="19.5" customHeight="1">
      <c r="A252" s="533"/>
      <c r="B252" s="539" t="s">
        <v>24</v>
      </c>
      <c r="C252" s="560">
        <v>-1</v>
      </c>
      <c r="D252" s="560">
        <v>1</v>
      </c>
      <c r="E252" s="560">
        <v>1</v>
      </c>
      <c r="F252" s="560"/>
      <c r="G252" s="560">
        <v>2.1</v>
      </c>
      <c r="H252" s="535">
        <f t="shared" si="4"/>
        <v>-2.1</v>
      </c>
    </row>
    <row r="253" spans="1:8" ht="19.5" customHeight="1">
      <c r="A253" s="533"/>
      <c r="B253" s="539" t="s">
        <v>25</v>
      </c>
      <c r="C253" s="560">
        <v>-1</v>
      </c>
      <c r="D253" s="560">
        <v>1</v>
      </c>
      <c r="E253" s="560">
        <v>1.35</v>
      </c>
      <c r="F253" s="560"/>
      <c r="G253" s="560">
        <v>1.35</v>
      </c>
      <c r="H253" s="535">
        <f t="shared" si="4"/>
        <v>-1.8225000000000002</v>
      </c>
    </row>
    <row r="254" spans="1:8" ht="19.5" customHeight="1">
      <c r="A254" s="533"/>
      <c r="B254" s="539" t="s">
        <v>27</v>
      </c>
      <c r="C254" s="560">
        <v>1</v>
      </c>
      <c r="D254" s="560">
        <v>1</v>
      </c>
      <c r="E254" s="560">
        <v>5.2</v>
      </c>
      <c r="F254" s="560">
        <v>0.1</v>
      </c>
      <c r="G254" s="560"/>
      <c r="H254" s="535">
        <f>F254*E254*D254*C254</f>
        <v>0.52</v>
      </c>
    </row>
    <row r="255" spans="1:8" ht="19.5" customHeight="1">
      <c r="A255" s="533"/>
      <c r="B255" s="539" t="s">
        <v>28</v>
      </c>
      <c r="C255" s="560">
        <v>1</v>
      </c>
      <c r="D255" s="560">
        <v>1</v>
      </c>
      <c r="E255" s="560">
        <v>5.4</v>
      </c>
      <c r="F255" s="560">
        <v>0.1</v>
      </c>
      <c r="G255" s="560"/>
      <c r="H255" s="535">
        <f>F255*E255*D255*C255</f>
        <v>0.54</v>
      </c>
    </row>
    <row r="256" spans="1:8" ht="19.5" customHeight="1">
      <c r="A256" s="533"/>
      <c r="B256" s="539" t="s">
        <v>60</v>
      </c>
      <c r="C256" s="560">
        <v>1</v>
      </c>
      <c r="D256" s="560">
        <v>1</v>
      </c>
      <c r="E256" s="560">
        <v>16.5</v>
      </c>
      <c r="F256" s="560"/>
      <c r="G256" s="560">
        <v>3.18</v>
      </c>
      <c r="H256" s="535">
        <f t="shared" si="4"/>
        <v>52.470000000000006</v>
      </c>
    </row>
    <row r="257" spans="1:8" ht="19.5" customHeight="1">
      <c r="A257" s="533"/>
      <c r="B257" s="539" t="s">
        <v>24</v>
      </c>
      <c r="C257" s="560">
        <v>-1</v>
      </c>
      <c r="D257" s="560">
        <v>1</v>
      </c>
      <c r="E257" s="560">
        <v>1</v>
      </c>
      <c r="F257" s="560"/>
      <c r="G257" s="560">
        <v>2.1</v>
      </c>
      <c r="H257" s="535">
        <f t="shared" si="4"/>
        <v>-2.1</v>
      </c>
    </row>
    <row r="258" spans="1:8" ht="19.5" customHeight="1">
      <c r="A258" s="533"/>
      <c r="B258" s="539" t="s">
        <v>25</v>
      </c>
      <c r="C258" s="560">
        <v>-1</v>
      </c>
      <c r="D258" s="560">
        <v>1</v>
      </c>
      <c r="E258" s="560">
        <v>1.35</v>
      </c>
      <c r="F258" s="560"/>
      <c r="G258" s="560">
        <v>1.35</v>
      </c>
      <c r="H258" s="535">
        <f t="shared" si="4"/>
        <v>-1.8225000000000002</v>
      </c>
    </row>
    <row r="259" spans="1:8" ht="19.5" customHeight="1">
      <c r="A259" s="533"/>
      <c r="B259" s="539" t="s">
        <v>55</v>
      </c>
      <c r="C259" s="560">
        <v>1</v>
      </c>
      <c r="D259" s="560">
        <v>1</v>
      </c>
      <c r="E259" s="560">
        <v>8.4</v>
      </c>
      <c r="F259" s="560"/>
      <c r="G259" s="560">
        <v>1.68</v>
      </c>
      <c r="H259" s="535">
        <f t="shared" si="4"/>
        <v>14.112</v>
      </c>
    </row>
    <row r="260" spans="1:8" ht="19.5" customHeight="1">
      <c r="A260" s="533"/>
      <c r="B260" s="539" t="s">
        <v>26</v>
      </c>
      <c r="C260" s="560">
        <v>-1</v>
      </c>
      <c r="D260" s="560">
        <v>1</v>
      </c>
      <c r="E260" s="560">
        <v>0.75</v>
      </c>
      <c r="F260" s="560"/>
      <c r="G260" s="560">
        <v>2.1</v>
      </c>
      <c r="H260" s="535">
        <f t="shared" si="4"/>
        <v>-1.5750000000000002</v>
      </c>
    </row>
    <row r="261" spans="1:8" ht="19.5" customHeight="1">
      <c r="A261" s="533"/>
      <c r="B261" s="539" t="s">
        <v>27</v>
      </c>
      <c r="C261" s="560">
        <v>1</v>
      </c>
      <c r="D261" s="560">
        <v>1</v>
      </c>
      <c r="E261" s="560">
        <v>4.95</v>
      </c>
      <c r="F261" s="560">
        <v>0.1</v>
      </c>
      <c r="G261" s="560"/>
      <c r="H261" s="535">
        <f>F261*E261*D261*C261</f>
        <v>0.49500000000000005</v>
      </c>
    </row>
    <row r="262" spans="1:8" ht="19.5" customHeight="1">
      <c r="A262" s="533"/>
      <c r="B262" s="539" t="s">
        <v>56</v>
      </c>
      <c r="C262" s="560">
        <v>-1</v>
      </c>
      <c r="D262" s="560">
        <v>1</v>
      </c>
      <c r="E262" s="560">
        <v>0.75</v>
      </c>
      <c r="F262" s="560"/>
      <c r="G262" s="560">
        <v>0.6</v>
      </c>
      <c r="H262" s="535">
        <f t="shared" si="4"/>
        <v>-0.44999999999999996</v>
      </c>
    </row>
    <row r="263" spans="1:8" ht="19.5" customHeight="1">
      <c r="A263" s="533"/>
      <c r="B263" s="539" t="s">
        <v>61</v>
      </c>
      <c r="C263" s="560">
        <v>1</v>
      </c>
      <c r="D263" s="560">
        <v>1</v>
      </c>
      <c r="E263" s="560">
        <v>2.7</v>
      </c>
      <c r="F263" s="560">
        <v>0.1</v>
      </c>
      <c r="G263" s="560"/>
      <c r="H263" s="535">
        <f>F263*E263*D263*C263</f>
        <v>0.27</v>
      </c>
    </row>
    <row r="264" spans="1:8" ht="19.5" customHeight="1">
      <c r="A264" s="533"/>
      <c r="B264" s="539" t="s">
        <v>62</v>
      </c>
      <c r="C264" s="560">
        <v>1</v>
      </c>
      <c r="D264" s="560">
        <v>1</v>
      </c>
      <c r="E264" s="560">
        <v>16.5</v>
      </c>
      <c r="F264" s="560"/>
      <c r="G264" s="560">
        <v>3.18</v>
      </c>
      <c r="H264" s="535">
        <f t="shared" si="4"/>
        <v>52.470000000000006</v>
      </c>
    </row>
    <row r="265" spans="1:8" ht="19.5" customHeight="1">
      <c r="A265" s="533"/>
      <c r="B265" s="539" t="s">
        <v>24</v>
      </c>
      <c r="C265" s="560">
        <v>-1</v>
      </c>
      <c r="D265" s="560">
        <v>1</v>
      </c>
      <c r="E265" s="560">
        <v>1</v>
      </c>
      <c r="F265" s="560"/>
      <c r="G265" s="560">
        <v>2.1</v>
      </c>
      <c r="H265" s="535">
        <f t="shared" si="4"/>
        <v>-2.1</v>
      </c>
    </row>
    <row r="266" spans="1:8" ht="19.5" customHeight="1">
      <c r="A266" s="533"/>
      <c r="B266" s="539" t="s">
        <v>25</v>
      </c>
      <c r="C266" s="560">
        <v>-1</v>
      </c>
      <c r="D266" s="560">
        <v>1</v>
      </c>
      <c r="E266" s="560">
        <v>1.35</v>
      </c>
      <c r="F266" s="560"/>
      <c r="G266" s="560">
        <v>1.35</v>
      </c>
      <c r="H266" s="535">
        <f t="shared" si="4"/>
        <v>-1.8225000000000002</v>
      </c>
    </row>
    <row r="267" spans="1:8" ht="19.5" customHeight="1">
      <c r="A267" s="533"/>
      <c r="B267" s="539" t="s">
        <v>55</v>
      </c>
      <c r="C267" s="560">
        <v>1</v>
      </c>
      <c r="D267" s="560">
        <v>1</v>
      </c>
      <c r="E267" s="560">
        <v>8.4</v>
      </c>
      <c r="F267" s="560"/>
      <c r="G267" s="560">
        <v>1.68</v>
      </c>
      <c r="H267" s="535">
        <f t="shared" si="4"/>
        <v>14.112</v>
      </c>
    </row>
    <row r="268" spans="1:8" ht="19.5" customHeight="1">
      <c r="A268" s="533"/>
      <c r="B268" s="539" t="s">
        <v>26</v>
      </c>
      <c r="C268" s="560">
        <v>-1</v>
      </c>
      <c r="D268" s="560">
        <v>1</v>
      </c>
      <c r="E268" s="560">
        <v>0.75</v>
      </c>
      <c r="F268" s="560"/>
      <c r="G268" s="560">
        <v>2.1</v>
      </c>
      <c r="H268" s="535">
        <f t="shared" si="4"/>
        <v>-1.5750000000000002</v>
      </c>
    </row>
    <row r="269" spans="1:8" ht="19.5" customHeight="1">
      <c r="A269" s="533"/>
      <c r="B269" s="539" t="s">
        <v>27</v>
      </c>
      <c r="C269" s="560">
        <v>1</v>
      </c>
      <c r="D269" s="560">
        <v>1</v>
      </c>
      <c r="E269" s="560">
        <v>4.95</v>
      </c>
      <c r="F269" s="560">
        <v>0.1</v>
      </c>
      <c r="G269" s="560"/>
      <c r="H269" s="535">
        <f>F269*E269*D269*C269</f>
        <v>0.49500000000000005</v>
      </c>
    </row>
    <row r="270" spans="1:8" ht="19.5" customHeight="1">
      <c r="A270" s="533"/>
      <c r="B270" s="539" t="s">
        <v>56</v>
      </c>
      <c r="C270" s="560">
        <v>-1</v>
      </c>
      <c r="D270" s="560">
        <v>1</v>
      </c>
      <c r="E270" s="560">
        <v>0.75</v>
      </c>
      <c r="F270" s="560"/>
      <c r="G270" s="560">
        <v>0.6</v>
      </c>
      <c r="H270" s="535">
        <f t="shared" si="4"/>
        <v>-0.44999999999999996</v>
      </c>
    </row>
    <row r="271" spans="1:8" ht="19.5" customHeight="1">
      <c r="A271" s="533"/>
      <c r="B271" s="539" t="s">
        <v>61</v>
      </c>
      <c r="C271" s="560">
        <v>1</v>
      </c>
      <c r="D271" s="560">
        <v>1</v>
      </c>
      <c r="E271" s="560">
        <v>2.7</v>
      </c>
      <c r="F271" s="560">
        <v>0.1</v>
      </c>
      <c r="G271" s="560"/>
      <c r="H271" s="535">
        <f>F271*E271*D271*C271</f>
        <v>0.27</v>
      </c>
    </row>
    <row r="272" spans="1:8" ht="19.5" customHeight="1">
      <c r="A272" s="533"/>
      <c r="B272" s="539" t="s">
        <v>50</v>
      </c>
      <c r="C272" s="560">
        <v>1</v>
      </c>
      <c r="D272" s="560">
        <v>1</v>
      </c>
      <c r="E272" s="560">
        <v>19.079999999999998</v>
      </c>
      <c r="F272" s="560"/>
      <c r="G272" s="560">
        <v>3.18</v>
      </c>
      <c r="H272" s="535">
        <f t="shared" si="4"/>
        <v>60.674399999999999</v>
      </c>
    </row>
    <row r="273" spans="1:8" ht="19.5" customHeight="1">
      <c r="A273" s="533"/>
      <c r="B273" s="539" t="s">
        <v>24</v>
      </c>
      <c r="C273" s="560">
        <v>-1</v>
      </c>
      <c r="D273" s="560">
        <v>3</v>
      </c>
      <c r="E273" s="560">
        <v>1</v>
      </c>
      <c r="F273" s="560"/>
      <c r="G273" s="560">
        <v>2.1</v>
      </c>
      <c r="H273" s="535">
        <f t="shared" si="4"/>
        <v>-6.3000000000000007</v>
      </c>
    </row>
    <row r="274" spans="1:8" ht="19.5" customHeight="1">
      <c r="A274" s="533"/>
      <c r="B274" s="539" t="s">
        <v>25</v>
      </c>
      <c r="C274" s="560">
        <v>-1</v>
      </c>
      <c r="D274" s="560">
        <v>1</v>
      </c>
      <c r="E274" s="560">
        <v>1.35</v>
      </c>
      <c r="F274" s="560"/>
      <c r="G274" s="560">
        <v>1.35</v>
      </c>
      <c r="H274" s="535">
        <f t="shared" si="4"/>
        <v>-1.8225000000000002</v>
      </c>
    </row>
    <row r="275" spans="1:8" ht="19.5" customHeight="1">
      <c r="A275" s="533"/>
      <c r="B275" s="539" t="s">
        <v>63</v>
      </c>
      <c r="C275" s="560">
        <v>1</v>
      </c>
      <c r="D275" s="560">
        <v>1</v>
      </c>
      <c r="E275" s="560">
        <v>5.4</v>
      </c>
      <c r="F275" s="560">
        <v>0.1</v>
      </c>
      <c r="G275" s="560"/>
      <c r="H275" s="535">
        <f>F275*E275*D275*C275</f>
        <v>0.54</v>
      </c>
    </row>
    <row r="276" spans="1:8" ht="19.5" customHeight="1">
      <c r="A276" s="533"/>
      <c r="B276" s="539" t="s">
        <v>51</v>
      </c>
      <c r="C276" s="560">
        <v>-1</v>
      </c>
      <c r="D276" s="560">
        <v>1</v>
      </c>
      <c r="E276" s="560">
        <v>2.4</v>
      </c>
      <c r="F276" s="560"/>
      <c r="G276" s="560">
        <v>3.18</v>
      </c>
      <c r="H276" s="535">
        <f t="shared" si="4"/>
        <v>-7.6319999999999997</v>
      </c>
    </row>
    <row r="277" spans="1:8" ht="19.5" customHeight="1">
      <c r="A277" s="533"/>
      <c r="B277" s="539" t="s">
        <v>49</v>
      </c>
      <c r="C277" s="560">
        <v>1</v>
      </c>
      <c r="D277" s="560">
        <v>1</v>
      </c>
      <c r="E277" s="560">
        <v>11.1</v>
      </c>
      <c r="F277" s="560"/>
      <c r="G277" s="560">
        <v>3.3</v>
      </c>
      <c r="H277" s="535">
        <f t="shared" si="4"/>
        <v>36.629999999999995</v>
      </c>
    </row>
    <row r="278" spans="1:8" ht="19.5" customHeight="1">
      <c r="A278" s="533"/>
      <c r="B278" s="539" t="s">
        <v>64</v>
      </c>
      <c r="C278" s="560">
        <v>-1</v>
      </c>
      <c r="D278" s="560">
        <v>1</v>
      </c>
      <c r="E278" s="560">
        <v>1.8</v>
      </c>
      <c r="F278" s="560"/>
      <c r="G278" s="560">
        <v>2.2000000000000002</v>
      </c>
      <c r="H278" s="535">
        <f t="shared" si="4"/>
        <v>-3.9600000000000004</v>
      </c>
    </row>
    <row r="279" spans="1:8" ht="19.5" customHeight="1">
      <c r="A279" s="533"/>
      <c r="B279" s="539" t="s">
        <v>32</v>
      </c>
      <c r="C279" s="560">
        <v>1</v>
      </c>
      <c r="D279" s="560">
        <v>1</v>
      </c>
      <c r="E279" s="560">
        <v>8</v>
      </c>
      <c r="F279" s="560">
        <v>0.1</v>
      </c>
      <c r="G279" s="560"/>
      <c r="H279" s="535">
        <f>F279*E279*D279*C279</f>
        <v>0.8</v>
      </c>
    </row>
    <row r="280" spans="1:8" ht="19.5" customHeight="1">
      <c r="A280" s="533"/>
      <c r="B280" s="539" t="s">
        <v>65</v>
      </c>
      <c r="C280" s="560">
        <v>1</v>
      </c>
      <c r="D280" s="560">
        <v>1</v>
      </c>
      <c r="E280" s="560">
        <v>11.1</v>
      </c>
      <c r="F280" s="560"/>
      <c r="G280" s="560">
        <v>2.4</v>
      </c>
      <c r="H280" s="535">
        <f t="shared" si="4"/>
        <v>26.639999999999997</v>
      </c>
    </row>
    <row r="281" spans="1:8" ht="19.5" customHeight="1">
      <c r="A281" s="533"/>
      <c r="B281" s="539" t="s">
        <v>24</v>
      </c>
      <c r="C281" s="560">
        <v>-1</v>
      </c>
      <c r="D281" s="560">
        <v>1</v>
      </c>
      <c r="E281" s="560">
        <v>0.9</v>
      </c>
      <c r="F281" s="560"/>
      <c r="G281" s="560">
        <v>2.1</v>
      </c>
      <c r="H281" s="535">
        <f t="shared" si="4"/>
        <v>-1.8900000000000001</v>
      </c>
    </row>
    <row r="282" spans="1:8" ht="19.5" customHeight="1">
      <c r="A282" s="533"/>
      <c r="B282" s="539" t="s">
        <v>27</v>
      </c>
      <c r="C282" s="560">
        <v>1</v>
      </c>
      <c r="D282" s="560">
        <v>1</v>
      </c>
      <c r="E282" s="560">
        <v>5.0999999999999996</v>
      </c>
      <c r="F282" s="560">
        <v>0.1</v>
      </c>
      <c r="G282" s="560"/>
      <c r="H282" s="535">
        <f>F282*E282*D282*C282</f>
        <v>0.51</v>
      </c>
    </row>
    <row r="283" spans="1:8" ht="19.5" customHeight="1">
      <c r="A283" s="533"/>
      <c r="B283" s="539" t="s">
        <v>64</v>
      </c>
      <c r="C283" s="560">
        <v>-1</v>
      </c>
      <c r="D283" s="560">
        <v>1</v>
      </c>
      <c r="E283" s="560">
        <v>1.8</v>
      </c>
      <c r="F283" s="560"/>
      <c r="G283" s="560">
        <v>2.2000000000000002</v>
      </c>
      <c r="H283" s="535">
        <f t="shared" si="4"/>
        <v>-3.9600000000000004</v>
      </c>
    </row>
    <row r="284" spans="1:8" ht="19.5" customHeight="1">
      <c r="A284" s="533"/>
      <c r="B284" s="539" t="s">
        <v>32</v>
      </c>
      <c r="C284" s="560">
        <v>1</v>
      </c>
      <c r="D284" s="560">
        <v>1</v>
      </c>
      <c r="E284" s="560">
        <v>8</v>
      </c>
      <c r="F284" s="560">
        <v>0.1</v>
      </c>
      <c r="G284" s="560"/>
      <c r="H284" s="540">
        <f>F284*E284*D284*C284</f>
        <v>0.8</v>
      </c>
    </row>
    <row r="285" spans="1:8" ht="19.5" customHeight="1">
      <c r="A285" s="533"/>
      <c r="B285" s="539"/>
      <c r="C285" s="549"/>
      <c r="D285" s="549"/>
      <c r="E285" s="549"/>
      <c r="F285" s="549"/>
      <c r="G285" s="541" t="s">
        <v>19</v>
      </c>
      <c r="H285" s="541">
        <f>SUM(H158:H284)</f>
        <v>845.40959999999939</v>
      </c>
    </row>
    <row r="286" spans="1:8" ht="97.5" customHeight="1">
      <c r="A286" s="533">
        <v>7</v>
      </c>
      <c r="B286" s="505" t="s">
        <v>11</v>
      </c>
      <c r="C286" s="549"/>
      <c r="D286" s="549"/>
      <c r="E286" s="549"/>
      <c r="F286" s="549"/>
      <c r="G286" s="549"/>
      <c r="H286" s="549"/>
    </row>
    <row r="287" spans="1:8" ht="19.5" customHeight="1">
      <c r="A287" s="533"/>
      <c r="B287" s="539" t="s">
        <v>66</v>
      </c>
      <c r="C287" s="560">
        <v>1</v>
      </c>
      <c r="D287" s="560">
        <v>1</v>
      </c>
      <c r="E287" s="560">
        <v>50.8</v>
      </c>
      <c r="F287" s="560"/>
      <c r="G287" s="560">
        <v>9.73</v>
      </c>
      <c r="H287" s="560">
        <f>G287*E287*D287*C287</f>
        <v>494.28399999999999</v>
      </c>
    </row>
    <row r="288" spans="1:8" ht="19.5" customHeight="1">
      <c r="A288" s="533"/>
      <c r="B288" s="539" t="s">
        <v>67</v>
      </c>
      <c r="C288" s="560">
        <v>-1</v>
      </c>
      <c r="D288" s="560">
        <v>1</v>
      </c>
      <c r="E288" s="560">
        <v>2.1</v>
      </c>
      <c r="F288" s="560"/>
      <c r="G288" s="560">
        <v>2.4</v>
      </c>
      <c r="H288" s="560">
        <f t="shared" ref="H288:H301" si="5">G288*E288*D288*C288</f>
        <v>-5.04</v>
      </c>
    </row>
    <row r="289" spans="1:8" ht="19.5" customHeight="1">
      <c r="A289" s="533"/>
      <c r="B289" s="539" t="s">
        <v>25</v>
      </c>
      <c r="C289" s="560">
        <v>-1</v>
      </c>
      <c r="D289" s="560">
        <v>15</v>
      </c>
      <c r="E289" s="560">
        <v>1.35</v>
      </c>
      <c r="F289" s="560"/>
      <c r="G289" s="560">
        <v>1.35</v>
      </c>
      <c r="H289" s="560">
        <f t="shared" si="5"/>
        <v>-27.337500000000002</v>
      </c>
    </row>
    <row r="290" spans="1:8" ht="19.5" customHeight="1">
      <c r="A290" s="533"/>
      <c r="B290" s="539" t="s">
        <v>37</v>
      </c>
      <c r="C290" s="560">
        <v>-1</v>
      </c>
      <c r="D290" s="560">
        <v>2</v>
      </c>
      <c r="E290" s="560">
        <v>0.9</v>
      </c>
      <c r="F290" s="560"/>
      <c r="G290" s="560">
        <v>0.6</v>
      </c>
      <c r="H290" s="560">
        <f t="shared" si="5"/>
        <v>-1.08</v>
      </c>
    </row>
    <row r="291" spans="1:8" ht="19.5" customHeight="1">
      <c r="A291" s="533"/>
      <c r="B291" s="539" t="s">
        <v>56</v>
      </c>
      <c r="C291" s="560">
        <v>-1</v>
      </c>
      <c r="D291" s="560">
        <v>4</v>
      </c>
      <c r="E291" s="560">
        <v>0.75</v>
      </c>
      <c r="F291" s="560"/>
      <c r="G291" s="560">
        <v>0.6</v>
      </c>
      <c r="H291" s="560">
        <f t="shared" si="5"/>
        <v>-1.7999999999999998</v>
      </c>
    </row>
    <row r="292" spans="1:8" ht="19.5" customHeight="1">
      <c r="A292" s="533"/>
      <c r="B292" s="539" t="s">
        <v>31</v>
      </c>
      <c r="C292" s="560">
        <v>-1</v>
      </c>
      <c r="D292" s="560">
        <v>2</v>
      </c>
      <c r="E292" s="560">
        <v>0.6</v>
      </c>
      <c r="F292" s="560"/>
      <c r="G292" s="560">
        <v>0.6</v>
      </c>
      <c r="H292" s="560">
        <f t="shared" si="5"/>
        <v>-0.72</v>
      </c>
    </row>
    <row r="293" spans="1:8" ht="19.5" customHeight="1">
      <c r="A293" s="533"/>
      <c r="B293" s="539" t="s">
        <v>68</v>
      </c>
      <c r="C293" s="560">
        <v>-1</v>
      </c>
      <c r="D293" s="560">
        <v>2</v>
      </c>
      <c r="E293" s="560">
        <v>1.8</v>
      </c>
      <c r="F293" s="560"/>
      <c r="G293" s="560">
        <v>2.2000000000000002</v>
      </c>
      <c r="H293" s="560">
        <f t="shared" si="5"/>
        <v>-7.9200000000000008</v>
      </c>
    </row>
    <row r="294" spans="1:8" ht="19.5" customHeight="1">
      <c r="A294" s="533"/>
      <c r="B294" s="539" t="s">
        <v>69</v>
      </c>
      <c r="C294" s="560">
        <v>-1</v>
      </c>
      <c r="D294" s="560">
        <v>1</v>
      </c>
      <c r="E294" s="560">
        <v>0.75</v>
      </c>
      <c r="F294" s="560"/>
      <c r="G294" s="560">
        <v>2.1</v>
      </c>
      <c r="H294" s="560">
        <f t="shared" si="5"/>
        <v>-1.5750000000000002</v>
      </c>
    </row>
    <row r="295" spans="1:8" ht="19.5" customHeight="1">
      <c r="A295" s="533"/>
      <c r="B295" s="539" t="s">
        <v>70</v>
      </c>
      <c r="C295" s="560">
        <v>1</v>
      </c>
      <c r="D295" s="560">
        <v>15</v>
      </c>
      <c r="E295" s="560">
        <v>5.4</v>
      </c>
      <c r="F295" s="560">
        <v>0.1</v>
      </c>
      <c r="G295" s="560"/>
      <c r="H295" s="560">
        <f>F295*E295*D295*C295</f>
        <v>8.1000000000000014</v>
      </c>
    </row>
    <row r="296" spans="1:8" ht="19.5" customHeight="1">
      <c r="A296" s="533"/>
      <c r="B296" s="539" t="s">
        <v>71</v>
      </c>
      <c r="C296" s="560">
        <v>1</v>
      </c>
      <c r="D296" s="560">
        <v>2</v>
      </c>
      <c r="E296" s="560">
        <v>5.4</v>
      </c>
      <c r="F296" s="560">
        <v>0.1</v>
      </c>
      <c r="G296" s="560"/>
      <c r="H296" s="560">
        <f>F296*E296*D296*C296</f>
        <v>1.08</v>
      </c>
    </row>
    <row r="297" spans="1:8" ht="19.5" customHeight="1">
      <c r="A297" s="533"/>
      <c r="B297" s="539" t="s">
        <v>58</v>
      </c>
      <c r="C297" s="560">
        <v>1</v>
      </c>
      <c r="D297" s="560">
        <v>4</v>
      </c>
      <c r="E297" s="560">
        <v>2.7</v>
      </c>
      <c r="F297" s="560">
        <v>0.1</v>
      </c>
      <c r="G297" s="560"/>
      <c r="H297" s="560">
        <f>F297*E297*D297*C297</f>
        <v>1.08</v>
      </c>
    </row>
    <row r="298" spans="1:8" ht="19.5" customHeight="1">
      <c r="A298" s="533"/>
      <c r="B298" s="539" t="s">
        <v>72</v>
      </c>
      <c r="C298" s="560">
        <v>1</v>
      </c>
      <c r="D298" s="560">
        <v>2</v>
      </c>
      <c r="E298" s="560">
        <v>2.4</v>
      </c>
      <c r="F298" s="560">
        <v>0.1</v>
      </c>
      <c r="G298" s="560"/>
      <c r="H298" s="560">
        <f>F298*E298*D298*C298</f>
        <v>0.48</v>
      </c>
    </row>
    <row r="299" spans="1:8" ht="19.5" customHeight="1">
      <c r="A299" s="533"/>
      <c r="B299" s="539" t="s">
        <v>73</v>
      </c>
      <c r="C299" s="560">
        <v>1</v>
      </c>
      <c r="D299" s="560">
        <v>2</v>
      </c>
      <c r="E299" s="560">
        <v>0.92</v>
      </c>
      <c r="F299" s="560"/>
      <c r="G299" s="560">
        <v>3</v>
      </c>
      <c r="H299" s="560">
        <f t="shared" si="5"/>
        <v>5.5200000000000005</v>
      </c>
    </row>
    <row r="300" spans="1:8" ht="19.5" customHeight="1">
      <c r="A300" s="533"/>
      <c r="B300" s="539" t="s">
        <v>74</v>
      </c>
      <c r="C300" s="560">
        <v>1</v>
      </c>
      <c r="D300" s="560">
        <v>1</v>
      </c>
      <c r="E300" s="560">
        <v>15.31</v>
      </c>
      <c r="F300" s="560"/>
      <c r="G300" s="560">
        <v>2.93</v>
      </c>
      <c r="H300" s="560">
        <f t="shared" si="5"/>
        <v>44.858300000000007</v>
      </c>
    </row>
    <row r="301" spans="1:8" ht="19.5" customHeight="1">
      <c r="A301" s="533"/>
      <c r="B301" s="539" t="s">
        <v>75</v>
      </c>
      <c r="C301" s="560">
        <v>1</v>
      </c>
      <c r="D301" s="560">
        <v>1</v>
      </c>
      <c r="E301" s="560">
        <v>14.42</v>
      </c>
      <c r="F301" s="560"/>
      <c r="G301" s="560">
        <v>3</v>
      </c>
      <c r="H301" s="560">
        <f t="shared" si="5"/>
        <v>43.26</v>
      </c>
    </row>
    <row r="302" spans="1:8" ht="19.5" customHeight="1">
      <c r="A302" s="533"/>
      <c r="B302" s="539"/>
      <c r="C302" s="560"/>
      <c r="D302" s="560"/>
      <c r="E302" s="560"/>
      <c r="F302" s="560"/>
      <c r="G302" s="540" t="s">
        <v>19</v>
      </c>
      <c r="H302" s="540">
        <f>SUM(H287:H301)</f>
        <v>553.18979999999999</v>
      </c>
    </row>
    <row r="303" spans="1:8" ht="78.75" customHeight="1">
      <c r="A303" s="533">
        <v>8</v>
      </c>
      <c r="B303" s="568" t="s">
        <v>76</v>
      </c>
      <c r="C303" s="560"/>
      <c r="D303" s="560"/>
      <c r="E303" s="560"/>
      <c r="F303" s="560"/>
      <c r="G303" s="560"/>
      <c r="H303" s="560"/>
    </row>
    <row r="304" spans="1:8" ht="19.5" customHeight="1">
      <c r="A304" s="533"/>
      <c r="B304" s="539" t="s">
        <v>77</v>
      </c>
      <c r="C304" s="560">
        <v>1</v>
      </c>
      <c r="D304" s="560">
        <v>7</v>
      </c>
      <c r="E304" s="560"/>
      <c r="F304" s="560"/>
      <c r="G304" s="560">
        <v>7</v>
      </c>
      <c r="H304" s="560"/>
    </row>
    <row r="305" spans="1:8" ht="19.5" customHeight="1">
      <c r="A305" s="533"/>
      <c r="B305" s="539"/>
      <c r="C305" s="560"/>
      <c r="D305" s="560"/>
      <c r="E305" s="560"/>
      <c r="F305" s="540" t="s">
        <v>19</v>
      </c>
      <c r="G305" s="540">
        <v>7</v>
      </c>
      <c r="H305" s="560"/>
    </row>
    <row r="306" spans="1:8" ht="86.25" customHeight="1">
      <c r="A306" s="533">
        <v>9</v>
      </c>
      <c r="B306" s="569" t="s">
        <v>78</v>
      </c>
      <c r="C306" s="560"/>
      <c r="D306" s="560"/>
      <c r="E306" s="560"/>
      <c r="F306" s="560"/>
      <c r="G306" s="560"/>
      <c r="H306" s="560"/>
    </row>
    <row r="307" spans="1:8" ht="19.5" customHeight="1">
      <c r="A307" s="533"/>
      <c r="B307" s="539" t="s">
        <v>77</v>
      </c>
      <c r="C307" s="560">
        <v>1</v>
      </c>
      <c r="D307" s="560">
        <v>9</v>
      </c>
      <c r="E307" s="560"/>
      <c r="F307" s="560"/>
      <c r="G307" s="560">
        <v>9</v>
      </c>
      <c r="H307" s="560"/>
    </row>
    <row r="308" spans="1:8" ht="19.5" customHeight="1">
      <c r="A308" s="533"/>
      <c r="B308" s="539"/>
      <c r="C308" s="560"/>
      <c r="D308" s="560"/>
      <c r="E308" s="560"/>
      <c r="F308" s="540" t="s">
        <v>19</v>
      </c>
      <c r="G308" s="540">
        <v>9</v>
      </c>
      <c r="H308" s="560"/>
    </row>
    <row r="309" spans="1:8" ht="79.5" customHeight="1">
      <c r="A309" s="566">
        <v>10</v>
      </c>
      <c r="B309" s="543" t="s">
        <v>79</v>
      </c>
      <c r="C309" s="561"/>
      <c r="D309" s="561"/>
      <c r="E309" s="561"/>
      <c r="F309" s="561"/>
      <c r="G309" s="561"/>
      <c r="H309" s="561"/>
    </row>
    <row r="310" spans="1:8" ht="20.25" customHeight="1">
      <c r="A310" s="566"/>
      <c r="B310" s="543" t="s">
        <v>81</v>
      </c>
      <c r="C310" s="561">
        <v>1</v>
      </c>
      <c r="D310" s="561">
        <v>12</v>
      </c>
      <c r="E310" s="561">
        <v>1</v>
      </c>
      <c r="F310" s="561">
        <v>2.6</v>
      </c>
      <c r="G310" s="561">
        <v>2.1</v>
      </c>
      <c r="H310" s="561">
        <f>G310*F310*E310*D310*C310</f>
        <v>65.52000000000001</v>
      </c>
    </row>
    <row r="311" spans="1:8" ht="24.75" customHeight="1">
      <c r="A311" s="566"/>
      <c r="B311" s="543"/>
      <c r="C311" s="561"/>
      <c r="D311" s="561"/>
      <c r="E311" s="561"/>
      <c r="F311" s="561"/>
      <c r="G311" s="563" t="s">
        <v>19</v>
      </c>
      <c r="H311" s="563">
        <f>SUM(H310)</f>
        <v>65.52000000000001</v>
      </c>
    </row>
    <row r="312" spans="1:8" ht="96" customHeight="1">
      <c r="A312" s="566">
        <v>11</v>
      </c>
      <c r="B312" s="543" t="s">
        <v>80</v>
      </c>
      <c r="C312" s="561"/>
      <c r="D312" s="561"/>
      <c r="E312" s="561"/>
      <c r="F312" s="561"/>
      <c r="G312" s="561"/>
      <c r="H312" s="561"/>
    </row>
    <row r="313" spans="1:8" ht="24.75" customHeight="1">
      <c r="A313" s="566"/>
      <c r="B313" s="543" t="s">
        <v>82</v>
      </c>
      <c r="C313" s="561">
        <v>1</v>
      </c>
      <c r="D313" s="561">
        <v>15</v>
      </c>
      <c r="E313" s="561">
        <v>1.35</v>
      </c>
      <c r="F313" s="561"/>
      <c r="G313" s="561">
        <v>1.35</v>
      </c>
      <c r="H313" s="561">
        <f>G313*E313*D313*C313</f>
        <v>27.337500000000002</v>
      </c>
    </row>
    <row r="314" spans="1:8" ht="24.75" customHeight="1">
      <c r="A314" s="566"/>
      <c r="B314" s="543" t="s">
        <v>83</v>
      </c>
      <c r="C314" s="561">
        <v>1</v>
      </c>
      <c r="D314" s="561">
        <v>2</v>
      </c>
      <c r="E314" s="561">
        <v>1</v>
      </c>
      <c r="F314" s="561"/>
      <c r="G314" s="561">
        <v>2.1</v>
      </c>
      <c r="H314" s="561">
        <f t="shared" ref="H314:H319" si="6">G314*E314*D314*C314</f>
        <v>4.2</v>
      </c>
    </row>
    <row r="315" spans="1:8" ht="24.75" customHeight="1">
      <c r="A315" s="566"/>
      <c r="B315" s="543" t="s">
        <v>13</v>
      </c>
      <c r="C315" s="561">
        <v>1</v>
      </c>
      <c r="D315" s="561">
        <v>1</v>
      </c>
      <c r="E315" s="561">
        <v>0.9</v>
      </c>
      <c r="F315" s="561"/>
      <c r="G315" s="561">
        <v>2.1</v>
      </c>
      <c r="H315" s="561">
        <f t="shared" si="6"/>
        <v>1.8900000000000001</v>
      </c>
    </row>
    <row r="316" spans="1:8" ht="24.75" customHeight="1">
      <c r="A316" s="566"/>
      <c r="B316" s="539" t="s">
        <v>84</v>
      </c>
      <c r="C316" s="560">
        <v>1</v>
      </c>
      <c r="D316" s="560">
        <v>2</v>
      </c>
      <c r="E316" s="560">
        <v>0.9</v>
      </c>
      <c r="F316" s="560"/>
      <c r="G316" s="560">
        <v>0.6</v>
      </c>
      <c r="H316" s="560">
        <f t="shared" si="6"/>
        <v>1.08</v>
      </c>
    </row>
    <row r="317" spans="1:8" ht="24.75" customHeight="1">
      <c r="A317" s="566"/>
      <c r="B317" s="539" t="s">
        <v>85</v>
      </c>
      <c r="C317" s="560">
        <v>1</v>
      </c>
      <c r="D317" s="560">
        <v>4</v>
      </c>
      <c r="E317" s="560">
        <v>0.75</v>
      </c>
      <c r="F317" s="560"/>
      <c r="G317" s="560">
        <v>0.6</v>
      </c>
      <c r="H317" s="560">
        <f t="shared" si="6"/>
        <v>1.7999999999999998</v>
      </c>
    </row>
    <row r="318" spans="1:8" ht="24.75" customHeight="1">
      <c r="A318" s="566"/>
      <c r="B318" s="539" t="s">
        <v>86</v>
      </c>
      <c r="C318" s="560">
        <v>1</v>
      </c>
      <c r="D318" s="560">
        <v>2</v>
      </c>
      <c r="E318" s="560">
        <v>0.6</v>
      </c>
      <c r="F318" s="560"/>
      <c r="G318" s="560">
        <v>0.6</v>
      </c>
      <c r="H318" s="560">
        <f t="shared" si="6"/>
        <v>0.72</v>
      </c>
    </row>
    <row r="319" spans="1:8" ht="24.75" customHeight="1">
      <c r="A319" s="566"/>
      <c r="B319" s="539" t="s">
        <v>87</v>
      </c>
      <c r="C319" s="560">
        <v>1</v>
      </c>
      <c r="D319" s="560">
        <v>2</v>
      </c>
      <c r="E319" s="560">
        <v>1.8</v>
      </c>
      <c r="F319" s="560"/>
      <c r="G319" s="560">
        <v>2.2000000000000002</v>
      </c>
      <c r="H319" s="560">
        <f t="shared" si="6"/>
        <v>7.9200000000000008</v>
      </c>
    </row>
    <row r="320" spans="1:8" ht="22.5" customHeight="1">
      <c r="A320" s="566"/>
      <c r="B320" s="543"/>
      <c r="C320" s="561"/>
      <c r="D320" s="561"/>
      <c r="E320" s="561"/>
      <c r="F320" s="561"/>
      <c r="G320" s="563" t="s">
        <v>19</v>
      </c>
      <c r="H320" s="563">
        <f>SUM(H313:H319)</f>
        <v>44.947499999999998</v>
      </c>
    </row>
    <row r="321" spans="1:8" ht="90" customHeight="1">
      <c r="A321" s="566">
        <v>12</v>
      </c>
      <c r="B321" s="543" t="s">
        <v>89</v>
      </c>
      <c r="C321" s="561"/>
      <c r="D321" s="561"/>
      <c r="E321" s="561"/>
      <c r="F321" s="561"/>
      <c r="G321" s="561"/>
      <c r="H321" s="561"/>
    </row>
    <row r="322" spans="1:8" ht="25.5" customHeight="1">
      <c r="A322" s="566"/>
      <c r="B322" s="543" t="s">
        <v>90</v>
      </c>
      <c r="C322" s="561"/>
      <c r="D322" s="561"/>
      <c r="E322" s="561"/>
      <c r="F322" s="561"/>
      <c r="G322" s="561"/>
      <c r="H322" s="561"/>
    </row>
    <row r="323" spans="1:8" ht="25.5" customHeight="1">
      <c r="A323" s="566"/>
      <c r="B323" s="543" t="s">
        <v>92</v>
      </c>
      <c r="C323" s="561">
        <v>1</v>
      </c>
      <c r="D323" s="561">
        <v>3</v>
      </c>
      <c r="E323" s="561">
        <v>4</v>
      </c>
      <c r="F323" s="561"/>
      <c r="G323" s="561"/>
      <c r="H323" s="561">
        <v>12</v>
      </c>
    </row>
    <row r="324" spans="1:8" ht="25.5" customHeight="1">
      <c r="A324" s="566"/>
      <c r="B324" s="543"/>
      <c r="C324" s="561"/>
      <c r="D324" s="561"/>
      <c r="E324" s="561"/>
      <c r="F324" s="561"/>
      <c r="G324" s="563" t="s">
        <v>19</v>
      </c>
      <c r="H324" s="563">
        <f>SUM(H323)</f>
        <v>12</v>
      </c>
    </row>
    <row r="325" spans="1:8" ht="30" customHeight="1">
      <c r="A325" s="533"/>
      <c r="B325" s="544" t="s">
        <v>91</v>
      </c>
      <c r="C325" s="560"/>
      <c r="D325" s="560"/>
      <c r="E325" s="560"/>
      <c r="F325" s="560"/>
      <c r="G325" s="560"/>
      <c r="H325" s="560"/>
    </row>
    <row r="326" spans="1:8" ht="21.75" customHeight="1">
      <c r="A326" s="533"/>
      <c r="B326" s="543" t="s">
        <v>93</v>
      </c>
      <c r="C326" s="560">
        <v>1</v>
      </c>
      <c r="D326" s="560">
        <v>3</v>
      </c>
      <c r="E326" s="560">
        <v>4</v>
      </c>
      <c r="F326" s="560"/>
      <c r="G326" s="560"/>
      <c r="H326" s="560">
        <v>12</v>
      </c>
    </row>
    <row r="327" spans="1:8" ht="25.5" customHeight="1">
      <c r="A327" s="533"/>
      <c r="B327" s="543"/>
      <c r="C327" s="560"/>
      <c r="D327" s="560"/>
      <c r="E327" s="560"/>
      <c r="F327" s="560"/>
      <c r="G327" s="540" t="s">
        <v>19</v>
      </c>
      <c r="H327" s="540">
        <f>SUM(H326)</f>
        <v>12</v>
      </c>
    </row>
    <row r="328" spans="1:8" ht="42.75" customHeight="1">
      <c r="A328" s="533">
        <v>13</v>
      </c>
      <c r="B328" s="545" t="s">
        <v>100</v>
      </c>
      <c r="C328" s="560"/>
      <c r="D328" s="560"/>
      <c r="E328" s="560"/>
      <c r="F328" s="560"/>
      <c r="G328" s="560"/>
      <c r="H328" s="560"/>
    </row>
    <row r="329" spans="1:8" ht="22.5" customHeight="1">
      <c r="A329" s="533"/>
      <c r="B329" s="546" t="s">
        <v>97</v>
      </c>
      <c r="C329" s="560">
        <v>1</v>
      </c>
      <c r="D329" s="560">
        <v>4</v>
      </c>
      <c r="E329" s="560"/>
      <c r="F329" s="560"/>
      <c r="G329" s="560"/>
      <c r="H329" s="560">
        <v>4</v>
      </c>
    </row>
    <row r="330" spans="1:8" ht="19.5" customHeight="1">
      <c r="A330" s="533"/>
      <c r="B330" s="546" t="s">
        <v>98</v>
      </c>
      <c r="C330" s="560">
        <v>1</v>
      </c>
      <c r="D330" s="560">
        <v>5</v>
      </c>
      <c r="E330" s="560"/>
      <c r="F330" s="560"/>
      <c r="G330" s="560"/>
      <c r="H330" s="560">
        <v>5</v>
      </c>
    </row>
    <row r="331" spans="1:8" ht="19.5" customHeight="1">
      <c r="A331" s="533"/>
      <c r="B331" s="543"/>
      <c r="C331" s="560"/>
      <c r="D331" s="560"/>
      <c r="E331" s="560"/>
      <c r="F331" s="560"/>
      <c r="G331" s="540" t="s">
        <v>19</v>
      </c>
      <c r="H331" s="540">
        <f>SUM(H329:H330)</f>
        <v>9</v>
      </c>
    </row>
    <row r="332" spans="1:8" ht="42.75">
      <c r="A332" s="533">
        <v>14</v>
      </c>
      <c r="B332" s="506" t="s">
        <v>101</v>
      </c>
      <c r="C332" s="560"/>
      <c r="D332" s="560"/>
      <c r="E332" s="560"/>
      <c r="F332" s="560"/>
      <c r="G332" s="560"/>
      <c r="H332" s="560"/>
    </row>
    <row r="333" spans="1:8" ht="22.5" customHeight="1">
      <c r="A333" s="533"/>
      <c r="B333" s="546" t="s">
        <v>97</v>
      </c>
      <c r="C333" s="560">
        <v>1</v>
      </c>
      <c r="D333" s="560">
        <v>4</v>
      </c>
      <c r="E333" s="560"/>
      <c r="F333" s="560"/>
      <c r="G333" s="560"/>
      <c r="H333" s="560">
        <v>4</v>
      </c>
    </row>
    <row r="334" spans="1:8" ht="19.5" customHeight="1">
      <c r="A334" s="533"/>
      <c r="B334" s="546" t="s">
        <v>98</v>
      </c>
      <c r="C334" s="560">
        <v>1</v>
      </c>
      <c r="D334" s="560">
        <v>4</v>
      </c>
      <c r="E334" s="560"/>
      <c r="F334" s="560"/>
      <c r="G334" s="560"/>
      <c r="H334" s="560">
        <v>4</v>
      </c>
    </row>
    <row r="335" spans="1:8" ht="19.5" customHeight="1">
      <c r="A335" s="533"/>
      <c r="B335" s="543"/>
      <c r="C335" s="560"/>
      <c r="D335" s="560"/>
      <c r="E335" s="560"/>
      <c r="F335" s="560"/>
      <c r="G335" s="540" t="s">
        <v>19</v>
      </c>
      <c r="H335" s="540">
        <f>SUM(H333:H334)</f>
        <v>8</v>
      </c>
    </row>
    <row r="336" spans="1:8" ht="42.75">
      <c r="A336" s="533">
        <v>15</v>
      </c>
      <c r="B336" s="506" t="s">
        <v>102</v>
      </c>
      <c r="C336" s="560"/>
      <c r="D336" s="560"/>
      <c r="E336" s="560"/>
      <c r="F336" s="560"/>
      <c r="G336" s="560"/>
      <c r="H336" s="560"/>
    </row>
    <row r="337" spans="1:12" ht="19.5" customHeight="1">
      <c r="A337" s="533"/>
      <c r="B337" s="546" t="s">
        <v>104</v>
      </c>
      <c r="C337" s="560">
        <v>1</v>
      </c>
      <c r="D337" s="560">
        <v>4</v>
      </c>
      <c r="E337" s="560"/>
      <c r="F337" s="560"/>
      <c r="G337" s="560"/>
      <c r="H337" s="560">
        <v>4</v>
      </c>
    </row>
    <row r="338" spans="1:12" ht="19.5" customHeight="1">
      <c r="A338" s="533"/>
      <c r="B338" s="539"/>
      <c r="C338" s="560"/>
      <c r="D338" s="560"/>
      <c r="E338" s="560"/>
      <c r="F338" s="560"/>
      <c r="G338" s="540" t="s">
        <v>19</v>
      </c>
      <c r="H338" s="540">
        <f>SUM(H337)</f>
        <v>4</v>
      </c>
    </row>
    <row r="339" spans="1:12" ht="77.25" customHeight="1">
      <c r="A339" s="533">
        <v>16</v>
      </c>
      <c r="B339" s="545" t="s">
        <v>103</v>
      </c>
      <c r="C339" s="560"/>
      <c r="D339" s="560"/>
      <c r="E339" s="560"/>
      <c r="F339" s="560"/>
      <c r="G339" s="560"/>
      <c r="H339" s="560"/>
    </row>
    <row r="340" spans="1:12" ht="19.5" customHeight="1">
      <c r="A340" s="533"/>
      <c r="B340" s="546" t="s">
        <v>99</v>
      </c>
      <c r="C340" s="560">
        <v>1</v>
      </c>
      <c r="D340" s="560">
        <v>5</v>
      </c>
      <c r="E340" s="560"/>
      <c r="F340" s="560"/>
      <c r="G340" s="560"/>
      <c r="H340" s="560">
        <v>5</v>
      </c>
    </row>
    <row r="341" spans="1:12" ht="19.5" customHeight="1">
      <c r="A341" s="533"/>
      <c r="B341" s="539"/>
      <c r="C341" s="560"/>
      <c r="D341" s="560"/>
      <c r="E341" s="560"/>
      <c r="F341" s="560"/>
      <c r="G341" s="540" t="s">
        <v>19</v>
      </c>
      <c r="H341" s="540">
        <f>SUM(H340)</f>
        <v>5</v>
      </c>
    </row>
    <row r="342" spans="1:12" ht="113.25" customHeight="1">
      <c r="A342" s="533">
        <v>17</v>
      </c>
      <c r="B342" s="547" t="s">
        <v>105</v>
      </c>
      <c r="C342" s="560"/>
      <c r="D342" s="560"/>
      <c r="E342" s="560"/>
      <c r="F342" s="560"/>
      <c r="G342" s="560"/>
      <c r="H342" s="560"/>
      <c r="K342" s="542" t="s">
        <v>19</v>
      </c>
    </row>
    <row r="343" spans="1:12" ht="19.5" customHeight="1">
      <c r="A343" s="533"/>
      <c r="B343" s="548" t="s">
        <v>106</v>
      </c>
      <c r="C343" s="549">
        <v>1</v>
      </c>
      <c r="D343" s="549">
        <v>8</v>
      </c>
      <c r="E343" s="549"/>
      <c r="F343" s="549"/>
      <c r="G343" s="549"/>
      <c r="H343" s="549">
        <v>8</v>
      </c>
    </row>
    <row r="344" spans="1:12" ht="21.75" customHeight="1">
      <c r="A344" s="567"/>
      <c r="B344" s="510"/>
      <c r="C344" s="550"/>
      <c r="D344" s="550"/>
      <c r="E344" s="551"/>
      <c r="F344" s="551"/>
      <c r="G344" s="540" t="s">
        <v>19</v>
      </c>
      <c r="H344" s="552">
        <f>SUM(H343)</f>
        <v>8</v>
      </c>
    </row>
    <row r="345" spans="1:12" ht="21.75" customHeight="1">
      <c r="A345" s="567">
        <v>18</v>
      </c>
      <c r="B345" s="553" t="e">
        <f>Abt!#REF!</f>
        <v>#REF!</v>
      </c>
      <c r="C345" s="550">
        <v>1</v>
      </c>
      <c r="D345" s="550">
        <v>8</v>
      </c>
      <c r="E345" s="551"/>
      <c r="F345" s="551"/>
      <c r="G345" s="540"/>
      <c r="H345" s="552">
        <v>8</v>
      </c>
    </row>
    <row r="346" spans="1:12" ht="107.25" customHeight="1">
      <c r="A346" s="567">
        <v>19</v>
      </c>
      <c r="B346" s="547" t="s">
        <v>107</v>
      </c>
      <c r="C346" s="550"/>
      <c r="D346" s="550"/>
      <c r="E346" s="551"/>
      <c r="F346" s="551"/>
      <c r="G346" s="551"/>
      <c r="H346" s="554"/>
      <c r="L346" s="504" t="s">
        <v>109</v>
      </c>
    </row>
    <row r="347" spans="1:12" ht="24.95" customHeight="1">
      <c r="A347" s="567"/>
      <c r="B347" s="510" t="s">
        <v>108</v>
      </c>
      <c r="C347" s="550">
        <v>1</v>
      </c>
      <c r="D347" s="550">
        <v>2</v>
      </c>
      <c r="E347" s="551">
        <v>1.35</v>
      </c>
      <c r="F347" s="551"/>
      <c r="G347" s="551">
        <v>1.35</v>
      </c>
      <c r="H347" s="551">
        <f>G347*E347*D347*C347</f>
        <v>3.6450000000000005</v>
      </c>
    </row>
    <row r="348" spans="1:12" ht="24.95" customHeight="1">
      <c r="A348" s="567"/>
      <c r="B348" s="510"/>
      <c r="C348" s="550"/>
      <c r="D348" s="550"/>
      <c r="E348" s="551"/>
      <c r="F348" s="551"/>
      <c r="G348" s="540" t="s">
        <v>19</v>
      </c>
      <c r="H348" s="552">
        <f>SUM(H347)</f>
        <v>3.6450000000000005</v>
      </c>
    </row>
  </sheetData>
  <mergeCells count="3">
    <mergeCell ref="A1:H1"/>
    <mergeCell ref="A2:H2"/>
    <mergeCell ref="C3:D3"/>
  </mergeCells>
  <pageMargins left="0.31496062992125984" right="0" top="0.19685039370078741" bottom="0.19685039370078741" header="0" footer="0"/>
  <pageSetup scale="80" orientation="portrait" r:id="rId1"/>
</worksheet>
</file>

<file path=xl/worksheets/sheet8.xml><?xml version="1.0" encoding="utf-8"?>
<worksheet xmlns="http://schemas.openxmlformats.org/spreadsheetml/2006/main" xmlns:r="http://schemas.openxmlformats.org/officeDocument/2006/relationships">
  <sheetPr syncVertical="1" syncRef="V1" transitionEvaluation="1">
    <tabColor theme="0"/>
  </sheetPr>
  <dimension ref="A1:IS4079"/>
  <sheetViews>
    <sheetView view="pageBreakPreview" topLeftCell="V1" zoomScale="80" zoomScaleNormal="75" zoomScaleSheetLayoutView="80" workbookViewId="0">
      <selection activeCell="AF11" sqref="AF11"/>
    </sheetView>
  </sheetViews>
  <sheetFormatPr defaultColWidth="9.5703125" defaultRowHeight="24" customHeight="1"/>
  <cols>
    <col min="1" max="1" width="10" style="5" customWidth="1"/>
    <col min="2" max="2" width="82.28515625" style="5" customWidth="1"/>
    <col min="3" max="3" width="20.85546875" style="5" customWidth="1"/>
    <col min="4" max="4" width="17.7109375" style="5" customWidth="1"/>
    <col min="5" max="5" width="11" style="5" customWidth="1"/>
    <col min="6" max="6" width="22.85546875" style="5" customWidth="1"/>
    <col min="7" max="7" width="18.28515625" style="6" customWidth="1"/>
    <col min="8" max="8" width="55.7109375" style="5" customWidth="1"/>
    <col min="9" max="9" width="18.42578125" style="5" customWidth="1"/>
    <col min="10" max="10" width="14.7109375" style="8" customWidth="1"/>
    <col min="11" max="11" width="16.5703125" style="5" customWidth="1"/>
    <col min="12" max="12" width="12.5703125" style="5" customWidth="1"/>
    <col min="13" max="13" width="14.42578125" style="5" customWidth="1"/>
    <col min="14" max="14" width="11" style="5" bestFit="1" customWidth="1"/>
    <col min="15" max="15" width="65.5703125" style="5" customWidth="1"/>
    <col min="16" max="16" width="20" style="5" customWidth="1"/>
    <col min="17" max="17" width="13.7109375" style="5" customWidth="1"/>
    <col min="18" max="18" width="15.140625" style="5" customWidth="1"/>
    <col min="19" max="19" width="14" style="9" customWidth="1"/>
    <col min="20" max="20" width="11.85546875" style="5" customWidth="1"/>
    <col min="21" max="21" width="60" style="5" customWidth="1"/>
    <col min="22" max="22" width="16.85546875" style="5" customWidth="1"/>
    <col min="23" max="23" width="19.140625" style="5" customWidth="1"/>
    <col min="24" max="25" width="13" style="5" customWidth="1"/>
    <col min="26" max="26" width="13.140625" style="5" customWidth="1"/>
    <col min="27" max="27" width="43.140625" style="5" hidden="1" customWidth="1"/>
    <col min="28" max="28" width="10.28515625" style="5" customWidth="1"/>
    <col min="29" max="29" width="13.7109375" style="5" customWidth="1"/>
    <col min="30" max="30" width="54.42578125" style="5" customWidth="1"/>
    <col min="31" max="31" width="16" style="5" customWidth="1"/>
    <col min="32" max="32" width="15.140625" style="5" customWidth="1"/>
    <col min="33" max="33" width="14.28515625" style="5" customWidth="1"/>
    <col min="34" max="34" width="20.28515625" style="5" customWidth="1"/>
    <col min="35" max="35" width="11.5703125" style="5" bestFit="1" customWidth="1"/>
    <col min="36" max="37" width="10.42578125" style="5" bestFit="1" customWidth="1"/>
    <col min="38" max="39" width="9.5703125" style="5"/>
    <col min="40" max="40" width="10.28515625" style="5" bestFit="1" customWidth="1"/>
    <col min="41" max="41" width="9.5703125" style="5"/>
    <col min="42" max="42" width="28.28515625" style="5" customWidth="1"/>
    <col min="43" max="43" width="14.5703125" style="5" customWidth="1"/>
    <col min="44" max="44" width="11.140625" style="5" customWidth="1"/>
    <col min="45" max="45" width="14.140625" style="5" customWidth="1"/>
    <col min="46" max="46" width="9.7109375" style="5" bestFit="1" customWidth="1"/>
    <col min="47" max="47" width="10.28515625" style="5" bestFit="1" customWidth="1"/>
    <col min="48" max="48" width="12" style="5" customWidth="1"/>
    <col min="49" max="252" width="9.5703125" style="5"/>
    <col min="253" max="253" width="9.7109375" style="5" bestFit="1" customWidth="1"/>
    <col min="254" max="256" width="9.5703125" style="5"/>
    <col min="257" max="257" width="10" style="5" customWidth="1"/>
    <col min="258" max="258" width="82.28515625" style="5" customWidth="1"/>
    <col min="259" max="259" width="20.85546875" style="5" customWidth="1"/>
    <col min="260" max="260" width="17.7109375" style="5" customWidth="1"/>
    <col min="261" max="261" width="11" style="5" customWidth="1"/>
    <col min="262" max="262" width="22.85546875" style="5" customWidth="1"/>
    <col min="263" max="263" width="18.28515625" style="5" customWidth="1"/>
    <col min="264" max="264" width="55.7109375" style="5" customWidth="1"/>
    <col min="265" max="265" width="18.42578125" style="5" customWidth="1"/>
    <col min="266" max="266" width="14.7109375" style="5" customWidth="1"/>
    <col min="267" max="267" width="16.5703125" style="5" customWidth="1"/>
    <col min="268" max="268" width="12.5703125" style="5" customWidth="1"/>
    <col min="269" max="269" width="14.42578125" style="5" customWidth="1"/>
    <col min="270" max="270" width="11" style="5" bestFit="1" customWidth="1"/>
    <col min="271" max="271" width="65.5703125" style="5" customWidth="1"/>
    <col min="272" max="272" width="20" style="5" customWidth="1"/>
    <col min="273" max="273" width="13.7109375" style="5" customWidth="1"/>
    <col min="274" max="274" width="15.140625" style="5" customWidth="1"/>
    <col min="275" max="275" width="14" style="5" customWidth="1"/>
    <col min="276" max="276" width="11.85546875" style="5" customWidth="1"/>
    <col min="277" max="277" width="60" style="5" customWidth="1"/>
    <col min="278" max="278" width="16.85546875" style="5" customWidth="1"/>
    <col min="279" max="279" width="19.140625" style="5" customWidth="1"/>
    <col min="280" max="281" width="13" style="5" customWidth="1"/>
    <col min="282" max="282" width="13.140625" style="5" customWidth="1"/>
    <col min="283" max="283" width="0" style="5" hidden="1" customWidth="1"/>
    <col min="284" max="284" width="10.28515625" style="5" customWidth="1"/>
    <col min="285" max="285" width="13.7109375" style="5" customWidth="1"/>
    <col min="286" max="286" width="54.42578125" style="5" customWidth="1"/>
    <col min="287" max="287" width="16" style="5" customWidth="1"/>
    <col min="288" max="288" width="15.140625" style="5" customWidth="1"/>
    <col min="289" max="289" width="14.28515625" style="5" customWidth="1"/>
    <col min="290" max="290" width="20.28515625" style="5" customWidth="1"/>
    <col min="291" max="291" width="11.5703125" style="5" bestFit="1" customWidth="1"/>
    <col min="292" max="293" width="10.42578125" style="5" bestFit="1" customWidth="1"/>
    <col min="294" max="295" width="9.5703125" style="5"/>
    <col min="296" max="296" width="10.28515625" style="5" bestFit="1" customWidth="1"/>
    <col min="297" max="297" width="9.5703125" style="5"/>
    <col min="298" max="298" width="28.28515625" style="5" customWidth="1"/>
    <col min="299" max="299" width="14.5703125" style="5" customWidth="1"/>
    <col min="300" max="300" width="11.140625" style="5" customWidth="1"/>
    <col min="301" max="301" width="14.140625" style="5" customWidth="1"/>
    <col min="302" max="302" width="9.7109375" style="5" bestFit="1" customWidth="1"/>
    <col min="303" max="303" width="10.28515625" style="5" bestFit="1" customWidth="1"/>
    <col min="304" max="304" width="12" style="5" customWidth="1"/>
    <col min="305" max="508" width="9.5703125" style="5"/>
    <col min="509" max="509" width="9.7109375" style="5" bestFit="1" customWidth="1"/>
    <col min="510" max="512" width="9.5703125" style="5"/>
    <col min="513" max="513" width="10" style="5" customWidth="1"/>
    <col min="514" max="514" width="82.28515625" style="5" customWidth="1"/>
    <col min="515" max="515" width="20.85546875" style="5" customWidth="1"/>
    <col min="516" max="516" width="17.7109375" style="5" customWidth="1"/>
    <col min="517" max="517" width="11" style="5" customWidth="1"/>
    <col min="518" max="518" width="22.85546875" style="5" customWidth="1"/>
    <col min="519" max="519" width="18.28515625" style="5" customWidth="1"/>
    <col min="520" max="520" width="55.7109375" style="5" customWidth="1"/>
    <col min="521" max="521" width="18.42578125" style="5" customWidth="1"/>
    <col min="522" max="522" width="14.7109375" style="5" customWidth="1"/>
    <col min="523" max="523" width="16.5703125" style="5" customWidth="1"/>
    <col min="524" max="524" width="12.5703125" style="5" customWidth="1"/>
    <col min="525" max="525" width="14.42578125" style="5" customWidth="1"/>
    <col min="526" max="526" width="11" style="5" bestFit="1" customWidth="1"/>
    <col min="527" max="527" width="65.5703125" style="5" customWidth="1"/>
    <col min="528" max="528" width="20" style="5" customWidth="1"/>
    <col min="529" max="529" width="13.7109375" style="5" customWidth="1"/>
    <col min="530" max="530" width="15.140625" style="5" customWidth="1"/>
    <col min="531" max="531" width="14" style="5" customWidth="1"/>
    <col min="532" max="532" width="11.85546875" style="5" customWidth="1"/>
    <col min="533" max="533" width="60" style="5" customWidth="1"/>
    <col min="534" max="534" width="16.85546875" style="5" customWidth="1"/>
    <col min="535" max="535" width="19.140625" style="5" customWidth="1"/>
    <col min="536" max="537" width="13" style="5" customWidth="1"/>
    <col min="538" max="538" width="13.140625" style="5" customWidth="1"/>
    <col min="539" max="539" width="0" style="5" hidden="1" customWidth="1"/>
    <col min="540" max="540" width="10.28515625" style="5" customWidth="1"/>
    <col min="541" max="541" width="13.7109375" style="5" customWidth="1"/>
    <col min="542" max="542" width="54.42578125" style="5" customWidth="1"/>
    <col min="543" max="543" width="16" style="5" customWidth="1"/>
    <col min="544" max="544" width="15.140625" style="5" customWidth="1"/>
    <col min="545" max="545" width="14.28515625" style="5" customWidth="1"/>
    <col min="546" max="546" width="20.28515625" style="5" customWidth="1"/>
    <col min="547" max="547" width="11.5703125" style="5" bestFit="1" customWidth="1"/>
    <col min="548" max="549" width="10.42578125" style="5" bestFit="1" customWidth="1"/>
    <col min="550" max="551" width="9.5703125" style="5"/>
    <col min="552" max="552" width="10.28515625" style="5" bestFit="1" customWidth="1"/>
    <col min="553" max="553" width="9.5703125" style="5"/>
    <col min="554" max="554" width="28.28515625" style="5" customWidth="1"/>
    <col min="555" max="555" width="14.5703125" style="5" customWidth="1"/>
    <col min="556" max="556" width="11.140625" style="5" customWidth="1"/>
    <col min="557" max="557" width="14.140625" style="5" customWidth="1"/>
    <col min="558" max="558" width="9.7109375" style="5" bestFit="1" customWidth="1"/>
    <col min="559" max="559" width="10.28515625" style="5" bestFit="1" customWidth="1"/>
    <col min="560" max="560" width="12" style="5" customWidth="1"/>
    <col min="561" max="764" width="9.5703125" style="5"/>
    <col min="765" max="765" width="9.7109375" style="5" bestFit="1" customWidth="1"/>
    <col min="766" max="768" width="9.5703125" style="5"/>
    <col min="769" max="769" width="10" style="5" customWidth="1"/>
    <col min="770" max="770" width="82.28515625" style="5" customWidth="1"/>
    <col min="771" max="771" width="20.85546875" style="5" customWidth="1"/>
    <col min="772" max="772" width="17.7109375" style="5" customWidth="1"/>
    <col min="773" max="773" width="11" style="5" customWidth="1"/>
    <col min="774" max="774" width="22.85546875" style="5" customWidth="1"/>
    <col min="775" max="775" width="18.28515625" style="5" customWidth="1"/>
    <col min="776" max="776" width="55.7109375" style="5" customWidth="1"/>
    <col min="777" max="777" width="18.42578125" style="5" customWidth="1"/>
    <col min="778" max="778" width="14.7109375" style="5" customWidth="1"/>
    <col min="779" max="779" width="16.5703125" style="5" customWidth="1"/>
    <col min="780" max="780" width="12.5703125" style="5" customWidth="1"/>
    <col min="781" max="781" width="14.42578125" style="5" customWidth="1"/>
    <col min="782" max="782" width="11" style="5" bestFit="1" customWidth="1"/>
    <col min="783" max="783" width="65.5703125" style="5" customWidth="1"/>
    <col min="784" max="784" width="20" style="5" customWidth="1"/>
    <col min="785" max="785" width="13.7109375" style="5" customWidth="1"/>
    <col min="786" max="786" width="15.140625" style="5" customWidth="1"/>
    <col min="787" max="787" width="14" style="5" customWidth="1"/>
    <col min="788" max="788" width="11.85546875" style="5" customWidth="1"/>
    <col min="789" max="789" width="60" style="5" customWidth="1"/>
    <col min="790" max="790" width="16.85546875" style="5" customWidth="1"/>
    <col min="791" max="791" width="19.140625" style="5" customWidth="1"/>
    <col min="792" max="793" width="13" style="5" customWidth="1"/>
    <col min="794" max="794" width="13.140625" style="5" customWidth="1"/>
    <col min="795" max="795" width="0" style="5" hidden="1" customWidth="1"/>
    <col min="796" max="796" width="10.28515625" style="5" customWidth="1"/>
    <col min="797" max="797" width="13.7109375" style="5" customWidth="1"/>
    <col min="798" max="798" width="54.42578125" style="5" customWidth="1"/>
    <col min="799" max="799" width="16" style="5" customWidth="1"/>
    <col min="800" max="800" width="15.140625" style="5" customWidth="1"/>
    <col min="801" max="801" width="14.28515625" style="5" customWidth="1"/>
    <col min="802" max="802" width="20.28515625" style="5" customWidth="1"/>
    <col min="803" max="803" width="11.5703125" style="5" bestFit="1" customWidth="1"/>
    <col min="804" max="805" width="10.42578125" style="5" bestFit="1" customWidth="1"/>
    <col min="806" max="807" width="9.5703125" style="5"/>
    <col min="808" max="808" width="10.28515625" style="5" bestFit="1" customWidth="1"/>
    <col min="809" max="809" width="9.5703125" style="5"/>
    <col min="810" max="810" width="28.28515625" style="5" customWidth="1"/>
    <col min="811" max="811" width="14.5703125" style="5" customWidth="1"/>
    <col min="812" max="812" width="11.140625" style="5" customWidth="1"/>
    <col min="813" max="813" width="14.140625" style="5" customWidth="1"/>
    <col min="814" max="814" width="9.7109375" style="5" bestFit="1" customWidth="1"/>
    <col min="815" max="815" width="10.28515625" style="5" bestFit="1" customWidth="1"/>
    <col min="816" max="816" width="12" style="5" customWidth="1"/>
    <col min="817" max="1020" width="9.5703125" style="5"/>
    <col min="1021" max="1021" width="9.7109375" style="5" bestFit="1" customWidth="1"/>
    <col min="1022" max="1024" width="9.5703125" style="5"/>
    <col min="1025" max="1025" width="10" style="5" customWidth="1"/>
    <col min="1026" max="1026" width="82.28515625" style="5" customWidth="1"/>
    <col min="1027" max="1027" width="20.85546875" style="5" customWidth="1"/>
    <col min="1028" max="1028" width="17.7109375" style="5" customWidth="1"/>
    <col min="1029" max="1029" width="11" style="5" customWidth="1"/>
    <col min="1030" max="1030" width="22.85546875" style="5" customWidth="1"/>
    <col min="1031" max="1031" width="18.28515625" style="5" customWidth="1"/>
    <col min="1032" max="1032" width="55.7109375" style="5" customWidth="1"/>
    <col min="1033" max="1033" width="18.42578125" style="5" customWidth="1"/>
    <col min="1034" max="1034" width="14.7109375" style="5" customWidth="1"/>
    <col min="1035" max="1035" width="16.5703125" style="5" customWidth="1"/>
    <col min="1036" max="1036" width="12.5703125" style="5" customWidth="1"/>
    <col min="1037" max="1037" width="14.42578125" style="5" customWidth="1"/>
    <col min="1038" max="1038" width="11" style="5" bestFit="1" customWidth="1"/>
    <col min="1039" max="1039" width="65.5703125" style="5" customWidth="1"/>
    <col min="1040" max="1040" width="20" style="5" customWidth="1"/>
    <col min="1041" max="1041" width="13.7109375" style="5" customWidth="1"/>
    <col min="1042" max="1042" width="15.140625" style="5" customWidth="1"/>
    <col min="1043" max="1043" width="14" style="5" customWidth="1"/>
    <col min="1044" max="1044" width="11.85546875" style="5" customWidth="1"/>
    <col min="1045" max="1045" width="60" style="5" customWidth="1"/>
    <col min="1046" max="1046" width="16.85546875" style="5" customWidth="1"/>
    <col min="1047" max="1047" width="19.140625" style="5" customWidth="1"/>
    <col min="1048" max="1049" width="13" style="5" customWidth="1"/>
    <col min="1050" max="1050" width="13.140625" style="5" customWidth="1"/>
    <col min="1051" max="1051" width="0" style="5" hidden="1" customWidth="1"/>
    <col min="1052" max="1052" width="10.28515625" style="5" customWidth="1"/>
    <col min="1053" max="1053" width="13.7109375" style="5" customWidth="1"/>
    <col min="1054" max="1054" width="54.42578125" style="5" customWidth="1"/>
    <col min="1055" max="1055" width="16" style="5" customWidth="1"/>
    <col min="1056" max="1056" width="15.140625" style="5" customWidth="1"/>
    <col min="1057" max="1057" width="14.28515625" style="5" customWidth="1"/>
    <col min="1058" max="1058" width="20.28515625" style="5" customWidth="1"/>
    <col min="1059" max="1059" width="11.5703125" style="5" bestFit="1" customWidth="1"/>
    <col min="1060" max="1061" width="10.42578125" style="5" bestFit="1" customWidth="1"/>
    <col min="1062" max="1063" width="9.5703125" style="5"/>
    <col min="1064" max="1064" width="10.28515625" style="5" bestFit="1" customWidth="1"/>
    <col min="1065" max="1065" width="9.5703125" style="5"/>
    <col min="1066" max="1066" width="28.28515625" style="5" customWidth="1"/>
    <col min="1067" max="1067" width="14.5703125" style="5" customWidth="1"/>
    <col min="1068" max="1068" width="11.140625" style="5" customWidth="1"/>
    <col min="1069" max="1069" width="14.140625" style="5" customWidth="1"/>
    <col min="1070" max="1070" width="9.7109375" style="5" bestFit="1" customWidth="1"/>
    <col min="1071" max="1071" width="10.28515625" style="5" bestFit="1" customWidth="1"/>
    <col min="1072" max="1072" width="12" style="5" customWidth="1"/>
    <col min="1073" max="1276" width="9.5703125" style="5"/>
    <col min="1277" max="1277" width="9.7109375" style="5" bestFit="1" customWidth="1"/>
    <col min="1278" max="1280" width="9.5703125" style="5"/>
    <col min="1281" max="1281" width="10" style="5" customWidth="1"/>
    <col min="1282" max="1282" width="82.28515625" style="5" customWidth="1"/>
    <col min="1283" max="1283" width="20.85546875" style="5" customWidth="1"/>
    <col min="1284" max="1284" width="17.7109375" style="5" customWidth="1"/>
    <col min="1285" max="1285" width="11" style="5" customWidth="1"/>
    <col min="1286" max="1286" width="22.85546875" style="5" customWidth="1"/>
    <col min="1287" max="1287" width="18.28515625" style="5" customWidth="1"/>
    <col min="1288" max="1288" width="55.7109375" style="5" customWidth="1"/>
    <col min="1289" max="1289" width="18.42578125" style="5" customWidth="1"/>
    <col min="1290" max="1290" width="14.7109375" style="5" customWidth="1"/>
    <col min="1291" max="1291" width="16.5703125" style="5" customWidth="1"/>
    <col min="1292" max="1292" width="12.5703125" style="5" customWidth="1"/>
    <col min="1293" max="1293" width="14.42578125" style="5" customWidth="1"/>
    <col min="1294" max="1294" width="11" style="5" bestFit="1" customWidth="1"/>
    <col min="1295" max="1295" width="65.5703125" style="5" customWidth="1"/>
    <col min="1296" max="1296" width="20" style="5" customWidth="1"/>
    <col min="1297" max="1297" width="13.7109375" style="5" customWidth="1"/>
    <col min="1298" max="1298" width="15.140625" style="5" customWidth="1"/>
    <col min="1299" max="1299" width="14" style="5" customWidth="1"/>
    <col min="1300" max="1300" width="11.85546875" style="5" customWidth="1"/>
    <col min="1301" max="1301" width="60" style="5" customWidth="1"/>
    <col min="1302" max="1302" width="16.85546875" style="5" customWidth="1"/>
    <col min="1303" max="1303" width="19.140625" style="5" customWidth="1"/>
    <col min="1304" max="1305" width="13" style="5" customWidth="1"/>
    <col min="1306" max="1306" width="13.140625" style="5" customWidth="1"/>
    <col min="1307" max="1307" width="0" style="5" hidden="1" customWidth="1"/>
    <col min="1308" max="1308" width="10.28515625" style="5" customWidth="1"/>
    <col min="1309" max="1309" width="13.7109375" style="5" customWidth="1"/>
    <col min="1310" max="1310" width="54.42578125" style="5" customWidth="1"/>
    <col min="1311" max="1311" width="16" style="5" customWidth="1"/>
    <col min="1312" max="1312" width="15.140625" style="5" customWidth="1"/>
    <col min="1313" max="1313" width="14.28515625" style="5" customWidth="1"/>
    <col min="1314" max="1314" width="20.28515625" style="5" customWidth="1"/>
    <col min="1315" max="1315" width="11.5703125" style="5" bestFit="1" customWidth="1"/>
    <col min="1316" max="1317" width="10.42578125" style="5" bestFit="1" customWidth="1"/>
    <col min="1318" max="1319" width="9.5703125" style="5"/>
    <col min="1320" max="1320" width="10.28515625" style="5" bestFit="1" customWidth="1"/>
    <col min="1321" max="1321" width="9.5703125" style="5"/>
    <col min="1322" max="1322" width="28.28515625" style="5" customWidth="1"/>
    <col min="1323" max="1323" width="14.5703125" style="5" customWidth="1"/>
    <col min="1324" max="1324" width="11.140625" style="5" customWidth="1"/>
    <col min="1325" max="1325" width="14.140625" style="5" customWidth="1"/>
    <col min="1326" max="1326" width="9.7109375" style="5" bestFit="1" customWidth="1"/>
    <col min="1327" max="1327" width="10.28515625" style="5" bestFit="1" customWidth="1"/>
    <col min="1328" max="1328" width="12" style="5" customWidth="1"/>
    <col min="1329" max="1532" width="9.5703125" style="5"/>
    <col min="1533" max="1533" width="9.7109375" style="5" bestFit="1" customWidth="1"/>
    <col min="1534" max="1536" width="9.5703125" style="5"/>
    <col min="1537" max="1537" width="10" style="5" customWidth="1"/>
    <col min="1538" max="1538" width="82.28515625" style="5" customWidth="1"/>
    <col min="1539" max="1539" width="20.85546875" style="5" customWidth="1"/>
    <col min="1540" max="1540" width="17.7109375" style="5" customWidth="1"/>
    <col min="1541" max="1541" width="11" style="5" customWidth="1"/>
    <col min="1542" max="1542" width="22.85546875" style="5" customWidth="1"/>
    <col min="1543" max="1543" width="18.28515625" style="5" customWidth="1"/>
    <col min="1544" max="1544" width="55.7109375" style="5" customWidth="1"/>
    <col min="1545" max="1545" width="18.42578125" style="5" customWidth="1"/>
    <col min="1546" max="1546" width="14.7109375" style="5" customWidth="1"/>
    <col min="1547" max="1547" width="16.5703125" style="5" customWidth="1"/>
    <col min="1548" max="1548" width="12.5703125" style="5" customWidth="1"/>
    <col min="1549" max="1549" width="14.42578125" style="5" customWidth="1"/>
    <col min="1550" max="1550" width="11" style="5" bestFit="1" customWidth="1"/>
    <col min="1551" max="1551" width="65.5703125" style="5" customWidth="1"/>
    <col min="1552" max="1552" width="20" style="5" customWidth="1"/>
    <col min="1553" max="1553" width="13.7109375" style="5" customWidth="1"/>
    <col min="1554" max="1554" width="15.140625" style="5" customWidth="1"/>
    <col min="1555" max="1555" width="14" style="5" customWidth="1"/>
    <col min="1556" max="1556" width="11.85546875" style="5" customWidth="1"/>
    <col min="1557" max="1557" width="60" style="5" customWidth="1"/>
    <col min="1558" max="1558" width="16.85546875" style="5" customWidth="1"/>
    <col min="1559" max="1559" width="19.140625" style="5" customWidth="1"/>
    <col min="1560" max="1561" width="13" style="5" customWidth="1"/>
    <col min="1562" max="1562" width="13.140625" style="5" customWidth="1"/>
    <col min="1563" max="1563" width="0" style="5" hidden="1" customWidth="1"/>
    <col min="1564" max="1564" width="10.28515625" style="5" customWidth="1"/>
    <col min="1565" max="1565" width="13.7109375" style="5" customWidth="1"/>
    <col min="1566" max="1566" width="54.42578125" style="5" customWidth="1"/>
    <col min="1567" max="1567" width="16" style="5" customWidth="1"/>
    <col min="1568" max="1568" width="15.140625" style="5" customWidth="1"/>
    <col min="1569" max="1569" width="14.28515625" style="5" customWidth="1"/>
    <col min="1570" max="1570" width="20.28515625" style="5" customWidth="1"/>
    <col min="1571" max="1571" width="11.5703125" style="5" bestFit="1" customWidth="1"/>
    <col min="1572" max="1573" width="10.42578125" style="5" bestFit="1" customWidth="1"/>
    <col min="1574" max="1575" width="9.5703125" style="5"/>
    <col min="1576" max="1576" width="10.28515625" style="5" bestFit="1" customWidth="1"/>
    <col min="1577" max="1577" width="9.5703125" style="5"/>
    <col min="1578" max="1578" width="28.28515625" style="5" customWidth="1"/>
    <col min="1579" max="1579" width="14.5703125" style="5" customWidth="1"/>
    <col min="1580" max="1580" width="11.140625" style="5" customWidth="1"/>
    <col min="1581" max="1581" width="14.140625" style="5" customWidth="1"/>
    <col min="1582" max="1582" width="9.7109375" style="5" bestFit="1" customWidth="1"/>
    <col min="1583" max="1583" width="10.28515625" style="5" bestFit="1" customWidth="1"/>
    <col min="1584" max="1584" width="12" style="5" customWidth="1"/>
    <col min="1585" max="1788" width="9.5703125" style="5"/>
    <col min="1789" max="1789" width="9.7109375" style="5" bestFit="1" customWidth="1"/>
    <col min="1790" max="1792" width="9.5703125" style="5"/>
    <col min="1793" max="1793" width="10" style="5" customWidth="1"/>
    <col min="1794" max="1794" width="82.28515625" style="5" customWidth="1"/>
    <col min="1795" max="1795" width="20.85546875" style="5" customWidth="1"/>
    <col min="1796" max="1796" width="17.7109375" style="5" customWidth="1"/>
    <col min="1797" max="1797" width="11" style="5" customWidth="1"/>
    <col min="1798" max="1798" width="22.85546875" style="5" customWidth="1"/>
    <col min="1799" max="1799" width="18.28515625" style="5" customWidth="1"/>
    <col min="1800" max="1800" width="55.7109375" style="5" customWidth="1"/>
    <col min="1801" max="1801" width="18.42578125" style="5" customWidth="1"/>
    <col min="1802" max="1802" width="14.7109375" style="5" customWidth="1"/>
    <col min="1803" max="1803" width="16.5703125" style="5" customWidth="1"/>
    <col min="1804" max="1804" width="12.5703125" style="5" customWidth="1"/>
    <col min="1805" max="1805" width="14.42578125" style="5" customWidth="1"/>
    <col min="1806" max="1806" width="11" style="5" bestFit="1" customWidth="1"/>
    <col min="1807" max="1807" width="65.5703125" style="5" customWidth="1"/>
    <col min="1808" max="1808" width="20" style="5" customWidth="1"/>
    <col min="1809" max="1809" width="13.7109375" style="5" customWidth="1"/>
    <col min="1810" max="1810" width="15.140625" style="5" customWidth="1"/>
    <col min="1811" max="1811" width="14" style="5" customWidth="1"/>
    <col min="1812" max="1812" width="11.85546875" style="5" customWidth="1"/>
    <col min="1813" max="1813" width="60" style="5" customWidth="1"/>
    <col min="1814" max="1814" width="16.85546875" style="5" customWidth="1"/>
    <col min="1815" max="1815" width="19.140625" style="5" customWidth="1"/>
    <col min="1816" max="1817" width="13" style="5" customWidth="1"/>
    <col min="1818" max="1818" width="13.140625" style="5" customWidth="1"/>
    <col min="1819" max="1819" width="0" style="5" hidden="1" customWidth="1"/>
    <col min="1820" max="1820" width="10.28515625" style="5" customWidth="1"/>
    <col min="1821" max="1821" width="13.7109375" style="5" customWidth="1"/>
    <col min="1822" max="1822" width="54.42578125" style="5" customWidth="1"/>
    <col min="1823" max="1823" width="16" style="5" customWidth="1"/>
    <col min="1824" max="1824" width="15.140625" style="5" customWidth="1"/>
    <col min="1825" max="1825" width="14.28515625" style="5" customWidth="1"/>
    <col min="1826" max="1826" width="20.28515625" style="5" customWidth="1"/>
    <col min="1827" max="1827" width="11.5703125" style="5" bestFit="1" customWidth="1"/>
    <col min="1828" max="1829" width="10.42578125" style="5" bestFit="1" customWidth="1"/>
    <col min="1830" max="1831" width="9.5703125" style="5"/>
    <col min="1832" max="1832" width="10.28515625" style="5" bestFit="1" customWidth="1"/>
    <col min="1833" max="1833" width="9.5703125" style="5"/>
    <col min="1834" max="1834" width="28.28515625" style="5" customWidth="1"/>
    <col min="1835" max="1835" width="14.5703125" style="5" customWidth="1"/>
    <col min="1836" max="1836" width="11.140625" style="5" customWidth="1"/>
    <col min="1837" max="1837" width="14.140625" style="5" customWidth="1"/>
    <col min="1838" max="1838" width="9.7109375" style="5" bestFit="1" customWidth="1"/>
    <col min="1839" max="1839" width="10.28515625" style="5" bestFit="1" customWidth="1"/>
    <col min="1840" max="1840" width="12" style="5" customWidth="1"/>
    <col min="1841" max="2044" width="9.5703125" style="5"/>
    <col min="2045" max="2045" width="9.7109375" style="5" bestFit="1" customWidth="1"/>
    <col min="2046" max="2048" width="9.5703125" style="5"/>
    <col min="2049" max="2049" width="10" style="5" customWidth="1"/>
    <col min="2050" max="2050" width="82.28515625" style="5" customWidth="1"/>
    <col min="2051" max="2051" width="20.85546875" style="5" customWidth="1"/>
    <col min="2052" max="2052" width="17.7109375" style="5" customWidth="1"/>
    <col min="2053" max="2053" width="11" style="5" customWidth="1"/>
    <col min="2054" max="2054" width="22.85546875" style="5" customWidth="1"/>
    <col min="2055" max="2055" width="18.28515625" style="5" customWidth="1"/>
    <col min="2056" max="2056" width="55.7109375" style="5" customWidth="1"/>
    <col min="2057" max="2057" width="18.42578125" style="5" customWidth="1"/>
    <col min="2058" max="2058" width="14.7109375" style="5" customWidth="1"/>
    <col min="2059" max="2059" width="16.5703125" style="5" customWidth="1"/>
    <col min="2060" max="2060" width="12.5703125" style="5" customWidth="1"/>
    <col min="2061" max="2061" width="14.42578125" style="5" customWidth="1"/>
    <col min="2062" max="2062" width="11" style="5" bestFit="1" customWidth="1"/>
    <col min="2063" max="2063" width="65.5703125" style="5" customWidth="1"/>
    <col min="2064" max="2064" width="20" style="5" customWidth="1"/>
    <col min="2065" max="2065" width="13.7109375" style="5" customWidth="1"/>
    <col min="2066" max="2066" width="15.140625" style="5" customWidth="1"/>
    <col min="2067" max="2067" width="14" style="5" customWidth="1"/>
    <col min="2068" max="2068" width="11.85546875" style="5" customWidth="1"/>
    <col min="2069" max="2069" width="60" style="5" customWidth="1"/>
    <col min="2070" max="2070" width="16.85546875" style="5" customWidth="1"/>
    <col min="2071" max="2071" width="19.140625" style="5" customWidth="1"/>
    <col min="2072" max="2073" width="13" style="5" customWidth="1"/>
    <col min="2074" max="2074" width="13.140625" style="5" customWidth="1"/>
    <col min="2075" max="2075" width="0" style="5" hidden="1" customWidth="1"/>
    <col min="2076" max="2076" width="10.28515625" style="5" customWidth="1"/>
    <col min="2077" max="2077" width="13.7109375" style="5" customWidth="1"/>
    <col min="2078" max="2078" width="54.42578125" style="5" customWidth="1"/>
    <col min="2079" max="2079" width="16" style="5" customWidth="1"/>
    <col min="2080" max="2080" width="15.140625" style="5" customWidth="1"/>
    <col min="2081" max="2081" width="14.28515625" style="5" customWidth="1"/>
    <col min="2082" max="2082" width="20.28515625" style="5" customWidth="1"/>
    <col min="2083" max="2083" width="11.5703125" style="5" bestFit="1" customWidth="1"/>
    <col min="2084" max="2085" width="10.42578125" style="5" bestFit="1" customWidth="1"/>
    <col min="2086" max="2087" width="9.5703125" style="5"/>
    <col min="2088" max="2088" width="10.28515625" style="5" bestFit="1" customWidth="1"/>
    <col min="2089" max="2089" width="9.5703125" style="5"/>
    <col min="2090" max="2090" width="28.28515625" style="5" customWidth="1"/>
    <col min="2091" max="2091" width="14.5703125" style="5" customWidth="1"/>
    <col min="2092" max="2092" width="11.140625" style="5" customWidth="1"/>
    <col min="2093" max="2093" width="14.140625" style="5" customWidth="1"/>
    <col min="2094" max="2094" width="9.7109375" style="5" bestFit="1" customWidth="1"/>
    <col min="2095" max="2095" width="10.28515625" style="5" bestFit="1" customWidth="1"/>
    <col min="2096" max="2096" width="12" style="5" customWidth="1"/>
    <col min="2097" max="2300" width="9.5703125" style="5"/>
    <col min="2301" max="2301" width="9.7109375" style="5" bestFit="1" customWidth="1"/>
    <col min="2302" max="2304" width="9.5703125" style="5"/>
    <col min="2305" max="2305" width="10" style="5" customWidth="1"/>
    <col min="2306" max="2306" width="82.28515625" style="5" customWidth="1"/>
    <col min="2307" max="2307" width="20.85546875" style="5" customWidth="1"/>
    <col min="2308" max="2308" width="17.7109375" style="5" customWidth="1"/>
    <col min="2309" max="2309" width="11" style="5" customWidth="1"/>
    <col min="2310" max="2310" width="22.85546875" style="5" customWidth="1"/>
    <col min="2311" max="2311" width="18.28515625" style="5" customWidth="1"/>
    <col min="2312" max="2312" width="55.7109375" style="5" customWidth="1"/>
    <col min="2313" max="2313" width="18.42578125" style="5" customWidth="1"/>
    <col min="2314" max="2314" width="14.7109375" style="5" customWidth="1"/>
    <col min="2315" max="2315" width="16.5703125" style="5" customWidth="1"/>
    <col min="2316" max="2316" width="12.5703125" style="5" customWidth="1"/>
    <col min="2317" max="2317" width="14.42578125" style="5" customWidth="1"/>
    <col min="2318" max="2318" width="11" style="5" bestFit="1" customWidth="1"/>
    <col min="2319" max="2319" width="65.5703125" style="5" customWidth="1"/>
    <col min="2320" max="2320" width="20" style="5" customWidth="1"/>
    <col min="2321" max="2321" width="13.7109375" style="5" customWidth="1"/>
    <col min="2322" max="2322" width="15.140625" style="5" customWidth="1"/>
    <col min="2323" max="2323" width="14" style="5" customWidth="1"/>
    <col min="2324" max="2324" width="11.85546875" style="5" customWidth="1"/>
    <col min="2325" max="2325" width="60" style="5" customWidth="1"/>
    <col min="2326" max="2326" width="16.85546875" style="5" customWidth="1"/>
    <col min="2327" max="2327" width="19.140625" style="5" customWidth="1"/>
    <col min="2328" max="2329" width="13" style="5" customWidth="1"/>
    <col min="2330" max="2330" width="13.140625" style="5" customWidth="1"/>
    <col min="2331" max="2331" width="0" style="5" hidden="1" customWidth="1"/>
    <col min="2332" max="2332" width="10.28515625" style="5" customWidth="1"/>
    <col min="2333" max="2333" width="13.7109375" style="5" customWidth="1"/>
    <col min="2334" max="2334" width="54.42578125" style="5" customWidth="1"/>
    <col min="2335" max="2335" width="16" style="5" customWidth="1"/>
    <col min="2336" max="2336" width="15.140625" style="5" customWidth="1"/>
    <col min="2337" max="2337" width="14.28515625" style="5" customWidth="1"/>
    <col min="2338" max="2338" width="20.28515625" style="5" customWidth="1"/>
    <col min="2339" max="2339" width="11.5703125" style="5" bestFit="1" customWidth="1"/>
    <col min="2340" max="2341" width="10.42578125" style="5" bestFit="1" customWidth="1"/>
    <col min="2342" max="2343" width="9.5703125" style="5"/>
    <col min="2344" max="2344" width="10.28515625" style="5" bestFit="1" customWidth="1"/>
    <col min="2345" max="2345" width="9.5703125" style="5"/>
    <col min="2346" max="2346" width="28.28515625" style="5" customWidth="1"/>
    <col min="2347" max="2347" width="14.5703125" style="5" customWidth="1"/>
    <col min="2348" max="2348" width="11.140625" style="5" customWidth="1"/>
    <col min="2349" max="2349" width="14.140625" style="5" customWidth="1"/>
    <col min="2350" max="2350" width="9.7109375" style="5" bestFit="1" customWidth="1"/>
    <col min="2351" max="2351" width="10.28515625" style="5" bestFit="1" customWidth="1"/>
    <col min="2352" max="2352" width="12" style="5" customWidth="1"/>
    <col min="2353" max="2556" width="9.5703125" style="5"/>
    <col min="2557" max="2557" width="9.7109375" style="5" bestFit="1" customWidth="1"/>
    <col min="2558" max="2560" width="9.5703125" style="5"/>
    <col min="2561" max="2561" width="10" style="5" customWidth="1"/>
    <col min="2562" max="2562" width="82.28515625" style="5" customWidth="1"/>
    <col min="2563" max="2563" width="20.85546875" style="5" customWidth="1"/>
    <col min="2564" max="2564" width="17.7109375" style="5" customWidth="1"/>
    <col min="2565" max="2565" width="11" style="5" customWidth="1"/>
    <col min="2566" max="2566" width="22.85546875" style="5" customWidth="1"/>
    <col min="2567" max="2567" width="18.28515625" style="5" customWidth="1"/>
    <col min="2568" max="2568" width="55.7109375" style="5" customWidth="1"/>
    <col min="2569" max="2569" width="18.42578125" style="5" customWidth="1"/>
    <col min="2570" max="2570" width="14.7109375" style="5" customWidth="1"/>
    <col min="2571" max="2571" width="16.5703125" style="5" customWidth="1"/>
    <col min="2572" max="2572" width="12.5703125" style="5" customWidth="1"/>
    <col min="2573" max="2573" width="14.42578125" style="5" customWidth="1"/>
    <col min="2574" max="2574" width="11" style="5" bestFit="1" customWidth="1"/>
    <col min="2575" max="2575" width="65.5703125" style="5" customWidth="1"/>
    <col min="2576" max="2576" width="20" style="5" customWidth="1"/>
    <col min="2577" max="2577" width="13.7109375" style="5" customWidth="1"/>
    <col min="2578" max="2578" width="15.140625" style="5" customWidth="1"/>
    <col min="2579" max="2579" width="14" style="5" customWidth="1"/>
    <col min="2580" max="2580" width="11.85546875" style="5" customWidth="1"/>
    <col min="2581" max="2581" width="60" style="5" customWidth="1"/>
    <col min="2582" max="2582" width="16.85546875" style="5" customWidth="1"/>
    <col min="2583" max="2583" width="19.140625" style="5" customWidth="1"/>
    <col min="2584" max="2585" width="13" style="5" customWidth="1"/>
    <col min="2586" max="2586" width="13.140625" style="5" customWidth="1"/>
    <col min="2587" max="2587" width="0" style="5" hidden="1" customWidth="1"/>
    <col min="2588" max="2588" width="10.28515625" style="5" customWidth="1"/>
    <col min="2589" max="2589" width="13.7109375" style="5" customWidth="1"/>
    <col min="2590" max="2590" width="54.42578125" style="5" customWidth="1"/>
    <col min="2591" max="2591" width="16" style="5" customWidth="1"/>
    <col min="2592" max="2592" width="15.140625" style="5" customWidth="1"/>
    <col min="2593" max="2593" width="14.28515625" style="5" customWidth="1"/>
    <col min="2594" max="2594" width="20.28515625" style="5" customWidth="1"/>
    <col min="2595" max="2595" width="11.5703125" style="5" bestFit="1" customWidth="1"/>
    <col min="2596" max="2597" width="10.42578125" style="5" bestFit="1" customWidth="1"/>
    <col min="2598" max="2599" width="9.5703125" style="5"/>
    <col min="2600" max="2600" width="10.28515625" style="5" bestFit="1" customWidth="1"/>
    <col min="2601" max="2601" width="9.5703125" style="5"/>
    <col min="2602" max="2602" width="28.28515625" style="5" customWidth="1"/>
    <col min="2603" max="2603" width="14.5703125" style="5" customWidth="1"/>
    <col min="2604" max="2604" width="11.140625" style="5" customWidth="1"/>
    <col min="2605" max="2605" width="14.140625" style="5" customWidth="1"/>
    <col min="2606" max="2606" width="9.7109375" style="5" bestFit="1" customWidth="1"/>
    <col min="2607" max="2607" width="10.28515625" style="5" bestFit="1" customWidth="1"/>
    <col min="2608" max="2608" width="12" style="5" customWidth="1"/>
    <col min="2609" max="2812" width="9.5703125" style="5"/>
    <col min="2813" max="2813" width="9.7109375" style="5" bestFit="1" customWidth="1"/>
    <col min="2814" max="2816" width="9.5703125" style="5"/>
    <col min="2817" max="2817" width="10" style="5" customWidth="1"/>
    <col min="2818" max="2818" width="82.28515625" style="5" customWidth="1"/>
    <col min="2819" max="2819" width="20.85546875" style="5" customWidth="1"/>
    <col min="2820" max="2820" width="17.7109375" style="5" customWidth="1"/>
    <col min="2821" max="2821" width="11" style="5" customWidth="1"/>
    <col min="2822" max="2822" width="22.85546875" style="5" customWidth="1"/>
    <col min="2823" max="2823" width="18.28515625" style="5" customWidth="1"/>
    <col min="2824" max="2824" width="55.7109375" style="5" customWidth="1"/>
    <col min="2825" max="2825" width="18.42578125" style="5" customWidth="1"/>
    <col min="2826" max="2826" width="14.7109375" style="5" customWidth="1"/>
    <col min="2827" max="2827" width="16.5703125" style="5" customWidth="1"/>
    <col min="2828" max="2828" width="12.5703125" style="5" customWidth="1"/>
    <col min="2829" max="2829" width="14.42578125" style="5" customWidth="1"/>
    <col min="2830" max="2830" width="11" style="5" bestFit="1" customWidth="1"/>
    <col min="2831" max="2831" width="65.5703125" style="5" customWidth="1"/>
    <col min="2832" max="2832" width="20" style="5" customWidth="1"/>
    <col min="2833" max="2833" width="13.7109375" style="5" customWidth="1"/>
    <col min="2834" max="2834" width="15.140625" style="5" customWidth="1"/>
    <col min="2835" max="2835" width="14" style="5" customWidth="1"/>
    <col min="2836" max="2836" width="11.85546875" style="5" customWidth="1"/>
    <col min="2837" max="2837" width="60" style="5" customWidth="1"/>
    <col min="2838" max="2838" width="16.85546875" style="5" customWidth="1"/>
    <col min="2839" max="2839" width="19.140625" style="5" customWidth="1"/>
    <col min="2840" max="2841" width="13" style="5" customWidth="1"/>
    <col min="2842" max="2842" width="13.140625" style="5" customWidth="1"/>
    <col min="2843" max="2843" width="0" style="5" hidden="1" customWidth="1"/>
    <col min="2844" max="2844" width="10.28515625" style="5" customWidth="1"/>
    <col min="2845" max="2845" width="13.7109375" style="5" customWidth="1"/>
    <col min="2846" max="2846" width="54.42578125" style="5" customWidth="1"/>
    <col min="2847" max="2847" width="16" style="5" customWidth="1"/>
    <col min="2848" max="2848" width="15.140625" style="5" customWidth="1"/>
    <col min="2849" max="2849" width="14.28515625" style="5" customWidth="1"/>
    <col min="2850" max="2850" width="20.28515625" style="5" customWidth="1"/>
    <col min="2851" max="2851" width="11.5703125" style="5" bestFit="1" customWidth="1"/>
    <col min="2852" max="2853" width="10.42578125" style="5" bestFit="1" customWidth="1"/>
    <col min="2854" max="2855" width="9.5703125" style="5"/>
    <col min="2856" max="2856" width="10.28515625" style="5" bestFit="1" customWidth="1"/>
    <col min="2857" max="2857" width="9.5703125" style="5"/>
    <col min="2858" max="2858" width="28.28515625" style="5" customWidth="1"/>
    <col min="2859" max="2859" width="14.5703125" style="5" customWidth="1"/>
    <col min="2860" max="2860" width="11.140625" style="5" customWidth="1"/>
    <col min="2861" max="2861" width="14.140625" style="5" customWidth="1"/>
    <col min="2862" max="2862" width="9.7109375" style="5" bestFit="1" customWidth="1"/>
    <col min="2863" max="2863" width="10.28515625" style="5" bestFit="1" customWidth="1"/>
    <col min="2864" max="2864" width="12" style="5" customWidth="1"/>
    <col min="2865" max="3068" width="9.5703125" style="5"/>
    <col min="3069" max="3069" width="9.7109375" style="5" bestFit="1" customWidth="1"/>
    <col min="3070" max="3072" width="9.5703125" style="5"/>
    <col min="3073" max="3073" width="10" style="5" customWidth="1"/>
    <col min="3074" max="3074" width="82.28515625" style="5" customWidth="1"/>
    <col min="3075" max="3075" width="20.85546875" style="5" customWidth="1"/>
    <col min="3076" max="3076" width="17.7109375" style="5" customWidth="1"/>
    <col min="3077" max="3077" width="11" style="5" customWidth="1"/>
    <col min="3078" max="3078" width="22.85546875" style="5" customWidth="1"/>
    <col min="3079" max="3079" width="18.28515625" style="5" customWidth="1"/>
    <col min="3080" max="3080" width="55.7109375" style="5" customWidth="1"/>
    <col min="3081" max="3081" width="18.42578125" style="5" customWidth="1"/>
    <col min="3082" max="3082" width="14.7109375" style="5" customWidth="1"/>
    <col min="3083" max="3083" width="16.5703125" style="5" customWidth="1"/>
    <col min="3084" max="3084" width="12.5703125" style="5" customWidth="1"/>
    <col min="3085" max="3085" width="14.42578125" style="5" customWidth="1"/>
    <col min="3086" max="3086" width="11" style="5" bestFit="1" customWidth="1"/>
    <col min="3087" max="3087" width="65.5703125" style="5" customWidth="1"/>
    <col min="3088" max="3088" width="20" style="5" customWidth="1"/>
    <col min="3089" max="3089" width="13.7109375" style="5" customWidth="1"/>
    <col min="3090" max="3090" width="15.140625" style="5" customWidth="1"/>
    <col min="3091" max="3091" width="14" style="5" customWidth="1"/>
    <col min="3092" max="3092" width="11.85546875" style="5" customWidth="1"/>
    <col min="3093" max="3093" width="60" style="5" customWidth="1"/>
    <col min="3094" max="3094" width="16.85546875" style="5" customWidth="1"/>
    <col min="3095" max="3095" width="19.140625" style="5" customWidth="1"/>
    <col min="3096" max="3097" width="13" style="5" customWidth="1"/>
    <col min="3098" max="3098" width="13.140625" style="5" customWidth="1"/>
    <col min="3099" max="3099" width="0" style="5" hidden="1" customWidth="1"/>
    <col min="3100" max="3100" width="10.28515625" style="5" customWidth="1"/>
    <col min="3101" max="3101" width="13.7109375" style="5" customWidth="1"/>
    <col min="3102" max="3102" width="54.42578125" style="5" customWidth="1"/>
    <col min="3103" max="3103" width="16" style="5" customWidth="1"/>
    <col min="3104" max="3104" width="15.140625" style="5" customWidth="1"/>
    <col min="3105" max="3105" width="14.28515625" style="5" customWidth="1"/>
    <col min="3106" max="3106" width="20.28515625" style="5" customWidth="1"/>
    <col min="3107" max="3107" width="11.5703125" style="5" bestFit="1" customWidth="1"/>
    <col min="3108" max="3109" width="10.42578125" style="5" bestFit="1" customWidth="1"/>
    <col min="3110" max="3111" width="9.5703125" style="5"/>
    <col min="3112" max="3112" width="10.28515625" style="5" bestFit="1" customWidth="1"/>
    <col min="3113" max="3113" width="9.5703125" style="5"/>
    <col min="3114" max="3114" width="28.28515625" style="5" customWidth="1"/>
    <col min="3115" max="3115" width="14.5703125" style="5" customWidth="1"/>
    <col min="3116" max="3116" width="11.140625" style="5" customWidth="1"/>
    <col min="3117" max="3117" width="14.140625" style="5" customWidth="1"/>
    <col min="3118" max="3118" width="9.7109375" style="5" bestFit="1" customWidth="1"/>
    <col min="3119" max="3119" width="10.28515625" style="5" bestFit="1" customWidth="1"/>
    <col min="3120" max="3120" width="12" style="5" customWidth="1"/>
    <col min="3121" max="3324" width="9.5703125" style="5"/>
    <col min="3325" max="3325" width="9.7109375" style="5" bestFit="1" customWidth="1"/>
    <col min="3326" max="3328" width="9.5703125" style="5"/>
    <col min="3329" max="3329" width="10" style="5" customWidth="1"/>
    <col min="3330" max="3330" width="82.28515625" style="5" customWidth="1"/>
    <col min="3331" max="3331" width="20.85546875" style="5" customWidth="1"/>
    <col min="3332" max="3332" width="17.7109375" style="5" customWidth="1"/>
    <col min="3333" max="3333" width="11" style="5" customWidth="1"/>
    <col min="3334" max="3334" width="22.85546875" style="5" customWidth="1"/>
    <col min="3335" max="3335" width="18.28515625" style="5" customWidth="1"/>
    <col min="3336" max="3336" width="55.7109375" style="5" customWidth="1"/>
    <col min="3337" max="3337" width="18.42578125" style="5" customWidth="1"/>
    <col min="3338" max="3338" width="14.7109375" style="5" customWidth="1"/>
    <col min="3339" max="3339" width="16.5703125" style="5" customWidth="1"/>
    <col min="3340" max="3340" width="12.5703125" style="5" customWidth="1"/>
    <col min="3341" max="3341" width="14.42578125" style="5" customWidth="1"/>
    <col min="3342" max="3342" width="11" style="5" bestFit="1" customWidth="1"/>
    <col min="3343" max="3343" width="65.5703125" style="5" customWidth="1"/>
    <col min="3344" max="3344" width="20" style="5" customWidth="1"/>
    <col min="3345" max="3345" width="13.7109375" style="5" customWidth="1"/>
    <col min="3346" max="3346" width="15.140625" style="5" customWidth="1"/>
    <col min="3347" max="3347" width="14" style="5" customWidth="1"/>
    <col min="3348" max="3348" width="11.85546875" style="5" customWidth="1"/>
    <col min="3349" max="3349" width="60" style="5" customWidth="1"/>
    <col min="3350" max="3350" width="16.85546875" style="5" customWidth="1"/>
    <col min="3351" max="3351" width="19.140625" style="5" customWidth="1"/>
    <col min="3352" max="3353" width="13" style="5" customWidth="1"/>
    <col min="3354" max="3354" width="13.140625" style="5" customWidth="1"/>
    <col min="3355" max="3355" width="0" style="5" hidden="1" customWidth="1"/>
    <col min="3356" max="3356" width="10.28515625" style="5" customWidth="1"/>
    <col min="3357" max="3357" width="13.7109375" style="5" customWidth="1"/>
    <col min="3358" max="3358" width="54.42578125" style="5" customWidth="1"/>
    <col min="3359" max="3359" width="16" style="5" customWidth="1"/>
    <col min="3360" max="3360" width="15.140625" style="5" customWidth="1"/>
    <col min="3361" max="3361" width="14.28515625" style="5" customWidth="1"/>
    <col min="3362" max="3362" width="20.28515625" style="5" customWidth="1"/>
    <col min="3363" max="3363" width="11.5703125" style="5" bestFit="1" customWidth="1"/>
    <col min="3364" max="3365" width="10.42578125" style="5" bestFit="1" customWidth="1"/>
    <col min="3366" max="3367" width="9.5703125" style="5"/>
    <col min="3368" max="3368" width="10.28515625" style="5" bestFit="1" customWidth="1"/>
    <col min="3369" max="3369" width="9.5703125" style="5"/>
    <col min="3370" max="3370" width="28.28515625" style="5" customWidth="1"/>
    <col min="3371" max="3371" width="14.5703125" style="5" customWidth="1"/>
    <col min="3372" max="3372" width="11.140625" style="5" customWidth="1"/>
    <col min="3373" max="3373" width="14.140625" style="5" customWidth="1"/>
    <col min="3374" max="3374" width="9.7109375" style="5" bestFit="1" customWidth="1"/>
    <col min="3375" max="3375" width="10.28515625" style="5" bestFit="1" customWidth="1"/>
    <col min="3376" max="3376" width="12" style="5" customWidth="1"/>
    <col min="3377" max="3580" width="9.5703125" style="5"/>
    <col min="3581" max="3581" width="9.7109375" style="5" bestFit="1" customWidth="1"/>
    <col min="3582" max="3584" width="9.5703125" style="5"/>
    <col min="3585" max="3585" width="10" style="5" customWidth="1"/>
    <col min="3586" max="3586" width="82.28515625" style="5" customWidth="1"/>
    <col min="3587" max="3587" width="20.85546875" style="5" customWidth="1"/>
    <col min="3588" max="3588" width="17.7109375" style="5" customWidth="1"/>
    <col min="3589" max="3589" width="11" style="5" customWidth="1"/>
    <col min="3590" max="3590" width="22.85546875" style="5" customWidth="1"/>
    <col min="3591" max="3591" width="18.28515625" style="5" customWidth="1"/>
    <col min="3592" max="3592" width="55.7109375" style="5" customWidth="1"/>
    <col min="3593" max="3593" width="18.42578125" style="5" customWidth="1"/>
    <col min="3594" max="3594" width="14.7109375" style="5" customWidth="1"/>
    <col min="3595" max="3595" width="16.5703125" style="5" customWidth="1"/>
    <col min="3596" max="3596" width="12.5703125" style="5" customWidth="1"/>
    <col min="3597" max="3597" width="14.42578125" style="5" customWidth="1"/>
    <col min="3598" max="3598" width="11" style="5" bestFit="1" customWidth="1"/>
    <col min="3599" max="3599" width="65.5703125" style="5" customWidth="1"/>
    <col min="3600" max="3600" width="20" style="5" customWidth="1"/>
    <col min="3601" max="3601" width="13.7109375" style="5" customWidth="1"/>
    <col min="3602" max="3602" width="15.140625" style="5" customWidth="1"/>
    <col min="3603" max="3603" width="14" style="5" customWidth="1"/>
    <col min="3604" max="3604" width="11.85546875" style="5" customWidth="1"/>
    <col min="3605" max="3605" width="60" style="5" customWidth="1"/>
    <col min="3606" max="3606" width="16.85546875" style="5" customWidth="1"/>
    <col min="3607" max="3607" width="19.140625" style="5" customWidth="1"/>
    <col min="3608" max="3609" width="13" style="5" customWidth="1"/>
    <col min="3610" max="3610" width="13.140625" style="5" customWidth="1"/>
    <col min="3611" max="3611" width="0" style="5" hidden="1" customWidth="1"/>
    <col min="3612" max="3612" width="10.28515625" style="5" customWidth="1"/>
    <col min="3613" max="3613" width="13.7109375" style="5" customWidth="1"/>
    <col min="3614" max="3614" width="54.42578125" style="5" customWidth="1"/>
    <col min="3615" max="3615" width="16" style="5" customWidth="1"/>
    <col min="3616" max="3616" width="15.140625" style="5" customWidth="1"/>
    <col min="3617" max="3617" width="14.28515625" style="5" customWidth="1"/>
    <col min="3618" max="3618" width="20.28515625" style="5" customWidth="1"/>
    <col min="3619" max="3619" width="11.5703125" style="5" bestFit="1" customWidth="1"/>
    <col min="3620" max="3621" width="10.42578125" style="5" bestFit="1" customWidth="1"/>
    <col min="3622" max="3623" width="9.5703125" style="5"/>
    <col min="3624" max="3624" width="10.28515625" style="5" bestFit="1" customWidth="1"/>
    <col min="3625" max="3625" width="9.5703125" style="5"/>
    <col min="3626" max="3626" width="28.28515625" style="5" customWidth="1"/>
    <col min="3627" max="3627" width="14.5703125" style="5" customWidth="1"/>
    <col min="3628" max="3628" width="11.140625" style="5" customWidth="1"/>
    <col min="3629" max="3629" width="14.140625" style="5" customWidth="1"/>
    <col min="3630" max="3630" width="9.7109375" style="5" bestFit="1" customWidth="1"/>
    <col min="3631" max="3631" width="10.28515625" style="5" bestFit="1" customWidth="1"/>
    <col min="3632" max="3632" width="12" style="5" customWidth="1"/>
    <col min="3633" max="3836" width="9.5703125" style="5"/>
    <col min="3837" max="3837" width="9.7109375" style="5" bestFit="1" customWidth="1"/>
    <col min="3838" max="3840" width="9.5703125" style="5"/>
    <col min="3841" max="3841" width="10" style="5" customWidth="1"/>
    <col min="3842" max="3842" width="82.28515625" style="5" customWidth="1"/>
    <col min="3843" max="3843" width="20.85546875" style="5" customWidth="1"/>
    <col min="3844" max="3844" width="17.7109375" style="5" customWidth="1"/>
    <col min="3845" max="3845" width="11" style="5" customWidth="1"/>
    <col min="3846" max="3846" width="22.85546875" style="5" customWidth="1"/>
    <col min="3847" max="3847" width="18.28515625" style="5" customWidth="1"/>
    <col min="3848" max="3848" width="55.7109375" style="5" customWidth="1"/>
    <col min="3849" max="3849" width="18.42578125" style="5" customWidth="1"/>
    <col min="3850" max="3850" width="14.7109375" style="5" customWidth="1"/>
    <col min="3851" max="3851" width="16.5703125" style="5" customWidth="1"/>
    <col min="3852" max="3852" width="12.5703125" style="5" customWidth="1"/>
    <col min="3853" max="3853" width="14.42578125" style="5" customWidth="1"/>
    <col min="3854" max="3854" width="11" style="5" bestFit="1" customWidth="1"/>
    <col min="3855" max="3855" width="65.5703125" style="5" customWidth="1"/>
    <col min="3856" max="3856" width="20" style="5" customWidth="1"/>
    <col min="3857" max="3857" width="13.7109375" style="5" customWidth="1"/>
    <col min="3858" max="3858" width="15.140625" style="5" customWidth="1"/>
    <col min="3859" max="3859" width="14" style="5" customWidth="1"/>
    <col min="3860" max="3860" width="11.85546875" style="5" customWidth="1"/>
    <col min="3861" max="3861" width="60" style="5" customWidth="1"/>
    <col min="3862" max="3862" width="16.85546875" style="5" customWidth="1"/>
    <col min="3863" max="3863" width="19.140625" style="5" customWidth="1"/>
    <col min="3864" max="3865" width="13" style="5" customWidth="1"/>
    <col min="3866" max="3866" width="13.140625" style="5" customWidth="1"/>
    <col min="3867" max="3867" width="0" style="5" hidden="1" customWidth="1"/>
    <col min="3868" max="3868" width="10.28515625" style="5" customWidth="1"/>
    <col min="3869" max="3869" width="13.7109375" style="5" customWidth="1"/>
    <col min="3870" max="3870" width="54.42578125" style="5" customWidth="1"/>
    <col min="3871" max="3871" width="16" style="5" customWidth="1"/>
    <col min="3872" max="3872" width="15.140625" style="5" customWidth="1"/>
    <col min="3873" max="3873" width="14.28515625" style="5" customWidth="1"/>
    <col min="3874" max="3874" width="20.28515625" style="5" customWidth="1"/>
    <col min="3875" max="3875" width="11.5703125" style="5" bestFit="1" customWidth="1"/>
    <col min="3876" max="3877" width="10.42578125" style="5" bestFit="1" customWidth="1"/>
    <col min="3878" max="3879" width="9.5703125" style="5"/>
    <col min="3880" max="3880" width="10.28515625" style="5" bestFit="1" customWidth="1"/>
    <col min="3881" max="3881" width="9.5703125" style="5"/>
    <col min="3882" max="3882" width="28.28515625" style="5" customWidth="1"/>
    <col min="3883" max="3883" width="14.5703125" style="5" customWidth="1"/>
    <col min="3884" max="3884" width="11.140625" style="5" customWidth="1"/>
    <col min="3885" max="3885" width="14.140625" style="5" customWidth="1"/>
    <col min="3886" max="3886" width="9.7109375" style="5" bestFit="1" customWidth="1"/>
    <col min="3887" max="3887" width="10.28515625" style="5" bestFit="1" customWidth="1"/>
    <col min="3888" max="3888" width="12" style="5" customWidth="1"/>
    <col min="3889" max="4092" width="9.5703125" style="5"/>
    <col min="4093" max="4093" width="9.7109375" style="5" bestFit="1" customWidth="1"/>
    <col min="4094" max="4096" width="9.5703125" style="5"/>
    <col min="4097" max="4097" width="10" style="5" customWidth="1"/>
    <col min="4098" max="4098" width="82.28515625" style="5" customWidth="1"/>
    <col min="4099" max="4099" width="20.85546875" style="5" customWidth="1"/>
    <col min="4100" max="4100" width="17.7109375" style="5" customWidth="1"/>
    <col min="4101" max="4101" width="11" style="5" customWidth="1"/>
    <col min="4102" max="4102" width="22.85546875" style="5" customWidth="1"/>
    <col min="4103" max="4103" width="18.28515625" style="5" customWidth="1"/>
    <col min="4104" max="4104" width="55.7109375" style="5" customWidth="1"/>
    <col min="4105" max="4105" width="18.42578125" style="5" customWidth="1"/>
    <col min="4106" max="4106" width="14.7109375" style="5" customWidth="1"/>
    <col min="4107" max="4107" width="16.5703125" style="5" customWidth="1"/>
    <col min="4108" max="4108" width="12.5703125" style="5" customWidth="1"/>
    <col min="4109" max="4109" width="14.42578125" style="5" customWidth="1"/>
    <col min="4110" max="4110" width="11" style="5" bestFit="1" customWidth="1"/>
    <col min="4111" max="4111" width="65.5703125" style="5" customWidth="1"/>
    <col min="4112" max="4112" width="20" style="5" customWidth="1"/>
    <col min="4113" max="4113" width="13.7109375" style="5" customWidth="1"/>
    <col min="4114" max="4114" width="15.140625" style="5" customWidth="1"/>
    <col min="4115" max="4115" width="14" style="5" customWidth="1"/>
    <col min="4116" max="4116" width="11.85546875" style="5" customWidth="1"/>
    <col min="4117" max="4117" width="60" style="5" customWidth="1"/>
    <col min="4118" max="4118" width="16.85546875" style="5" customWidth="1"/>
    <col min="4119" max="4119" width="19.140625" style="5" customWidth="1"/>
    <col min="4120" max="4121" width="13" style="5" customWidth="1"/>
    <col min="4122" max="4122" width="13.140625" style="5" customWidth="1"/>
    <col min="4123" max="4123" width="0" style="5" hidden="1" customWidth="1"/>
    <col min="4124" max="4124" width="10.28515625" style="5" customWidth="1"/>
    <col min="4125" max="4125" width="13.7109375" style="5" customWidth="1"/>
    <col min="4126" max="4126" width="54.42578125" style="5" customWidth="1"/>
    <col min="4127" max="4127" width="16" style="5" customWidth="1"/>
    <col min="4128" max="4128" width="15.140625" style="5" customWidth="1"/>
    <col min="4129" max="4129" width="14.28515625" style="5" customWidth="1"/>
    <col min="4130" max="4130" width="20.28515625" style="5" customWidth="1"/>
    <col min="4131" max="4131" width="11.5703125" style="5" bestFit="1" customWidth="1"/>
    <col min="4132" max="4133" width="10.42578125" style="5" bestFit="1" customWidth="1"/>
    <col min="4134" max="4135" width="9.5703125" style="5"/>
    <col min="4136" max="4136" width="10.28515625" style="5" bestFit="1" customWidth="1"/>
    <col min="4137" max="4137" width="9.5703125" style="5"/>
    <col min="4138" max="4138" width="28.28515625" style="5" customWidth="1"/>
    <col min="4139" max="4139" width="14.5703125" style="5" customWidth="1"/>
    <col min="4140" max="4140" width="11.140625" style="5" customWidth="1"/>
    <col min="4141" max="4141" width="14.140625" style="5" customWidth="1"/>
    <col min="4142" max="4142" width="9.7109375" style="5" bestFit="1" customWidth="1"/>
    <col min="4143" max="4143" width="10.28515625" style="5" bestFit="1" customWidth="1"/>
    <col min="4144" max="4144" width="12" style="5" customWidth="1"/>
    <col min="4145" max="4348" width="9.5703125" style="5"/>
    <col min="4349" max="4349" width="9.7109375" style="5" bestFit="1" customWidth="1"/>
    <col min="4350" max="4352" width="9.5703125" style="5"/>
    <col min="4353" max="4353" width="10" style="5" customWidth="1"/>
    <col min="4354" max="4354" width="82.28515625" style="5" customWidth="1"/>
    <col min="4355" max="4355" width="20.85546875" style="5" customWidth="1"/>
    <col min="4356" max="4356" width="17.7109375" style="5" customWidth="1"/>
    <col min="4357" max="4357" width="11" style="5" customWidth="1"/>
    <col min="4358" max="4358" width="22.85546875" style="5" customWidth="1"/>
    <col min="4359" max="4359" width="18.28515625" style="5" customWidth="1"/>
    <col min="4360" max="4360" width="55.7109375" style="5" customWidth="1"/>
    <col min="4361" max="4361" width="18.42578125" style="5" customWidth="1"/>
    <col min="4362" max="4362" width="14.7109375" style="5" customWidth="1"/>
    <col min="4363" max="4363" width="16.5703125" style="5" customWidth="1"/>
    <col min="4364" max="4364" width="12.5703125" style="5" customWidth="1"/>
    <col min="4365" max="4365" width="14.42578125" style="5" customWidth="1"/>
    <col min="4366" max="4366" width="11" style="5" bestFit="1" customWidth="1"/>
    <col min="4367" max="4367" width="65.5703125" style="5" customWidth="1"/>
    <col min="4368" max="4368" width="20" style="5" customWidth="1"/>
    <col min="4369" max="4369" width="13.7109375" style="5" customWidth="1"/>
    <col min="4370" max="4370" width="15.140625" style="5" customWidth="1"/>
    <col min="4371" max="4371" width="14" style="5" customWidth="1"/>
    <col min="4372" max="4372" width="11.85546875" style="5" customWidth="1"/>
    <col min="4373" max="4373" width="60" style="5" customWidth="1"/>
    <col min="4374" max="4374" width="16.85546875" style="5" customWidth="1"/>
    <col min="4375" max="4375" width="19.140625" style="5" customWidth="1"/>
    <col min="4376" max="4377" width="13" style="5" customWidth="1"/>
    <col min="4378" max="4378" width="13.140625" style="5" customWidth="1"/>
    <col min="4379" max="4379" width="0" style="5" hidden="1" customWidth="1"/>
    <col min="4380" max="4380" width="10.28515625" style="5" customWidth="1"/>
    <col min="4381" max="4381" width="13.7109375" style="5" customWidth="1"/>
    <col min="4382" max="4382" width="54.42578125" style="5" customWidth="1"/>
    <col min="4383" max="4383" width="16" style="5" customWidth="1"/>
    <col min="4384" max="4384" width="15.140625" style="5" customWidth="1"/>
    <col min="4385" max="4385" width="14.28515625" style="5" customWidth="1"/>
    <col min="4386" max="4386" width="20.28515625" style="5" customWidth="1"/>
    <col min="4387" max="4387" width="11.5703125" style="5" bestFit="1" customWidth="1"/>
    <col min="4388" max="4389" width="10.42578125" style="5" bestFit="1" customWidth="1"/>
    <col min="4390" max="4391" width="9.5703125" style="5"/>
    <col min="4392" max="4392" width="10.28515625" style="5" bestFit="1" customWidth="1"/>
    <col min="4393" max="4393" width="9.5703125" style="5"/>
    <col min="4394" max="4394" width="28.28515625" style="5" customWidth="1"/>
    <col min="4395" max="4395" width="14.5703125" style="5" customWidth="1"/>
    <col min="4396" max="4396" width="11.140625" style="5" customWidth="1"/>
    <col min="4397" max="4397" width="14.140625" style="5" customWidth="1"/>
    <col min="4398" max="4398" width="9.7109375" style="5" bestFit="1" customWidth="1"/>
    <col min="4399" max="4399" width="10.28515625" style="5" bestFit="1" customWidth="1"/>
    <col min="4400" max="4400" width="12" style="5" customWidth="1"/>
    <col min="4401" max="4604" width="9.5703125" style="5"/>
    <col min="4605" max="4605" width="9.7109375" style="5" bestFit="1" customWidth="1"/>
    <col min="4606" max="4608" width="9.5703125" style="5"/>
    <col min="4609" max="4609" width="10" style="5" customWidth="1"/>
    <col min="4610" max="4610" width="82.28515625" style="5" customWidth="1"/>
    <col min="4611" max="4611" width="20.85546875" style="5" customWidth="1"/>
    <col min="4612" max="4612" width="17.7109375" style="5" customWidth="1"/>
    <col min="4613" max="4613" width="11" style="5" customWidth="1"/>
    <col min="4614" max="4614" width="22.85546875" style="5" customWidth="1"/>
    <col min="4615" max="4615" width="18.28515625" style="5" customWidth="1"/>
    <col min="4616" max="4616" width="55.7109375" style="5" customWidth="1"/>
    <col min="4617" max="4617" width="18.42578125" style="5" customWidth="1"/>
    <col min="4618" max="4618" width="14.7109375" style="5" customWidth="1"/>
    <col min="4619" max="4619" width="16.5703125" style="5" customWidth="1"/>
    <col min="4620" max="4620" width="12.5703125" style="5" customWidth="1"/>
    <col min="4621" max="4621" width="14.42578125" style="5" customWidth="1"/>
    <col min="4622" max="4622" width="11" style="5" bestFit="1" customWidth="1"/>
    <col min="4623" max="4623" width="65.5703125" style="5" customWidth="1"/>
    <col min="4624" max="4624" width="20" style="5" customWidth="1"/>
    <col min="4625" max="4625" width="13.7109375" style="5" customWidth="1"/>
    <col min="4626" max="4626" width="15.140625" style="5" customWidth="1"/>
    <col min="4627" max="4627" width="14" style="5" customWidth="1"/>
    <col min="4628" max="4628" width="11.85546875" style="5" customWidth="1"/>
    <col min="4629" max="4629" width="60" style="5" customWidth="1"/>
    <col min="4630" max="4630" width="16.85546875" style="5" customWidth="1"/>
    <col min="4631" max="4631" width="19.140625" style="5" customWidth="1"/>
    <col min="4632" max="4633" width="13" style="5" customWidth="1"/>
    <col min="4634" max="4634" width="13.140625" style="5" customWidth="1"/>
    <col min="4635" max="4635" width="0" style="5" hidden="1" customWidth="1"/>
    <col min="4636" max="4636" width="10.28515625" style="5" customWidth="1"/>
    <col min="4637" max="4637" width="13.7109375" style="5" customWidth="1"/>
    <col min="4638" max="4638" width="54.42578125" style="5" customWidth="1"/>
    <col min="4639" max="4639" width="16" style="5" customWidth="1"/>
    <col min="4640" max="4640" width="15.140625" style="5" customWidth="1"/>
    <col min="4641" max="4641" width="14.28515625" style="5" customWidth="1"/>
    <col min="4642" max="4642" width="20.28515625" style="5" customWidth="1"/>
    <col min="4643" max="4643" width="11.5703125" style="5" bestFit="1" customWidth="1"/>
    <col min="4644" max="4645" width="10.42578125" style="5" bestFit="1" customWidth="1"/>
    <col min="4646" max="4647" width="9.5703125" style="5"/>
    <col min="4648" max="4648" width="10.28515625" style="5" bestFit="1" customWidth="1"/>
    <col min="4649" max="4649" width="9.5703125" style="5"/>
    <col min="4650" max="4650" width="28.28515625" style="5" customWidth="1"/>
    <col min="4651" max="4651" width="14.5703125" style="5" customWidth="1"/>
    <col min="4652" max="4652" width="11.140625" style="5" customWidth="1"/>
    <col min="4653" max="4653" width="14.140625" style="5" customWidth="1"/>
    <col min="4654" max="4654" width="9.7109375" style="5" bestFit="1" customWidth="1"/>
    <col min="4655" max="4655" width="10.28515625" style="5" bestFit="1" customWidth="1"/>
    <col min="4656" max="4656" width="12" style="5" customWidth="1"/>
    <col min="4657" max="4860" width="9.5703125" style="5"/>
    <col min="4861" max="4861" width="9.7109375" style="5" bestFit="1" customWidth="1"/>
    <col min="4862" max="4864" width="9.5703125" style="5"/>
    <col min="4865" max="4865" width="10" style="5" customWidth="1"/>
    <col min="4866" max="4866" width="82.28515625" style="5" customWidth="1"/>
    <col min="4867" max="4867" width="20.85546875" style="5" customWidth="1"/>
    <col min="4868" max="4868" width="17.7109375" style="5" customWidth="1"/>
    <col min="4869" max="4869" width="11" style="5" customWidth="1"/>
    <col min="4870" max="4870" width="22.85546875" style="5" customWidth="1"/>
    <col min="4871" max="4871" width="18.28515625" style="5" customWidth="1"/>
    <col min="4872" max="4872" width="55.7109375" style="5" customWidth="1"/>
    <col min="4873" max="4873" width="18.42578125" style="5" customWidth="1"/>
    <col min="4874" max="4874" width="14.7109375" style="5" customWidth="1"/>
    <col min="4875" max="4875" width="16.5703125" style="5" customWidth="1"/>
    <col min="4876" max="4876" width="12.5703125" style="5" customWidth="1"/>
    <col min="4877" max="4877" width="14.42578125" style="5" customWidth="1"/>
    <col min="4878" max="4878" width="11" style="5" bestFit="1" customWidth="1"/>
    <col min="4879" max="4879" width="65.5703125" style="5" customWidth="1"/>
    <col min="4880" max="4880" width="20" style="5" customWidth="1"/>
    <col min="4881" max="4881" width="13.7109375" style="5" customWidth="1"/>
    <col min="4882" max="4882" width="15.140625" style="5" customWidth="1"/>
    <col min="4883" max="4883" width="14" style="5" customWidth="1"/>
    <col min="4884" max="4884" width="11.85546875" style="5" customWidth="1"/>
    <col min="4885" max="4885" width="60" style="5" customWidth="1"/>
    <col min="4886" max="4886" width="16.85546875" style="5" customWidth="1"/>
    <col min="4887" max="4887" width="19.140625" style="5" customWidth="1"/>
    <col min="4888" max="4889" width="13" style="5" customWidth="1"/>
    <col min="4890" max="4890" width="13.140625" style="5" customWidth="1"/>
    <col min="4891" max="4891" width="0" style="5" hidden="1" customWidth="1"/>
    <col min="4892" max="4892" width="10.28515625" style="5" customWidth="1"/>
    <col min="4893" max="4893" width="13.7109375" style="5" customWidth="1"/>
    <col min="4894" max="4894" width="54.42578125" style="5" customWidth="1"/>
    <col min="4895" max="4895" width="16" style="5" customWidth="1"/>
    <col min="4896" max="4896" width="15.140625" style="5" customWidth="1"/>
    <col min="4897" max="4897" width="14.28515625" style="5" customWidth="1"/>
    <col min="4898" max="4898" width="20.28515625" style="5" customWidth="1"/>
    <col min="4899" max="4899" width="11.5703125" style="5" bestFit="1" customWidth="1"/>
    <col min="4900" max="4901" width="10.42578125" style="5" bestFit="1" customWidth="1"/>
    <col min="4902" max="4903" width="9.5703125" style="5"/>
    <col min="4904" max="4904" width="10.28515625" style="5" bestFit="1" customWidth="1"/>
    <col min="4905" max="4905" width="9.5703125" style="5"/>
    <col min="4906" max="4906" width="28.28515625" style="5" customWidth="1"/>
    <col min="4907" max="4907" width="14.5703125" style="5" customWidth="1"/>
    <col min="4908" max="4908" width="11.140625" style="5" customWidth="1"/>
    <col min="4909" max="4909" width="14.140625" style="5" customWidth="1"/>
    <col min="4910" max="4910" width="9.7109375" style="5" bestFit="1" customWidth="1"/>
    <col min="4911" max="4911" width="10.28515625" style="5" bestFit="1" customWidth="1"/>
    <col min="4912" max="4912" width="12" style="5" customWidth="1"/>
    <col min="4913" max="5116" width="9.5703125" style="5"/>
    <col min="5117" max="5117" width="9.7109375" style="5" bestFit="1" customWidth="1"/>
    <col min="5118" max="5120" width="9.5703125" style="5"/>
    <col min="5121" max="5121" width="10" style="5" customWidth="1"/>
    <col min="5122" max="5122" width="82.28515625" style="5" customWidth="1"/>
    <col min="5123" max="5123" width="20.85546875" style="5" customWidth="1"/>
    <col min="5124" max="5124" width="17.7109375" style="5" customWidth="1"/>
    <col min="5125" max="5125" width="11" style="5" customWidth="1"/>
    <col min="5126" max="5126" width="22.85546875" style="5" customWidth="1"/>
    <col min="5127" max="5127" width="18.28515625" style="5" customWidth="1"/>
    <col min="5128" max="5128" width="55.7109375" style="5" customWidth="1"/>
    <col min="5129" max="5129" width="18.42578125" style="5" customWidth="1"/>
    <col min="5130" max="5130" width="14.7109375" style="5" customWidth="1"/>
    <col min="5131" max="5131" width="16.5703125" style="5" customWidth="1"/>
    <col min="5132" max="5132" width="12.5703125" style="5" customWidth="1"/>
    <col min="5133" max="5133" width="14.42578125" style="5" customWidth="1"/>
    <col min="5134" max="5134" width="11" style="5" bestFit="1" customWidth="1"/>
    <col min="5135" max="5135" width="65.5703125" style="5" customWidth="1"/>
    <col min="5136" max="5136" width="20" style="5" customWidth="1"/>
    <col min="5137" max="5137" width="13.7109375" style="5" customWidth="1"/>
    <col min="5138" max="5138" width="15.140625" style="5" customWidth="1"/>
    <col min="5139" max="5139" width="14" style="5" customWidth="1"/>
    <col min="5140" max="5140" width="11.85546875" style="5" customWidth="1"/>
    <col min="5141" max="5141" width="60" style="5" customWidth="1"/>
    <col min="5142" max="5142" width="16.85546875" style="5" customWidth="1"/>
    <col min="5143" max="5143" width="19.140625" style="5" customWidth="1"/>
    <col min="5144" max="5145" width="13" style="5" customWidth="1"/>
    <col min="5146" max="5146" width="13.140625" style="5" customWidth="1"/>
    <col min="5147" max="5147" width="0" style="5" hidden="1" customWidth="1"/>
    <col min="5148" max="5148" width="10.28515625" style="5" customWidth="1"/>
    <col min="5149" max="5149" width="13.7109375" style="5" customWidth="1"/>
    <col min="5150" max="5150" width="54.42578125" style="5" customWidth="1"/>
    <col min="5151" max="5151" width="16" style="5" customWidth="1"/>
    <col min="5152" max="5152" width="15.140625" style="5" customWidth="1"/>
    <col min="5153" max="5153" width="14.28515625" style="5" customWidth="1"/>
    <col min="5154" max="5154" width="20.28515625" style="5" customWidth="1"/>
    <col min="5155" max="5155" width="11.5703125" style="5" bestFit="1" customWidth="1"/>
    <col min="5156" max="5157" width="10.42578125" style="5" bestFit="1" customWidth="1"/>
    <col min="5158" max="5159" width="9.5703125" style="5"/>
    <col min="5160" max="5160" width="10.28515625" style="5" bestFit="1" customWidth="1"/>
    <col min="5161" max="5161" width="9.5703125" style="5"/>
    <col min="5162" max="5162" width="28.28515625" style="5" customWidth="1"/>
    <col min="5163" max="5163" width="14.5703125" style="5" customWidth="1"/>
    <col min="5164" max="5164" width="11.140625" style="5" customWidth="1"/>
    <col min="5165" max="5165" width="14.140625" style="5" customWidth="1"/>
    <col min="5166" max="5166" width="9.7109375" style="5" bestFit="1" customWidth="1"/>
    <col min="5167" max="5167" width="10.28515625" style="5" bestFit="1" customWidth="1"/>
    <col min="5168" max="5168" width="12" style="5" customWidth="1"/>
    <col min="5169" max="5372" width="9.5703125" style="5"/>
    <col min="5373" max="5373" width="9.7109375" style="5" bestFit="1" customWidth="1"/>
    <col min="5374" max="5376" width="9.5703125" style="5"/>
    <col min="5377" max="5377" width="10" style="5" customWidth="1"/>
    <col min="5378" max="5378" width="82.28515625" style="5" customWidth="1"/>
    <col min="5379" max="5379" width="20.85546875" style="5" customWidth="1"/>
    <col min="5380" max="5380" width="17.7109375" style="5" customWidth="1"/>
    <col min="5381" max="5381" width="11" style="5" customWidth="1"/>
    <col min="5382" max="5382" width="22.85546875" style="5" customWidth="1"/>
    <col min="5383" max="5383" width="18.28515625" style="5" customWidth="1"/>
    <col min="5384" max="5384" width="55.7109375" style="5" customWidth="1"/>
    <col min="5385" max="5385" width="18.42578125" style="5" customWidth="1"/>
    <col min="5386" max="5386" width="14.7109375" style="5" customWidth="1"/>
    <col min="5387" max="5387" width="16.5703125" style="5" customWidth="1"/>
    <col min="5388" max="5388" width="12.5703125" style="5" customWidth="1"/>
    <col min="5389" max="5389" width="14.42578125" style="5" customWidth="1"/>
    <col min="5390" max="5390" width="11" style="5" bestFit="1" customWidth="1"/>
    <col min="5391" max="5391" width="65.5703125" style="5" customWidth="1"/>
    <col min="5392" max="5392" width="20" style="5" customWidth="1"/>
    <col min="5393" max="5393" width="13.7109375" style="5" customWidth="1"/>
    <col min="5394" max="5394" width="15.140625" style="5" customWidth="1"/>
    <col min="5395" max="5395" width="14" style="5" customWidth="1"/>
    <col min="5396" max="5396" width="11.85546875" style="5" customWidth="1"/>
    <col min="5397" max="5397" width="60" style="5" customWidth="1"/>
    <col min="5398" max="5398" width="16.85546875" style="5" customWidth="1"/>
    <col min="5399" max="5399" width="19.140625" style="5" customWidth="1"/>
    <col min="5400" max="5401" width="13" style="5" customWidth="1"/>
    <col min="5402" max="5402" width="13.140625" style="5" customWidth="1"/>
    <col min="5403" max="5403" width="0" style="5" hidden="1" customWidth="1"/>
    <col min="5404" max="5404" width="10.28515625" style="5" customWidth="1"/>
    <col min="5405" max="5405" width="13.7109375" style="5" customWidth="1"/>
    <col min="5406" max="5406" width="54.42578125" style="5" customWidth="1"/>
    <col min="5407" max="5407" width="16" style="5" customWidth="1"/>
    <col min="5408" max="5408" width="15.140625" style="5" customWidth="1"/>
    <col min="5409" max="5409" width="14.28515625" style="5" customWidth="1"/>
    <col min="5410" max="5410" width="20.28515625" style="5" customWidth="1"/>
    <col min="5411" max="5411" width="11.5703125" style="5" bestFit="1" customWidth="1"/>
    <col min="5412" max="5413" width="10.42578125" style="5" bestFit="1" customWidth="1"/>
    <col min="5414" max="5415" width="9.5703125" style="5"/>
    <col min="5416" max="5416" width="10.28515625" style="5" bestFit="1" customWidth="1"/>
    <col min="5417" max="5417" width="9.5703125" style="5"/>
    <col min="5418" max="5418" width="28.28515625" style="5" customWidth="1"/>
    <col min="5419" max="5419" width="14.5703125" style="5" customWidth="1"/>
    <col min="5420" max="5420" width="11.140625" style="5" customWidth="1"/>
    <col min="5421" max="5421" width="14.140625" style="5" customWidth="1"/>
    <col min="5422" max="5422" width="9.7109375" style="5" bestFit="1" customWidth="1"/>
    <col min="5423" max="5423" width="10.28515625" style="5" bestFit="1" customWidth="1"/>
    <col min="5424" max="5424" width="12" style="5" customWidth="1"/>
    <col min="5425" max="5628" width="9.5703125" style="5"/>
    <col min="5629" max="5629" width="9.7109375" style="5" bestFit="1" customWidth="1"/>
    <col min="5630" max="5632" width="9.5703125" style="5"/>
    <col min="5633" max="5633" width="10" style="5" customWidth="1"/>
    <col min="5634" max="5634" width="82.28515625" style="5" customWidth="1"/>
    <col min="5635" max="5635" width="20.85546875" style="5" customWidth="1"/>
    <col min="5636" max="5636" width="17.7109375" style="5" customWidth="1"/>
    <col min="5637" max="5637" width="11" style="5" customWidth="1"/>
    <col min="5638" max="5638" width="22.85546875" style="5" customWidth="1"/>
    <col min="5639" max="5639" width="18.28515625" style="5" customWidth="1"/>
    <col min="5640" max="5640" width="55.7109375" style="5" customWidth="1"/>
    <col min="5641" max="5641" width="18.42578125" style="5" customWidth="1"/>
    <col min="5642" max="5642" width="14.7109375" style="5" customWidth="1"/>
    <col min="5643" max="5643" width="16.5703125" style="5" customWidth="1"/>
    <col min="5644" max="5644" width="12.5703125" style="5" customWidth="1"/>
    <col min="5645" max="5645" width="14.42578125" style="5" customWidth="1"/>
    <col min="5646" max="5646" width="11" style="5" bestFit="1" customWidth="1"/>
    <col min="5647" max="5647" width="65.5703125" style="5" customWidth="1"/>
    <col min="5648" max="5648" width="20" style="5" customWidth="1"/>
    <col min="5649" max="5649" width="13.7109375" style="5" customWidth="1"/>
    <col min="5650" max="5650" width="15.140625" style="5" customWidth="1"/>
    <col min="5651" max="5651" width="14" style="5" customWidth="1"/>
    <col min="5652" max="5652" width="11.85546875" style="5" customWidth="1"/>
    <col min="5653" max="5653" width="60" style="5" customWidth="1"/>
    <col min="5654" max="5654" width="16.85546875" style="5" customWidth="1"/>
    <col min="5655" max="5655" width="19.140625" style="5" customWidth="1"/>
    <col min="5656" max="5657" width="13" style="5" customWidth="1"/>
    <col min="5658" max="5658" width="13.140625" style="5" customWidth="1"/>
    <col min="5659" max="5659" width="0" style="5" hidden="1" customWidth="1"/>
    <col min="5660" max="5660" width="10.28515625" style="5" customWidth="1"/>
    <col min="5661" max="5661" width="13.7109375" style="5" customWidth="1"/>
    <col min="5662" max="5662" width="54.42578125" style="5" customWidth="1"/>
    <col min="5663" max="5663" width="16" style="5" customWidth="1"/>
    <col min="5664" max="5664" width="15.140625" style="5" customWidth="1"/>
    <col min="5665" max="5665" width="14.28515625" style="5" customWidth="1"/>
    <col min="5666" max="5666" width="20.28515625" style="5" customWidth="1"/>
    <col min="5667" max="5667" width="11.5703125" style="5" bestFit="1" customWidth="1"/>
    <col min="5668" max="5669" width="10.42578125" style="5" bestFit="1" customWidth="1"/>
    <col min="5670" max="5671" width="9.5703125" style="5"/>
    <col min="5672" max="5672" width="10.28515625" style="5" bestFit="1" customWidth="1"/>
    <col min="5673" max="5673" width="9.5703125" style="5"/>
    <col min="5674" max="5674" width="28.28515625" style="5" customWidth="1"/>
    <col min="5675" max="5675" width="14.5703125" style="5" customWidth="1"/>
    <col min="5676" max="5676" width="11.140625" style="5" customWidth="1"/>
    <col min="5677" max="5677" width="14.140625" style="5" customWidth="1"/>
    <col min="5678" max="5678" width="9.7109375" style="5" bestFit="1" customWidth="1"/>
    <col min="5679" max="5679" width="10.28515625" style="5" bestFit="1" customWidth="1"/>
    <col min="5680" max="5680" width="12" style="5" customWidth="1"/>
    <col min="5681" max="5884" width="9.5703125" style="5"/>
    <col min="5885" max="5885" width="9.7109375" style="5" bestFit="1" customWidth="1"/>
    <col min="5886" max="5888" width="9.5703125" style="5"/>
    <col min="5889" max="5889" width="10" style="5" customWidth="1"/>
    <col min="5890" max="5890" width="82.28515625" style="5" customWidth="1"/>
    <col min="5891" max="5891" width="20.85546875" style="5" customWidth="1"/>
    <col min="5892" max="5892" width="17.7109375" style="5" customWidth="1"/>
    <col min="5893" max="5893" width="11" style="5" customWidth="1"/>
    <col min="5894" max="5894" width="22.85546875" style="5" customWidth="1"/>
    <col min="5895" max="5895" width="18.28515625" style="5" customWidth="1"/>
    <col min="5896" max="5896" width="55.7109375" style="5" customWidth="1"/>
    <col min="5897" max="5897" width="18.42578125" style="5" customWidth="1"/>
    <col min="5898" max="5898" width="14.7109375" style="5" customWidth="1"/>
    <col min="5899" max="5899" width="16.5703125" style="5" customWidth="1"/>
    <col min="5900" max="5900" width="12.5703125" style="5" customWidth="1"/>
    <col min="5901" max="5901" width="14.42578125" style="5" customWidth="1"/>
    <col min="5902" max="5902" width="11" style="5" bestFit="1" customWidth="1"/>
    <col min="5903" max="5903" width="65.5703125" style="5" customWidth="1"/>
    <col min="5904" max="5904" width="20" style="5" customWidth="1"/>
    <col min="5905" max="5905" width="13.7109375" style="5" customWidth="1"/>
    <col min="5906" max="5906" width="15.140625" style="5" customWidth="1"/>
    <col min="5907" max="5907" width="14" style="5" customWidth="1"/>
    <col min="5908" max="5908" width="11.85546875" style="5" customWidth="1"/>
    <col min="5909" max="5909" width="60" style="5" customWidth="1"/>
    <col min="5910" max="5910" width="16.85546875" style="5" customWidth="1"/>
    <col min="5911" max="5911" width="19.140625" style="5" customWidth="1"/>
    <col min="5912" max="5913" width="13" style="5" customWidth="1"/>
    <col min="5914" max="5914" width="13.140625" style="5" customWidth="1"/>
    <col min="5915" max="5915" width="0" style="5" hidden="1" customWidth="1"/>
    <col min="5916" max="5916" width="10.28515625" style="5" customWidth="1"/>
    <col min="5917" max="5917" width="13.7109375" style="5" customWidth="1"/>
    <col min="5918" max="5918" width="54.42578125" style="5" customWidth="1"/>
    <col min="5919" max="5919" width="16" style="5" customWidth="1"/>
    <col min="5920" max="5920" width="15.140625" style="5" customWidth="1"/>
    <col min="5921" max="5921" width="14.28515625" style="5" customWidth="1"/>
    <col min="5922" max="5922" width="20.28515625" style="5" customWidth="1"/>
    <col min="5923" max="5923" width="11.5703125" style="5" bestFit="1" customWidth="1"/>
    <col min="5924" max="5925" width="10.42578125" style="5" bestFit="1" customWidth="1"/>
    <col min="5926" max="5927" width="9.5703125" style="5"/>
    <col min="5928" max="5928" width="10.28515625" style="5" bestFit="1" customWidth="1"/>
    <col min="5929" max="5929" width="9.5703125" style="5"/>
    <col min="5930" max="5930" width="28.28515625" style="5" customWidth="1"/>
    <col min="5931" max="5931" width="14.5703125" style="5" customWidth="1"/>
    <col min="5932" max="5932" width="11.140625" style="5" customWidth="1"/>
    <col min="5933" max="5933" width="14.140625" style="5" customWidth="1"/>
    <col min="5934" max="5934" width="9.7109375" style="5" bestFit="1" customWidth="1"/>
    <col min="5935" max="5935" width="10.28515625" style="5" bestFit="1" customWidth="1"/>
    <col min="5936" max="5936" width="12" style="5" customWidth="1"/>
    <col min="5937" max="6140" width="9.5703125" style="5"/>
    <col min="6141" max="6141" width="9.7109375" style="5" bestFit="1" customWidth="1"/>
    <col min="6142" max="6144" width="9.5703125" style="5"/>
    <col min="6145" max="6145" width="10" style="5" customWidth="1"/>
    <col min="6146" max="6146" width="82.28515625" style="5" customWidth="1"/>
    <col min="6147" max="6147" width="20.85546875" style="5" customWidth="1"/>
    <col min="6148" max="6148" width="17.7109375" style="5" customWidth="1"/>
    <col min="6149" max="6149" width="11" style="5" customWidth="1"/>
    <col min="6150" max="6150" width="22.85546875" style="5" customWidth="1"/>
    <col min="6151" max="6151" width="18.28515625" style="5" customWidth="1"/>
    <col min="6152" max="6152" width="55.7109375" style="5" customWidth="1"/>
    <col min="6153" max="6153" width="18.42578125" style="5" customWidth="1"/>
    <col min="6154" max="6154" width="14.7109375" style="5" customWidth="1"/>
    <col min="6155" max="6155" width="16.5703125" style="5" customWidth="1"/>
    <col min="6156" max="6156" width="12.5703125" style="5" customWidth="1"/>
    <col min="6157" max="6157" width="14.42578125" style="5" customWidth="1"/>
    <col min="6158" max="6158" width="11" style="5" bestFit="1" customWidth="1"/>
    <col min="6159" max="6159" width="65.5703125" style="5" customWidth="1"/>
    <col min="6160" max="6160" width="20" style="5" customWidth="1"/>
    <col min="6161" max="6161" width="13.7109375" style="5" customWidth="1"/>
    <col min="6162" max="6162" width="15.140625" style="5" customWidth="1"/>
    <col min="6163" max="6163" width="14" style="5" customWidth="1"/>
    <col min="6164" max="6164" width="11.85546875" style="5" customWidth="1"/>
    <col min="6165" max="6165" width="60" style="5" customWidth="1"/>
    <col min="6166" max="6166" width="16.85546875" style="5" customWidth="1"/>
    <col min="6167" max="6167" width="19.140625" style="5" customWidth="1"/>
    <col min="6168" max="6169" width="13" style="5" customWidth="1"/>
    <col min="6170" max="6170" width="13.140625" style="5" customWidth="1"/>
    <col min="6171" max="6171" width="0" style="5" hidden="1" customWidth="1"/>
    <col min="6172" max="6172" width="10.28515625" style="5" customWidth="1"/>
    <col min="6173" max="6173" width="13.7109375" style="5" customWidth="1"/>
    <col min="6174" max="6174" width="54.42578125" style="5" customWidth="1"/>
    <col min="6175" max="6175" width="16" style="5" customWidth="1"/>
    <col min="6176" max="6176" width="15.140625" style="5" customWidth="1"/>
    <col min="6177" max="6177" width="14.28515625" style="5" customWidth="1"/>
    <col min="6178" max="6178" width="20.28515625" style="5" customWidth="1"/>
    <col min="6179" max="6179" width="11.5703125" style="5" bestFit="1" customWidth="1"/>
    <col min="6180" max="6181" width="10.42578125" style="5" bestFit="1" customWidth="1"/>
    <col min="6182" max="6183" width="9.5703125" style="5"/>
    <col min="6184" max="6184" width="10.28515625" style="5" bestFit="1" customWidth="1"/>
    <col min="6185" max="6185" width="9.5703125" style="5"/>
    <col min="6186" max="6186" width="28.28515625" style="5" customWidth="1"/>
    <col min="6187" max="6187" width="14.5703125" style="5" customWidth="1"/>
    <col min="6188" max="6188" width="11.140625" style="5" customWidth="1"/>
    <col min="6189" max="6189" width="14.140625" style="5" customWidth="1"/>
    <col min="6190" max="6190" width="9.7109375" style="5" bestFit="1" customWidth="1"/>
    <col min="6191" max="6191" width="10.28515625" style="5" bestFit="1" customWidth="1"/>
    <col min="6192" max="6192" width="12" style="5" customWidth="1"/>
    <col min="6193" max="6396" width="9.5703125" style="5"/>
    <col min="6397" max="6397" width="9.7109375" style="5" bestFit="1" customWidth="1"/>
    <col min="6398" max="6400" width="9.5703125" style="5"/>
    <col min="6401" max="6401" width="10" style="5" customWidth="1"/>
    <col min="6402" max="6402" width="82.28515625" style="5" customWidth="1"/>
    <col min="6403" max="6403" width="20.85546875" style="5" customWidth="1"/>
    <col min="6404" max="6404" width="17.7109375" style="5" customWidth="1"/>
    <col min="6405" max="6405" width="11" style="5" customWidth="1"/>
    <col min="6406" max="6406" width="22.85546875" style="5" customWidth="1"/>
    <col min="6407" max="6407" width="18.28515625" style="5" customWidth="1"/>
    <col min="6408" max="6408" width="55.7109375" style="5" customWidth="1"/>
    <col min="6409" max="6409" width="18.42578125" style="5" customWidth="1"/>
    <col min="6410" max="6410" width="14.7109375" style="5" customWidth="1"/>
    <col min="6411" max="6411" width="16.5703125" style="5" customWidth="1"/>
    <col min="6412" max="6412" width="12.5703125" style="5" customWidth="1"/>
    <col min="6413" max="6413" width="14.42578125" style="5" customWidth="1"/>
    <col min="6414" max="6414" width="11" style="5" bestFit="1" customWidth="1"/>
    <col min="6415" max="6415" width="65.5703125" style="5" customWidth="1"/>
    <col min="6416" max="6416" width="20" style="5" customWidth="1"/>
    <col min="6417" max="6417" width="13.7109375" style="5" customWidth="1"/>
    <col min="6418" max="6418" width="15.140625" style="5" customWidth="1"/>
    <col min="6419" max="6419" width="14" style="5" customWidth="1"/>
    <col min="6420" max="6420" width="11.85546875" style="5" customWidth="1"/>
    <col min="6421" max="6421" width="60" style="5" customWidth="1"/>
    <col min="6422" max="6422" width="16.85546875" style="5" customWidth="1"/>
    <col min="6423" max="6423" width="19.140625" style="5" customWidth="1"/>
    <col min="6424" max="6425" width="13" style="5" customWidth="1"/>
    <col min="6426" max="6426" width="13.140625" style="5" customWidth="1"/>
    <col min="6427" max="6427" width="0" style="5" hidden="1" customWidth="1"/>
    <col min="6428" max="6428" width="10.28515625" style="5" customWidth="1"/>
    <col min="6429" max="6429" width="13.7109375" style="5" customWidth="1"/>
    <col min="6430" max="6430" width="54.42578125" style="5" customWidth="1"/>
    <col min="6431" max="6431" width="16" style="5" customWidth="1"/>
    <col min="6432" max="6432" width="15.140625" style="5" customWidth="1"/>
    <col min="6433" max="6433" width="14.28515625" style="5" customWidth="1"/>
    <col min="6434" max="6434" width="20.28515625" style="5" customWidth="1"/>
    <col min="6435" max="6435" width="11.5703125" style="5" bestFit="1" customWidth="1"/>
    <col min="6436" max="6437" width="10.42578125" style="5" bestFit="1" customWidth="1"/>
    <col min="6438" max="6439" width="9.5703125" style="5"/>
    <col min="6440" max="6440" width="10.28515625" style="5" bestFit="1" customWidth="1"/>
    <col min="6441" max="6441" width="9.5703125" style="5"/>
    <col min="6442" max="6442" width="28.28515625" style="5" customWidth="1"/>
    <col min="6443" max="6443" width="14.5703125" style="5" customWidth="1"/>
    <col min="6444" max="6444" width="11.140625" style="5" customWidth="1"/>
    <col min="6445" max="6445" width="14.140625" style="5" customWidth="1"/>
    <col min="6446" max="6446" width="9.7109375" style="5" bestFit="1" customWidth="1"/>
    <col min="6447" max="6447" width="10.28515625" style="5" bestFit="1" customWidth="1"/>
    <col min="6448" max="6448" width="12" style="5" customWidth="1"/>
    <col min="6449" max="6652" width="9.5703125" style="5"/>
    <col min="6653" max="6653" width="9.7109375" style="5" bestFit="1" customWidth="1"/>
    <col min="6654" max="6656" width="9.5703125" style="5"/>
    <col min="6657" max="6657" width="10" style="5" customWidth="1"/>
    <col min="6658" max="6658" width="82.28515625" style="5" customWidth="1"/>
    <col min="6659" max="6659" width="20.85546875" style="5" customWidth="1"/>
    <col min="6660" max="6660" width="17.7109375" style="5" customWidth="1"/>
    <col min="6661" max="6661" width="11" style="5" customWidth="1"/>
    <col min="6662" max="6662" width="22.85546875" style="5" customWidth="1"/>
    <col min="6663" max="6663" width="18.28515625" style="5" customWidth="1"/>
    <col min="6664" max="6664" width="55.7109375" style="5" customWidth="1"/>
    <col min="6665" max="6665" width="18.42578125" style="5" customWidth="1"/>
    <col min="6666" max="6666" width="14.7109375" style="5" customWidth="1"/>
    <col min="6667" max="6667" width="16.5703125" style="5" customWidth="1"/>
    <col min="6668" max="6668" width="12.5703125" style="5" customWidth="1"/>
    <col min="6669" max="6669" width="14.42578125" style="5" customWidth="1"/>
    <col min="6670" max="6670" width="11" style="5" bestFit="1" customWidth="1"/>
    <col min="6671" max="6671" width="65.5703125" style="5" customWidth="1"/>
    <col min="6672" max="6672" width="20" style="5" customWidth="1"/>
    <col min="6673" max="6673" width="13.7109375" style="5" customWidth="1"/>
    <col min="6674" max="6674" width="15.140625" style="5" customWidth="1"/>
    <col min="6675" max="6675" width="14" style="5" customWidth="1"/>
    <col min="6676" max="6676" width="11.85546875" style="5" customWidth="1"/>
    <col min="6677" max="6677" width="60" style="5" customWidth="1"/>
    <col min="6678" max="6678" width="16.85546875" style="5" customWidth="1"/>
    <col min="6679" max="6679" width="19.140625" style="5" customWidth="1"/>
    <col min="6680" max="6681" width="13" style="5" customWidth="1"/>
    <col min="6682" max="6682" width="13.140625" style="5" customWidth="1"/>
    <col min="6683" max="6683" width="0" style="5" hidden="1" customWidth="1"/>
    <col min="6684" max="6684" width="10.28515625" style="5" customWidth="1"/>
    <col min="6685" max="6685" width="13.7109375" style="5" customWidth="1"/>
    <col min="6686" max="6686" width="54.42578125" style="5" customWidth="1"/>
    <col min="6687" max="6687" width="16" style="5" customWidth="1"/>
    <col min="6688" max="6688" width="15.140625" style="5" customWidth="1"/>
    <col min="6689" max="6689" width="14.28515625" style="5" customWidth="1"/>
    <col min="6690" max="6690" width="20.28515625" style="5" customWidth="1"/>
    <col min="6691" max="6691" width="11.5703125" style="5" bestFit="1" customWidth="1"/>
    <col min="6692" max="6693" width="10.42578125" style="5" bestFit="1" customWidth="1"/>
    <col min="6694" max="6695" width="9.5703125" style="5"/>
    <col min="6696" max="6696" width="10.28515625" style="5" bestFit="1" customWidth="1"/>
    <col min="6697" max="6697" width="9.5703125" style="5"/>
    <col min="6698" max="6698" width="28.28515625" style="5" customWidth="1"/>
    <col min="6699" max="6699" width="14.5703125" style="5" customWidth="1"/>
    <col min="6700" max="6700" width="11.140625" style="5" customWidth="1"/>
    <col min="6701" max="6701" width="14.140625" style="5" customWidth="1"/>
    <col min="6702" max="6702" width="9.7109375" style="5" bestFit="1" customWidth="1"/>
    <col min="6703" max="6703" width="10.28515625" style="5" bestFit="1" customWidth="1"/>
    <col min="6704" max="6704" width="12" style="5" customWidth="1"/>
    <col min="6705" max="6908" width="9.5703125" style="5"/>
    <col min="6909" max="6909" width="9.7109375" style="5" bestFit="1" customWidth="1"/>
    <col min="6910" max="6912" width="9.5703125" style="5"/>
    <col min="6913" max="6913" width="10" style="5" customWidth="1"/>
    <col min="6914" max="6914" width="82.28515625" style="5" customWidth="1"/>
    <col min="6915" max="6915" width="20.85546875" style="5" customWidth="1"/>
    <col min="6916" max="6916" width="17.7109375" style="5" customWidth="1"/>
    <col min="6917" max="6917" width="11" style="5" customWidth="1"/>
    <col min="6918" max="6918" width="22.85546875" style="5" customWidth="1"/>
    <col min="6919" max="6919" width="18.28515625" style="5" customWidth="1"/>
    <col min="6920" max="6920" width="55.7109375" style="5" customWidth="1"/>
    <col min="6921" max="6921" width="18.42578125" style="5" customWidth="1"/>
    <col min="6922" max="6922" width="14.7109375" style="5" customWidth="1"/>
    <col min="6923" max="6923" width="16.5703125" style="5" customWidth="1"/>
    <col min="6924" max="6924" width="12.5703125" style="5" customWidth="1"/>
    <col min="6925" max="6925" width="14.42578125" style="5" customWidth="1"/>
    <col min="6926" max="6926" width="11" style="5" bestFit="1" customWidth="1"/>
    <col min="6927" max="6927" width="65.5703125" style="5" customWidth="1"/>
    <col min="6928" max="6928" width="20" style="5" customWidth="1"/>
    <col min="6929" max="6929" width="13.7109375" style="5" customWidth="1"/>
    <col min="6930" max="6930" width="15.140625" style="5" customWidth="1"/>
    <col min="6931" max="6931" width="14" style="5" customWidth="1"/>
    <col min="6932" max="6932" width="11.85546875" style="5" customWidth="1"/>
    <col min="6933" max="6933" width="60" style="5" customWidth="1"/>
    <col min="6934" max="6934" width="16.85546875" style="5" customWidth="1"/>
    <col min="6935" max="6935" width="19.140625" style="5" customWidth="1"/>
    <col min="6936" max="6937" width="13" style="5" customWidth="1"/>
    <col min="6938" max="6938" width="13.140625" style="5" customWidth="1"/>
    <col min="6939" max="6939" width="0" style="5" hidden="1" customWidth="1"/>
    <col min="6940" max="6940" width="10.28515625" style="5" customWidth="1"/>
    <col min="6941" max="6941" width="13.7109375" style="5" customWidth="1"/>
    <col min="6942" max="6942" width="54.42578125" style="5" customWidth="1"/>
    <col min="6943" max="6943" width="16" style="5" customWidth="1"/>
    <col min="6944" max="6944" width="15.140625" style="5" customWidth="1"/>
    <col min="6945" max="6945" width="14.28515625" style="5" customWidth="1"/>
    <col min="6946" max="6946" width="20.28515625" style="5" customWidth="1"/>
    <col min="6947" max="6947" width="11.5703125" style="5" bestFit="1" customWidth="1"/>
    <col min="6948" max="6949" width="10.42578125" style="5" bestFit="1" customWidth="1"/>
    <col min="6950" max="6951" width="9.5703125" style="5"/>
    <col min="6952" max="6952" width="10.28515625" style="5" bestFit="1" customWidth="1"/>
    <col min="6953" max="6953" width="9.5703125" style="5"/>
    <col min="6954" max="6954" width="28.28515625" style="5" customWidth="1"/>
    <col min="6955" max="6955" width="14.5703125" style="5" customWidth="1"/>
    <col min="6956" max="6956" width="11.140625" style="5" customWidth="1"/>
    <col min="6957" max="6957" width="14.140625" style="5" customWidth="1"/>
    <col min="6958" max="6958" width="9.7109375" style="5" bestFit="1" customWidth="1"/>
    <col min="6959" max="6959" width="10.28515625" style="5" bestFit="1" customWidth="1"/>
    <col min="6960" max="6960" width="12" style="5" customWidth="1"/>
    <col min="6961" max="7164" width="9.5703125" style="5"/>
    <col min="7165" max="7165" width="9.7109375" style="5" bestFit="1" customWidth="1"/>
    <col min="7166" max="7168" width="9.5703125" style="5"/>
    <col min="7169" max="7169" width="10" style="5" customWidth="1"/>
    <col min="7170" max="7170" width="82.28515625" style="5" customWidth="1"/>
    <col min="7171" max="7171" width="20.85546875" style="5" customWidth="1"/>
    <col min="7172" max="7172" width="17.7109375" style="5" customWidth="1"/>
    <col min="7173" max="7173" width="11" style="5" customWidth="1"/>
    <col min="7174" max="7174" width="22.85546875" style="5" customWidth="1"/>
    <col min="7175" max="7175" width="18.28515625" style="5" customWidth="1"/>
    <col min="7176" max="7176" width="55.7109375" style="5" customWidth="1"/>
    <col min="7177" max="7177" width="18.42578125" style="5" customWidth="1"/>
    <col min="7178" max="7178" width="14.7109375" style="5" customWidth="1"/>
    <col min="7179" max="7179" width="16.5703125" style="5" customWidth="1"/>
    <col min="7180" max="7180" width="12.5703125" style="5" customWidth="1"/>
    <col min="7181" max="7181" width="14.42578125" style="5" customWidth="1"/>
    <col min="7182" max="7182" width="11" style="5" bestFit="1" customWidth="1"/>
    <col min="7183" max="7183" width="65.5703125" style="5" customWidth="1"/>
    <col min="7184" max="7184" width="20" style="5" customWidth="1"/>
    <col min="7185" max="7185" width="13.7109375" style="5" customWidth="1"/>
    <col min="7186" max="7186" width="15.140625" style="5" customWidth="1"/>
    <col min="7187" max="7187" width="14" style="5" customWidth="1"/>
    <col min="7188" max="7188" width="11.85546875" style="5" customWidth="1"/>
    <col min="7189" max="7189" width="60" style="5" customWidth="1"/>
    <col min="7190" max="7190" width="16.85546875" style="5" customWidth="1"/>
    <col min="7191" max="7191" width="19.140625" style="5" customWidth="1"/>
    <col min="7192" max="7193" width="13" style="5" customWidth="1"/>
    <col min="7194" max="7194" width="13.140625" style="5" customWidth="1"/>
    <col min="7195" max="7195" width="0" style="5" hidden="1" customWidth="1"/>
    <col min="7196" max="7196" width="10.28515625" style="5" customWidth="1"/>
    <col min="7197" max="7197" width="13.7109375" style="5" customWidth="1"/>
    <col min="7198" max="7198" width="54.42578125" style="5" customWidth="1"/>
    <col min="7199" max="7199" width="16" style="5" customWidth="1"/>
    <col min="7200" max="7200" width="15.140625" style="5" customWidth="1"/>
    <col min="7201" max="7201" width="14.28515625" style="5" customWidth="1"/>
    <col min="7202" max="7202" width="20.28515625" style="5" customWidth="1"/>
    <col min="7203" max="7203" width="11.5703125" style="5" bestFit="1" customWidth="1"/>
    <col min="7204" max="7205" width="10.42578125" style="5" bestFit="1" customWidth="1"/>
    <col min="7206" max="7207" width="9.5703125" style="5"/>
    <col min="7208" max="7208" width="10.28515625" style="5" bestFit="1" customWidth="1"/>
    <col min="7209" max="7209" width="9.5703125" style="5"/>
    <col min="7210" max="7210" width="28.28515625" style="5" customWidth="1"/>
    <col min="7211" max="7211" width="14.5703125" style="5" customWidth="1"/>
    <col min="7212" max="7212" width="11.140625" style="5" customWidth="1"/>
    <col min="7213" max="7213" width="14.140625" style="5" customWidth="1"/>
    <col min="7214" max="7214" width="9.7109375" style="5" bestFit="1" customWidth="1"/>
    <col min="7215" max="7215" width="10.28515625" style="5" bestFit="1" customWidth="1"/>
    <col min="7216" max="7216" width="12" style="5" customWidth="1"/>
    <col min="7217" max="7420" width="9.5703125" style="5"/>
    <col min="7421" max="7421" width="9.7109375" style="5" bestFit="1" customWidth="1"/>
    <col min="7422" max="7424" width="9.5703125" style="5"/>
    <col min="7425" max="7425" width="10" style="5" customWidth="1"/>
    <col min="7426" max="7426" width="82.28515625" style="5" customWidth="1"/>
    <col min="7427" max="7427" width="20.85546875" style="5" customWidth="1"/>
    <col min="7428" max="7428" width="17.7109375" style="5" customWidth="1"/>
    <col min="7429" max="7429" width="11" style="5" customWidth="1"/>
    <col min="7430" max="7430" width="22.85546875" style="5" customWidth="1"/>
    <col min="7431" max="7431" width="18.28515625" style="5" customWidth="1"/>
    <col min="7432" max="7432" width="55.7109375" style="5" customWidth="1"/>
    <col min="7433" max="7433" width="18.42578125" style="5" customWidth="1"/>
    <col min="7434" max="7434" width="14.7109375" style="5" customWidth="1"/>
    <col min="7435" max="7435" width="16.5703125" style="5" customWidth="1"/>
    <col min="7436" max="7436" width="12.5703125" style="5" customWidth="1"/>
    <col min="7437" max="7437" width="14.42578125" style="5" customWidth="1"/>
    <col min="7438" max="7438" width="11" style="5" bestFit="1" customWidth="1"/>
    <col min="7439" max="7439" width="65.5703125" style="5" customWidth="1"/>
    <col min="7440" max="7440" width="20" style="5" customWidth="1"/>
    <col min="7441" max="7441" width="13.7109375" style="5" customWidth="1"/>
    <col min="7442" max="7442" width="15.140625" style="5" customWidth="1"/>
    <col min="7443" max="7443" width="14" style="5" customWidth="1"/>
    <col min="7444" max="7444" width="11.85546875" style="5" customWidth="1"/>
    <col min="7445" max="7445" width="60" style="5" customWidth="1"/>
    <col min="7446" max="7446" width="16.85546875" style="5" customWidth="1"/>
    <col min="7447" max="7447" width="19.140625" style="5" customWidth="1"/>
    <col min="7448" max="7449" width="13" style="5" customWidth="1"/>
    <col min="7450" max="7450" width="13.140625" style="5" customWidth="1"/>
    <col min="7451" max="7451" width="0" style="5" hidden="1" customWidth="1"/>
    <col min="7452" max="7452" width="10.28515625" style="5" customWidth="1"/>
    <col min="7453" max="7453" width="13.7109375" style="5" customWidth="1"/>
    <col min="7454" max="7454" width="54.42578125" style="5" customWidth="1"/>
    <col min="7455" max="7455" width="16" style="5" customWidth="1"/>
    <col min="7456" max="7456" width="15.140625" style="5" customWidth="1"/>
    <col min="7457" max="7457" width="14.28515625" style="5" customWidth="1"/>
    <col min="7458" max="7458" width="20.28515625" style="5" customWidth="1"/>
    <col min="7459" max="7459" width="11.5703125" style="5" bestFit="1" customWidth="1"/>
    <col min="7460" max="7461" width="10.42578125" style="5" bestFit="1" customWidth="1"/>
    <col min="7462" max="7463" width="9.5703125" style="5"/>
    <col min="7464" max="7464" width="10.28515625" style="5" bestFit="1" customWidth="1"/>
    <col min="7465" max="7465" width="9.5703125" style="5"/>
    <col min="7466" max="7466" width="28.28515625" style="5" customWidth="1"/>
    <col min="7467" max="7467" width="14.5703125" style="5" customWidth="1"/>
    <col min="7468" max="7468" width="11.140625" style="5" customWidth="1"/>
    <col min="7469" max="7469" width="14.140625" style="5" customWidth="1"/>
    <col min="7470" max="7470" width="9.7109375" style="5" bestFit="1" customWidth="1"/>
    <col min="7471" max="7471" width="10.28515625" style="5" bestFit="1" customWidth="1"/>
    <col min="7472" max="7472" width="12" style="5" customWidth="1"/>
    <col min="7473" max="7676" width="9.5703125" style="5"/>
    <col min="7677" max="7677" width="9.7109375" style="5" bestFit="1" customWidth="1"/>
    <col min="7678" max="7680" width="9.5703125" style="5"/>
    <col min="7681" max="7681" width="10" style="5" customWidth="1"/>
    <col min="7682" max="7682" width="82.28515625" style="5" customWidth="1"/>
    <col min="7683" max="7683" width="20.85546875" style="5" customWidth="1"/>
    <col min="7684" max="7684" width="17.7109375" style="5" customWidth="1"/>
    <col min="7685" max="7685" width="11" style="5" customWidth="1"/>
    <col min="7686" max="7686" width="22.85546875" style="5" customWidth="1"/>
    <col min="7687" max="7687" width="18.28515625" style="5" customWidth="1"/>
    <col min="7688" max="7688" width="55.7109375" style="5" customWidth="1"/>
    <col min="7689" max="7689" width="18.42578125" style="5" customWidth="1"/>
    <col min="7690" max="7690" width="14.7109375" style="5" customWidth="1"/>
    <col min="7691" max="7691" width="16.5703125" style="5" customWidth="1"/>
    <col min="7692" max="7692" width="12.5703125" style="5" customWidth="1"/>
    <col min="7693" max="7693" width="14.42578125" style="5" customWidth="1"/>
    <col min="7694" max="7694" width="11" style="5" bestFit="1" customWidth="1"/>
    <col min="7695" max="7695" width="65.5703125" style="5" customWidth="1"/>
    <col min="7696" max="7696" width="20" style="5" customWidth="1"/>
    <col min="7697" max="7697" width="13.7109375" style="5" customWidth="1"/>
    <col min="7698" max="7698" width="15.140625" style="5" customWidth="1"/>
    <col min="7699" max="7699" width="14" style="5" customWidth="1"/>
    <col min="7700" max="7700" width="11.85546875" style="5" customWidth="1"/>
    <col min="7701" max="7701" width="60" style="5" customWidth="1"/>
    <col min="7702" max="7702" width="16.85546875" style="5" customWidth="1"/>
    <col min="7703" max="7703" width="19.140625" style="5" customWidth="1"/>
    <col min="7704" max="7705" width="13" style="5" customWidth="1"/>
    <col min="7706" max="7706" width="13.140625" style="5" customWidth="1"/>
    <col min="7707" max="7707" width="0" style="5" hidden="1" customWidth="1"/>
    <col min="7708" max="7708" width="10.28515625" style="5" customWidth="1"/>
    <col min="7709" max="7709" width="13.7109375" style="5" customWidth="1"/>
    <col min="7710" max="7710" width="54.42578125" style="5" customWidth="1"/>
    <col min="7711" max="7711" width="16" style="5" customWidth="1"/>
    <col min="7712" max="7712" width="15.140625" style="5" customWidth="1"/>
    <col min="7713" max="7713" width="14.28515625" style="5" customWidth="1"/>
    <col min="7714" max="7714" width="20.28515625" style="5" customWidth="1"/>
    <col min="7715" max="7715" width="11.5703125" style="5" bestFit="1" customWidth="1"/>
    <col min="7716" max="7717" width="10.42578125" style="5" bestFit="1" customWidth="1"/>
    <col min="7718" max="7719" width="9.5703125" style="5"/>
    <col min="7720" max="7720" width="10.28515625" style="5" bestFit="1" customWidth="1"/>
    <col min="7721" max="7721" width="9.5703125" style="5"/>
    <col min="7722" max="7722" width="28.28515625" style="5" customWidth="1"/>
    <col min="7723" max="7723" width="14.5703125" style="5" customWidth="1"/>
    <col min="7724" max="7724" width="11.140625" style="5" customWidth="1"/>
    <col min="7725" max="7725" width="14.140625" style="5" customWidth="1"/>
    <col min="7726" max="7726" width="9.7109375" style="5" bestFit="1" customWidth="1"/>
    <col min="7727" max="7727" width="10.28515625" style="5" bestFit="1" customWidth="1"/>
    <col min="7728" max="7728" width="12" style="5" customWidth="1"/>
    <col min="7729" max="7932" width="9.5703125" style="5"/>
    <col min="7933" max="7933" width="9.7109375" style="5" bestFit="1" customWidth="1"/>
    <col min="7934" max="7936" width="9.5703125" style="5"/>
    <col min="7937" max="7937" width="10" style="5" customWidth="1"/>
    <col min="7938" max="7938" width="82.28515625" style="5" customWidth="1"/>
    <col min="7939" max="7939" width="20.85546875" style="5" customWidth="1"/>
    <col min="7940" max="7940" width="17.7109375" style="5" customWidth="1"/>
    <col min="7941" max="7941" width="11" style="5" customWidth="1"/>
    <col min="7942" max="7942" width="22.85546875" style="5" customWidth="1"/>
    <col min="7943" max="7943" width="18.28515625" style="5" customWidth="1"/>
    <col min="7944" max="7944" width="55.7109375" style="5" customWidth="1"/>
    <col min="7945" max="7945" width="18.42578125" style="5" customWidth="1"/>
    <col min="7946" max="7946" width="14.7109375" style="5" customWidth="1"/>
    <col min="7947" max="7947" width="16.5703125" style="5" customWidth="1"/>
    <col min="7948" max="7948" width="12.5703125" style="5" customWidth="1"/>
    <col min="7949" max="7949" width="14.42578125" style="5" customWidth="1"/>
    <col min="7950" max="7950" width="11" style="5" bestFit="1" customWidth="1"/>
    <col min="7951" max="7951" width="65.5703125" style="5" customWidth="1"/>
    <col min="7952" max="7952" width="20" style="5" customWidth="1"/>
    <col min="7953" max="7953" width="13.7109375" style="5" customWidth="1"/>
    <col min="7954" max="7954" width="15.140625" style="5" customWidth="1"/>
    <col min="7955" max="7955" width="14" style="5" customWidth="1"/>
    <col min="7956" max="7956" width="11.85546875" style="5" customWidth="1"/>
    <col min="7957" max="7957" width="60" style="5" customWidth="1"/>
    <col min="7958" max="7958" width="16.85546875" style="5" customWidth="1"/>
    <col min="7959" max="7959" width="19.140625" style="5" customWidth="1"/>
    <col min="7960" max="7961" width="13" style="5" customWidth="1"/>
    <col min="7962" max="7962" width="13.140625" style="5" customWidth="1"/>
    <col min="7963" max="7963" width="0" style="5" hidden="1" customWidth="1"/>
    <col min="7964" max="7964" width="10.28515625" style="5" customWidth="1"/>
    <col min="7965" max="7965" width="13.7109375" style="5" customWidth="1"/>
    <col min="7966" max="7966" width="54.42578125" style="5" customWidth="1"/>
    <col min="7967" max="7967" width="16" style="5" customWidth="1"/>
    <col min="7968" max="7968" width="15.140625" style="5" customWidth="1"/>
    <col min="7969" max="7969" width="14.28515625" style="5" customWidth="1"/>
    <col min="7970" max="7970" width="20.28515625" style="5" customWidth="1"/>
    <col min="7971" max="7971" width="11.5703125" style="5" bestFit="1" customWidth="1"/>
    <col min="7972" max="7973" width="10.42578125" style="5" bestFit="1" customWidth="1"/>
    <col min="7974" max="7975" width="9.5703125" style="5"/>
    <col min="7976" max="7976" width="10.28515625" style="5" bestFit="1" customWidth="1"/>
    <col min="7977" max="7977" width="9.5703125" style="5"/>
    <col min="7978" max="7978" width="28.28515625" style="5" customWidth="1"/>
    <col min="7979" max="7979" width="14.5703125" style="5" customWidth="1"/>
    <col min="7980" max="7980" width="11.140625" style="5" customWidth="1"/>
    <col min="7981" max="7981" width="14.140625" style="5" customWidth="1"/>
    <col min="7982" max="7982" width="9.7109375" style="5" bestFit="1" customWidth="1"/>
    <col min="7983" max="7983" width="10.28515625" style="5" bestFit="1" customWidth="1"/>
    <col min="7984" max="7984" width="12" style="5" customWidth="1"/>
    <col min="7985" max="8188" width="9.5703125" style="5"/>
    <col min="8189" max="8189" width="9.7109375" style="5" bestFit="1" customWidth="1"/>
    <col min="8190" max="8192" width="9.5703125" style="5"/>
    <col min="8193" max="8193" width="10" style="5" customWidth="1"/>
    <col min="8194" max="8194" width="82.28515625" style="5" customWidth="1"/>
    <col min="8195" max="8195" width="20.85546875" style="5" customWidth="1"/>
    <col min="8196" max="8196" width="17.7109375" style="5" customWidth="1"/>
    <col min="8197" max="8197" width="11" style="5" customWidth="1"/>
    <col min="8198" max="8198" width="22.85546875" style="5" customWidth="1"/>
    <col min="8199" max="8199" width="18.28515625" style="5" customWidth="1"/>
    <col min="8200" max="8200" width="55.7109375" style="5" customWidth="1"/>
    <col min="8201" max="8201" width="18.42578125" style="5" customWidth="1"/>
    <col min="8202" max="8202" width="14.7109375" style="5" customWidth="1"/>
    <col min="8203" max="8203" width="16.5703125" style="5" customWidth="1"/>
    <col min="8204" max="8204" width="12.5703125" style="5" customWidth="1"/>
    <col min="8205" max="8205" width="14.42578125" style="5" customWidth="1"/>
    <col min="8206" max="8206" width="11" style="5" bestFit="1" customWidth="1"/>
    <col min="8207" max="8207" width="65.5703125" style="5" customWidth="1"/>
    <col min="8208" max="8208" width="20" style="5" customWidth="1"/>
    <col min="8209" max="8209" width="13.7109375" style="5" customWidth="1"/>
    <col min="8210" max="8210" width="15.140625" style="5" customWidth="1"/>
    <col min="8211" max="8211" width="14" style="5" customWidth="1"/>
    <col min="8212" max="8212" width="11.85546875" style="5" customWidth="1"/>
    <col min="8213" max="8213" width="60" style="5" customWidth="1"/>
    <col min="8214" max="8214" width="16.85546875" style="5" customWidth="1"/>
    <col min="8215" max="8215" width="19.140625" style="5" customWidth="1"/>
    <col min="8216" max="8217" width="13" style="5" customWidth="1"/>
    <col min="8218" max="8218" width="13.140625" style="5" customWidth="1"/>
    <col min="8219" max="8219" width="0" style="5" hidden="1" customWidth="1"/>
    <col min="8220" max="8220" width="10.28515625" style="5" customWidth="1"/>
    <col min="8221" max="8221" width="13.7109375" style="5" customWidth="1"/>
    <col min="8222" max="8222" width="54.42578125" style="5" customWidth="1"/>
    <col min="8223" max="8223" width="16" style="5" customWidth="1"/>
    <col min="8224" max="8224" width="15.140625" style="5" customWidth="1"/>
    <col min="8225" max="8225" width="14.28515625" style="5" customWidth="1"/>
    <col min="8226" max="8226" width="20.28515625" style="5" customWidth="1"/>
    <col min="8227" max="8227" width="11.5703125" style="5" bestFit="1" customWidth="1"/>
    <col min="8228" max="8229" width="10.42578125" style="5" bestFit="1" customWidth="1"/>
    <col min="8230" max="8231" width="9.5703125" style="5"/>
    <col min="8232" max="8232" width="10.28515625" style="5" bestFit="1" customWidth="1"/>
    <col min="8233" max="8233" width="9.5703125" style="5"/>
    <col min="8234" max="8234" width="28.28515625" style="5" customWidth="1"/>
    <col min="8235" max="8235" width="14.5703125" style="5" customWidth="1"/>
    <col min="8236" max="8236" width="11.140625" style="5" customWidth="1"/>
    <col min="8237" max="8237" width="14.140625" style="5" customWidth="1"/>
    <col min="8238" max="8238" width="9.7109375" style="5" bestFit="1" customWidth="1"/>
    <col min="8239" max="8239" width="10.28515625" style="5" bestFit="1" customWidth="1"/>
    <col min="8240" max="8240" width="12" style="5" customWidth="1"/>
    <col min="8241" max="8444" width="9.5703125" style="5"/>
    <col min="8445" max="8445" width="9.7109375" style="5" bestFit="1" customWidth="1"/>
    <col min="8446" max="8448" width="9.5703125" style="5"/>
    <col min="8449" max="8449" width="10" style="5" customWidth="1"/>
    <col min="8450" max="8450" width="82.28515625" style="5" customWidth="1"/>
    <col min="8451" max="8451" width="20.85546875" style="5" customWidth="1"/>
    <col min="8452" max="8452" width="17.7109375" style="5" customWidth="1"/>
    <col min="8453" max="8453" width="11" style="5" customWidth="1"/>
    <col min="8454" max="8454" width="22.85546875" style="5" customWidth="1"/>
    <col min="8455" max="8455" width="18.28515625" style="5" customWidth="1"/>
    <col min="8456" max="8456" width="55.7109375" style="5" customWidth="1"/>
    <col min="8457" max="8457" width="18.42578125" style="5" customWidth="1"/>
    <col min="8458" max="8458" width="14.7109375" style="5" customWidth="1"/>
    <col min="8459" max="8459" width="16.5703125" style="5" customWidth="1"/>
    <col min="8460" max="8460" width="12.5703125" style="5" customWidth="1"/>
    <col min="8461" max="8461" width="14.42578125" style="5" customWidth="1"/>
    <col min="8462" max="8462" width="11" style="5" bestFit="1" customWidth="1"/>
    <col min="8463" max="8463" width="65.5703125" style="5" customWidth="1"/>
    <col min="8464" max="8464" width="20" style="5" customWidth="1"/>
    <col min="8465" max="8465" width="13.7109375" style="5" customWidth="1"/>
    <col min="8466" max="8466" width="15.140625" style="5" customWidth="1"/>
    <col min="8467" max="8467" width="14" style="5" customWidth="1"/>
    <col min="8468" max="8468" width="11.85546875" style="5" customWidth="1"/>
    <col min="8469" max="8469" width="60" style="5" customWidth="1"/>
    <col min="8470" max="8470" width="16.85546875" style="5" customWidth="1"/>
    <col min="8471" max="8471" width="19.140625" style="5" customWidth="1"/>
    <col min="8472" max="8473" width="13" style="5" customWidth="1"/>
    <col min="8474" max="8474" width="13.140625" style="5" customWidth="1"/>
    <col min="8475" max="8475" width="0" style="5" hidden="1" customWidth="1"/>
    <col min="8476" max="8476" width="10.28515625" style="5" customWidth="1"/>
    <col min="8477" max="8477" width="13.7109375" style="5" customWidth="1"/>
    <col min="8478" max="8478" width="54.42578125" style="5" customWidth="1"/>
    <col min="8479" max="8479" width="16" style="5" customWidth="1"/>
    <col min="8480" max="8480" width="15.140625" style="5" customWidth="1"/>
    <col min="8481" max="8481" width="14.28515625" style="5" customWidth="1"/>
    <col min="8482" max="8482" width="20.28515625" style="5" customWidth="1"/>
    <col min="8483" max="8483" width="11.5703125" style="5" bestFit="1" customWidth="1"/>
    <col min="8484" max="8485" width="10.42578125" style="5" bestFit="1" customWidth="1"/>
    <col min="8486" max="8487" width="9.5703125" style="5"/>
    <col min="8488" max="8488" width="10.28515625" style="5" bestFit="1" customWidth="1"/>
    <col min="8489" max="8489" width="9.5703125" style="5"/>
    <col min="8490" max="8490" width="28.28515625" style="5" customWidth="1"/>
    <col min="8491" max="8491" width="14.5703125" style="5" customWidth="1"/>
    <col min="8492" max="8492" width="11.140625" style="5" customWidth="1"/>
    <col min="8493" max="8493" width="14.140625" style="5" customWidth="1"/>
    <col min="8494" max="8494" width="9.7109375" style="5" bestFit="1" customWidth="1"/>
    <col min="8495" max="8495" width="10.28515625" style="5" bestFit="1" customWidth="1"/>
    <col min="8496" max="8496" width="12" style="5" customWidth="1"/>
    <col min="8497" max="8700" width="9.5703125" style="5"/>
    <col min="8701" max="8701" width="9.7109375" style="5" bestFit="1" customWidth="1"/>
    <col min="8702" max="8704" width="9.5703125" style="5"/>
    <col min="8705" max="8705" width="10" style="5" customWidth="1"/>
    <col min="8706" max="8706" width="82.28515625" style="5" customWidth="1"/>
    <col min="8707" max="8707" width="20.85546875" style="5" customWidth="1"/>
    <col min="8708" max="8708" width="17.7109375" style="5" customWidth="1"/>
    <col min="8709" max="8709" width="11" style="5" customWidth="1"/>
    <col min="8710" max="8710" width="22.85546875" style="5" customWidth="1"/>
    <col min="8711" max="8711" width="18.28515625" style="5" customWidth="1"/>
    <col min="8712" max="8712" width="55.7109375" style="5" customWidth="1"/>
    <col min="8713" max="8713" width="18.42578125" style="5" customWidth="1"/>
    <col min="8714" max="8714" width="14.7109375" style="5" customWidth="1"/>
    <col min="8715" max="8715" width="16.5703125" style="5" customWidth="1"/>
    <col min="8716" max="8716" width="12.5703125" style="5" customWidth="1"/>
    <col min="8717" max="8717" width="14.42578125" style="5" customWidth="1"/>
    <col min="8718" max="8718" width="11" style="5" bestFit="1" customWidth="1"/>
    <col min="8719" max="8719" width="65.5703125" style="5" customWidth="1"/>
    <col min="8720" max="8720" width="20" style="5" customWidth="1"/>
    <col min="8721" max="8721" width="13.7109375" style="5" customWidth="1"/>
    <col min="8722" max="8722" width="15.140625" style="5" customWidth="1"/>
    <col min="8723" max="8723" width="14" style="5" customWidth="1"/>
    <col min="8724" max="8724" width="11.85546875" style="5" customWidth="1"/>
    <col min="8725" max="8725" width="60" style="5" customWidth="1"/>
    <col min="8726" max="8726" width="16.85546875" style="5" customWidth="1"/>
    <col min="8727" max="8727" width="19.140625" style="5" customWidth="1"/>
    <col min="8728" max="8729" width="13" style="5" customWidth="1"/>
    <col min="8730" max="8730" width="13.140625" style="5" customWidth="1"/>
    <col min="8731" max="8731" width="0" style="5" hidden="1" customWidth="1"/>
    <col min="8732" max="8732" width="10.28515625" style="5" customWidth="1"/>
    <col min="8733" max="8733" width="13.7109375" style="5" customWidth="1"/>
    <col min="8734" max="8734" width="54.42578125" style="5" customWidth="1"/>
    <col min="8735" max="8735" width="16" style="5" customWidth="1"/>
    <col min="8736" max="8736" width="15.140625" style="5" customWidth="1"/>
    <col min="8737" max="8737" width="14.28515625" style="5" customWidth="1"/>
    <col min="8738" max="8738" width="20.28515625" style="5" customWidth="1"/>
    <col min="8739" max="8739" width="11.5703125" style="5" bestFit="1" customWidth="1"/>
    <col min="8740" max="8741" width="10.42578125" style="5" bestFit="1" customWidth="1"/>
    <col min="8742" max="8743" width="9.5703125" style="5"/>
    <col min="8744" max="8744" width="10.28515625" style="5" bestFit="1" customWidth="1"/>
    <col min="8745" max="8745" width="9.5703125" style="5"/>
    <col min="8746" max="8746" width="28.28515625" style="5" customWidth="1"/>
    <col min="8747" max="8747" width="14.5703125" style="5" customWidth="1"/>
    <col min="8748" max="8748" width="11.140625" style="5" customWidth="1"/>
    <col min="8749" max="8749" width="14.140625" style="5" customWidth="1"/>
    <col min="8750" max="8750" width="9.7109375" style="5" bestFit="1" customWidth="1"/>
    <col min="8751" max="8751" width="10.28515625" style="5" bestFit="1" customWidth="1"/>
    <col min="8752" max="8752" width="12" style="5" customWidth="1"/>
    <col min="8753" max="8956" width="9.5703125" style="5"/>
    <col min="8957" max="8957" width="9.7109375" style="5" bestFit="1" customWidth="1"/>
    <col min="8958" max="8960" width="9.5703125" style="5"/>
    <col min="8961" max="8961" width="10" style="5" customWidth="1"/>
    <col min="8962" max="8962" width="82.28515625" style="5" customWidth="1"/>
    <col min="8963" max="8963" width="20.85546875" style="5" customWidth="1"/>
    <col min="8964" max="8964" width="17.7109375" style="5" customWidth="1"/>
    <col min="8965" max="8965" width="11" style="5" customWidth="1"/>
    <col min="8966" max="8966" width="22.85546875" style="5" customWidth="1"/>
    <col min="8967" max="8967" width="18.28515625" style="5" customWidth="1"/>
    <col min="8968" max="8968" width="55.7109375" style="5" customWidth="1"/>
    <col min="8969" max="8969" width="18.42578125" style="5" customWidth="1"/>
    <col min="8970" max="8970" width="14.7109375" style="5" customWidth="1"/>
    <col min="8971" max="8971" width="16.5703125" style="5" customWidth="1"/>
    <col min="8972" max="8972" width="12.5703125" style="5" customWidth="1"/>
    <col min="8973" max="8973" width="14.42578125" style="5" customWidth="1"/>
    <col min="8974" max="8974" width="11" style="5" bestFit="1" customWidth="1"/>
    <col min="8975" max="8975" width="65.5703125" style="5" customWidth="1"/>
    <col min="8976" max="8976" width="20" style="5" customWidth="1"/>
    <col min="8977" max="8977" width="13.7109375" style="5" customWidth="1"/>
    <col min="8978" max="8978" width="15.140625" style="5" customWidth="1"/>
    <col min="8979" max="8979" width="14" style="5" customWidth="1"/>
    <col min="8980" max="8980" width="11.85546875" style="5" customWidth="1"/>
    <col min="8981" max="8981" width="60" style="5" customWidth="1"/>
    <col min="8982" max="8982" width="16.85546875" style="5" customWidth="1"/>
    <col min="8983" max="8983" width="19.140625" style="5" customWidth="1"/>
    <col min="8984" max="8985" width="13" style="5" customWidth="1"/>
    <col min="8986" max="8986" width="13.140625" style="5" customWidth="1"/>
    <col min="8987" max="8987" width="0" style="5" hidden="1" customWidth="1"/>
    <col min="8988" max="8988" width="10.28515625" style="5" customWidth="1"/>
    <col min="8989" max="8989" width="13.7109375" style="5" customWidth="1"/>
    <col min="8990" max="8990" width="54.42578125" style="5" customWidth="1"/>
    <col min="8991" max="8991" width="16" style="5" customWidth="1"/>
    <col min="8992" max="8992" width="15.140625" style="5" customWidth="1"/>
    <col min="8993" max="8993" width="14.28515625" style="5" customWidth="1"/>
    <col min="8994" max="8994" width="20.28515625" style="5" customWidth="1"/>
    <col min="8995" max="8995" width="11.5703125" style="5" bestFit="1" customWidth="1"/>
    <col min="8996" max="8997" width="10.42578125" style="5" bestFit="1" customWidth="1"/>
    <col min="8998" max="8999" width="9.5703125" style="5"/>
    <col min="9000" max="9000" width="10.28515625" style="5" bestFit="1" customWidth="1"/>
    <col min="9001" max="9001" width="9.5703125" style="5"/>
    <col min="9002" max="9002" width="28.28515625" style="5" customWidth="1"/>
    <col min="9003" max="9003" width="14.5703125" style="5" customWidth="1"/>
    <col min="9004" max="9004" width="11.140625" style="5" customWidth="1"/>
    <col min="9005" max="9005" width="14.140625" style="5" customWidth="1"/>
    <col min="9006" max="9006" width="9.7109375" style="5" bestFit="1" customWidth="1"/>
    <col min="9007" max="9007" width="10.28515625" style="5" bestFit="1" customWidth="1"/>
    <col min="9008" max="9008" width="12" style="5" customWidth="1"/>
    <col min="9009" max="9212" width="9.5703125" style="5"/>
    <col min="9213" max="9213" width="9.7109375" style="5" bestFit="1" customWidth="1"/>
    <col min="9214" max="9216" width="9.5703125" style="5"/>
    <col min="9217" max="9217" width="10" style="5" customWidth="1"/>
    <col min="9218" max="9218" width="82.28515625" style="5" customWidth="1"/>
    <col min="9219" max="9219" width="20.85546875" style="5" customWidth="1"/>
    <col min="9220" max="9220" width="17.7109375" style="5" customWidth="1"/>
    <col min="9221" max="9221" width="11" style="5" customWidth="1"/>
    <col min="9222" max="9222" width="22.85546875" style="5" customWidth="1"/>
    <col min="9223" max="9223" width="18.28515625" style="5" customWidth="1"/>
    <col min="9224" max="9224" width="55.7109375" style="5" customWidth="1"/>
    <col min="9225" max="9225" width="18.42578125" style="5" customWidth="1"/>
    <col min="9226" max="9226" width="14.7109375" style="5" customWidth="1"/>
    <col min="9227" max="9227" width="16.5703125" style="5" customWidth="1"/>
    <col min="9228" max="9228" width="12.5703125" style="5" customWidth="1"/>
    <col min="9229" max="9229" width="14.42578125" style="5" customWidth="1"/>
    <col min="9230" max="9230" width="11" style="5" bestFit="1" customWidth="1"/>
    <col min="9231" max="9231" width="65.5703125" style="5" customWidth="1"/>
    <col min="9232" max="9232" width="20" style="5" customWidth="1"/>
    <col min="9233" max="9233" width="13.7109375" style="5" customWidth="1"/>
    <col min="9234" max="9234" width="15.140625" style="5" customWidth="1"/>
    <col min="9235" max="9235" width="14" style="5" customWidth="1"/>
    <col min="9236" max="9236" width="11.85546875" style="5" customWidth="1"/>
    <col min="9237" max="9237" width="60" style="5" customWidth="1"/>
    <col min="9238" max="9238" width="16.85546875" style="5" customWidth="1"/>
    <col min="9239" max="9239" width="19.140625" style="5" customWidth="1"/>
    <col min="9240" max="9241" width="13" style="5" customWidth="1"/>
    <col min="9242" max="9242" width="13.140625" style="5" customWidth="1"/>
    <col min="9243" max="9243" width="0" style="5" hidden="1" customWidth="1"/>
    <col min="9244" max="9244" width="10.28515625" style="5" customWidth="1"/>
    <col min="9245" max="9245" width="13.7109375" style="5" customWidth="1"/>
    <col min="9246" max="9246" width="54.42578125" style="5" customWidth="1"/>
    <col min="9247" max="9247" width="16" style="5" customWidth="1"/>
    <col min="9248" max="9248" width="15.140625" style="5" customWidth="1"/>
    <col min="9249" max="9249" width="14.28515625" style="5" customWidth="1"/>
    <col min="9250" max="9250" width="20.28515625" style="5" customWidth="1"/>
    <col min="9251" max="9251" width="11.5703125" style="5" bestFit="1" customWidth="1"/>
    <col min="9252" max="9253" width="10.42578125" style="5" bestFit="1" customWidth="1"/>
    <col min="9254" max="9255" width="9.5703125" style="5"/>
    <col min="9256" max="9256" width="10.28515625" style="5" bestFit="1" customWidth="1"/>
    <col min="9257" max="9257" width="9.5703125" style="5"/>
    <col min="9258" max="9258" width="28.28515625" style="5" customWidth="1"/>
    <col min="9259" max="9259" width="14.5703125" style="5" customWidth="1"/>
    <col min="9260" max="9260" width="11.140625" style="5" customWidth="1"/>
    <col min="9261" max="9261" width="14.140625" style="5" customWidth="1"/>
    <col min="9262" max="9262" width="9.7109375" style="5" bestFit="1" customWidth="1"/>
    <col min="9263" max="9263" width="10.28515625" style="5" bestFit="1" customWidth="1"/>
    <col min="9264" max="9264" width="12" style="5" customWidth="1"/>
    <col min="9265" max="9468" width="9.5703125" style="5"/>
    <col min="9469" max="9469" width="9.7109375" style="5" bestFit="1" customWidth="1"/>
    <col min="9470" max="9472" width="9.5703125" style="5"/>
    <col min="9473" max="9473" width="10" style="5" customWidth="1"/>
    <col min="9474" max="9474" width="82.28515625" style="5" customWidth="1"/>
    <col min="9475" max="9475" width="20.85546875" style="5" customWidth="1"/>
    <col min="9476" max="9476" width="17.7109375" style="5" customWidth="1"/>
    <col min="9477" max="9477" width="11" style="5" customWidth="1"/>
    <col min="9478" max="9478" width="22.85546875" style="5" customWidth="1"/>
    <col min="9479" max="9479" width="18.28515625" style="5" customWidth="1"/>
    <col min="9480" max="9480" width="55.7109375" style="5" customWidth="1"/>
    <col min="9481" max="9481" width="18.42578125" style="5" customWidth="1"/>
    <col min="9482" max="9482" width="14.7109375" style="5" customWidth="1"/>
    <col min="9483" max="9483" width="16.5703125" style="5" customWidth="1"/>
    <col min="9484" max="9484" width="12.5703125" style="5" customWidth="1"/>
    <col min="9485" max="9485" width="14.42578125" style="5" customWidth="1"/>
    <col min="9486" max="9486" width="11" style="5" bestFit="1" customWidth="1"/>
    <col min="9487" max="9487" width="65.5703125" style="5" customWidth="1"/>
    <col min="9488" max="9488" width="20" style="5" customWidth="1"/>
    <col min="9489" max="9489" width="13.7109375" style="5" customWidth="1"/>
    <col min="9490" max="9490" width="15.140625" style="5" customWidth="1"/>
    <col min="9491" max="9491" width="14" style="5" customWidth="1"/>
    <col min="9492" max="9492" width="11.85546875" style="5" customWidth="1"/>
    <col min="9493" max="9493" width="60" style="5" customWidth="1"/>
    <col min="9494" max="9494" width="16.85546875" style="5" customWidth="1"/>
    <col min="9495" max="9495" width="19.140625" style="5" customWidth="1"/>
    <col min="9496" max="9497" width="13" style="5" customWidth="1"/>
    <col min="9498" max="9498" width="13.140625" style="5" customWidth="1"/>
    <col min="9499" max="9499" width="0" style="5" hidden="1" customWidth="1"/>
    <col min="9500" max="9500" width="10.28515625" style="5" customWidth="1"/>
    <col min="9501" max="9501" width="13.7109375" style="5" customWidth="1"/>
    <col min="9502" max="9502" width="54.42578125" style="5" customWidth="1"/>
    <col min="9503" max="9503" width="16" style="5" customWidth="1"/>
    <col min="9504" max="9504" width="15.140625" style="5" customWidth="1"/>
    <col min="9505" max="9505" width="14.28515625" style="5" customWidth="1"/>
    <col min="9506" max="9506" width="20.28515625" style="5" customWidth="1"/>
    <col min="9507" max="9507" width="11.5703125" style="5" bestFit="1" customWidth="1"/>
    <col min="9508" max="9509" width="10.42578125" style="5" bestFit="1" customWidth="1"/>
    <col min="9510" max="9511" width="9.5703125" style="5"/>
    <col min="9512" max="9512" width="10.28515625" style="5" bestFit="1" customWidth="1"/>
    <col min="9513" max="9513" width="9.5703125" style="5"/>
    <col min="9514" max="9514" width="28.28515625" style="5" customWidth="1"/>
    <col min="9515" max="9515" width="14.5703125" style="5" customWidth="1"/>
    <col min="9516" max="9516" width="11.140625" style="5" customWidth="1"/>
    <col min="9517" max="9517" width="14.140625" style="5" customWidth="1"/>
    <col min="9518" max="9518" width="9.7109375" style="5" bestFit="1" customWidth="1"/>
    <col min="9519" max="9519" width="10.28515625" style="5" bestFit="1" customWidth="1"/>
    <col min="9520" max="9520" width="12" style="5" customWidth="1"/>
    <col min="9521" max="9724" width="9.5703125" style="5"/>
    <col min="9725" max="9725" width="9.7109375" style="5" bestFit="1" customWidth="1"/>
    <col min="9726" max="9728" width="9.5703125" style="5"/>
    <col min="9729" max="9729" width="10" style="5" customWidth="1"/>
    <col min="9730" max="9730" width="82.28515625" style="5" customWidth="1"/>
    <col min="9731" max="9731" width="20.85546875" style="5" customWidth="1"/>
    <col min="9732" max="9732" width="17.7109375" style="5" customWidth="1"/>
    <col min="9733" max="9733" width="11" style="5" customWidth="1"/>
    <col min="9734" max="9734" width="22.85546875" style="5" customWidth="1"/>
    <col min="9735" max="9735" width="18.28515625" style="5" customWidth="1"/>
    <col min="9736" max="9736" width="55.7109375" style="5" customWidth="1"/>
    <col min="9737" max="9737" width="18.42578125" style="5" customWidth="1"/>
    <col min="9738" max="9738" width="14.7109375" style="5" customWidth="1"/>
    <col min="9739" max="9739" width="16.5703125" style="5" customWidth="1"/>
    <col min="9740" max="9740" width="12.5703125" style="5" customWidth="1"/>
    <col min="9741" max="9741" width="14.42578125" style="5" customWidth="1"/>
    <col min="9742" max="9742" width="11" style="5" bestFit="1" customWidth="1"/>
    <col min="9743" max="9743" width="65.5703125" style="5" customWidth="1"/>
    <col min="9744" max="9744" width="20" style="5" customWidth="1"/>
    <col min="9745" max="9745" width="13.7109375" style="5" customWidth="1"/>
    <col min="9746" max="9746" width="15.140625" style="5" customWidth="1"/>
    <col min="9747" max="9747" width="14" style="5" customWidth="1"/>
    <col min="9748" max="9748" width="11.85546875" style="5" customWidth="1"/>
    <col min="9749" max="9749" width="60" style="5" customWidth="1"/>
    <col min="9750" max="9750" width="16.85546875" style="5" customWidth="1"/>
    <col min="9751" max="9751" width="19.140625" style="5" customWidth="1"/>
    <col min="9752" max="9753" width="13" style="5" customWidth="1"/>
    <col min="9754" max="9754" width="13.140625" style="5" customWidth="1"/>
    <col min="9755" max="9755" width="0" style="5" hidden="1" customWidth="1"/>
    <col min="9756" max="9756" width="10.28515625" style="5" customWidth="1"/>
    <col min="9757" max="9757" width="13.7109375" style="5" customWidth="1"/>
    <col min="9758" max="9758" width="54.42578125" style="5" customWidth="1"/>
    <col min="9759" max="9759" width="16" style="5" customWidth="1"/>
    <col min="9760" max="9760" width="15.140625" style="5" customWidth="1"/>
    <col min="9761" max="9761" width="14.28515625" style="5" customWidth="1"/>
    <col min="9762" max="9762" width="20.28515625" style="5" customWidth="1"/>
    <col min="9763" max="9763" width="11.5703125" style="5" bestFit="1" customWidth="1"/>
    <col min="9764" max="9765" width="10.42578125" style="5" bestFit="1" customWidth="1"/>
    <col min="9766" max="9767" width="9.5703125" style="5"/>
    <col min="9768" max="9768" width="10.28515625" style="5" bestFit="1" customWidth="1"/>
    <col min="9769" max="9769" width="9.5703125" style="5"/>
    <col min="9770" max="9770" width="28.28515625" style="5" customWidth="1"/>
    <col min="9771" max="9771" width="14.5703125" style="5" customWidth="1"/>
    <col min="9772" max="9772" width="11.140625" style="5" customWidth="1"/>
    <col min="9773" max="9773" width="14.140625" style="5" customWidth="1"/>
    <col min="9774" max="9774" width="9.7109375" style="5" bestFit="1" customWidth="1"/>
    <col min="9775" max="9775" width="10.28515625" style="5" bestFit="1" customWidth="1"/>
    <col min="9776" max="9776" width="12" style="5" customWidth="1"/>
    <col min="9777" max="9980" width="9.5703125" style="5"/>
    <col min="9981" max="9981" width="9.7109375" style="5" bestFit="1" customWidth="1"/>
    <col min="9982" max="9984" width="9.5703125" style="5"/>
    <col min="9985" max="9985" width="10" style="5" customWidth="1"/>
    <col min="9986" max="9986" width="82.28515625" style="5" customWidth="1"/>
    <col min="9987" max="9987" width="20.85546875" style="5" customWidth="1"/>
    <col min="9988" max="9988" width="17.7109375" style="5" customWidth="1"/>
    <col min="9989" max="9989" width="11" style="5" customWidth="1"/>
    <col min="9990" max="9990" width="22.85546875" style="5" customWidth="1"/>
    <col min="9991" max="9991" width="18.28515625" style="5" customWidth="1"/>
    <col min="9992" max="9992" width="55.7109375" style="5" customWidth="1"/>
    <col min="9993" max="9993" width="18.42578125" style="5" customWidth="1"/>
    <col min="9994" max="9994" width="14.7109375" style="5" customWidth="1"/>
    <col min="9995" max="9995" width="16.5703125" style="5" customWidth="1"/>
    <col min="9996" max="9996" width="12.5703125" style="5" customWidth="1"/>
    <col min="9997" max="9997" width="14.42578125" style="5" customWidth="1"/>
    <col min="9998" max="9998" width="11" style="5" bestFit="1" customWidth="1"/>
    <col min="9999" max="9999" width="65.5703125" style="5" customWidth="1"/>
    <col min="10000" max="10000" width="20" style="5" customWidth="1"/>
    <col min="10001" max="10001" width="13.7109375" style="5" customWidth="1"/>
    <col min="10002" max="10002" width="15.140625" style="5" customWidth="1"/>
    <col min="10003" max="10003" width="14" style="5" customWidth="1"/>
    <col min="10004" max="10004" width="11.85546875" style="5" customWidth="1"/>
    <col min="10005" max="10005" width="60" style="5" customWidth="1"/>
    <col min="10006" max="10006" width="16.85546875" style="5" customWidth="1"/>
    <col min="10007" max="10007" width="19.140625" style="5" customWidth="1"/>
    <col min="10008" max="10009" width="13" style="5" customWidth="1"/>
    <col min="10010" max="10010" width="13.140625" style="5" customWidth="1"/>
    <col min="10011" max="10011" width="0" style="5" hidden="1" customWidth="1"/>
    <col min="10012" max="10012" width="10.28515625" style="5" customWidth="1"/>
    <col min="10013" max="10013" width="13.7109375" style="5" customWidth="1"/>
    <col min="10014" max="10014" width="54.42578125" style="5" customWidth="1"/>
    <col min="10015" max="10015" width="16" style="5" customWidth="1"/>
    <col min="10016" max="10016" width="15.140625" style="5" customWidth="1"/>
    <col min="10017" max="10017" width="14.28515625" style="5" customWidth="1"/>
    <col min="10018" max="10018" width="20.28515625" style="5" customWidth="1"/>
    <col min="10019" max="10019" width="11.5703125" style="5" bestFit="1" customWidth="1"/>
    <col min="10020" max="10021" width="10.42578125" style="5" bestFit="1" customWidth="1"/>
    <col min="10022" max="10023" width="9.5703125" style="5"/>
    <col min="10024" max="10024" width="10.28515625" style="5" bestFit="1" customWidth="1"/>
    <col min="10025" max="10025" width="9.5703125" style="5"/>
    <col min="10026" max="10026" width="28.28515625" style="5" customWidth="1"/>
    <col min="10027" max="10027" width="14.5703125" style="5" customWidth="1"/>
    <col min="10028" max="10028" width="11.140625" style="5" customWidth="1"/>
    <col min="10029" max="10029" width="14.140625" style="5" customWidth="1"/>
    <col min="10030" max="10030" width="9.7109375" style="5" bestFit="1" customWidth="1"/>
    <col min="10031" max="10031" width="10.28515625" style="5" bestFit="1" customWidth="1"/>
    <col min="10032" max="10032" width="12" style="5" customWidth="1"/>
    <col min="10033" max="10236" width="9.5703125" style="5"/>
    <col min="10237" max="10237" width="9.7109375" style="5" bestFit="1" customWidth="1"/>
    <col min="10238" max="10240" width="9.5703125" style="5"/>
    <col min="10241" max="10241" width="10" style="5" customWidth="1"/>
    <col min="10242" max="10242" width="82.28515625" style="5" customWidth="1"/>
    <col min="10243" max="10243" width="20.85546875" style="5" customWidth="1"/>
    <col min="10244" max="10244" width="17.7109375" style="5" customWidth="1"/>
    <col min="10245" max="10245" width="11" style="5" customWidth="1"/>
    <col min="10246" max="10246" width="22.85546875" style="5" customWidth="1"/>
    <col min="10247" max="10247" width="18.28515625" style="5" customWidth="1"/>
    <col min="10248" max="10248" width="55.7109375" style="5" customWidth="1"/>
    <col min="10249" max="10249" width="18.42578125" style="5" customWidth="1"/>
    <col min="10250" max="10250" width="14.7109375" style="5" customWidth="1"/>
    <col min="10251" max="10251" width="16.5703125" style="5" customWidth="1"/>
    <col min="10252" max="10252" width="12.5703125" style="5" customWidth="1"/>
    <col min="10253" max="10253" width="14.42578125" style="5" customWidth="1"/>
    <col min="10254" max="10254" width="11" style="5" bestFit="1" customWidth="1"/>
    <col min="10255" max="10255" width="65.5703125" style="5" customWidth="1"/>
    <col min="10256" max="10256" width="20" style="5" customWidth="1"/>
    <col min="10257" max="10257" width="13.7109375" style="5" customWidth="1"/>
    <col min="10258" max="10258" width="15.140625" style="5" customWidth="1"/>
    <col min="10259" max="10259" width="14" style="5" customWidth="1"/>
    <col min="10260" max="10260" width="11.85546875" style="5" customWidth="1"/>
    <col min="10261" max="10261" width="60" style="5" customWidth="1"/>
    <col min="10262" max="10262" width="16.85546875" style="5" customWidth="1"/>
    <col min="10263" max="10263" width="19.140625" style="5" customWidth="1"/>
    <col min="10264" max="10265" width="13" style="5" customWidth="1"/>
    <col min="10266" max="10266" width="13.140625" style="5" customWidth="1"/>
    <col min="10267" max="10267" width="0" style="5" hidden="1" customWidth="1"/>
    <col min="10268" max="10268" width="10.28515625" style="5" customWidth="1"/>
    <col min="10269" max="10269" width="13.7109375" style="5" customWidth="1"/>
    <col min="10270" max="10270" width="54.42578125" style="5" customWidth="1"/>
    <col min="10271" max="10271" width="16" style="5" customWidth="1"/>
    <col min="10272" max="10272" width="15.140625" style="5" customWidth="1"/>
    <col min="10273" max="10273" width="14.28515625" style="5" customWidth="1"/>
    <col min="10274" max="10274" width="20.28515625" style="5" customWidth="1"/>
    <col min="10275" max="10275" width="11.5703125" style="5" bestFit="1" customWidth="1"/>
    <col min="10276" max="10277" width="10.42578125" style="5" bestFit="1" customWidth="1"/>
    <col min="10278" max="10279" width="9.5703125" style="5"/>
    <col min="10280" max="10280" width="10.28515625" style="5" bestFit="1" customWidth="1"/>
    <col min="10281" max="10281" width="9.5703125" style="5"/>
    <col min="10282" max="10282" width="28.28515625" style="5" customWidth="1"/>
    <col min="10283" max="10283" width="14.5703125" style="5" customWidth="1"/>
    <col min="10284" max="10284" width="11.140625" style="5" customWidth="1"/>
    <col min="10285" max="10285" width="14.140625" style="5" customWidth="1"/>
    <col min="10286" max="10286" width="9.7109375" style="5" bestFit="1" customWidth="1"/>
    <col min="10287" max="10287" width="10.28515625" style="5" bestFit="1" customWidth="1"/>
    <col min="10288" max="10288" width="12" style="5" customWidth="1"/>
    <col min="10289" max="10492" width="9.5703125" style="5"/>
    <col min="10493" max="10493" width="9.7109375" style="5" bestFit="1" customWidth="1"/>
    <col min="10494" max="10496" width="9.5703125" style="5"/>
    <col min="10497" max="10497" width="10" style="5" customWidth="1"/>
    <col min="10498" max="10498" width="82.28515625" style="5" customWidth="1"/>
    <col min="10499" max="10499" width="20.85546875" style="5" customWidth="1"/>
    <col min="10500" max="10500" width="17.7109375" style="5" customWidth="1"/>
    <col min="10501" max="10501" width="11" style="5" customWidth="1"/>
    <col min="10502" max="10502" width="22.85546875" style="5" customWidth="1"/>
    <col min="10503" max="10503" width="18.28515625" style="5" customWidth="1"/>
    <col min="10504" max="10504" width="55.7109375" style="5" customWidth="1"/>
    <col min="10505" max="10505" width="18.42578125" style="5" customWidth="1"/>
    <col min="10506" max="10506" width="14.7109375" style="5" customWidth="1"/>
    <col min="10507" max="10507" width="16.5703125" style="5" customWidth="1"/>
    <col min="10508" max="10508" width="12.5703125" style="5" customWidth="1"/>
    <col min="10509" max="10509" width="14.42578125" style="5" customWidth="1"/>
    <col min="10510" max="10510" width="11" style="5" bestFit="1" customWidth="1"/>
    <col min="10511" max="10511" width="65.5703125" style="5" customWidth="1"/>
    <col min="10512" max="10512" width="20" style="5" customWidth="1"/>
    <col min="10513" max="10513" width="13.7109375" style="5" customWidth="1"/>
    <col min="10514" max="10514" width="15.140625" style="5" customWidth="1"/>
    <col min="10515" max="10515" width="14" style="5" customWidth="1"/>
    <col min="10516" max="10516" width="11.85546875" style="5" customWidth="1"/>
    <col min="10517" max="10517" width="60" style="5" customWidth="1"/>
    <col min="10518" max="10518" width="16.85546875" style="5" customWidth="1"/>
    <col min="10519" max="10519" width="19.140625" style="5" customWidth="1"/>
    <col min="10520" max="10521" width="13" style="5" customWidth="1"/>
    <col min="10522" max="10522" width="13.140625" style="5" customWidth="1"/>
    <col min="10523" max="10523" width="0" style="5" hidden="1" customWidth="1"/>
    <col min="10524" max="10524" width="10.28515625" style="5" customWidth="1"/>
    <col min="10525" max="10525" width="13.7109375" style="5" customWidth="1"/>
    <col min="10526" max="10526" width="54.42578125" style="5" customWidth="1"/>
    <col min="10527" max="10527" width="16" style="5" customWidth="1"/>
    <col min="10528" max="10528" width="15.140625" style="5" customWidth="1"/>
    <col min="10529" max="10529" width="14.28515625" style="5" customWidth="1"/>
    <col min="10530" max="10530" width="20.28515625" style="5" customWidth="1"/>
    <col min="10531" max="10531" width="11.5703125" style="5" bestFit="1" customWidth="1"/>
    <col min="10532" max="10533" width="10.42578125" style="5" bestFit="1" customWidth="1"/>
    <col min="10534" max="10535" width="9.5703125" style="5"/>
    <col min="10536" max="10536" width="10.28515625" style="5" bestFit="1" customWidth="1"/>
    <col min="10537" max="10537" width="9.5703125" style="5"/>
    <col min="10538" max="10538" width="28.28515625" style="5" customWidth="1"/>
    <col min="10539" max="10539" width="14.5703125" style="5" customWidth="1"/>
    <col min="10540" max="10540" width="11.140625" style="5" customWidth="1"/>
    <col min="10541" max="10541" width="14.140625" style="5" customWidth="1"/>
    <col min="10542" max="10542" width="9.7109375" style="5" bestFit="1" customWidth="1"/>
    <col min="10543" max="10543" width="10.28515625" style="5" bestFit="1" customWidth="1"/>
    <col min="10544" max="10544" width="12" style="5" customWidth="1"/>
    <col min="10545" max="10748" width="9.5703125" style="5"/>
    <col min="10749" max="10749" width="9.7109375" style="5" bestFit="1" customWidth="1"/>
    <col min="10750" max="10752" width="9.5703125" style="5"/>
    <col min="10753" max="10753" width="10" style="5" customWidth="1"/>
    <col min="10754" max="10754" width="82.28515625" style="5" customWidth="1"/>
    <col min="10755" max="10755" width="20.85546875" style="5" customWidth="1"/>
    <col min="10756" max="10756" width="17.7109375" style="5" customWidth="1"/>
    <col min="10757" max="10757" width="11" style="5" customWidth="1"/>
    <col min="10758" max="10758" width="22.85546875" style="5" customWidth="1"/>
    <col min="10759" max="10759" width="18.28515625" style="5" customWidth="1"/>
    <col min="10760" max="10760" width="55.7109375" style="5" customWidth="1"/>
    <col min="10761" max="10761" width="18.42578125" style="5" customWidth="1"/>
    <col min="10762" max="10762" width="14.7109375" style="5" customWidth="1"/>
    <col min="10763" max="10763" width="16.5703125" style="5" customWidth="1"/>
    <col min="10764" max="10764" width="12.5703125" style="5" customWidth="1"/>
    <col min="10765" max="10765" width="14.42578125" style="5" customWidth="1"/>
    <col min="10766" max="10766" width="11" style="5" bestFit="1" customWidth="1"/>
    <col min="10767" max="10767" width="65.5703125" style="5" customWidth="1"/>
    <col min="10768" max="10768" width="20" style="5" customWidth="1"/>
    <col min="10769" max="10769" width="13.7109375" style="5" customWidth="1"/>
    <col min="10770" max="10770" width="15.140625" style="5" customWidth="1"/>
    <col min="10771" max="10771" width="14" style="5" customWidth="1"/>
    <col min="10772" max="10772" width="11.85546875" style="5" customWidth="1"/>
    <col min="10773" max="10773" width="60" style="5" customWidth="1"/>
    <col min="10774" max="10774" width="16.85546875" style="5" customWidth="1"/>
    <col min="10775" max="10775" width="19.140625" style="5" customWidth="1"/>
    <col min="10776" max="10777" width="13" style="5" customWidth="1"/>
    <col min="10778" max="10778" width="13.140625" style="5" customWidth="1"/>
    <col min="10779" max="10779" width="0" style="5" hidden="1" customWidth="1"/>
    <col min="10780" max="10780" width="10.28515625" style="5" customWidth="1"/>
    <col min="10781" max="10781" width="13.7109375" style="5" customWidth="1"/>
    <col min="10782" max="10782" width="54.42578125" style="5" customWidth="1"/>
    <col min="10783" max="10783" width="16" style="5" customWidth="1"/>
    <col min="10784" max="10784" width="15.140625" style="5" customWidth="1"/>
    <col min="10785" max="10785" width="14.28515625" style="5" customWidth="1"/>
    <col min="10786" max="10786" width="20.28515625" style="5" customWidth="1"/>
    <col min="10787" max="10787" width="11.5703125" style="5" bestFit="1" customWidth="1"/>
    <col min="10788" max="10789" width="10.42578125" style="5" bestFit="1" customWidth="1"/>
    <col min="10790" max="10791" width="9.5703125" style="5"/>
    <col min="10792" max="10792" width="10.28515625" style="5" bestFit="1" customWidth="1"/>
    <col min="10793" max="10793" width="9.5703125" style="5"/>
    <col min="10794" max="10794" width="28.28515625" style="5" customWidth="1"/>
    <col min="10795" max="10795" width="14.5703125" style="5" customWidth="1"/>
    <col min="10796" max="10796" width="11.140625" style="5" customWidth="1"/>
    <col min="10797" max="10797" width="14.140625" style="5" customWidth="1"/>
    <col min="10798" max="10798" width="9.7109375" style="5" bestFit="1" customWidth="1"/>
    <col min="10799" max="10799" width="10.28515625" style="5" bestFit="1" customWidth="1"/>
    <col min="10800" max="10800" width="12" style="5" customWidth="1"/>
    <col min="10801" max="11004" width="9.5703125" style="5"/>
    <col min="11005" max="11005" width="9.7109375" style="5" bestFit="1" customWidth="1"/>
    <col min="11006" max="11008" width="9.5703125" style="5"/>
    <col min="11009" max="11009" width="10" style="5" customWidth="1"/>
    <col min="11010" max="11010" width="82.28515625" style="5" customWidth="1"/>
    <col min="11011" max="11011" width="20.85546875" style="5" customWidth="1"/>
    <col min="11012" max="11012" width="17.7109375" style="5" customWidth="1"/>
    <col min="11013" max="11013" width="11" style="5" customWidth="1"/>
    <col min="11014" max="11014" width="22.85546875" style="5" customWidth="1"/>
    <col min="11015" max="11015" width="18.28515625" style="5" customWidth="1"/>
    <col min="11016" max="11016" width="55.7109375" style="5" customWidth="1"/>
    <col min="11017" max="11017" width="18.42578125" style="5" customWidth="1"/>
    <col min="11018" max="11018" width="14.7109375" style="5" customWidth="1"/>
    <col min="11019" max="11019" width="16.5703125" style="5" customWidth="1"/>
    <col min="11020" max="11020" width="12.5703125" style="5" customWidth="1"/>
    <col min="11021" max="11021" width="14.42578125" style="5" customWidth="1"/>
    <col min="11022" max="11022" width="11" style="5" bestFit="1" customWidth="1"/>
    <col min="11023" max="11023" width="65.5703125" style="5" customWidth="1"/>
    <col min="11024" max="11024" width="20" style="5" customWidth="1"/>
    <col min="11025" max="11025" width="13.7109375" style="5" customWidth="1"/>
    <col min="11026" max="11026" width="15.140625" style="5" customWidth="1"/>
    <col min="11027" max="11027" width="14" style="5" customWidth="1"/>
    <col min="11028" max="11028" width="11.85546875" style="5" customWidth="1"/>
    <col min="11029" max="11029" width="60" style="5" customWidth="1"/>
    <col min="11030" max="11030" width="16.85546875" style="5" customWidth="1"/>
    <col min="11031" max="11031" width="19.140625" style="5" customWidth="1"/>
    <col min="11032" max="11033" width="13" style="5" customWidth="1"/>
    <col min="11034" max="11034" width="13.140625" style="5" customWidth="1"/>
    <col min="11035" max="11035" width="0" style="5" hidden="1" customWidth="1"/>
    <col min="11036" max="11036" width="10.28515625" style="5" customWidth="1"/>
    <col min="11037" max="11037" width="13.7109375" style="5" customWidth="1"/>
    <col min="11038" max="11038" width="54.42578125" style="5" customWidth="1"/>
    <col min="11039" max="11039" width="16" style="5" customWidth="1"/>
    <col min="11040" max="11040" width="15.140625" style="5" customWidth="1"/>
    <col min="11041" max="11041" width="14.28515625" style="5" customWidth="1"/>
    <col min="11042" max="11042" width="20.28515625" style="5" customWidth="1"/>
    <col min="11043" max="11043" width="11.5703125" style="5" bestFit="1" customWidth="1"/>
    <col min="11044" max="11045" width="10.42578125" style="5" bestFit="1" customWidth="1"/>
    <col min="11046" max="11047" width="9.5703125" style="5"/>
    <col min="11048" max="11048" width="10.28515625" style="5" bestFit="1" customWidth="1"/>
    <col min="11049" max="11049" width="9.5703125" style="5"/>
    <col min="11050" max="11050" width="28.28515625" style="5" customWidth="1"/>
    <col min="11051" max="11051" width="14.5703125" style="5" customWidth="1"/>
    <col min="11052" max="11052" width="11.140625" style="5" customWidth="1"/>
    <col min="11053" max="11053" width="14.140625" style="5" customWidth="1"/>
    <col min="11054" max="11054" width="9.7109375" style="5" bestFit="1" customWidth="1"/>
    <col min="11055" max="11055" width="10.28515625" style="5" bestFit="1" customWidth="1"/>
    <col min="11056" max="11056" width="12" style="5" customWidth="1"/>
    <col min="11057" max="11260" width="9.5703125" style="5"/>
    <col min="11261" max="11261" width="9.7109375" style="5" bestFit="1" customWidth="1"/>
    <col min="11262" max="11264" width="9.5703125" style="5"/>
    <col min="11265" max="11265" width="10" style="5" customWidth="1"/>
    <col min="11266" max="11266" width="82.28515625" style="5" customWidth="1"/>
    <col min="11267" max="11267" width="20.85546875" style="5" customWidth="1"/>
    <col min="11268" max="11268" width="17.7109375" style="5" customWidth="1"/>
    <col min="11269" max="11269" width="11" style="5" customWidth="1"/>
    <col min="11270" max="11270" width="22.85546875" style="5" customWidth="1"/>
    <col min="11271" max="11271" width="18.28515625" style="5" customWidth="1"/>
    <col min="11272" max="11272" width="55.7109375" style="5" customWidth="1"/>
    <col min="11273" max="11273" width="18.42578125" style="5" customWidth="1"/>
    <col min="11274" max="11274" width="14.7109375" style="5" customWidth="1"/>
    <col min="11275" max="11275" width="16.5703125" style="5" customWidth="1"/>
    <col min="11276" max="11276" width="12.5703125" style="5" customWidth="1"/>
    <col min="11277" max="11277" width="14.42578125" style="5" customWidth="1"/>
    <col min="11278" max="11278" width="11" style="5" bestFit="1" customWidth="1"/>
    <col min="11279" max="11279" width="65.5703125" style="5" customWidth="1"/>
    <col min="11280" max="11280" width="20" style="5" customWidth="1"/>
    <col min="11281" max="11281" width="13.7109375" style="5" customWidth="1"/>
    <col min="11282" max="11282" width="15.140625" style="5" customWidth="1"/>
    <col min="11283" max="11283" width="14" style="5" customWidth="1"/>
    <col min="11284" max="11284" width="11.85546875" style="5" customWidth="1"/>
    <col min="11285" max="11285" width="60" style="5" customWidth="1"/>
    <col min="11286" max="11286" width="16.85546875" style="5" customWidth="1"/>
    <col min="11287" max="11287" width="19.140625" style="5" customWidth="1"/>
    <col min="11288" max="11289" width="13" style="5" customWidth="1"/>
    <col min="11290" max="11290" width="13.140625" style="5" customWidth="1"/>
    <col min="11291" max="11291" width="0" style="5" hidden="1" customWidth="1"/>
    <col min="11292" max="11292" width="10.28515625" style="5" customWidth="1"/>
    <col min="11293" max="11293" width="13.7109375" style="5" customWidth="1"/>
    <col min="11294" max="11294" width="54.42578125" style="5" customWidth="1"/>
    <col min="11295" max="11295" width="16" style="5" customWidth="1"/>
    <col min="11296" max="11296" width="15.140625" style="5" customWidth="1"/>
    <col min="11297" max="11297" width="14.28515625" style="5" customWidth="1"/>
    <col min="11298" max="11298" width="20.28515625" style="5" customWidth="1"/>
    <col min="11299" max="11299" width="11.5703125" style="5" bestFit="1" customWidth="1"/>
    <col min="11300" max="11301" width="10.42578125" style="5" bestFit="1" customWidth="1"/>
    <col min="11302" max="11303" width="9.5703125" style="5"/>
    <col min="11304" max="11304" width="10.28515625" style="5" bestFit="1" customWidth="1"/>
    <col min="11305" max="11305" width="9.5703125" style="5"/>
    <col min="11306" max="11306" width="28.28515625" style="5" customWidth="1"/>
    <col min="11307" max="11307" width="14.5703125" style="5" customWidth="1"/>
    <col min="11308" max="11308" width="11.140625" style="5" customWidth="1"/>
    <col min="11309" max="11309" width="14.140625" style="5" customWidth="1"/>
    <col min="11310" max="11310" width="9.7109375" style="5" bestFit="1" customWidth="1"/>
    <col min="11311" max="11311" width="10.28515625" style="5" bestFit="1" customWidth="1"/>
    <col min="11312" max="11312" width="12" style="5" customWidth="1"/>
    <col min="11313" max="11516" width="9.5703125" style="5"/>
    <col min="11517" max="11517" width="9.7109375" style="5" bestFit="1" customWidth="1"/>
    <col min="11518" max="11520" width="9.5703125" style="5"/>
    <col min="11521" max="11521" width="10" style="5" customWidth="1"/>
    <col min="11522" max="11522" width="82.28515625" style="5" customWidth="1"/>
    <col min="11523" max="11523" width="20.85546875" style="5" customWidth="1"/>
    <col min="11524" max="11524" width="17.7109375" style="5" customWidth="1"/>
    <col min="11525" max="11525" width="11" style="5" customWidth="1"/>
    <col min="11526" max="11526" width="22.85546875" style="5" customWidth="1"/>
    <col min="11527" max="11527" width="18.28515625" style="5" customWidth="1"/>
    <col min="11528" max="11528" width="55.7109375" style="5" customWidth="1"/>
    <col min="11529" max="11529" width="18.42578125" style="5" customWidth="1"/>
    <col min="11530" max="11530" width="14.7109375" style="5" customWidth="1"/>
    <col min="11531" max="11531" width="16.5703125" style="5" customWidth="1"/>
    <col min="11532" max="11532" width="12.5703125" style="5" customWidth="1"/>
    <col min="11533" max="11533" width="14.42578125" style="5" customWidth="1"/>
    <col min="11534" max="11534" width="11" style="5" bestFit="1" customWidth="1"/>
    <col min="11535" max="11535" width="65.5703125" style="5" customWidth="1"/>
    <col min="11536" max="11536" width="20" style="5" customWidth="1"/>
    <col min="11537" max="11537" width="13.7109375" style="5" customWidth="1"/>
    <col min="11538" max="11538" width="15.140625" style="5" customWidth="1"/>
    <col min="11539" max="11539" width="14" style="5" customWidth="1"/>
    <col min="11540" max="11540" width="11.85546875" style="5" customWidth="1"/>
    <col min="11541" max="11541" width="60" style="5" customWidth="1"/>
    <col min="11542" max="11542" width="16.85546875" style="5" customWidth="1"/>
    <col min="11543" max="11543" width="19.140625" style="5" customWidth="1"/>
    <col min="11544" max="11545" width="13" style="5" customWidth="1"/>
    <col min="11546" max="11546" width="13.140625" style="5" customWidth="1"/>
    <col min="11547" max="11547" width="0" style="5" hidden="1" customWidth="1"/>
    <col min="11548" max="11548" width="10.28515625" style="5" customWidth="1"/>
    <col min="11549" max="11549" width="13.7109375" style="5" customWidth="1"/>
    <col min="11550" max="11550" width="54.42578125" style="5" customWidth="1"/>
    <col min="11551" max="11551" width="16" style="5" customWidth="1"/>
    <col min="11552" max="11552" width="15.140625" style="5" customWidth="1"/>
    <col min="11553" max="11553" width="14.28515625" style="5" customWidth="1"/>
    <col min="11554" max="11554" width="20.28515625" style="5" customWidth="1"/>
    <col min="11555" max="11555" width="11.5703125" style="5" bestFit="1" customWidth="1"/>
    <col min="11556" max="11557" width="10.42578125" style="5" bestFit="1" customWidth="1"/>
    <col min="11558" max="11559" width="9.5703125" style="5"/>
    <col min="11560" max="11560" width="10.28515625" style="5" bestFit="1" customWidth="1"/>
    <col min="11561" max="11561" width="9.5703125" style="5"/>
    <col min="11562" max="11562" width="28.28515625" style="5" customWidth="1"/>
    <col min="11563" max="11563" width="14.5703125" style="5" customWidth="1"/>
    <col min="11564" max="11564" width="11.140625" style="5" customWidth="1"/>
    <col min="11565" max="11565" width="14.140625" style="5" customWidth="1"/>
    <col min="11566" max="11566" width="9.7109375" style="5" bestFit="1" customWidth="1"/>
    <col min="11567" max="11567" width="10.28515625" style="5" bestFit="1" customWidth="1"/>
    <col min="11568" max="11568" width="12" style="5" customWidth="1"/>
    <col min="11569" max="11772" width="9.5703125" style="5"/>
    <col min="11773" max="11773" width="9.7109375" style="5" bestFit="1" customWidth="1"/>
    <col min="11774" max="11776" width="9.5703125" style="5"/>
    <col min="11777" max="11777" width="10" style="5" customWidth="1"/>
    <col min="11778" max="11778" width="82.28515625" style="5" customWidth="1"/>
    <col min="11779" max="11779" width="20.85546875" style="5" customWidth="1"/>
    <col min="11780" max="11780" width="17.7109375" style="5" customWidth="1"/>
    <col min="11781" max="11781" width="11" style="5" customWidth="1"/>
    <col min="11782" max="11782" width="22.85546875" style="5" customWidth="1"/>
    <col min="11783" max="11783" width="18.28515625" style="5" customWidth="1"/>
    <col min="11784" max="11784" width="55.7109375" style="5" customWidth="1"/>
    <col min="11785" max="11785" width="18.42578125" style="5" customWidth="1"/>
    <col min="11786" max="11786" width="14.7109375" style="5" customWidth="1"/>
    <col min="11787" max="11787" width="16.5703125" style="5" customWidth="1"/>
    <col min="11788" max="11788" width="12.5703125" style="5" customWidth="1"/>
    <col min="11789" max="11789" width="14.42578125" style="5" customWidth="1"/>
    <col min="11790" max="11790" width="11" style="5" bestFit="1" customWidth="1"/>
    <col min="11791" max="11791" width="65.5703125" style="5" customWidth="1"/>
    <col min="11792" max="11792" width="20" style="5" customWidth="1"/>
    <col min="11793" max="11793" width="13.7109375" style="5" customWidth="1"/>
    <col min="11794" max="11794" width="15.140625" style="5" customWidth="1"/>
    <col min="11795" max="11795" width="14" style="5" customWidth="1"/>
    <col min="11796" max="11796" width="11.85546875" style="5" customWidth="1"/>
    <col min="11797" max="11797" width="60" style="5" customWidth="1"/>
    <col min="11798" max="11798" width="16.85546875" style="5" customWidth="1"/>
    <col min="11799" max="11799" width="19.140625" style="5" customWidth="1"/>
    <col min="11800" max="11801" width="13" style="5" customWidth="1"/>
    <col min="11802" max="11802" width="13.140625" style="5" customWidth="1"/>
    <col min="11803" max="11803" width="0" style="5" hidden="1" customWidth="1"/>
    <col min="11804" max="11804" width="10.28515625" style="5" customWidth="1"/>
    <col min="11805" max="11805" width="13.7109375" style="5" customWidth="1"/>
    <col min="11806" max="11806" width="54.42578125" style="5" customWidth="1"/>
    <col min="11807" max="11807" width="16" style="5" customWidth="1"/>
    <col min="11808" max="11808" width="15.140625" style="5" customWidth="1"/>
    <col min="11809" max="11809" width="14.28515625" style="5" customWidth="1"/>
    <col min="11810" max="11810" width="20.28515625" style="5" customWidth="1"/>
    <col min="11811" max="11811" width="11.5703125" style="5" bestFit="1" customWidth="1"/>
    <col min="11812" max="11813" width="10.42578125" style="5" bestFit="1" customWidth="1"/>
    <col min="11814" max="11815" width="9.5703125" style="5"/>
    <col min="11816" max="11816" width="10.28515625" style="5" bestFit="1" customWidth="1"/>
    <col min="11817" max="11817" width="9.5703125" style="5"/>
    <col min="11818" max="11818" width="28.28515625" style="5" customWidth="1"/>
    <col min="11819" max="11819" width="14.5703125" style="5" customWidth="1"/>
    <col min="11820" max="11820" width="11.140625" style="5" customWidth="1"/>
    <col min="11821" max="11821" width="14.140625" style="5" customWidth="1"/>
    <col min="11822" max="11822" width="9.7109375" style="5" bestFit="1" customWidth="1"/>
    <col min="11823" max="11823" width="10.28515625" style="5" bestFit="1" customWidth="1"/>
    <col min="11824" max="11824" width="12" style="5" customWidth="1"/>
    <col min="11825" max="12028" width="9.5703125" style="5"/>
    <col min="12029" max="12029" width="9.7109375" style="5" bestFit="1" customWidth="1"/>
    <col min="12030" max="12032" width="9.5703125" style="5"/>
    <col min="12033" max="12033" width="10" style="5" customWidth="1"/>
    <col min="12034" max="12034" width="82.28515625" style="5" customWidth="1"/>
    <col min="12035" max="12035" width="20.85546875" style="5" customWidth="1"/>
    <col min="12036" max="12036" width="17.7109375" style="5" customWidth="1"/>
    <col min="12037" max="12037" width="11" style="5" customWidth="1"/>
    <col min="12038" max="12038" width="22.85546875" style="5" customWidth="1"/>
    <col min="12039" max="12039" width="18.28515625" style="5" customWidth="1"/>
    <col min="12040" max="12040" width="55.7109375" style="5" customWidth="1"/>
    <col min="12041" max="12041" width="18.42578125" style="5" customWidth="1"/>
    <col min="12042" max="12042" width="14.7109375" style="5" customWidth="1"/>
    <col min="12043" max="12043" width="16.5703125" style="5" customWidth="1"/>
    <col min="12044" max="12044" width="12.5703125" style="5" customWidth="1"/>
    <col min="12045" max="12045" width="14.42578125" style="5" customWidth="1"/>
    <col min="12046" max="12046" width="11" style="5" bestFit="1" customWidth="1"/>
    <col min="12047" max="12047" width="65.5703125" style="5" customWidth="1"/>
    <col min="12048" max="12048" width="20" style="5" customWidth="1"/>
    <col min="12049" max="12049" width="13.7109375" style="5" customWidth="1"/>
    <col min="12050" max="12050" width="15.140625" style="5" customWidth="1"/>
    <col min="12051" max="12051" width="14" style="5" customWidth="1"/>
    <col min="12052" max="12052" width="11.85546875" style="5" customWidth="1"/>
    <col min="12053" max="12053" width="60" style="5" customWidth="1"/>
    <col min="12054" max="12054" width="16.85546875" style="5" customWidth="1"/>
    <col min="12055" max="12055" width="19.140625" style="5" customWidth="1"/>
    <col min="12056" max="12057" width="13" style="5" customWidth="1"/>
    <col min="12058" max="12058" width="13.140625" style="5" customWidth="1"/>
    <col min="12059" max="12059" width="0" style="5" hidden="1" customWidth="1"/>
    <col min="12060" max="12060" width="10.28515625" style="5" customWidth="1"/>
    <col min="12061" max="12061" width="13.7109375" style="5" customWidth="1"/>
    <col min="12062" max="12062" width="54.42578125" style="5" customWidth="1"/>
    <col min="12063" max="12063" width="16" style="5" customWidth="1"/>
    <col min="12064" max="12064" width="15.140625" style="5" customWidth="1"/>
    <col min="12065" max="12065" width="14.28515625" style="5" customWidth="1"/>
    <col min="12066" max="12066" width="20.28515625" style="5" customWidth="1"/>
    <col min="12067" max="12067" width="11.5703125" style="5" bestFit="1" customWidth="1"/>
    <col min="12068" max="12069" width="10.42578125" style="5" bestFit="1" customWidth="1"/>
    <col min="12070" max="12071" width="9.5703125" style="5"/>
    <col min="12072" max="12072" width="10.28515625" style="5" bestFit="1" customWidth="1"/>
    <col min="12073" max="12073" width="9.5703125" style="5"/>
    <col min="12074" max="12074" width="28.28515625" style="5" customWidth="1"/>
    <col min="12075" max="12075" width="14.5703125" style="5" customWidth="1"/>
    <col min="12076" max="12076" width="11.140625" style="5" customWidth="1"/>
    <col min="12077" max="12077" width="14.140625" style="5" customWidth="1"/>
    <col min="12078" max="12078" width="9.7109375" style="5" bestFit="1" customWidth="1"/>
    <col min="12079" max="12079" width="10.28515625" style="5" bestFit="1" customWidth="1"/>
    <col min="12080" max="12080" width="12" style="5" customWidth="1"/>
    <col min="12081" max="12284" width="9.5703125" style="5"/>
    <col min="12285" max="12285" width="9.7109375" style="5" bestFit="1" customWidth="1"/>
    <col min="12286" max="12288" width="9.5703125" style="5"/>
    <col min="12289" max="12289" width="10" style="5" customWidth="1"/>
    <col min="12290" max="12290" width="82.28515625" style="5" customWidth="1"/>
    <col min="12291" max="12291" width="20.85546875" style="5" customWidth="1"/>
    <col min="12292" max="12292" width="17.7109375" style="5" customWidth="1"/>
    <col min="12293" max="12293" width="11" style="5" customWidth="1"/>
    <col min="12294" max="12294" width="22.85546875" style="5" customWidth="1"/>
    <col min="12295" max="12295" width="18.28515625" style="5" customWidth="1"/>
    <col min="12296" max="12296" width="55.7109375" style="5" customWidth="1"/>
    <col min="12297" max="12297" width="18.42578125" style="5" customWidth="1"/>
    <col min="12298" max="12298" width="14.7109375" style="5" customWidth="1"/>
    <col min="12299" max="12299" width="16.5703125" style="5" customWidth="1"/>
    <col min="12300" max="12300" width="12.5703125" style="5" customWidth="1"/>
    <col min="12301" max="12301" width="14.42578125" style="5" customWidth="1"/>
    <col min="12302" max="12302" width="11" style="5" bestFit="1" customWidth="1"/>
    <col min="12303" max="12303" width="65.5703125" style="5" customWidth="1"/>
    <col min="12304" max="12304" width="20" style="5" customWidth="1"/>
    <col min="12305" max="12305" width="13.7109375" style="5" customWidth="1"/>
    <col min="12306" max="12306" width="15.140625" style="5" customWidth="1"/>
    <col min="12307" max="12307" width="14" style="5" customWidth="1"/>
    <col min="12308" max="12308" width="11.85546875" style="5" customWidth="1"/>
    <col min="12309" max="12309" width="60" style="5" customWidth="1"/>
    <col min="12310" max="12310" width="16.85546875" style="5" customWidth="1"/>
    <col min="12311" max="12311" width="19.140625" style="5" customWidth="1"/>
    <col min="12312" max="12313" width="13" style="5" customWidth="1"/>
    <col min="12314" max="12314" width="13.140625" style="5" customWidth="1"/>
    <col min="12315" max="12315" width="0" style="5" hidden="1" customWidth="1"/>
    <col min="12316" max="12316" width="10.28515625" style="5" customWidth="1"/>
    <col min="12317" max="12317" width="13.7109375" style="5" customWidth="1"/>
    <col min="12318" max="12318" width="54.42578125" style="5" customWidth="1"/>
    <col min="12319" max="12319" width="16" style="5" customWidth="1"/>
    <col min="12320" max="12320" width="15.140625" style="5" customWidth="1"/>
    <col min="12321" max="12321" width="14.28515625" style="5" customWidth="1"/>
    <col min="12322" max="12322" width="20.28515625" style="5" customWidth="1"/>
    <col min="12323" max="12323" width="11.5703125" style="5" bestFit="1" customWidth="1"/>
    <col min="12324" max="12325" width="10.42578125" style="5" bestFit="1" customWidth="1"/>
    <col min="12326" max="12327" width="9.5703125" style="5"/>
    <col min="12328" max="12328" width="10.28515625" style="5" bestFit="1" customWidth="1"/>
    <col min="12329" max="12329" width="9.5703125" style="5"/>
    <col min="12330" max="12330" width="28.28515625" style="5" customWidth="1"/>
    <col min="12331" max="12331" width="14.5703125" style="5" customWidth="1"/>
    <col min="12332" max="12332" width="11.140625" style="5" customWidth="1"/>
    <col min="12333" max="12333" width="14.140625" style="5" customWidth="1"/>
    <col min="12334" max="12334" width="9.7109375" style="5" bestFit="1" customWidth="1"/>
    <col min="12335" max="12335" width="10.28515625" style="5" bestFit="1" customWidth="1"/>
    <col min="12336" max="12336" width="12" style="5" customWidth="1"/>
    <col min="12337" max="12540" width="9.5703125" style="5"/>
    <col min="12541" max="12541" width="9.7109375" style="5" bestFit="1" customWidth="1"/>
    <col min="12542" max="12544" width="9.5703125" style="5"/>
    <col min="12545" max="12545" width="10" style="5" customWidth="1"/>
    <col min="12546" max="12546" width="82.28515625" style="5" customWidth="1"/>
    <col min="12547" max="12547" width="20.85546875" style="5" customWidth="1"/>
    <col min="12548" max="12548" width="17.7109375" style="5" customWidth="1"/>
    <col min="12549" max="12549" width="11" style="5" customWidth="1"/>
    <col min="12550" max="12550" width="22.85546875" style="5" customWidth="1"/>
    <col min="12551" max="12551" width="18.28515625" style="5" customWidth="1"/>
    <col min="12552" max="12552" width="55.7109375" style="5" customWidth="1"/>
    <col min="12553" max="12553" width="18.42578125" style="5" customWidth="1"/>
    <col min="12554" max="12554" width="14.7109375" style="5" customWidth="1"/>
    <col min="12555" max="12555" width="16.5703125" style="5" customWidth="1"/>
    <col min="12556" max="12556" width="12.5703125" style="5" customWidth="1"/>
    <col min="12557" max="12557" width="14.42578125" style="5" customWidth="1"/>
    <col min="12558" max="12558" width="11" style="5" bestFit="1" customWidth="1"/>
    <col min="12559" max="12559" width="65.5703125" style="5" customWidth="1"/>
    <col min="12560" max="12560" width="20" style="5" customWidth="1"/>
    <col min="12561" max="12561" width="13.7109375" style="5" customWidth="1"/>
    <col min="12562" max="12562" width="15.140625" style="5" customWidth="1"/>
    <col min="12563" max="12563" width="14" style="5" customWidth="1"/>
    <col min="12564" max="12564" width="11.85546875" style="5" customWidth="1"/>
    <col min="12565" max="12565" width="60" style="5" customWidth="1"/>
    <col min="12566" max="12566" width="16.85546875" style="5" customWidth="1"/>
    <col min="12567" max="12567" width="19.140625" style="5" customWidth="1"/>
    <col min="12568" max="12569" width="13" style="5" customWidth="1"/>
    <col min="12570" max="12570" width="13.140625" style="5" customWidth="1"/>
    <col min="12571" max="12571" width="0" style="5" hidden="1" customWidth="1"/>
    <col min="12572" max="12572" width="10.28515625" style="5" customWidth="1"/>
    <col min="12573" max="12573" width="13.7109375" style="5" customWidth="1"/>
    <col min="12574" max="12574" width="54.42578125" style="5" customWidth="1"/>
    <col min="12575" max="12575" width="16" style="5" customWidth="1"/>
    <col min="12576" max="12576" width="15.140625" style="5" customWidth="1"/>
    <col min="12577" max="12577" width="14.28515625" style="5" customWidth="1"/>
    <col min="12578" max="12578" width="20.28515625" style="5" customWidth="1"/>
    <col min="12579" max="12579" width="11.5703125" style="5" bestFit="1" customWidth="1"/>
    <col min="12580" max="12581" width="10.42578125" style="5" bestFit="1" customWidth="1"/>
    <col min="12582" max="12583" width="9.5703125" style="5"/>
    <col min="12584" max="12584" width="10.28515625" style="5" bestFit="1" customWidth="1"/>
    <col min="12585" max="12585" width="9.5703125" style="5"/>
    <col min="12586" max="12586" width="28.28515625" style="5" customWidth="1"/>
    <col min="12587" max="12587" width="14.5703125" style="5" customWidth="1"/>
    <col min="12588" max="12588" width="11.140625" style="5" customWidth="1"/>
    <col min="12589" max="12589" width="14.140625" style="5" customWidth="1"/>
    <col min="12590" max="12590" width="9.7109375" style="5" bestFit="1" customWidth="1"/>
    <col min="12591" max="12591" width="10.28515625" style="5" bestFit="1" customWidth="1"/>
    <col min="12592" max="12592" width="12" style="5" customWidth="1"/>
    <col min="12593" max="12796" width="9.5703125" style="5"/>
    <col min="12797" max="12797" width="9.7109375" style="5" bestFit="1" customWidth="1"/>
    <col min="12798" max="12800" width="9.5703125" style="5"/>
    <col min="12801" max="12801" width="10" style="5" customWidth="1"/>
    <col min="12802" max="12802" width="82.28515625" style="5" customWidth="1"/>
    <col min="12803" max="12803" width="20.85546875" style="5" customWidth="1"/>
    <col min="12804" max="12804" width="17.7109375" style="5" customWidth="1"/>
    <col min="12805" max="12805" width="11" style="5" customWidth="1"/>
    <col min="12806" max="12806" width="22.85546875" style="5" customWidth="1"/>
    <col min="12807" max="12807" width="18.28515625" style="5" customWidth="1"/>
    <col min="12808" max="12808" width="55.7109375" style="5" customWidth="1"/>
    <col min="12809" max="12809" width="18.42578125" style="5" customWidth="1"/>
    <col min="12810" max="12810" width="14.7109375" style="5" customWidth="1"/>
    <col min="12811" max="12811" width="16.5703125" style="5" customWidth="1"/>
    <col min="12812" max="12812" width="12.5703125" style="5" customWidth="1"/>
    <col min="12813" max="12813" width="14.42578125" style="5" customWidth="1"/>
    <col min="12814" max="12814" width="11" style="5" bestFit="1" customWidth="1"/>
    <col min="12815" max="12815" width="65.5703125" style="5" customWidth="1"/>
    <col min="12816" max="12816" width="20" style="5" customWidth="1"/>
    <col min="12817" max="12817" width="13.7109375" style="5" customWidth="1"/>
    <col min="12818" max="12818" width="15.140625" style="5" customWidth="1"/>
    <col min="12819" max="12819" width="14" style="5" customWidth="1"/>
    <col min="12820" max="12820" width="11.85546875" style="5" customWidth="1"/>
    <col min="12821" max="12821" width="60" style="5" customWidth="1"/>
    <col min="12822" max="12822" width="16.85546875" style="5" customWidth="1"/>
    <col min="12823" max="12823" width="19.140625" style="5" customWidth="1"/>
    <col min="12824" max="12825" width="13" style="5" customWidth="1"/>
    <col min="12826" max="12826" width="13.140625" style="5" customWidth="1"/>
    <col min="12827" max="12827" width="0" style="5" hidden="1" customWidth="1"/>
    <col min="12828" max="12828" width="10.28515625" style="5" customWidth="1"/>
    <col min="12829" max="12829" width="13.7109375" style="5" customWidth="1"/>
    <col min="12830" max="12830" width="54.42578125" style="5" customWidth="1"/>
    <col min="12831" max="12831" width="16" style="5" customWidth="1"/>
    <col min="12832" max="12832" width="15.140625" style="5" customWidth="1"/>
    <col min="12833" max="12833" width="14.28515625" style="5" customWidth="1"/>
    <col min="12834" max="12834" width="20.28515625" style="5" customWidth="1"/>
    <col min="12835" max="12835" width="11.5703125" style="5" bestFit="1" customWidth="1"/>
    <col min="12836" max="12837" width="10.42578125" style="5" bestFit="1" customWidth="1"/>
    <col min="12838" max="12839" width="9.5703125" style="5"/>
    <col min="12840" max="12840" width="10.28515625" style="5" bestFit="1" customWidth="1"/>
    <col min="12841" max="12841" width="9.5703125" style="5"/>
    <col min="12842" max="12842" width="28.28515625" style="5" customWidth="1"/>
    <col min="12843" max="12843" width="14.5703125" style="5" customWidth="1"/>
    <col min="12844" max="12844" width="11.140625" style="5" customWidth="1"/>
    <col min="12845" max="12845" width="14.140625" style="5" customWidth="1"/>
    <col min="12846" max="12846" width="9.7109375" style="5" bestFit="1" customWidth="1"/>
    <col min="12847" max="12847" width="10.28515625" style="5" bestFit="1" customWidth="1"/>
    <col min="12848" max="12848" width="12" style="5" customWidth="1"/>
    <col min="12849" max="13052" width="9.5703125" style="5"/>
    <col min="13053" max="13053" width="9.7109375" style="5" bestFit="1" customWidth="1"/>
    <col min="13054" max="13056" width="9.5703125" style="5"/>
    <col min="13057" max="13057" width="10" style="5" customWidth="1"/>
    <col min="13058" max="13058" width="82.28515625" style="5" customWidth="1"/>
    <col min="13059" max="13059" width="20.85546875" style="5" customWidth="1"/>
    <col min="13060" max="13060" width="17.7109375" style="5" customWidth="1"/>
    <col min="13061" max="13061" width="11" style="5" customWidth="1"/>
    <col min="13062" max="13062" width="22.85546875" style="5" customWidth="1"/>
    <col min="13063" max="13063" width="18.28515625" style="5" customWidth="1"/>
    <col min="13064" max="13064" width="55.7109375" style="5" customWidth="1"/>
    <col min="13065" max="13065" width="18.42578125" style="5" customWidth="1"/>
    <col min="13066" max="13066" width="14.7109375" style="5" customWidth="1"/>
    <col min="13067" max="13067" width="16.5703125" style="5" customWidth="1"/>
    <col min="13068" max="13068" width="12.5703125" style="5" customWidth="1"/>
    <col min="13069" max="13069" width="14.42578125" style="5" customWidth="1"/>
    <col min="13070" max="13070" width="11" style="5" bestFit="1" customWidth="1"/>
    <col min="13071" max="13071" width="65.5703125" style="5" customWidth="1"/>
    <col min="13072" max="13072" width="20" style="5" customWidth="1"/>
    <col min="13073" max="13073" width="13.7109375" style="5" customWidth="1"/>
    <col min="13074" max="13074" width="15.140625" style="5" customWidth="1"/>
    <col min="13075" max="13075" width="14" style="5" customWidth="1"/>
    <col min="13076" max="13076" width="11.85546875" style="5" customWidth="1"/>
    <col min="13077" max="13077" width="60" style="5" customWidth="1"/>
    <col min="13078" max="13078" width="16.85546875" style="5" customWidth="1"/>
    <col min="13079" max="13079" width="19.140625" style="5" customWidth="1"/>
    <col min="13080" max="13081" width="13" style="5" customWidth="1"/>
    <col min="13082" max="13082" width="13.140625" style="5" customWidth="1"/>
    <col min="13083" max="13083" width="0" style="5" hidden="1" customWidth="1"/>
    <col min="13084" max="13084" width="10.28515625" style="5" customWidth="1"/>
    <col min="13085" max="13085" width="13.7109375" style="5" customWidth="1"/>
    <col min="13086" max="13086" width="54.42578125" style="5" customWidth="1"/>
    <col min="13087" max="13087" width="16" style="5" customWidth="1"/>
    <col min="13088" max="13088" width="15.140625" style="5" customWidth="1"/>
    <col min="13089" max="13089" width="14.28515625" style="5" customWidth="1"/>
    <col min="13090" max="13090" width="20.28515625" style="5" customWidth="1"/>
    <col min="13091" max="13091" width="11.5703125" style="5" bestFit="1" customWidth="1"/>
    <col min="13092" max="13093" width="10.42578125" style="5" bestFit="1" customWidth="1"/>
    <col min="13094" max="13095" width="9.5703125" style="5"/>
    <col min="13096" max="13096" width="10.28515625" style="5" bestFit="1" customWidth="1"/>
    <col min="13097" max="13097" width="9.5703125" style="5"/>
    <col min="13098" max="13098" width="28.28515625" style="5" customWidth="1"/>
    <col min="13099" max="13099" width="14.5703125" style="5" customWidth="1"/>
    <col min="13100" max="13100" width="11.140625" style="5" customWidth="1"/>
    <col min="13101" max="13101" width="14.140625" style="5" customWidth="1"/>
    <col min="13102" max="13102" width="9.7109375" style="5" bestFit="1" customWidth="1"/>
    <col min="13103" max="13103" width="10.28515625" style="5" bestFit="1" customWidth="1"/>
    <col min="13104" max="13104" width="12" style="5" customWidth="1"/>
    <col min="13105" max="13308" width="9.5703125" style="5"/>
    <col min="13309" max="13309" width="9.7109375" style="5" bestFit="1" customWidth="1"/>
    <col min="13310" max="13312" width="9.5703125" style="5"/>
    <col min="13313" max="13313" width="10" style="5" customWidth="1"/>
    <col min="13314" max="13314" width="82.28515625" style="5" customWidth="1"/>
    <col min="13315" max="13315" width="20.85546875" style="5" customWidth="1"/>
    <col min="13316" max="13316" width="17.7109375" style="5" customWidth="1"/>
    <col min="13317" max="13317" width="11" style="5" customWidth="1"/>
    <col min="13318" max="13318" width="22.85546875" style="5" customWidth="1"/>
    <col min="13319" max="13319" width="18.28515625" style="5" customWidth="1"/>
    <col min="13320" max="13320" width="55.7109375" style="5" customWidth="1"/>
    <col min="13321" max="13321" width="18.42578125" style="5" customWidth="1"/>
    <col min="13322" max="13322" width="14.7109375" style="5" customWidth="1"/>
    <col min="13323" max="13323" width="16.5703125" style="5" customWidth="1"/>
    <col min="13324" max="13324" width="12.5703125" style="5" customWidth="1"/>
    <col min="13325" max="13325" width="14.42578125" style="5" customWidth="1"/>
    <col min="13326" max="13326" width="11" style="5" bestFit="1" customWidth="1"/>
    <col min="13327" max="13327" width="65.5703125" style="5" customWidth="1"/>
    <col min="13328" max="13328" width="20" style="5" customWidth="1"/>
    <col min="13329" max="13329" width="13.7109375" style="5" customWidth="1"/>
    <col min="13330" max="13330" width="15.140625" style="5" customWidth="1"/>
    <col min="13331" max="13331" width="14" style="5" customWidth="1"/>
    <col min="13332" max="13332" width="11.85546875" style="5" customWidth="1"/>
    <col min="13333" max="13333" width="60" style="5" customWidth="1"/>
    <col min="13334" max="13334" width="16.85546875" style="5" customWidth="1"/>
    <col min="13335" max="13335" width="19.140625" style="5" customWidth="1"/>
    <col min="13336" max="13337" width="13" style="5" customWidth="1"/>
    <col min="13338" max="13338" width="13.140625" style="5" customWidth="1"/>
    <col min="13339" max="13339" width="0" style="5" hidden="1" customWidth="1"/>
    <col min="13340" max="13340" width="10.28515625" style="5" customWidth="1"/>
    <col min="13341" max="13341" width="13.7109375" style="5" customWidth="1"/>
    <col min="13342" max="13342" width="54.42578125" style="5" customWidth="1"/>
    <col min="13343" max="13343" width="16" style="5" customWidth="1"/>
    <col min="13344" max="13344" width="15.140625" style="5" customWidth="1"/>
    <col min="13345" max="13345" width="14.28515625" style="5" customWidth="1"/>
    <col min="13346" max="13346" width="20.28515625" style="5" customWidth="1"/>
    <col min="13347" max="13347" width="11.5703125" style="5" bestFit="1" customWidth="1"/>
    <col min="13348" max="13349" width="10.42578125" style="5" bestFit="1" customWidth="1"/>
    <col min="13350" max="13351" width="9.5703125" style="5"/>
    <col min="13352" max="13352" width="10.28515625" style="5" bestFit="1" customWidth="1"/>
    <col min="13353" max="13353" width="9.5703125" style="5"/>
    <col min="13354" max="13354" width="28.28515625" style="5" customWidth="1"/>
    <col min="13355" max="13355" width="14.5703125" style="5" customWidth="1"/>
    <col min="13356" max="13356" width="11.140625" style="5" customWidth="1"/>
    <col min="13357" max="13357" width="14.140625" style="5" customWidth="1"/>
    <col min="13358" max="13358" width="9.7109375" style="5" bestFit="1" customWidth="1"/>
    <col min="13359" max="13359" width="10.28515625" style="5" bestFit="1" customWidth="1"/>
    <col min="13360" max="13360" width="12" style="5" customWidth="1"/>
    <col min="13361" max="13564" width="9.5703125" style="5"/>
    <col min="13565" max="13565" width="9.7109375" style="5" bestFit="1" customWidth="1"/>
    <col min="13566" max="13568" width="9.5703125" style="5"/>
    <col min="13569" max="13569" width="10" style="5" customWidth="1"/>
    <col min="13570" max="13570" width="82.28515625" style="5" customWidth="1"/>
    <col min="13571" max="13571" width="20.85546875" style="5" customWidth="1"/>
    <col min="13572" max="13572" width="17.7109375" style="5" customWidth="1"/>
    <col min="13573" max="13573" width="11" style="5" customWidth="1"/>
    <col min="13574" max="13574" width="22.85546875" style="5" customWidth="1"/>
    <col min="13575" max="13575" width="18.28515625" style="5" customWidth="1"/>
    <col min="13576" max="13576" width="55.7109375" style="5" customWidth="1"/>
    <col min="13577" max="13577" width="18.42578125" style="5" customWidth="1"/>
    <col min="13578" max="13578" width="14.7109375" style="5" customWidth="1"/>
    <col min="13579" max="13579" width="16.5703125" style="5" customWidth="1"/>
    <col min="13580" max="13580" width="12.5703125" style="5" customWidth="1"/>
    <col min="13581" max="13581" width="14.42578125" style="5" customWidth="1"/>
    <col min="13582" max="13582" width="11" style="5" bestFit="1" customWidth="1"/>
    <col min="13583" max="13583" width="65.5703125" style="5" customWidth="1"/>
    <col min="13584" max="13584" width="20" style="5" customWidth="1"/>
    <col min="13585" max="13585" width="13.7109375" style="5" customWidth="1"/>
    <col min="13586" max="13586" width="15.140625" style="5" customWidth="1"/>
    <col min="13587" max="13587" width="14" style="5" customWidth="1"/>
    <col min="13588" max="13588" width="11.85546875" style="5" customWidth="1"/>
    <col min="13589" max="13589" width="60" style="5" customWidth="1"/>
    <col min="13590" max="13590" width="16.85546875" style="5" customWidth="1"/>
    <col min="13591" max="13591" width="19.140625" style="5" customWidth="1"/>
    <col min="13592" max="13593" width="13" style="5" customWidth="1"/>
    <col min="13594" max="13594" width="13.140625" style="5" customWidth="1"/>
    <col min="13595" max="13595" width="0" style="5" hidden="1" customWidth="1"/>
    <col min="13596" max="13596" width="10.28515625" style="5" customWidth="1"/>
    <col min="13597" max="13597" width="13.7109375" style="5" customWidth="1"/>
    <col min="13598" max="13598" width="54.42578125" style="5" customWidth="1"/>
    <col min="13599" max="13599" width="16" style="5" customWidth="1"/>
    <col min="13600" max="13600" width="15.140625" style="5" customWidth="1"/>
    <col min="13601" max="13601" width="14.28515625" style="5" customWidth="1"/>
    <col min="13602" max="13602" width="20.28515625" style="5" customWidth="1"/>
    <col min="13603" max="13603" width="11.5703125" style="5" bestFit="1" customWidth="1"/>
    <col min="13604" max="13605" width="10.42578125" style="5" bestFit="1" customWidth="1"/>
    <col min="13606" max="13607" width="9.5703125" style="5"/>
    <col min="13608" max="13608" width="10.28515625" style="5" bestFit="1" customWidth="1"/>
    <col min="13609" max="13609" width="9.5703125" style="5"/>
    <col min="13610" max="13610" width="28.28515625" style="5" customWidth="1"/>
    <col min="13611" max="13611" width="14.5703125" style="5" customWidth="1"/>
    <col min="13612" max="13612" width="11.140625" style="5" customWidth="1"/>
    <col min="13613" max="13613" width="14.140625" style="5" customWidth="1"/>
    <col min="13614" max="13614" width="9.7109375" style="5" bestFit="1" customWidth="1"/>
    <col min="13615" max="13615" width="10.28515625" style="5" bestFit="1" customWidth="1"/>
    <col min="13616" max="13616" width="12" style="5" customWidth="1"/>
    <col min="13617" max="13820" width="9.5703125" style="5"/>
    <col min="13821" max="13821" width="9.7109375" style="5" bestFit="1" customWidth="1"/>
    <col min="13822" max="13824" width="9.5703125" style="5"/>
    <col min="13825" max="13825" width="10" style="5" customWidth="1"/>
    <col min="13826" max="13826" width="82.28515625" style="5" customWidth="1"/>
    <col min="13827" max="13827" width="20.85546875" style="5" customWidth="1"/>
    <col min="13828" max="13828" width="17.7109375" style="5" customWidth="1"/>
    <col min="13829" max="13829" width="11" style="5" customWidth="1"/>
    <col min="13830" max="13830" width="22.85546875" style="5" customWidth="1"/>
    <col min="13831" max="13831" width="18.28515625" style="5" customWidth="1"/>
    <col min="13832" max="13832" width="55.7109375" style="5" customWidth="1"/>
    <col min="13833" max="13833" width="18.42578125" style="5" customWidth="1"/>
    <col min="13834" max="13834" width="14.7109375" style="5" customWidth="1"/>
    <col min="13835" max="13835" width="16.5703125" style="5" customWidth="1"/>
    <col min="13836" max="13836" width="12.5703125" style="5" customWidth="1"/>
    <col min="13837" max="13837" width="14.42578125" style="5" customWidth="1"/>
    <col min="13838" max="13838" width="11" style="5" bestFit="1" customWidth="1"/>
    <col min="13839" max="13839" width="65.5703125" style="5" customWidth="1"/>
    <col min="13840" max="13840" width="20" style="5" customWidth="1"/>
    <col min="13841" max="13841" width="13.7109375" style="5" customWidth="1"/>
    <col min="13842" max="13842" width="15.140625" style="5" customWidth="1"/>
    <col min="13843" max="13843" width="14" style="5" customWidth="1"/>
    <col min="13844" max="13844" width="11.85546875" style="5" customWidth="1"/>
    <col min="13845" max="13845" width="60" style="5" customWidth="1"/>
    <col min="13846" max="13846" width="16.85546875" style="5" customWidth="1"/>
    <col min="13847" max="13847" width="19.140625" style="5" customWidth="1"/>
    <col min="13848" max="13849" width="13" style="5" customWidth="1"/>
    <col min="13850" max="13850" width="13.140625" style="5" customWidth="1"/>
    <col min="13851" max="13851" width="0" style="5" hidden="1" customWidth="1"/>
    <col min="13852" max="13852" width="10.28515625" style="5" customWidth="1"/>
    <col min="13853" max="13853" width="13.7109375" style="5" customWidth="1"/>
    <col min="13854" max="13854" width="54.42578125" style="5" customWidth="1"/>
    <col min="13855" max="13855" width="16" style="5" customWidth="1"/>
    <col min="13856" max="13856" width="15.140625" style="5" customWidth="1"/>
    <col min="13857" max="13857" width="14.28515625" style="5" customWidth="1"/>
    <col min="13858" max="13858" width="20.28515625" style="5" customWidth="1"/>
    <col min="13859" max="13859" width="11.5703125" style="5" bestFit="1" customWidth="1"/>
    <col min="13860" max="13861" width="10.42578125" style="5" bestFit="1" customWidth="1"/>
    <col min="13862" max="13863" width="9.5703125" style="5"/>
    <col min="13864" max="13864" width="10.28515625" style="5" bestFit="1" customWidth="1"/>
    <col min="13865" max="13865" width="9.5703125" style="5"/>
    <col min="13866" max="13866" width="28.28515625" style="5" customWidth="1"/>
    <col min="13867" max="13867" width="14.5703125" style="5" customWidth="1"/>
    <col min="13868" max="13868" width="11.140625" style="5" customWidth="1"/>
    <col min="13869" max="13869" width="14.140625" style="5" customWidth="1"/>
    <col min="13870" max="13870" width="9.7109375" style="5" bestFit="1" customWidth="1"/>
    <col min="13871" max="13871" width="10.28515625" style="5" bestFit="1" customWidth="1"/>
    <col min="13872" max="13872" width="12" style="5" customWidth="1"/>
    <col min="13873" max="14076" width="9.5703125" style="5"/>
    <col min="14077" max="14077" width="9.7109375" style="5" bestFit="1" customWidth="1"/>
    <col min="14078" max="14080" width="9.5703125" style="5"/>
    <col min="14081" max="14081" width="10" style="5" customWidth="1"/>
    <col min="14082" max="14082" width="82.28515625" style="5" customWidth="1"/>
    <col min="14083" max="14083" width="20.85546875" style="5" customWidth="1"/>
    <col min="14084" max="14084" width="17.7109375" style="5" customWidth="1"/>
    <col min="14085" max="14085" width="11" style="5" customWidth="1"/>
    <col min="14086" max="14086" width="22.85546875" style="5" customWidth="1"/>
    <col min="14087" max="14087" width="18.28515625" style="5" customWidth="1"/>
    <col min="14088" max="14088" width="55.7109375" style="5" customWidth="1"/>
    <col min="14089" max="14089" width="18.42578125" style="5" customWidth="1"/>
    <col min="14090" max="14090" width="14.7109375" style="5" customWidth="1"/>
    <col min="14091" max="14091" width="16.5703125" style="5" customWidth="1"/>
    <col min="14092" max="14092" width="12.5703125" style="5" customWidth="1"/>
    <col min="14093" max="14093" width="14.42578125" style="5" customWidth="1"/>
    <col min="14094" max="14094" width="11" style="5" bestFit="1" customWidth="1"/>
    <col min="14095" max="14095" width="65.5703125" style="5" customWidth="1"/>
    <col min="14096" max="14096" width="20" style="5" customWidth="1"/>
    <col min="14097" max="14097" width="13.7109375" style="5" customWidth="1"/>
    <col min="14098" max="14098" width="15.140625" style="5" customWidth="1"/>
    <col min="14099" max="14099" width="14" style="5" customWidth="1"/>
    <col min="14100" max="14100" width="11.85546875" style="5" customWidth="1"/>
    <col min="14101" max="14101" width="60" style="5" customWidth="1"/>
    <col min="14102" max="14102" width="16.85546875" style="5" customWidth="1"/>
    <col min="14103" max="14103" width="19.140625" style="5" customWidth="1"/>
    <col min="14104" max="14105" width="13" style="5" customWidth="1"/>
    <col min="14106" max="14106" width="13.140625" style="5" customWidth="1"/>
    <col min="14107" max="14107" width="0" style="5" hidden="1" customWidth="1"/>
    <col min="14108" max="14108" width="10.28515625" style="5" customWidth="1"/>
    <col min="14109" max="14109" width="13.7109375" style="5" customWidth="1"/>
    <col min="14110" max="14110" width="54.42578125" style="5" customWidth="1"/>
    <col min="14111" max="14111" width="16" style="5" customWidth="1"/>
    <col min="14112" max="14112" width="15.140625" style="5" customWidth="1"/>
    <col min="14113" max="14113" width="14.28515625" style="5" customWidth="1"/>
    <col min="14114" max="14114" width="20.28515625" style="5" customWidth="1"/>
    <col min="14115" max="14115" width="11.5703125" style="5" bestFit="1" customWidth="1"/>
    <col min="14116" max="14117" width="10.42578125" style="5" bestFit="1" customWidth="1"/>
    <col min="14118" max="14119" width="9.5703125" style="5"/>
    <col min="14120" max="14120" width="10.28515625" style="5" bestFit="1" customWidth="1"/>
    <col min="14121" max="14121" width="9.5703125" style="5"/>
    <col min="14122" max="14122" width="28.28515625" style="5" customWidth="1"/>
    <col min="14123" max="14123" width="14.5703125" style="5" customWidth="1"/>
    <col min="14124" max="14124" width="11.140625" style="5" customWidth="1"/>
    <col min="14125" max="14125" width="14.140625" style="5" customWidth="1"/>
    <col min="14126" max="14126" width="9.7109375" style="5" bestFit="1" customWidth="1"/>
    <col min="14127" max="14127" width="10.28515625" style="5" bestFit="1" customWidth="1"/>
    <col min="14128" max="14128" width="12" style="5" customWidth="1"/>
    <col min="14129" max="14332" width="9.5703125" style="5"/>
    <col min="14333" max="14333" width="9.7109375" style="5" bestFit="1" customWidth="1"/>
    <col min="14334" max="14336" width="9.5703125" style="5"/>
    <col min="14337" max="14337" width="10" style="5" customWidth="1"/>
    <col min="14338" max="14338" width="82.28515625" style="5" customWidth="1"/>
    <col min="14339" max="14339" width="20.85546875" style="5" customWidth="1"/>
    <col min="14340" max="14340" width="17.7109375" style="5" customWidth="1"/>
    <col min="14341" max="14341" width="11" style="5" customWidth="1"/>
    <col min="14342" max="14342" width="22.85546875" style="5" customWidth="1"/>
    <col min="14343" max="14343" width="18.28515625" style="5" customWidth="1"/>
    <col min="14344" max="14344" width="55.7109375" style="5" customWidth="1"/>
    <col min="14345" max="14345" width="18.42578125" style="5" customWidth="1"/>
    <col min="14346" max="14346" width="14.7109375" style="5" customWidth="1"/>
    <col min="14347" max="14347" width="16.5703125" style="5" customWidth="1"/>
    <col min="14348" max="14348" width="12.5703125" style="5" customWidth="1"/>
    <col min="14349" max="14349" width="14.42578125" style="5" customWidth="1"/>
    <col min="14350" max="14350" width="11" style="5" bestFit="1" customWidth="1"/>
    <col min="14351" max="14351" width="65.5703125" style="5" customWidth="1"/>
    <col min="14352" max="14352" width="20" style="5" customWidth="1"/>
    <col min="14353" max="14353" width="13.7109375" style="5" customWidth="1"/>
    <col min="14354" max="14354" width="15.140625" style="5" customWidth="1"/>
    <col min="14355" max="14355" width="14" style="5" customWidth="1"/>
    <col min="14356" max="14356" width="11.85546875" style="5" customWidth="1"/>
    <col min="14357" max="14357" width="60" style="5" customWidth="1"/>
    <col min="14358" max="14358" width="16.85546875" style="5" customWidth="1"/>
    <col min="14359" max="14359" width="19.140625" style="5" customWidth="1"/>
    <col min="14360" max="14361" width="13" style="5" customWidth="1"/>
    <col min="14362" max="14362" width="13.140625" style="5" customWidth="1"/>
    <col min="14363" max="14363" width="0" style="5" hidden="1" customWidth="1"/>
    <col min="14364" max="14364" width="10.28515625" style="5" customWidth="1"/>
    <col min="14365" max="14365" width="13.7109375" style="5" customWidth="1"/>
    <col min="14366" max="14366" width="54.42578125" style="5" customWidth="1"/>
    <col min="14367" max="14367" width="16" style="5" customWidth="1"/>
    <col min="14368" max="14368" width="15.140625" style="5" customWidth="1"/>
    <col min="14369" max="14369" width="14.28515625" style="5" customWidth="1"/>
    <col min="14370" max="14370" width="20.28515625" style="5" customWidth="1"/>
    <col min="14371" max="14371" width="11.5703125" style="5" bestFit="1" customWidth="1"/>
    <col min="14372" max="14373" width="10.42578125" style="5" bestFit="1" customWidth="1"/>
    <col min="14374" max="14375" width="9.5703125" style="5"/>
    <col min="14376" max="14376" width="10.28515625" style="5" bestFit="1" customWidth="1"/>
    <col min="14377" max="14377" width="9.5703125" style="5"/>
    <col min="14378" max="14378" width="28.28515625" style="5" customWidth="1"/>
    <col min="14379" max="14379" width="14.5703125" style="5" customWidth="1"/>
    <col min="14380" max="14380" width="11.140625" style="5" customWidth="1"/>
    <col min="14381" max="14381" width="14.140625" style="5" customWidth="1"/>
    <col min="14382" max="14382" width="9.7109375" style="5" bestFit="1" customWidth="1"/>
    <col min="14383" max="14383" width="10.28515625" style="5" bestFit="1" customWidth="1"/>
    <col min="14384" max="14384" width="12" style="5" customWidth="1"/>
    <col min="14385" max="14588" width="9.5703125" style="5"/>
    <col min="14589" max="14589" width="9.7109375" style="5" bestFit="1" customWidth="1"/>
    <col min="14590" max="14592" width="9.5703125" style="5"/>
    <col min="14593" max="14593" width="10" style="5" customWidth="1"/>
    <col min="14594" max="14594" width="82.28515625" style="5" customWidth="1"/>
    <col min="14595" max="14595" width="20.85546875" style="5" customWidth="1"/>
    <col min="14596" max="14596" width="17.7109375" style="5" customWidth="1"/>
    <col min="14597" max="14597" width="11" style="5" customWidth="1"/>
    <col min="14598" max="14598" width="22.85546875" style="5" customWidth="1"/>
    <col min="14599" max="14599" width="18.28515625" style="5" customWidth="1"/>
    <col min="14600" max="14600" width="55.7109375" style="5" customWidth="1"/>
    <col min="14601" max="14601" width="18.42578125" style="5" customWidth="1"/>
    <col min="14602" max="14602" width="14.7109375" style="5" customWidth="1"/>
    <col min="14603" max="14603" width="16.5703125" style="5" customWidth="1"/>
    <col min="14604" max="14604" width="12.5703125" style="5" customWidth="1"/>
    <col min="14605" max="14605" width="14.42578125" style="5" customWidth="1"/>
    <col min="14606" max="14606" width="11" style="5" bestFit="1" customWidth="1"/>
    <col min="14607" max="14607" width="65.5703125" style="5" customWidth="1"/>
    <col min="14608" max="14608" width="20" style="5" customWidth="1"/>
    <col min="14609" max="14609" width="13.7109375" style="5" customWidth="1"/>
    <col min="14610" max="14610" width="15.140625" style="5" customWidth="1"/>
    <col min="14611" max="14611" width="14" style="5" customWidth="1"/>
    <col min="14612" max="14612" width="11.85546875" style="5" customWidth="1"/>
    <col min="14613" max="14613" width="60" style="5" customWidth="1"/>
    <col min="14614" max="14614" width="16.85546875" style="5" customWidth="1"/>
    <col min="14615" max="14615" width="19.140625" style="5" customWidth="1"/>
    <col min="14616" max="14617" width="13" style="5" customWidth="1"/>
    <col min="14618" max="14618" width="13.140625" style="5" customWidth="1"/>
    <col min="14619" max="14619" width="0" style="5" hidden="1" customWidth="1"/>
    <col min="14620" max="14620" width="10.28515625" style="5" customWidth="1"/>
    <col min="14621" max="14621" width="13.7109375" style="5" customWidth="1"/>
    <col min="14622" max="14622" width="54.42578125" style="5" customWidth="1"/>
    <col min="14623" max="14623" width="16" style="5" customWidth="1"/>
    <col min="14624" max="14624" width="15.140625" style="5" customWidth="1"/>
    <col min="14625" max="14625" width="14.28515625" style="5" customWidth="1"/>
    <col min="14626" max="14626" width="20.28515625" style="5" customWidth="1"/>
    <col min="14627" max="14627" width="11.5703125" style="5" bestFit="1" customWidth="1"/>
    <col min="14628" max="14629" width="10.42578125" style="5" bestFit="1" customWidth="1"/>
    <col min="14630" max="14631" width="9.5703125" style="5"/>
    <col min="14632" max="14632" width="10.28515625" style="5" bestFit="1" customWidth="1"/>
    <col min="14633" max="14633" width="9.5703125" style="5"/>
    <col min="14634" max="14634" width="28.28515625" style="5" customWidth="1"/>
    <col min="14635" max="14635" width="14.5703125" style="5" customWidth="1"/>
    <col min="14636" max="14636" width="11.140625" style="5" customWidth="1"/>
    <col min="14637" max="14637" width="14.140625" style="5" customWidth="1"/>
    <col min="14638" max="14638" width="9.7109375" style="5" bestFit="1" customWidth="1"/>
    <col min="14639" max="14639" width="10.28515625" style="5" bestFit="1" customWidth="1"/>
    <col min="14640" max="14640" width="12" style="5" customWidth="1"/>
    <col min="14641" max="14844" width="9.5703125" style="5"/>
    <col min="14845" max="14845" width="9.7109375" style="5" bestFit="1" customWidth="1"/>
    <col min="14846" max="14848" width="9.5703125" style="5"/>
    <col min="14849" max="14849" width="10" style="5" customWidth="1"/>
    <col min="14850" max="14850" width="82.28515625" style="5" customWidth="1"/>
    <col min="14851" max="14851" width="20.85546875" style="5" customWidth="1"/>
    <col min="14852" max="14852" width="17.7109375" style="5" customWidth="1"/>
    <col min="14853" max="14853" width="11" style="5" customWidth="1"/>
    <col min="14854" max="14854" width="22.85546875" style="5" customWidth="1"/>
    <col min="14855" max="14855" width="18.28515625" style="5" customWidth="1"/>
    <col min="14856" max="14856" width="55.7109375" style="5" customWidth="1"/>
    <col min="14857" max="14857" width="18.42578125" style="5" customWidth="1"/>
    <col min="14858" max="14858" width="14.7109375" style="5" customWidth="1"/>
    <col min="14859" max="14859" width="16.5703125" style="5" customWidth="1"/>
    <col min="14860" max="14860" width="12.5703125" style="5" customWidth="1"/>
    <col min="14861" max="14861" width="14.42578125" style="5" customWidth="1"/>
    <col min="14862" max="14862" width="11" style="5" bestFit="1" customWidth="1"/>
    <col min="14863" max="14863" width="65.5703125" style="5" customWidth="1"/>
    <col min="14864" max="14864" width="20" style="5" customWidth="1"/>
    <col min="14865" max="14865" width="13.7109375" style="5" customWidth="1"/>
    <col min="14866" max="14866" width="15.140625" style="5" customWidth="1"/>
    <col min="14867" max="14867" width="14" style="5" customWidth="1"/>
    <col min="14868" max="14868" width="11.85546875" style="5" customWidth="1"/>
    <col min="14869" max="14869" width="60" style="5" customWidth="1"/>
    <col min="14870" max="14870" width="16.85546875" style="5" customWidth="1"/>
    <col min="14871" max="14871" width="19.140625" style="5" customWidth="1"/>
    <col min="14872" max="14873" width="13" style="5" customWidth="1"/>
    <col min="14874" max="14874" width="13.140625" style="5" customWidth="1"/>
    <col min="14875" max="14875" width="0" style="5" hidden="1" customWidth="1"/>
    <col min="14876" max="14876" width="10.28515625" style="5" customWidth="1"/>
    <col min="14877" max="14877" width="13.7109375" style="5" customWidth="1"/>
    <col min="14878" max="14878" width="54.42578125" style="5" customWidth="1"/>
    <col min="14879" max="14879" width="16" style="5" customWidth="1"/>
    <col min="14880" max="14880" width="15.140625" style="5" customWidth="1"/>
    <col min="14881" max="14881" width="14.28515625" style="5" customWidth="1"/>
    <col min="14882" max="14882" width="20.28515625" style="5" customWidth="1"/>
    <col min="14883" max="14883" width="11.5703125" style="5" bestFit="1" customWidth="1"/>
    <col min="14884" max="14885" width="10.42578125" style="5" bestFit="1" customWidth="1"/>
    <col min="14886" max="14887" width="9.5703125" style="5"/>
    <col min="14888" max="14888" width="10.28515625" style="5" bestFit="1" customWidth="1"/>
    <col min="14889" max="14889" width="9.5703125" style="5"/>
    <col min="14890" max="14890" width="28.28515625" style="5" customWidth="1"/>
    <col min="14891" max="14891" width="14.5703125" style="5" customWidth="1"/>
    <col min="14892" max="14892" width="11.140625" style="5" customWidth="1"/>
    <col min="14893" max="14893" width="14.140625" style="5" customWidth="1"/>
    <col min="14894" max="14894" width="9.7109375" style="5" bestFit="1" customWidth="1"/>
    <col min="14895" max="14895" width="10.28515625" style="5" bestFit="1" customWidth="1"/>
    <col min="14896" max="14896" width="12" style="5" customWidth="1"/>
    <col min="14897" max="15100" width="9.5703125" style="5"/>
    <col min="15101" max="15101" width="9.7109375" style="5" bestFit="1" customWidth="1"/>
    <col min="15102" max="15104" width="9.5703125" style="5"/>
    <col min="15105" max="15105" width="10" style="5" customWidth="1"/>
    <col min="15106" max="15106" width="82.28515625" style="5" customWidth="1"/>
    <col min="15107" max="15107" width="20.85546875" style="5" customWidth="1"/>
    <col min="15108" max="15108" width="17.7109375" style="5" customWidth="1"/>
    <col min="15109" max="15109" width="11" style="5" customWidth="1"/>
    <col min="15110" max="15110" width="22.85546875" style="5" customWidth="1"/>
    <col min="15111" max="15111" width="18.28515625" style="5" customWidth="1"/>
    <col min="15112" max="15112" width="55.7109375" style="5" customWidth="1"/>
    <col min="15113" max="15113" width="18.42578125" style="5" customWidth="1"/>
    <col min="15114" max="15114" width="14.7109375" style="5" customWidth="1"/>
    <col min="15115" max="15115" width="16.5703125" style="5" customWidth="1"/>
    <col min="15116" max="15116" width="12.5703125" style="5" customWidth="1"/>
    <col min="15117" max="15117" width="14.42578125" style="5" customWidth="1"/>
    <col min="15118" max="15118" width="11" style="5" bestFit="1" customWidth="1"/>
    <col min="15119" max="15119" width="65.5703125" style="5" customWidth="1"/>
    <col min="15120" max="15120" width="20" style="5" customWidth="1"/>
    <col min="15121" max="15121" width="13.7109375" style="5" customWidth="1"/>
    <col min="15122" max="15122" width="15.140625" style="5" customWidth="1"/>
    <col min="15123" max="15123" width="14" style="5" customWidth="1"/>
    <col min="15124" max="15124" width="11.85546875" style="5" customWidth="1"/>
    <col min="15125" max="15125" width="60" style="5" customWidth="1"/>
    <col min="15126" max="15126" width="16.85546875" style="5" customWidth="1"/>
    <col min="15127" max="15127" width="19.140625" style="5" customWidth="1"/>
    <col min="15128" max="15129" width="13" style="5" customWidth="1"/>
    <col min="15130" max="15130" width="13.140625" style="5" customWidth="1"/>
    <col min="15131" max="15131" width="0" style="5" hidden="1" customWidth="1"/>
    <col min="15132" max="15132" width="10.28515625" style="5" customWidth="1"/>
    <col min="15133" max="15133" width="13.7109375" style="5" customWidth="1"/>
    <col min="15134" max="15134" width="54.42578125" style="5" customWidth="1"/>
    <col min="15135" max="15135" width="16" style="5" customWidth="1"/>
    <col min="15136" max="15136" width="15.140625" style="5" customWidth="1"/>
    <col min="15137" max="15137" width="14.28515625" style="5" customWidth="1"/>
    <col min="15138" max="15138" width="20.28515625" style="5" customWidth="1"/>
    <col min="15139" max="15139" width="11.5703125" style="5" bestFit="1" customWidth="1"/>
    <col min="15140" max="15141" width="10.42578125" style="5" bestFit="1" customWidth="1"/>
    <col min="15142" max="15143" width="9.5703125" style="5"/>
    <col min="15144" max="15144" width="10.28515625" style="5" bestFit="1" customWidth="1"/>
    <col min="15145" max="15145" width="9.5703125" style="5"/>
    <col min="15146" max="15146" width="28.28515625" style="5" customWidth="1"/>
    <col min="15147" max="15147" width="14.5703125" style="5" customWidth="1"/>
    <col min="15148" max="15148" width="11.140625" style="5" customWidth="1"/>
    <col min="15149" max="15149" width="14.140625" style="5" customWidth="1"/>
    <col min="15150" max="15150" width="9.7109375" style="5" bestFit="1" customWidth="1"/>
    <col min="15151" max="15151" width="10.28515625" style="5" bestFit="1" customWidth="1"/>
    <col min="15152" max="15152" width="12" style="5" customWidth="1"/>
    <col min="15153" max="15356" width="9.5703125" style="5"/>
    <col min="15357" max="15357" width="9.7109375" style="5" bestFit="1" customWidth="1"/>
    <col min="15358" max="15360" width="9.5703125" style="5"/>
    <col min="15361" max="15361" width="10" style="5" customWidth="1"/>
    <col min="15362" max="15362" width="82.28515625" style="5" customWidth="1"/>
    <col min="15363" max="15363" width="20.85546875" style="5" customWidth="1"/>
    <col min="15364" max="15364" width="17.7109375" style="5" customWidth="1"/>
    <col min="15365" max="15365" width="11" style="5" customWidth="1"/>
    <col min="15366" max="15366" width="22.85546875" style="5" customWidth="1"/>
    <col min="15367" max="15367" width="18.28515625" style="5" customWidth="1"/>
    <col min="15368" max="15368" width="55.7109375" style="5" customWidth="1"/>
    <col min="15369" max="15369" width="18.42578125" style="5" customWidth="1"/>
    <col min="15370" max="15370" width="14.7109375" style="5" customWidth="1"/>
    <col min="15371" max="15371" width="16.5703125" style="5" customWidth="1"/>
    <col min="15372" max="15372" width="12.5703125" style="5" customWidth="1"/>
    <col min="15373" max="15373" width="14.42578125" style="5" customWidth="1"/>
    <col min="15374" max="15374" width="11" style="5" bestFit="1" customWidth="1"/>
    <col min="15375" max="15375" width="65.5703125" style="5" customWidth="1"/>
    <col min="15376" max="15376" width="20" style="5" customWidth="1"/>
    <col min="15377" max="15377" width="13.7109375" style="5" customWidth="1"/>
    <col min="15378" max="15378" width="15.140625" style="5" customWidth="1"/>
    <col min="15379" max="15379" width="14" style="5" customWidth="1"/>
    <col min="15380" max="15380" width="11.85546875" style="5" customWidth="1"/>
    <col min="15381" max="15381" width="60" style="5" customWidth="1"/>
    <col min="15382" max="15382" width="16.85546875" style="5" customWidth="1"/>
    <col min="15383" max="15383" width="19.140625" style="5" customWidth="1"/>
    <col min="15384" max="15385" width="13" style="5" customWidth="1"/>
    <col min="15386" max="15386" width="13.140625" style="5" customWidth="1"/>
    <col min="15387" max="15387" width="0" style="5" hidden="1" customWidth="1"/>
    <col min="15388" max="15388" width="10.28515625" style="5" customWidth="1"/>
    <col min="15389" max="15389" width="13.7109375" style="5" customWidth="1"/>
    <col min="15390" max="15390" width="54.42578125" style="5" customWidth="1"/>
    <col min="15391" max="15391" width="16" style="5" customWidth="1"/>
    <col min="15392" max="15392" width="15.140625" style="5" customWidth="1"/>
    <col min="15393" max="15393" width="14.28515625" style="5" customWidth="1"/>
    <col min="15394" max="15394" width="20.28515625" style="5" customWidth="1"/>
    <col min="15395" max="15395" width="11.5703125" style="5" bestFit="1" customWidth="1"/>
    <col min="15396" max="15397" width="10.42578125" style="5" bestFit="1" customWidth="1"/>
    <col min="15398" max="15399" width="9.5703125" style="5"/>
    <col min="15400" max="15400" width="10.28515625" style="5" bestFit="1" customWidth="1"/>
    <col min="15401" max="15401" width="9.5703125" style="5"/>
    <col min="15402" max="15402" width="28.28515625" style="5" customWidth="1"/>
    <col min="15403" max="15403" width="14.5703125" style="5" customWidth="1"/>
    <col min="15404" max="15404" width="11.140625" style="5" customWidth="1"/>
    <col min="15405" max="15405" width="14.140625" style="5" customWidth="1"/>
    <col min="15406" max="15406" width="9.7109375" style="5" bestFit="1" customWidth="1"/>
    <col min="15407" max="15407" width="10.28515625" style="5" bestFit="1" customWidth="1"/>
    <col min="15408" max="15408" width="12" style="5" customWidth="1"/>
    <col min="15409" max="15612" width="9.5703125" style="5"/>
    <col min="15613" max="15613" width="9.7109375" style="5" bestFit="1" customWidth="1"/>
    <col min="15614" max="15616" width="9.5703125" style="5"/>
    <col min="15617" max="15617" width="10" style="5" customWidth="1"/>
    <col min="15618" max="15618" width="82.28515625" style="5" customWidth="1"/>
    <col min="15619" max="15619" width="20.85546875" style="5" customWidth="1"/>
    <col min="15620" max="15620" width="17.7109375" style="5" customWidth="1"/>
    <col min="15621" max="15621" width="11" style="5" customWidth="1"/>
    <col min="15622" max="15622" width="22.85546875" style="5" customWidth="1"/>
    <col min="15623" max="15623" width="18.28515625" style="5" customWidth="1"/>
    <col min="15624" max="15624" width="55.7109375" style="5" customWidth="1"/>
    <col min="15625" max="15625" width="18.42578125" style="5" customWidth="1"/>
    <col min="15626" max="15626" width="14.7109375" style="5" customWidth="1"/>
    <col min="15627" max="15627" width="16.5703125" style="5" customWidth="1"/>
    <col min="15628" max="15628" width="12.5703125" style="5" customWidth="1"/>
    <col min="15629" max="15629" width="14.42578125" style="5" customWidth="1"/>
    <col min="15630" max="15630" width="11" style="5" bestFit="1" customWidth="1"/>
    <col min="15631" max="15631" width="65.5703125" style="5" customWidth="1"/>
    <col min="15632" max="15632" width="20" style="5" customWidth="1"/>
    <col min="15633" max="15633" width="13.7109375" style="5" customWidth="1"/>
    <col min="15634" max="15634" width="15.140625" style="5" customWidth="1"/>
    <col min="15635" max="15635" width="14" style="5" customWidth="1"/>
    <col min="15636" max="15636" width="11.85546875" style="5" customWidth="1"/>
    <col min="15637" max="15637" width="60" style="5" customWidth="1"/>
    <col min="15638" max="15638" width="16.85546875" style="5" customWidth="1"/>
    <col min="15639" max="15639" width="19.140625" style="5" customWidth="1"/>
    <col min="15640" max="15641" width="13" style="5" customWidth="1"/>
    <col min="15642" max="15642" width="13.140625" style="5" customWidth="1"/>
    <col min="15643" max="15643" width="0" style="5" hidden="1" customWidth="1"/>
    <col min="15644" max="15644" width="10.28515625" style="5" customWidth="1"/>
    <col min="15645" max="15645" width="13.7109375" style="5" customWidth="1"/>
    <col min="15646" max="15646" width="54.42578125" style="5" customWidth="1"/>
    <col min="15647" max="15647" width="16" style="5" customWidth="1"/>
    <col min="15648" max="15648" width="15.140625" style="5" customWidth="1"/>
    <col min="15649" max="15649" width="14.28515625" style="5" customWidth="1"/>
    <col min="15650" max="15650" width="20.28515625" style="5" customWidth="1"/>
    <col min="15651" max="15651" width="11.5703125" style="5" bestFit="1" customWidth="1"/>
    <col min="15652" max="15653" width="10.42578125" style="5" bestFit="1" customWidth="1"/>
    <col min="15654" max="15655" width="9.5703125" style="5"/>
    <col min="15656" max="15656" width="10.28515625" style="5" bestFit="1" customWidth="1"/>
    <col min="15657" max="15657" width="9.5703125" style="5"/>
    <col min="15658" max="15658" width="28.28515625" style="5" customWidth="1"/>
    <col min="15659" max="15659" width="14.5703125" style="5" customWidth="1"/>
    <col min="15660" max="15660" width="11.140625" style="5" customWidth="1"/>
    <col min="15661" max="15661" width="14.140625" style="5" customWidth="1"/>
    <col min="15662" max="15662" width="9.7109375" style="5" bestFit="1" customWidth="1"/>
    <col min="15663" max="15663" width="10.28515625" style="5" bestFit="1" customWidth="1"/>
    <col min="15664" max="15664" width="12" style="5" customWidth="1"/>
    <col min="15665" max="15868" width="9.5703125" style="5"/>
    <col min="15869" max="15869" width="9.7109375" style="5" bestFit="1" customWidth="1"/>
    <col min="15870" max="15872" width="9.5703125" style="5"/>
    <col min="15873" max="15873" width="10" style="5" customWidth="1"/>
    <col min="15874" max="15874" width="82.28515625" style="5" customWidth="1"/>
    <col min="15875" max="15875" width="20.85546875" style="5" customWidth="1"/>
    <col min="15876" max="15876" width="17.7109375" style="5" customWidth="1"/>
    <col min="15877" max="15877" width="11" style="5" customWidth="1"/>
    <col min="15878" max="15878" width="22.85546875" style="5" customWidth="1"/>
    <col min="15879" max="15879" width="18.28515625" style="5" customWidth="1"/>
    <col min="15880" max="15880" width="55.7109375" style="5" customWidth="1"/>
    <col min="15881" max="15881" width="18.42578125" style="5" customWidth="1"/>
    <col min="15882" max="15882" width="14.7109375" style="5" customWidth="1"/>
    <col min="15883" max="15883" width="16.5703125" style="5" customWidth="1"/>
    <col min="15884" max="15884" width="12.5703125" style="5" customWidth="1"/>
    <col min="15885" max="15885" width="14.42578125" style="5" customWidth="1"/>
    <col min="15886" max="15886" width="11" style="5" bestFit="1" customWidth="1"/>
    <col min="15887" max="15887" width="65.5703125" style="5" customWidth="1"/>
    <col min="15888" max="15888" width="20" style="5" customWidth="1"/>
    <col min="15889" max="15889" width="13.7109375" style="5" customWidth="1"/>
    <col min="15890" max="15890" width="15.140625" style="5" customWidth="1"/>
    <col min="15891" max="15891" width="14" style="5" customWidth="1"/>
    <col min="15892" max="15892" width="11.85546875" style="5" customWidth="1"/>
    <col min="15893" max="15893" width="60" style="5" customWidth="1"/>
    <col min="15894" max="15894" width="16.85546875" style="5" customWidth="1"/>
    <col min="15895" max="15895" width="19.140625" style="5" customWidth="1"/>
    <col min="15896" max="15897" width="13" style="5" customWidth="1"/>
    <col min="15898" max="15898" width="13.140625" style="5" customWidth="1"/>
    <col min="15899" max="15899" width="0" style="5" hidden="1" customWidth="1"/>
    <col min="15900" max="15900" width="10.28515625" style="5" customWidth="1"/>
    <col min="15901" max="15901" width="13.7109375" style="5" customWidth="1"/>
    <col min="15902" max="15902" width="54.42578125" style="5" customWidth="1"/>
    <col min="15903" max="15903" width="16" style="5" customWidth="1"/>
    <col min="15904" max="15904" width="15.140625" style="5" customWidth="1"/>
    <col min="15905" max="15905" width="14.28515625" style="5" customWidth="1"/>
    <col min="15906" max="15906" width="20.28515625" style="5" customWidth="1"/>
    <col min="15907" max="15907" width="11.5703125" style="5" bestFit="1" customWidth="1"/>
    <col min="15908" max="15909" width="10.42578125" style="5" bestFit="1" customWidth="1"/>
    <col min="15910" max="15911" width="9.5703125" style="5"/>
    <col min="15912" max="15912" width="10.28515625" style="5" bestFit="1" customWidth="1"/>
    <col min="15913" max="15913" width="9.5703125" style="5"/>
    <col min="15914" max="15914" width="28.28515625" style="5" customWidth="1"/>
    <col min="15915" max="15915" width="14.5703125" style="5" customWidth="1"/>
    <col min="15916" max="15916" width="11.140625" style="5" customWidth="1"/>
    <col min="15917" max="15917" width="14.140625" style="5" customWidth="1"/>
    <col min="15918" max="15918" width="9.7109375" style="5" bestFit="1" customWidth="1"/>
    <col min="15919" max="15919" width="10.28515625" style="5" bestFit="1" customWidth="1"/>
    <col min="15920" max="15920" width="12" style="5" customWidth="1"/>
    <col min="15921" max="16124" width="9.5703125" style="5"/>
    <col min="16125" max="16125" width="9.7109375" style="5" bestFit="1" customWidth="1"/>
    <col min="16126" max="16128" width="9.5703125" style="5"/>
    <col min="16129" max="16129" width="10" style="5" customWidth="1"/>
    <col min="16130" max="16130" width="82.28515625" style="5" customWidth="1"/>
    <col min="16131" max="16131" width="20.85546875" style="5" customWidth="1"/>
    <col min="16132" max="16132" width="17.7109375" style="5" customWidth="1"/>
    <col min="16133" max="16133" width="11" style="5" customWidth="1"/>
    <col min="16134" max="16134" width="22.85546875" style="5" customWidth="1"/>
    <col min="16135" max="16135" width="18.28515625" style="5" customWidth="1"/>
    <col min="16136" max="16136" width="55.7109375" style="5" customWidth="1"/>
    <col min="16137" max="16137" width="18.42578125" style="5" customWidth="1"/>
    <col min="16138" max="16138" width="14.7109375" style="5" customWidth="1"/>
    <col min="16139" max="16139" width="16.5703125" style="5" customWidth="1"/>
    <col min="16140" max="16140" width="12.5703125" style="5" customWidth="1"/>
    <col min="16141" max="16141" width="14.42578125" style="5" customWidth="1"/>
    <col min="16142" max="16142" width="11" style="5" bestFit="1" customWidth="1"/>
    <col min="16143" max="16143" width="65.5703125" style="5" customWidth="1"/>
    <col min="16144" max="16144" width="20" style="5" customWidth="1"/>
    <col min="16145" max="16145" width="13.7109375" style="5" customWidth="1"/>
    <col min="16146" max="16146" width="15.140625" style="5" customWidth="1"/>
    <col min="16147" max="16147" width="14" style="5" customWidth="1"/>
    <col min="16148" max="16148" width="11.85546875" style="5" customWidth="1"/>
    <col min="16149" max="16149" width="60" style="5" customWidth="1"/>
    <col min="16150" max="16150" width="16.85546875" style="5" customWidth="1"/>
    <col min="16151" max="16151" width="19.140625" style="5" customWidth="1"/>
    <col min="16152" max="16153" width="13" style="5" customWidth="1"/>
    <col min="16154" max="16154" width="13.140625" style="5" customWidth="1"/>
    <col min="16155" max="16155" width="0" style="5" hidden="1" customWidth="1"/>
    <col min="16156" max="16156" width="10.28515625" style="5" customWidth="1"/>
    <col min="16157" max="16157" width="13.7109375" style="5" customWidth="1"/>
    <col min="16158" max="16158" width="54.42578125" style="5" customWidth="1"/>
    <col min="16159" max="16159" width="16" style="5" customWidth="1"/>
    <col min="16160" max="16160" width="15.140625" style="5" customWidth="1"/>
    <col min="16161" max="16161" width="14.28515625" style="5" customWidth="1"/>
    <col min="16162" max="16162" width="20.28515625" style="5" customWidth="1"/>
    <col min="16163" max="16163" width="11.5703125" style="5" bestFit="1" customWidth="1"/>
    <col min="16164" max="16165" width="10.42578125" style="5" bestFit="1" customWidth="1"/>
    <col min="16166" max="16167" width="9.5703125" style="5"/>
    <col min="16168" max="16168" width="10.28515625" style="5" bestFit="1" customWidth="1"/>
    <col min="16169" max="16169" width="9.5703125" style="5"/>
    <col min="16170" max="16170" width="28.28515625" style="5" customWidth="1"/>
    <col min="16171" max="16171" width="14.5703125" style="5" customWidth="1"/>
    <col min="16172" max="16172" width="11.140625" style="5" customWidth="1"/>
    <col min="16173" max="16173" width="14.140625" style="5" customWidth="1"/>
    <col min="16174" max="16174" width="9.7109375" style="5" bestFit="1" customWidth="1"/>
    <col min="16175" max="16175" width="10.28515625" style="5" bestFit="1" customWidth="1"/>
    <col min="16176" max="16176" width="12" style="5" customWidth="1"/>
    <col min="16177" max="16380" width="9.5703125" style="5"/>
    <col min="16381" max="16381" width="9.7109375" style="5" bestFit="1" customWidth="1"/>
    <col min="16382" max="16384" width="9.5703125" style="5"/>
  </cols>
  <sheetData>
    <row r="1" spans="1:37" ht="24" customHeight="1">
      <c r="A1" s="3"/>
      <c r="B1" s="4" t="s">
        <v>247</v>
      </c>
      <c r="E1" s="3" t="s">
        <v>115</v>
      </c>
      <c r="H1" s="7" t="s">
        <v>112</v>
      </c>
      <c r="O1" s="3" t="s">
        <v>112</v>
      </c>
      <c r="T1" s="10"/>
      <c r="U1" s="11" t="s">
        <v>248</v>
      </c>
      <c r="V1" s="11"/>
      <c r="W1" s="4" t="s">
        <v>115</v>
      </c>
      <c r="X1" s="10"/>
      <c r="Y1" s="10"/>
      <c r="Z1" s="10"/>
      <c r="AA1" s="10"/>
      <c r="AB1" s="10"/>
      <c r="AC1" s="10"/>
      <c r="AD1" s="10"/>
      <c r="AE1" s="10"/>
    </row>
    <row r="2" spans="1:37" ht="24" customHeight="1">
      <c r="B2" s="12" t="s">
        <v>155</v>
      </c>
      <c r="E2" s="3" t="s">
        <v>115</v>
      </c>
      <c r="H2" s="4" t="s">
        <v>113</v>
      </c>
      <c r="O2" s="4" t="s">
        <v>113</v>
      </c>
      <c r="S2" s="9">
        <f>(581+645+954)/3</f>
        <v>726.66666666666663</v>
      </c>
      <c r="U2" s="1496" t="s">
        <v>249</v>
      </c>
      <c r="V2" s="1497"/>
      <c r="W2" s="1497"/>
      <c r="X2" s="1497"/>
    </row>
    <row r="3" spans="1:37" ht="24" customHeight="1">
      <c r="A3" s="3" t="s">
        <v>114</v>
      </c>
      <c r="B3" s="13" t="s">
        <v>250</v>
      </c>
      <c r="C3" s="3" t="s">
        <v>116</v>
      </c>
      <c r="E3" s="3" t="s">
        <v>115</v>
      </c>
      <c r="F3" s="14" t="s">
        <v>114</v>
      </c>
      <c r="G3" s="15" t="s">
        <v>115</v>
      </c>
      <c r="H3" s="16" t="str">
        <f>B3</f>
        <v>SULUR</v>
      </c>
      <c r="J3" s="7" t="str">
        <f>C3</f>
        <v>2020-2021</v>
      </c>
      <c r="M3" s="3" t="s">
        <v>114</v>
      </c>
      <c r="N3" s="3" t="s">
        <v>115</v>
      </c>
      <c r="O3" s="17" t="str">
        <f>B3</f>
        <v>SULUR</v>
      </c>
      <c r="Q3" s="17" t="str">
        <f>C3</f>
        <v>2020-2021</v>
      </c>
      <c r="T3" s="3" t="s">
        <v>114</v>
      </c>
      <c r="U3" s="17" t="str">
        <f>O3</f>
        <v>SULUR</v>
      </c>
      <c r="V3" s="5" t="str">
        <f>Q3</f>
        <v>2020-2021</v>
      </c>
      <c r="W3" s="18" t="str">
        <f>C3</f>
        <v>2020-2021</v>
      </c>
      <c r="AA3" s="3"/>
    </row>
    <row r="4" spans="1:37" ht="24" hidden="1" customHeight="1">
      <c r="F4" s="12" t="s">
        <v>117</v>
      </c>
      <c r="G4" s="12" t="s">
        <v>117</v>
      </c>
      <c r="H4" s="12" t="s">
        <v>117</v>
      </c>
      <c r="I4" s="12" t="s">
        <v>117</v>
      </c>
      <c r="J4" s="12" t="s">
        <v>117</v>
      </c>
      <c r="K4" s="12" t="s">
        <v>117</v>
      </c>
      <c r="M4" s="12" t="s">
        <v>117</v>
      </c>
      <c r="N4" s="12" t="s">
        <v>117</v>
      </c>
      <c r="O4" s="12" t="s">
        <v>117</v>
      </c>
      <c r="P4" s="12" t="s">
        <v>117</v>
      </c>
      <c r="Q4" s="12" t="s">
        <v>117</v>
      </c>
      <c r="R4" s="12" t="s">
        <v>117</v>
      </c>
      <c r="U4" s="3" t="s">
        <v>115</v>
      </c>
      <c r="W4" s="3" t="s">
        <v>115</v>
      </c>
      <c r="X4" s="3" t="s">
        <v>251</v>
      </c>
      <c r="Y4" s="3"/>
      <c r="AC4" s="3" t="s">
        <v>115</v>
      </c>
      <c r="AG4" s="3" t="s">
        <v>252</v>
      </c>
    </row>
    <row r="5" spans="1:37" ht="24" hidden="1" customHeight="1">
      <c r="A5" s="12" t="s">
        <v>117</v>
      </c>
      <c r="B5" s="12" t="s">
        <v>117</v>
      </c>
      <c r="C5" s="12" t="s">
        <v>117</v>
      </c>
      <c r="D5" s="12" t="s">
        <v>117</v>
      </c>
      <c r="E5" s="3" t="s">
        <v>115</v>
      </c>
      <c r="F5" s="14" t="s">
        <v>0</v>
      </c>
      <c r="G5" s="15" t="s">
        <v>115</v>
      </c>
      <c r="H5" s="19" t="s">
        <v>118</v>
      </c>
      <c r="I5" s="19" t="s">
        <v>119</v>
      </c>
      <c r="J5" s="19" t="s">
        <v>120</v>
      </c>
      <c r="K5" s="19" t="s">
        <v>121</v>
      </c>
      <c r="M5" s="4" t="s">
        <v>0</v>
      </c>
      <c r="N5" s="3" t="s">
        <v>115</v>
      </c>
      <c r="O5" s="4" t="s">
        <v>118</v>
      </c>
      <c r="P5" s="4" t="s">
        <v>119</v>
      </c>
      <c r="Q5" s="4" t="s">
        <v>120</v>
      </c>
      <c r="R5" s="4" t="s">
        <v>121</v>
      </c>
      <c r="T5" s="12"/>
      <c r="U5" s="12" t="s">
        <v>117</v>
      </c>
      <c r="V5" s="12" t="s">
        <v>117</v>
      </c>
      <c r="W5" s="12" t="s">
        <v>117</v>
      </c>
      <c r="X5" s="12" t="s">
        <v>117</v>
      </c>
      <c r="Y5" s="12" t="s">
        <v>117</v>
      </c>
      <c r="Z5" s="12" t="s">
        <v>117</v>
      </c>
      <c r="AA5" s="12" t="s">
        <v>117</v>
      </c>
      <c r="AB5" s="12" t="s">
        <v>117</v>
      </c>
      <c r="AC5" s="12" t="s">
        <v>117</v>
      </c>
      <c r="AD5" s="12" t="s">
        <v>117</v>
      </c>
      <c r="AE5" s="12" t="s">
        <v>117</v>
      </c>
    </row>
    <row r="6" spans="1:37" ht="24" customHeight="1">
      <c r="A6" s="3" t="s">
        <v>253</v>
      </c>
      <c r="B6" s="3" t="s">
        <v>118</v>
      </c>
      <c r="C6" s="3" t="s">
        <v>119</v>
      </c>
      <c r="D6" s="3" t="s">
        <v>120</v>
      </c>
      <c r="F6" s="12" t="s">
        <v>117</v>
      </c>
      <c r="G6" s="12" t="s">
        <v>117</v>
      </c>
      <c r="H6" s="12" t="s">
        <v>117</v>
      </c>
      <c r="I6" s="12" t="s">
        <v>117</v>
      </c>
      <c r="J6" s="12" t="s">
        <v>117</v>
      </c>
      <c r="K6" s="12" t="s">
        <v>117</v>
      </c>
      <c r="M6" s="12" t="s">
        <v>117</v>
      </c>
      <c r="N6" s="12" t="s">
        <v>117</v>
      </c>
      <c r="O6" s="12" t="s">
        <v>117</v>
      </c>
      <c r="P6" s="12" t="s">
        <v>117</v>
      </c>
      <c r="Q6" s="12" t="s">
        <v>117</v>
      </c>
      <c r="R6" s="12" t="s">
        <v>117</v>
      </c>
      <c r="T6" s="4" t="s">
        <v>253</v>
      </c>
      <c r="U6" s="4" t="s">
        <v>254</v>
      </c>
      <c r="V6" s="4" t="s">
        <v>255</v>
      </c>
      <c r="W6" s="4" t="s">
        <v>256</v>
      </c>
      <c r="X6" s="4" t="s">
        <v>257</v>
      </c>
      <c r="Y6" s="4" t="s">
        <v>258</v>
      </c>
      <c r="Z6" s="4" t="s">
        <v>259</v>
      </c>
      <c r="AA6" s="3" t="s">
        <v>260</v>
      </c>
      <c r="AB6" s="3" t="s">
        <v>261</v>
      </c>
      <c r="AC6" s="3" t="s">
        <v>262</v>
      </c>
      <c r="AD6" s="4" t="s">
        <v>263</v>
      </c>
    </row>
    <row r="7" spans="1:37" ht="24" customHeight="1">
      <c r="A7" s="12" t="s">
        <v>117</v>
      </c>
      <c r="B7" s="12" t="s">
        <v>117</v>
      </c>
      <c r="C7" s="12" t="s">
        <v>117</v>
      </c>
      <c r="D7" s="12" t="s">
        <v>117</v>
      </c>
      <c r="G7" s="15" t="s">
        <v>122</v>
      </c>
      <c r="H7" s="3" t="s">
        <v>123</v>
      </c>
      <c r="O7" s="3" t="s">
        <v>264</v>
      </c>
      <c r="X7" s="4" t="s">
        <v>265</v>
      </c>
      <c r="Y7" s="4" t="s">
        <v>262</v>
      </c>
      <c r="Z7" s="4" t="s">
        <v>266</v>
      </c>
      <c r="AA7" s="3" t="s">
        <v>267</v>
      </c>
      <c r="AB7" s="3" t="s">
        <v>268</v>
      </c>
      <c r="AC7" s="3" t="s">
        <v>269</v>
      </c>
    </row>
    <row r="8" spans="1:37" ht="24" customHeight="1">
      <c r="B8" s="3" t="s">
        <v>270</v>
      </c>
      <c r="H8" s="12" t="s">
        <v>117</v>
      </c>
      <c r="O8" s="12" t="s">
        <v>117</v>
      </c>
      <c r="T8" s="12" t="s">
        <v>117</v>
      </c>
      <c r="U8" s="12" t="s">
        <v>117</v>
      </c>
      <c r="V8" s="12" t="s">
        <v>117</v>
      </c>
      <c r="W8" s="12" t="s">
        <v>117</v>
      </c>
      <c r="X8" s="12" t="s">
        <v>117</v>
      </c>
      <c r="Y8" s="12" t="s">
        <v>117</v>
      </c>
      <c r="Z8" s="12" t="s">
        <v>117</v>
      </c>
      <c r="AA8" s="12" t="s">
        <v>271</v>
      </c>
      <c r="AB8" s="12" t="s">
        <v>117</v>
      </c>
      <c r="AC8" s="12" t="s">
        <v>117</v>
      </c>
      <c r="AD8" s="12" t="s">
        <v>117</v>
      </c>
      <c r="AE8" s="12" t="s">
        <v>117</v>
      </c>
      <c r="AG8" s="20" t="s">
        <v>272</v>
      </c>
      <c r="AH8" s="20" t="s">
        <v>273</v>
      </c>
      <c r="AI8" s="21" t="s">
        <v>274</v>
      </c>
      <c r="AJ8" s="21" t="s">
        <v>275</v>
      </c>
      <c r="AK8" s="21" t="s">
        <v>276</v>
      </c>
    </row>
    <row r="9" spans="1:37" ht="24" customHeight="1">
      <c r="B9" s="3" t="s">
        <v>277</v>
      </c>
      <c r="F9" s="17">
        <v>0.96</v>
      </c>
      <c r="G9" s="15" t="s">
        <v>124</v>
      </c>
      <c r="H9" s="3" t="s">
        <v>125</v>
      </c>
      <c r="I9" s="17">
        <f>(C67)</f>
        <v>5800</v>
      </c>
      <c r="J9" s="3" t="s">
        <v>124</v>
      </c>
      <c r="K9" s="17">
        <f>(F9*I9)</f>
        <v>5568</v>
      </c>
      <c r="M9" s="17">
        <v>0.5</v>
      </c>
      <c r="N9" s="3" t="s">
        <v>124</v>
      </c>
      <c r="O9" s="3" t="s">
        <v>278</v>
      </c>
      <c r="P9" s="17">
        <f>(C85)</f>
        <v>955</v>
      </c>
      <c r="Q9" s="3" t="s">
        <v>124</v>
      </c>
      <c r="R9" s="17">
        <f>(M9*P9)</f>
        <v>477.5</v>
      </c>
      <c r="T9" s="4" t="s">
        <v>279</v>
      </c>
      <c r="U9" s="3" t="s">
        <v>280</v>
      </c>
      <c r="V9" s="3" t="s">
        <v>281</v>
      </c>
      <c r="W9" s="22" t="s">
        <v>282</v>
      </c>
      <c r="X9" s="17">
        <f>'[5]lead  charge'!D12</f>
        <v>26</v>
      </c>
      <c r="Y9" s="23">
        <v>437</v>
      </c>
      <c r="Z9" s="17">
        <f>'[5]lead  charge'!E12</f>
        <v>239.02</v>
      </c>
      <c r="AA9" s="4"/>
      <c r="AB9" s="3">
        <v>0</v>
      </c>
      <c r="AC9" s="3">
        <f>SUM(Y9+Z9+AA9+AB9)</f>
        <v>676.02</v>
      </c>
      <c r="AD9" s="3" t="s">
        <v>283</v>
      </c>
      <c r="AE9" s="24">
        <f>AF9</f>
        <v>769</v>
      </c>
      <c r="AF9" s="25">
        <v>769</v>
      </c>
      <c r="AG9" s="17">
        <f>AF9*1.1</f>
        <v>845.90000000000009</v>
      </c>
      <c r="AH9" s="5">
        <f>AF9*1.2</f>
        <v>922.8</v>
      </c>
      <c r="AI9" s="5">
        <f>AF9*1.5</f>
        <v>1153.5</v>
      </c>
      <c r="AJ9" s="5">
        <f>AF9*1.05</f>
        <v>807.45</v>
      </c>
      <c r="AK9" s="5">
        <f>AF9*1.25</f>
        <v>961.25</v>
      </c>
    </row>
    <row r="10" spans="1:37" ht="24" customHeight="1">
      <c r="A10" s="26">
        <v>1</v>
      </c>
      <c r="B10" s="27" t="s">
        <v>284</v>
      </c>
      <c r="C10" s="28">
        <f>AE9</f>
        <v>769</v>
      </c>
      <c r="D10" s="27" t="s">
        <v>209</v>
      </c>
      <c r="F10" s="17">
        <v>1</v>
      </c>
      <c r="G10" s="15" t="s">
        <v>126</v>
      </c>
      <c r="H10" s="3" t="s">
        <v>127</v>
      </c>
      <c r="I10" s="17">
        <f>(C78)</f>
        <v>1322.8</v>
      </c>
      <c r="J10" s="3" t="s">
        <v>126</v>
      </c>
      <c r="K10" s="17">
        <f>(F10*I10)</f>
        <v>1322.8</v>
      </c>
      <c r="M10" s="17">
        <v>1</v>
      </c>
      <c r="N10" s="3" t="s">
        <v>126</v>
      </c>
      <c r="O10" s="3" t="s">
        <v>127</v>
      </c>
      <c r="P10" s="17">
        <f>(C78)</f>
        <v>1322.8</v>
      </c>
      <c r="Q10" s="3" t="s">
        <v>126</v>
      </c>
      <c r="R10" s="17">
        <f>(M10*P10)</f>
        <v>1322.8</v>
      </c>
      <c r="T10" s="4" t="s">
        <v>285</v>
      </c>
      <c r="U10" s="3" t="s">
        <v>286</v>
      </c>
      <c r="V10" s="3" t="s">
        <v>281</v>
      </c>
      <c r="W10" s="22" t="str">
        <f t="shared" ref="W10:W15" si="0">+W9</f>
        <v>Madukkarai</v>
      </c>
      <c r="X10" s="17">
        <f>'[5]lead  charge'!D12</f>
        <v>26</v>
      </c>
      <c r="Y10" s="23">
        <v>630</v>
      </c>
      <c r="Z10" s="17">
        <f>Z9</f>
        <v>239.02</v>
      </c>
      <c r="AA10" s="4"/>
      <c r="AB10" s="8">
        <v>0</v>
      </c>
      <c r="AC10" s="3">
        <f t="shared" ref="AC10:AC36" si="1">SUM(Y10+Z10+AA10+AB10)</f>
        <v>869.02</v>
      </c>
      <c r="AD10" s="3" t="s">
        <v>287</v>
      </c>
      <c r="AE10" s="24">
        <f t="shared" ref="AE10:AE46" si="2">AF10</f>
        <v>718</v>
      </c>
      <c r="AF10" s="25">
        <v>718</v>
      </c>
      <c r="AG10" s="17">
        <f t="shared" ref="AG10:AG47" si="3">AF10*1.1</f>
        <v>789.80000000000007</v>
      </c>
      <c r="AH10" s="5">
        <f t="shared" ref="AH10:AH47" si="4">AF10*1.2</f>
        <v>861.6</v>
      </c>
      <c r="AI10" s="5">
        <f t="shared" ref="AI10:AI47" si="5">AF10*1.5</f>
        <v>1077</v>
      </c>
      <c r="AJ10" s="5">
        <f t="shared" ref="AJ10:AJ44" si="6">AF10*1.05</f>
        <v>753.9</v>
      </c>
      <c r="AK10" s="5">
        <f t="shared" ref="AK10:AK47" si="7">AF10*1.25</f>
        <v>897.5</v>
      </c>
    </row>
    <row r="11" spans="1:37" ht="24" customHeight="1">
      <c r="A11" s="26">
        <f t="shared" ref="A11:A35" si="8">(A10+1)</f>
        <v>2</v>
      </c>
      <c r="B11" s="27" t="s">
        <v>288</v>
      </c>
      <c r="C11" s="28">
        <f>AE10</f>
        <v>718</v>
      </c>
      <c r="D11" s="27">
        <f>AE9</f>
        <v>769</v>
      </c>
      <c r="F11" s="17">
        <v>1</v>
      </c>
      <c r="G11" s="15" t="s">
        <v>126</v>
      </c>
      <c r="H11" s="3" t="s">
        <v>128</v>
      </c>
      <c r="I11" s="17">
        <f>(C18)</f>
        <v>87</v>
      </c>
      <c r="J11" s="3" t="s">
        <v>126</v>
      </c>
      <c r="K11" s="17">
        <f>(F11*I11)</f>
        <v>87</v>
      </c>
      <c r="M11" s="17">
        <v>1</v>
      </c>
      <c r="N11" s="3" t="s">
        <v>126</v>
      </c>
      <c r="O11" s="3" t="s">
        <v>289</v>
      </c>
      <c r="P11" s="17">
        <f>(C64)</f>
        <v>211</v>
      </c>
      <c r="Q11" s="3" t="s">
        <v>126</v>
      </c>
      <c r="R11" s="17">
        <f>(M11*P11)</f>
        <v>211</v>
      </c>
      <c r="T11" s="4" t="s">
        <v>290</v>
      </c>
      <c r="U11" s="3" t="s">
        <v>291</v>
      </c>
      <c r="V11" s="3" t="s">
        <v>281</v>
      </c>
      <c r="W11" s="22" t="str">
        <f t="shared" si="0"/>
        <v>Madukkarai</v>
      </c>
      <c r="X11" s="17">
        <f>'[5]lead  charge'!D10:D10</f>
        <v>26</v>
      </c>
      <c r="Y11" s="23">
        <v>726.67</v>
      </c>
      <c r="Z11" s="17">
        <f>'[5]lead  charge'!E10</f>
        <v>239.02</v>
      </c>
      <c r="AA11" s="4"/>
      <c r="AB11" s="8">
        <v>0</v>
      </c>
      <c r="AC11" s="3">
        <f t="shared" si="1"/>
        <v>965.68999999999994</v>
      </c>
      <c r="AD11" s="3" t="s">
        <v>292</v>
      </c>
      <c r="AE11" s="24">
        <f t="shared" si="2"/>
        <v>502</v>
      </c>
      <c r="AF11" s="25">
        <v>502</v>
      </c>
      <c r="AG11" s="17">
        <f t="shared" si="3"/>
        <v>552.20000000000005</v>
      </c>
      <c r="AH11" s="5">
        <f t="shared" si="4"/>
        <v>602.4</v>
      </c>
      <c r="AI11" s="5">
        <f t="shared" si="5"/>
        <v>753</v>
      </c>
      <c r="AJ11" s="5">
        <f t="shared" si="6"/>
        <v>527.1</v>
      </c>
      <c r="AK11" s="5">
        <f t="shared" si="7"/>
        <v>627.5</v>
      </c>
    </row>
    <row r="12" spans="1:37" ht="24" customHeight="1">
      <c r="A12" s="26">
        <f t="shared" si="8"/>
        <v>3</v>
      </c>
      <c r="B12" s="27" t="s">
        <v>293</v>
      </c>
      <c r="C12" s="28">
        <f>AE11</f>
        <v>502</v>
      </c>
      <c r="D12" s="27" t="s">
        <v>209</v>
      </c>
      <c r="G12" s="15" t="s">
        <v>129</v>
      </c>
      <c r="H12" s="3" t="s">
        <v>130</v>
      </c>
      <c r="I12" s="3" t="s">
        <v>115</v>
      </c>
      <c r="J12" s="3" t="s">
        <v>129</v>
      </c>
      <c r="K12" s="17">
        <v>0</v>
      </c>
      <c r="N12" s="3" t="s">
        <v>129</v>
      </c>
      <c r="O12" s="3" t="s">
        <v>130</v>
      </c>
      <c r="P12" s="3" t="s">
        <v>115</v>
      </c>
      <c r="Q12" s="3" t="s">
        <v>129</v>
      </c>
      <c r="R12" s="17">
        <v>0</v>
      </c>
      <c r="T12" s="4" t="s">
        <v>294</v>
      </c>
      <c r="U12" s="3" t="s">
        <v>295</v>
      </c>
      <c r="V12" s="3" t="s">
        <v>281</v>
      </c>
      <c r="W12" s="22" t="str">
        <f t="shared" si="0"/>
        <v>Madukkarai</v>
      </c>
      <c r="X12" s="17">
        <f>X11</f>
        <v>26</v>
      </c>
      <c r="Y12" s="23">
        <v>954</v>
      </c>
      <c r="Z12" s="17">
        <f>Z11</f>
        <v>239.02</v>
      </c>
      <c r="AA12" s="4"/>
      <c r="AB12" s="8">
        <v>0</v>
      </c>
      <c r="AC12" s="3">
        <f t="shared" si="1"/>
        <v>1193.02</v>
      </c>
      <c r="AD12" s="3" t="s">
        <v>296</v>
      </c>
      <c r="AE12" s="24">
        <f t="shared" si="2"/>
        <v>412</v>
      </c>
      <c r="AF12" s="25">
        <v>412</v>
      </c>
      <c r="AG12" s="17">
        <f t="shared" si="3"/>
        <v>453.20000000000005</v>
      </c>
      <c r="AH12" s="5">
        <f t="shared" si="4"/>
        <v>494.4</v>
      </c>
      <c r="AI12" s="5">
        <f t="shared" si="5"/>
        <v>618</v>
      </c>
      <c r="AJ12" s="5">
        <f t="shared" si="6"/>
        <v>432.6</v>
      </c>
      <c r="AK12" s="5">
        <f t="shared" si="7"/>
        <v>515</v>
      </c>
    </row>
    <row r="13" spans="1:37" ht="24" customHeight="1">
      <c r="A13" s="26">
        <f t="shared" si="8"/>
        <v>4</v>
      </c>
      <c r="B13" s="27" t="s">
        <v>297</v>
      </c>
      <c r="C13" s="28">
        <f>AE12</f>
        <v>412</v>
      </c>
      <c r="D13" s="27" t="s">
        <v>209</v>
      </c>
      <c r="K13" s="12" t="s">
        <v>117</v>
      </c>
      <c r="R13" s="12" t="s">
        <v>117</v>
      </c>
      <c r="T13" s="4" t="s">
        <v>298</v>
      </c>
      <c r="U13" s="3" t="s">
        <v>299</v>
      </c>
      <c r="V13" s="3" t="s">
        <v>281</v>
      </c>
      <c r="W13" s="22" t="str">
        <f t="shared" si="0"/>
        <v>Madukkarai</v>
      </c>
      <c r="X13" s="17">
        <f>X11</f>
        <v>26</v>
      </c>
      <c r="Y13" s="23">
        <v>1297</v>
      </c>
      <c r="Z13" s="17">
        <f>Z12</f>
        <v>239.02</v>
      </c>
      <c r="AA13" s="4"/>
      <c r="AB13" s="8">
        <v>0</v>
      </c>
      <c r="AC13" s="3">
        <f t="shared" si="1"/>
        <v>1536.02</v>
      </c>
      <c r="AD13" s="3" t="s">
        <v>300</v>
      </c>
      <c r="AE13" s="24">
        <f t="shared" si="2"/>
        <v>615</v>
      </c>
      <c r="AF13" s="25">
        <v>615</v>
      </c>
      <c r="AG13" s="17">
        <f t="shared" si="3"/>
        <v>676.5</v>
      </c>
      <c r="AH13" s="5">
        <f t="shared" si="4"/>
        <v>738</v>
      </c>
      <c r="AI13" s="5">
        <f t="shared" si="5"/>
        <v>922.5</v>
      </c>
      <c r="AJ13" s="5">
        <f t="shared" si="6"/>
        <v>645.75</v>
      </c>
      <c r="AK13" s="5">
        <f t="shared" si="7"/>
        <v>768.75</v>
      </c>
    </row>
    <row r="14" spans="1:37" ht="24" customHeight="1">
      <c r="A14" s="26">
        <f t="shared" si="8"/>
        <v>5</v>
      </c>
      <c r="B14" s="27" t="s">
        <v>301</v>
      </c>
      <c r="C14" s="28">
        <f>AE13</f>
        <v>615</v>
      </c>
      <c r="D14" s="28">
        <f>AE14</f>
        <v>595</v>
      </c>
      <c r="H14" s="3" t="s">
        <v>131</v>
      </c>
      <c r="K14" s="16">
        <f>SUM(K9:K12)</f>
        <v>6977.8</v>
      </c>
      <c r="N14" s="17">
        <f>SUM(K9:K12)</f>
        <v>6977.8</v>
      </c>
      <c r="O14" s="3" t="s">
        <v>131</v>
      </c>
      <c r="R14" s="17">
        <f>SUM(R9:R12)</f>
        <v>2011.3</v>
      </c>
      <c r="T14" s="4" t="s">
        <v>302</v>
      </c>
      <c r="U14" s="3" t="s">
        <v>303</v>
      </c>
      <c r="V14" s="3" t="s">
        <v>281</v>
      </c>
      <c r="W14" s="22" t="str">
        <f t="shared" si="0"/>
        <v>Madukkarai</v>
      </c>
      <c r="X14" s="17">
        <f>X11</f>
        <v>26</v>
      </c>
      <c r="Y14" s="23">
        <v>1398</v>
      </c>
      <c r="Z14" s="17">
        <f>Z13</f>
        <v>239.02</v>
      </c>
      <c r="AA14" s="4"/>
      <c r="AB14" s="8">
        <v>0</v>
      </c>
      <c r="AC14" s="3">
        <f t="shared" si="1"/>
        <v>1637.02</v>
      </c>
      <c r="AD14" s="3" t="s">
        <v>304</v>
      </c>
      <c r="AE14" s="24">
        <f t="shared" si="2"/>
        <v>595</v>
      </c>
      <c r="AF14" s="25">
        <v>595</v>
      </c>
      <c r="AG14" s="17">
        <f t="shared" si="3"/>
        <v>654.5</v>
      </c>
      <c r="AH14" s="5">
        <f t="shared" si="4"/>
        <v>714</v>
      </c>
      <c r="AI14" s="5">
        <f t="shared" si="5"/>
        <v>892.5</v>
      </c>
      <c r="AJ14" s="5">
        <f t="shared" si="6"/>
        <v>624.75</v>
      </c>
      <c r="AK14" s="5">
        <f t="shared" si="7"/>
        <v>743.75</v>
      </c>
    </row>
    <row r="15" spans="1:37" ht="24" customHeight="1">
      <c r="A15" s="26">
        <f t="shared" si="8"/>
        <v>6</v>
      </c>
      <c r="B15" s="27" t="s">
        <v>305</v>
      </c>
      <c r="C15" s="28">
        <f>AE15</f>
        <v>667</v>
      </c>
      <c r="D15" s="27" t="s">
        <v>209</v>
      </c>
      <c r="K15" s="12" t="s">
        <v>117</v>
      </c>
      <c r="R15" s="12" t="s">
        <v>117</v>
      </c>
      <c r="T15" s="4" t="s">
        <v>306</v>
      </c>
      <c r="U15" s="3" t="s">
        <v>307</v>
      </c>
      <c r="V15" s="3" t="s">
        <v>281</v>
      </c>
      <c r="W15" s="22" t="str">
        <f t="shared" si="0"/>
        <v>Madukkarai</v>
      </c>
      <c r="X15" s="17">
        <f>X11</f>
        <v>26</v>
      </c>
      <c r="Y15" s="23">
        <v>1004</v>
      </c>
      <c r="Z15" s="17">
        <f>Z14</f>
        <v>239.02</v>
      </c>
      <c r="AA15" s="4"/>
      <c r="AB15" s="8">
        <v>0</v>
      </c>
      <c r="AC15" s="3">
        <f t="shared" si="1"/>
        <v>1243.02</v>
      </c>
      <c r="AD15" s="3" t="s">
        <v>308</v>
      </c>
      <c r="AE15" s="24">
        <f t="shared" si="2"/>
        <v>667</v>
      </c>
      <c r="AF15" s="25">
        <v>667</v>
      </c>
      <c r="AG15" s="17">
        <f t="shared" si="3"/>
        <v>733.7</v>
      </c>
      <c r="AH15" s="5">
        <f t="shared" si="4"/>
        <v>800.4</v>
      </c>
      <c r="AI15" s="5">
        <f t="shared" si="5"/>
        <v>1000.5</v>
      </c>
      <c r="AJ15" s="5">
        <f t="shared" si="6"/>
        <v>700.35</v>
      </c>
      <c r="AK15" s="5">
        <f t="shared" si="7"/>
        <v>833.75</v>
      </c>
    </row>
    <row r="16" spans="1:37" ht="24" customHeight="1">
      <c r="A16" s="26">
        <f t="shared" si="8"/>
        <v>7</v>
      </c>
      <c r="B16" s="27" t="s">
        <v>309</v>
      </c>
      <c r="C16" s="28">
        <f>AE19</f>
        <v>752</v>
      </c>
      <c r="D16" s="28">
        <f>AE20</f>
        <v>718</v>
      </c>
      <c r="G16" s="15" t="s">
        <v>122</v>
      </c>
      <c r="H16" s="3" t="s">
        <v>132</v>
      </c>
      <c r="N16" s="3" t="s">
        <v>122</v>
      </c>
      <c r="O16" s="3" t="s">
        <v>310</v>
      </c>
      <c r="T16" s="4" t="s">
        <v>311</v>
      </c>
      <c r="U16" s="3" t="s">
        <v>312</v>
      </c>
      <c r="V16" s="3" t="s">
        <v>281</v>
      </c>
      <c r="W16" s="22" t="s">
        <v>313</v>
      </c>
      <c r="X16" s="17">
        <f>'[5]lead  charge'!D11</f>
        <v>7</v>
      </c>
      <c r="Y16" s="29">
        <v>1250</v>
      </c>
      <c r="Z16" s="17">
        <f>'[5]lead  charge'!E11</f>
        <v>72.8</v>
      </c>
      <c r="AA16" s="4"/>
      <c r="AB16" s="8">
        <v>0</v>
      </c>
      <c r="AC16" s="3">
        <f t="shared" si="1"/>
        <v>1322.8</v>
      </c>
      <c r="AD16" s="3" t="s">
        <v>314</v>
      </c>
      <c r="AE16" s="24">
        <f t="shared" si="2"/>
        <v>647</v>
      </c>
      <c r="AF16" s="25">
        <v>647</v>
      </c>
      <c r="AG16" s="17">
        <f t="shared" si="3"/>
        <v>711.7</v>
      </c>
      <c r="AH16" s="5">
        <f t="shared" si="4"/>
        <v>776.4</v>
      </c>
      <c r="AI16" s="5">
        <f t="shared" si="5"/>
        <v>970.5</v>
      </c>
      <c r="AJ16" s="5">
        <f t="shared" si="6"/>
        <v>679.35</v>
      </c>
      <c r="AK16" s="5">
        <f t="shared" si="7"/>
        <v>808.75</v>
      </c>
    </row>
    <row r="17" spans="1:37" ht="24" customHeight="1">
      <c r="A17" s="26">
        <f t="shared" si="8"/>
        <v>8</v>
      </c>
      <c r="B17" s="27" t="s">
        <v>315</v>
      </c>
      <c r="C17" s="28">
        <f>AE17</f>
        <v>679</v>
      </c>
      <c r="D17" s="28">
        <f>AE18</f>
        <v>660</v>
      </c>
      <c r="H17" s="12" t="s">
        <v>117</v>
      </c>
      <c r="O17" s="3" t="s">
        <v>316</v>
      </c>
      <c r="T17" s="4" t="s">
        <v>317</v>
      </c>
      <c r="U17" s="3" t="s">
        <v>318</v>
      </c>
      <c r="V17" s="3" t="s">
        <v>281</v>
      </c>
      <c r="W17" s="22" t="str">
        <f>+W16</f>
        <v>Karanampettai</v>
      </c>
      <c r="X17" s="17">
        <f>X16</f>
        <v>7</v>
      </c>
      <c r="Y17" s="29">
        <f>Y16</f>
        <v>1250</v>
      </c>
      <c r="Z17" s="17">
        <f>Z16</f>
        <v>72.8</v>
      </c>
      <c r="AA17" s="4"/>
      <c r="AB17" s="8">
        <v>0</v>
      </c>
      <c r="AC17" s="3">
        <f t="shared" si="1"/>
        <v>1322.8</v>
      </c>
      <c r="AD17" s="3" t="s">
        <v>319</v>
      </c>
      <c r="AE17" s="24">
        <f t="shared" si="2"/>
        <v>679</v>
      </c>
      <c r="AF17" s="25">
        <v>679</v>
      </c>
      <c r="AG17" s="17">
        <f t="shared" si="3"/>
        <v>746.90000000000009</v>
      </c>
      <c r="AH17" s="5">
        <f t="shared" si="4"/>
        <v>814.8</v>
      </c>
      <c r="AI17" s="5">
        <f t="shared" si="5"/>
        <v>1018.5</v>
      </c>
      <c r="AJ17" s="5">
        <f t="shared" si="6"/>
        <v>712.95</v>
      </c>
      <c r="AK17" s="5">
        <f t="shared" si="7"/>
        <v>848.75</v>
      </c>
    </row>
    <row r="18" spans="1:37" ht="24" customHeight="1">
      <c r="A18" s="26">
        <f t="shared" si="8"/>
        <v>9</v>
      </c>
      <c r="B18" s="27" t="s">
        <v>320</v>
      </c>
      <c r="C18" s="28">
        <f>AE24</f>
        <v>87</v>
      </c>
      <c r="D18" s="27" t="s">
        <v>321</v>
      </c>
      <c r="F18" s="17">
        <v>0.72</v>
      </c>
      <c r="G18" s="15" t="s">
        <v>124</v>
      </c>
      <c r="H18" s="3" t="s">
        <v>125</v>
      </c>
      <c r="I18" s="17">
        <f>(C67)</f>
        <v>5800</v>
      </c>
      <c r="J18" s="3" t="s">
        <v>124</v>
      </c>
      <c r="K18" s="17">
        <f>(F18*I18)</f>
        <v>4176</v>
      </c>
      <c r="O18" s="3" t="s">
        <v>322</v>
      </c>
      <c r="T18" s="4" t="s">
        <v>323</v>
      </c>
      <c r="U18" s="3" t="s">
        <v>324</v>
      </c>
      <c r="V18" s="3" t="s">
        <v>325</v>
      </c>
      <c r="W18" s="22" t="s">
        <v>326</v>
      </c>
      <c r="X18" s="17">
        <f>'[5]lead  charge'!G10</f>
        <v>35</v>
      </c>
      <c r="Y18" s="23">
        <v>5438</v>
      </c>
      <c r="Z18" s="17">
        <f>'[5]lead  charge'!H10</f>
        <v>259.64999999999998</v>
      </c>
      <c r="AA18" s="4"/>
      <c r="AB18" s="8">
        <v>0</v>
      </c>
      <c r="AC18" s="3">
        <f t="shared" si="1"/>
        <v>5697.65</v>
      </c>
      <c r="AD18" s="3" t="s">
        <v>327</v>
      </c>
      <c r="AE18" s="24">
        <f t="shared" si="2"/>
        <v>660</v>
      </c>
      <c r="AF18" s="25">
        <v>660</v>
      </c>
      <c r="AG18" s="17">
        <f t="shared" si="3"/>
        <v>726.00000000000011</v>
      </c>
      <c r="AH18" s="5">
        <f t="shared" si="4"/>
        <v>792</v>
      </c>
      <c r="AI18" s="5">
        <f t="shared" si="5"/>
        <v>990</v>
      </c>
      <c r="AJ18" s="5">
        <f t="shared" si="6"/>
        <v>693</v>
      </c>
      <c r="AK18" s="5">
        <f t="shared" si="7"/>
        <v>825</v>
      </c>
    </row>
    <row r="19" spans="1:37" ht="24" customHeight="1">
      <c r="A19" s="26">
        <f t="shared" si="8"/>
        <v>10</v>
      </c>
      <c r="B19" s="27" t="s">
        <v>328</v>
      </c>
      <c r="C19" s="23">
        <f t="shared" ref="C19:C24" si="9">AE41</f>
        <v>59.2</v>
      </c>
      <c r="D19" s="27" t="s">
        <v>126</v>
      </c>
      <c r="F19" s="17">
        <v>1</v>
      </c>
      <c r="G19" s="15" t="s">
        <v>126</v>
      </c>
      <c r="H19" s="3" t="s">
        <v>127</v>
      </c>
      <c r="I19" s="17">
        <f>I36</f>
        <v>1322.8</v>
      </c>
      <c r="J19" s="3" t="s">
        <v>126</v>
      </c>
      <c r="K19" s="17">
        <f>(F19*I19)</f>
        <v>1322.8</v>
      </c>
      <c r="O19" s="3" t="s">
        <v>329</v>
      </c>
      <c r="T19" s="4" t="s">
        <v>330</v>
      </c>
      <c r="U19" s="3" t="s">
        <v>331</v>
      </c>
      <c r="V19" s="3" t="s">
        <v>126</v>
      </c>
      <c r="W19" s="30" t="str">
        <f>W18</f>
        <v>Chinna Thadagam</v>
      </c>
      <c r="X19" s="17">
        <f>'[5]lead  charge'!P10</f>
        <v>35</v>
      </c>
      <c r="Y19" s="23">
        <v>672</v>
      </c>
      <c r="Z19" s="31">
        <f>'[5]lead  charge'!Q10</f>
        <v>211.65</v>
      </c>
      <c r="AA19" s="4"/>
      <c r="AB19" s="8">
        <v>0</v>
      </c>
      <c r="AC19" s="3">
        <f t="shared" si="1"/>
        <v>883.65</v>
      </c>
      <c r="AD19" s="3" t="s">
        <v>332</v>
      </c>
      <c r="AE19" s="24">
        <f t="shared" si="2"/>
        <v>752</v>
      </c>
      <c r="AF19" s="25">
        <v>752</v>
      </c>
      <c r="AG19" s="17">
        <f t="shared" si="3"/>
        <v>827.2</v>
      </c>
      <c r="AH19" s="5">
        <f t="shared" si="4"/>
        <v>902.4</v>
      </c>
      <c r="AI19" s="5">
        <f t="shared" si="5"/>
        <v>1128</v>
      </c>
      <c r="AJ19" s="5">
        <f t="shared" si="6"/>
        <v>789.6</v>
      </c>
      <c r="AK19" s="5">
        <f t="shared" si="7"/>
        <v>940</v>
      </c>
    </row>
    <row r="20" spans="1:37" ht="24" customHeight="1">
      <c r="A20" s="26">
        <f t="shared" si="8"/>
        <v>11</v>
      </c>
      <c r="B20" s="27" t="s">
        <v>333</v>
      </c>
      <c r="C20" s="23">
        <f t="shared" si="9"/>
        <v>119.3</v>
      </c>
      <c r="D20" s="27" t="s">
        <v>126</v>
      </c>
      <c r="F20" s="17">
        <v>1</v>
      </c>
      <c r="G20" s="15" t="s">
        <v>126</v>
      </c>
      <c r="H20" s="3" t="s">
        <v>128</v>
      </c>
      <c r="I20" s="17">
        <f>(C18)</f>
        <v>87</v>
      </c>
      <c r="J20" s="3" t="s">
        <v>126</v>
      </c>
      <c r="K20" s="17">
        <f>(F20*I20)</f>
        <v>87</v>
      </c>
      <c r="O20" s="3" t="s">
        <v>334</v>
      </c>
      <c r="T20" s="4" t="s">
        <v>335</v>
      </c>
      <c r="U20" s="3" t="s">
        <v>336</v>
      </c>
      <c r="V20" s="3" t="s">
        <v>126</v>
      </c>
      <c r="W20" s="30" t="str">
        <f>W18</f>
        <v>Chinna Thadagam</v>
      </c>
      <c r="X20" s="17">
        <f>X19</f>
        <v>35</v>
      </c>
      <c r="Y20" s="23">
        <v>749</v>
      </c>
      <c r="Z20" s="17">
        <f>Z19</f>
        <v>211.65</v>
      </c>
      <c r="AA20" s="4"/>
      <c r="AB20" s="8">
        <v>0</v>
      </c>
      <c r="AC20" s="3">
        <f t="shared" si="1"/>
        <v>960.65</v>
      </c>
      <c r="AD20" s="3" t="s">
        <v>337</v>
      </c>
      <c r="AE20" s="24">
        <f t="shared" si="2"/>
        <v>718</v>
      </c>
      <c r="AF20" s="25">
        <v>718</v>
      </c>
      <c r="AG20" s="17">
        <f t="shared" si="3"/>
        <v>789.80000000000007</v>
      </c>
      <c r="AH20" s="5">
        <f t="shared" si="4"/>
        <v>861.6</v>
      </c>
      <c r="AI20" s="5">
        <f t="shared" si="5"/>
        <v>1077</v>
      </c>
      <c r="AJ20" s="5">
        <f t="shared" si="6"/>
        <v>753.9</v>
      </c>
      <c r="AK20" s="5">
        <f t="shared" si="7"/>
        <v>897.5</v>
      </c>
    </row>
    <row r="21" spans="1:37" ht="24" customHeight="1">
      <c r="A21" s="26">
        <f t="shared" si="8"/>
        <v>12</v>
      </c>
      <c r="B21" s="27" t="s">
        <v>338</v>
      </c>
      <c r="C21" s="23">
        <f t="shared" si="9"/>
        <v>119.3</v>
      </c>
      <c r="D21" s="27" t="s">
        <v>126</v>
      </c>
      <c r="G21" s="15" t="s">
        <v>129</v>
      </c>
      <c r="H21" s="3" t="s">
        <v>130</v>
      </c>
      <c r="I21" s="3" t="s">
        <v>115</v>
      </c>
      <c r="J21" s="3" t="s">
        <v>129</v>
      </c>
      <c r="K21" s="17">
        <v>0</v>
      </c>
      <c r="O21" s="12" t="s">
        <v>117</v>
      </c>
      <c r="T21" s="4" t="s">
        <v>339</v>
      </c>
      <c r="U21" s="3" t="s">
        <v>340</v>
      </c>
      <c r="V21" s="3" t="s">
        <v>325</v>
      </c>
      <c r="W21" s="22" t="s">
        <v>341</v>
      </c>
      <c r="X21" s="17">
        <f>'[5]lead  charge'!J12</f>
        <v>0</v>
      </c>
      <c r="Y21" s="23">
        <v>16106</v>
      </c>
      <c r="Z21" s="17">
        <f>'[5]lead  charge'!K11</f>
        <v>0</v>
      </c>
      <c r="AA21" s="4"/>
      <c r="AB21" s="8">
        <v>0</v>
      </c>
      <c r="AC21" s="3">
        <f t="shared" si="1"/>
        <v>16106</v>
      </c>
      <c r="AD21" s="3" t="s">
        <v>342</v>
      </c>
      <c r="AE21" s="24">
        <f t="shared" si="2"/>
        <v>591</v>
      </c>
      <c r="AF21" s="25">
        <v>591</v>
      </c>
      <c r="AG21" s="17">
        <f t="shared" si="3"/>
        <v>650.1</v>
      </c>
      <c r="AH21" s="5">
        <f t="shared" si="4"/>
        <v>709.19999999999993</v>
      </c>
      <c r="AI21" s="5">
        <f t="shared" si="5"/>
        <v>886.5</v>
      </c>
      <c r="AJ21" s="5">
        <f t="shared" si="6"/>
        <v>620.55000000000007</v>
      </c>
      <c r="AK21" s="5">
        <f t="shared" si="7"/>
        <v>738.75</v>
      </c>
    </row>
    <row r="22" spans="1:37" ht="24" customHeight="1">
      <c r="A22" s="26">
        <f t="shared" si="8"/>
        <v>13</v>
      </c>
      <c r="B22" s="27" t="s">
        <v>343</v>
      </c>
      <c r="C22" s="23">
        <f t="shared" si="9"/>
        <v>89.9</v>
      </c>
      <c r="D22" s="27" t="s">
        <v>126</v>
      </c>
      <c r="K22" s="12" t="s">
        <v>117</v>
      </c>
      <c r="M22" s="17">
        <v>1</v>
      </c>
      <c r="N22" s="3" t="s">
        <v>126</v>
      </c>
      <c r="O22" s="3" t="s">
        <v>344</v>
      </c>
      <c r="P22" s="17">
        <f>C79</f>
        <v>1322.8</v>
      </c>
      <c r="Q22" s="3" t="s">
        <v>126</v>
      </c>
      <c r="R22" s="17">
        <f>(M22*P22)</f>
        <v>1322.8</v>
      </c>
      <c r="T22" s="4" t="s">
        <v>345</v>
      </c>
      <c r="U22" s="3" t="s">
        <v>346</v>
      </c>
      <c r="V22" s="3" t="s">
        <v>281</v>
      </c>
      <c r="W22" s="22" t="s">
        <v>341</v>
      </c>
      <c r="X22" s="17"/>
      <c r="Y22" s="23">
        <v>1297</v>
      </c>
      <c r="Z22" s="17"/>
      <c r="AA22" s="4"/>
      <c r="AB22" s="8">
        <v>0</v>
      </c>
      <c r="AC22" s="3">
        <f t="shared" si="1"/>
        <v>1297</v>
      </c>
      <c r="AD22" s="3" t="s">
        <v>347</v>
      </c>
      <c r="AE22" s="24">
        <f t="shared" si="2"/>
        <v>569</v>
      </c>
      <c r="AF22" s="25">
        <v>569</v>
      </c>
      <c r="AG22" s="17">
        <f t="shared" si="3"/>
        <v>625.90000000000009</v>
      </c>
      <c r="AH22" s="5">
        <f t="shared" si="4"/>
        <v>682.8</v>
      </c>
      <c r="AI22" s="5">
        <f t="shared" si="5"/>
        <v>853.5</v>
      </c>
      <c r="AJ22" s="5">
        <f t="shared" si="6"/>
        <v>597.45000000000005</v>
      </c>
      <c r="AK22" s="5">
        <f t="shared" si="7"/>
        <v>711.25</v>
      </c>
    </row>
    <row r="23" spans="1:37" ht="24" customHeight="1">
      <c r="A23" s="26">
        <f t="shared" si="8"/>
        <v>14</v>
      </c>
      <c r="B23" s="27" t="s">
        <v>348</v>
      </c>
      <c r="C23" s="23">
        <f t="shared" si="9"/>
        <v>177</v>
      </c>
      <c r="D23" s="27" t="s">
        <v>126</v>
      </c>
      <c r="H23" s="3" t="s">
        <v>131</v>
      </c>
      <c r="K23" s="16">
        <f>SUM(K18:K21)</f>
        <v>5585.8</v>
      </c>
      <c r="M23" s="17">
        <v>1</v>
      </c>
      <c r="N23" s="3" t="s">
        <v>126</v>
      </c>
      <c r="O23" s="3" t="s">
        <v>349</v>
      </c>
      <c r="P23" s="17">
        <f>C85</f>
        <v>955</v>
      </c>
      <c r="Q23" s="3" t="s">
        <v>126</v>
      </c>
      <c r="R23" s="17">
        <f>(M23*P23)</f>
        <v>955</v>
      </c>
      <c r="T23" s="4" t="s">
        <v>350</v>
      </c>
      <c r="U23" s="3" t="s">
        <v>351</v>
      </c>
      <c r="V23" s="3" t="s">
        <v>281</v>
      </c>
      <c r="W23" s="22" t="str">
        <f>W22</f>
        <v>Local</v>
      </c>
      <c r="X23" s="17">
        <f>'[5]lead  charge'!P11</f>
        <v>0</v>
      </c>
      <c r="Y23" s="23">
        <v>955</v>
      </c>
      <c r="Z23" s="17">
        <f>'[5]lead  charge'!Q11</f>
        <v>0</v>
      </c>
      <c r="AA23" s="4"/>
      <c r="AB23" s="8">
        <v>0</v>
      </c>
      <c r="AC23" s="3">
        <f t="shared" si="1"/>
        <v>955</v>
      </c>
      <c r="AD23" s="3" t="s">
        <v>352</v>
      </c>
      <c r="AE23" s="24">
        <f t="shared" si="2"/>
        <v>592</v>
      </c>
      <c r="AF23" s="25">
        <v>592</v>
      </c>
      <c r="AG23" s="17">
        <f t="shared" si="3"/>
        <v>651.20000000000005</v>
      </c>
      <c r="AH23" s="5">
        <f t="shared" si="4"/>
        <v>710.4</v>
      </c>
      <c r="AI23" s="5">
        <f t="shared" si="5"/>
        <v>888</v>
      </c>
      <c r="AJ23" s="5">
        <f t="shared" si="6"/>
        <v>621.6</v>
      </c>
      <c r="AK23" s="5">
        <f t="shared" si="7"/>
        <v>740</v>
      </c>
    </row>
    <row r="24" spans="1:37" ht="24" customHeight="1">
      <c r="A24" s="26">
        <f t="shared" si="8"/>
        <v>15</v>
      </c>
      <c r="B24" s="27" t="s">
        <v>353</v>
      </c>
      <c r="C24" s="23">
        <f t="shared" si="9"/>
        <v>177</v>
      </c>
      <c r="D24" s="27" t="s">
        <v>126</v>
      </c>
      <c r="K24" s="12" t="s">
        <v>117</v>
      </c>
      <c r="M24" s="17">
        <v>1.5</v>
      </c>
      <c r="N24" s="3" t="s">
        <v>126</v>
      </c>
      <c r="O24" s="3" t="s">
        <v>354</v>
      </c>
      <c r="P24" s="17">
        <f>C18</f>
        <v>87</v>
      </c>
      <c r="Q24" s="3" t="s">
        <v>126</v>
      </c>
      <c r="R24" s="17">
        <f>(M24*P24)</f>
        <v>130.5</v>
      </c>
      <c r="T24" s="4" t="s">
        <v>355</v>
      </c>
      <c r="U24" s="3" t="s">
        <v>356</v>
      </c>
      <c r="V24" s="3" t="s">
        <v>281</v>
      </c>
      <c r="W24" s="22" t="s">
        <v>357</v>
      </c>
      <c r="X24" s="5">
        <f>X25</f>
        <v>0</v>
      </c>
      <c r="Y24" s="23">
        <v>34300</v>
      </c>
      <c r="Z24" s="5">
        <f>Z25</f>
        <v>0</v>
      </c>
      <c r="AA24" s="10"/>
      <c r="AB24" s="8">
        <v>0</v>
      </c>
      <c r="AC24" s="3">
        <f t="shared" si="1"/>
        <v>34300</v>
      </c>
      <c r="AD24" s="3" t="s">
        <v>358</v>
      </c>
      <c r="AE24" s="24">
        <f t="shared" si="2"/>
        <v>87</v>
      </c>
      <c r="AF24" s="32">
        <v>87</v>
      </c>
      <c r="AG24" s="17">
        <f t="shared" si="3"/>
        <v>95.7</v>
      </c>
      <c r="AH24" s="5">
        <f t="shared" si="4"/>
        <v>104.39999999999999</v>
      </c>
      <c r="AI24" s="5">
        <f t="shared" si="5"/>
        <v>130.5</v>
      </c>
      <c r="AJ24" s="5">
        <f t="shared" si="6"/>
        <v>91.350000000000009</v>
      </c>
      <c r="AK24" s="5">
        <f t="shared" si="7"/>
        <v>108.75</v>
      </c>
    </row>
    <row r="25" spans="1:37" ht="24" customHeight="1">
      <c r="A25" s="26">
        <f t="shared" si="8"/>
        <v>16</v>
      </c>
      <c r="B25" s="27" t="s">
        <v>359</v>
      </c>
      <c r="C25" s="28">
        <f>AE25</f>
        <v>70.7</v>
      </c>
      <c r="D25" s="27" t="s">
        <v>126</v>
      </c>
      <c r="G25" s="15" t="s">
        <v>122</v>
      </c>
      <c r="H25" s="3" t="s">
        <v>133</v>
      </c>
      <c r="M25" s="17">
        <v>1.5</v>
      </c>
      <c r="N25" s="3" t="s">
        <v>126</v>
      </c>
      <c r="O25" s="3" t="s">
        <v>360</v>
      </c>
      <c r="P25" s="17">
        <f>C27</f>
        <v>25.7</v>
      </c>
      <c r="Q25" s="3" t="s">
        <v>126</v>
      </c>
      <c r="R25" s="17">
        <f>(M25*P25)</f>
        <v>38.549999999999997</v>
      </c>
      <c r="T25" s="4" t="s">
        <v>361</v>
      </c>
      <c r="U25" s="33" t="s">
        <v>362</v>
      </c>
      <c r="V25" s="3" t="s">
        <v>281</v>
      </c>
      <c r="W25" s="22" t="s">
        <v>357</v>
      </c>
      <c r="X25" s="5">
        <f>'[5]lead  charge'!P12</f>
        <v>0</v>
      </c>
      <c r="Y25" s="23">
        <v>39400</v>
      </c>
      <c r="Z25" s="5">
        <f>'[5]lead  charge'!Q12</f>
        <v>0</v>
      </c>
      <c r="AA25" s="10"/>
      <c r="AB25" s="8">
        <v>0</v>
      </c>
      <c r="AC25" s="3">
        <f>SUM(Y25+Z25+AA25+AB25)</f>
        <v>39400</v>
      </c>
      <c r="AD25" s="3" t="s">
        <v>363</v>
      </c>
      <c r="AE25" s="24">
        <f t="shared" si="2"/>
        <v>70.7</v>
      </c>
      <c r="AF25" s="32">
        <v>70.7</v>
      </c>
      <c r="AG25" s="17">
        <f t="shared" si="3"/>
        <v>77.77000000000001</v>
      </c>
      <c r="AH25" s="5">
        <f t="shared" si="4"/>
        <v>84.84</v>
      </c>
      <c r="AI25" s="5">
        <f t="shared" si="5"/>
        <v>106.05000000000001</v>
      </c>
      <c r="AJ25" s="5">
        <f t="shared" si="6"/>
        <v>74.234999999999999</v>
      </c>
      <c r="AK25" s="5">
        <f t="shared" si="7"/>
        <v>88.375</v>
      </c>
    </row>
    <row r="26" spans="1:37" ht="24" customHeight="1">
      <c r="A26" s="26">
        <f t="shared" si="8"/>
        <v>17</v>
      </c>
      <c r="B26" s="27" t="s">
        <v>364</v>
      </c>
      <c r="C26" s="28">
        <f>AE28</f>
        <v>29.3</v>
      </c>
      <c r="D26" s="27" t="s">
        <v>365</v>
      </c>
      <c r="E26" s="5">
        <f>(65.8+87.9+100.7)/3</f>
        <v>84.8</v>
      </c>
      <c r="H26" s="12" t="s">
        <v>117</v>
      </c>
      <c r="N26" s="3" t="s">
        <v>129</v>
      </c>
      <c r="O26" s="3" t="s">
        <v>130</v>
      </c>
      <c r="P26" s="3" t="s">
        <v>115</v>
      </c>
      <c r="Q26" s="3" t="s">
        <v>129</v>
      </c>
      <c r="R26" s="17">
        <v>0</v>
      </c>
      <c r="T26" s="4" t="s">
        <v>366</v>
      </c>
      <c r="U26" s="3" t="s">
        <v>367</v>
      </c>
      <c r="V26" s="3" t="s">
        <v>281</v>
      </c>
      <c r="W26" s="22" t="s">
        <v>357</v>
      </c>
      <c r="X26" s="5">
        <f>X25</f>
        <v>0</v>
      </c>
      <c r="Y26" s="23">
        <v>111600</v>
      </c>
      <c r="Z26" s="5">
        <f>'[5]lead  charge'!Q12</f>
        <v>0</v>
      </c>
      <c r="AA26" s="10"/>
      <c r="AB26" s="8">
        <v>0</v>
      </c>
      <c r="AC26" s="3">
        <f>SUM(Y26+Z26+AA26+AB26)</f>
        <v>111600</v>
      </c>
      <c r="AD26" s="3" t="s">
        <v>368</v>
      </c>
      <c r="AE26" s="24">
        <f t="shared" si="2"/>
        <v>52.4</v>
      </c>
      <c r="AF26" s="32">
        <v>52.4</v>
      </c>
      <c r="AG26" s="17">
        <f t="shared" si="3"/>
        <v>57.64</v>
      </c>
      <c r="AH26" s="5">
        <f t="shared" si="4"/>
        <v>62.879999999999995</v>
      </c>
      <c r="AI26" s="5">
        <f t="shared" si="5"/>
        <v>78.599999999999994</v>
      </c>
      <c r="AJ26" s="5">
        <f t="shared" si="6"/>
        <v>55.02</v>
      </c>
      <c r="AK26" s="5">
        <f t="shared" si="7"/>
        <v>65.5</v>
      </c>
    </row>
    <row r="27" spans="1:37" ht="24" customHeight="1">
      <c r="A27" s="26">
        <f t="shared" si="8"/>
        <v>18</v>
      </c>
      <c r="B27" s="27" t="s">
        <v>369</v>
      </c>
      <c r="C27" s="28">
        <f>AE27</f>
        <v>25.7</v>
      </c>
      <c r="D27" s="27" t="s">
        <v>365</v>
      </c>
      <c r="E27" s="5">
        <f>(59.3+83+95)/3</f>
        <v>79.100000000000009</v>
      </c>
      <c r="F27" s="17">
        <v>0.48</v>
      </c>
      <c r="G27" s="15" t="s">
        <v>124</v>
      </c>
      <c r="H27" s="3" t="s">
        <v>125</v>
      </c>
      <c r="I27" s="17">
        <f>(C67)</f>
        <v>5800</v>
      </c>
      <c r="J27" s="3" t="s">
        <v>124</v>
      </c>
      <c r="K27" s="17">
        <f>(F27*I27)</f>
        <v>2784</v>
      </c>
      <c r="R27" s="12" t="s">
        <v>117</v>
      </c>
      <c r="T27" s="4" t="s">
        <v>370</v>
      </c>
      <c r="U27" s="3" t="s">
        <v>371</v>
      </c>
      <c r="V27" s="3" t="s">
        <v>281</v>
      </c>
      <c r="W27" s="22" t="s">
        <v>357</v>
      </c>
      <c r="X27" s="5">
        <f>X26</f>
        <v>0</v>
      </c>
      <c r="Y27" s="23">
        <v>99400</v>
      </c>
      <c r="Z27" s="5">
        <f>Z26</f>
        <v>0</v>
      </c>
      <c r="AA27" s="10"/>
      <c r="AB27" s="8">
        <v>0</v>
      </c>
      <c r="AC27" s="3">
        <f>SUM(Y27+Z27+AA27+AB27)</f>
        <v>99400</v>
      </c>
      <c r="AD27" s="3" t="s">
        <v>372</v>
      </c>
      <c r="AE27" s="24">
        <f t="shared" si="2"/>
        <v>25.7</v>
      </c>
      <c r="AF27" s="25">
        <v>25.7</v>
      </c>
      <c r="AG27" s="17">
        <f t="shared" si="3"/>
        <v>28.270000000000003</v>
      </c>
      <c r="AH27" s="5">
        <f t="shared" si="4"/>
        <v>30.839999999999996</v>
      </c>
      <c r="AI27" s="5">
        <f t="shared" si="5"/>
        <v>38.549999999999997</v>
      </c>
      <c r="AJ27" s="5">
        <f t="shared" si="6"/>
        <v>26.984999999999999</v>
      </c>
      <c r="AK27" s="5">
        <f t="shared" si="7"/>
        <v>32.125</v>
      </c>
    </row>
    <row r="28" spans="1:37" ht="24" customHeight="1">
      <c r="A28" s="26">
        <f t="shared" si="8"/>
        <v>19</v>
      </c>
      <c r="B28" s="27" t="s">
        <v>373</v>
      </c>
      <c r="C28" s="34">
        <v>84.8</v>
      </c>
      <c r="D28" s="27" t="s">
        <v>129</v>
      </c>
      <c r="E28" s="5">
        <v>226.12</v>
      </c>
      <c r="F28" s="17">
        <v>1</v>
      </c>
      <c r="G28" s="15" t="s">
        <v>126</v>
      </c>
      <c r="H28" s="3" t="s">
        <v>127</v>
      </c>
      <c r="I28" s="17">
        <f>(C78)</f>
        <v>1322.8</v>
      </c>
      <c r="J28" s="3" t="s">
        <v>126</v>
      </c>
      <c r="K28" s="17">
        <f>(F28*I28)</f>
        <v>1322.8</v>
      </c>
      <c r="O28" s="3" t="s">
        <v>374</v>
      </c>
      <c r="R28" s="17">
        <f>SUM(R22:R26)</f>
        <v>2446.8500000000004</v>
      </c>
      <c r="T28" s="4" t="s">
        <v>375</v>
      </c>
      <c r="U28" s="3" t="s">
        <v>376</v>
      </c>
      <c r="V28" s="3" t="s">
        <v>281</v>
      </c>
      <c r="W28" s="22" t="s">
        <v>357</v>
      </c>
      <c r="X28" s="5">
        <f>X27</f>
        <v>0</v>
      </c>
      <c r="Y28" s="23">
        <v>95000</v>
      </c>
      <c r="Z28" s="5">
        <f>Z27</f>
        <v>0</v>
      </c>
      <c r="AA28" s="10"/>
      <c r="AB28" s="8">
        <v>0</v>
      </c>
      <c r="AC28" s="3">
        <f>SUM(Y28+Z28+AA28+AB28)</f>
        <v>95000</v>
      </c>
      <c r="AD28" s="3" t="s">
        <v>377</v>
      </c>
      <c r="AE28" s="24">
        <f t="shared" si="2"/>
        <v>29.3</v>
      </c>
      <c r="AF28" s="25">
        <v>29.3</v>
      </c>
      <c r="AG28" s="17">
        <f t="shared" si="3"/>
        <v>32.230000000000004</v>
      </c>
      <c r="AH28" s="5">
        <f t="shared" si="4"/>
        <v>35.159999999999997</v>
      </c>
      <c r="AI28" s="5">
        <f t="shared" si="5"/>
        <v>43.95</v>
      </c>
      <c r="AJ28" s="5">
        <f t="shared" si="6"/>
        <v>30.765000000000001</v>
      </c>
      <c r="AK28" s="5">
        <f t="shared" si="7"/>
        <v>36.625</v>
      </c>
    </row>
    <row r="29" spans="1:37" ht="24" customHeight="1">
      <c r="A29" s="26">
        <f t="shared" si="8"/>
        <v>20</v>
      </c>
      <c r="B29" s="27" t="s">
        <v>378</v>
      </c>
      <c r="C29" s="28">
        <f>AE23</f>
        <v>592</v>
      </c>
      <c r="D29" s="27" t="s">
        <v>1</v>
      </c>
      <c r="E29" s="5">
        <f>E28/3</f>
        <v>75.373333333333335</v>
      </c>
      <c r="F29" s="17">
        <v>1</v>
      </c>
      <c r="G29" s="15" t="s">
        <v>126</v>
      </c>
      <c r="H29" s="3" t="s">
        <v>128</v>
      </c>
      <c r="I29" s="17">
        <f>(C18)</f>
        <v>87</v>
      </c>
      <c r="J29" s="3" t="s">
        <v>126</v>
      </c>
      <c r="K29" s="17">
        <f>(F29*I29)</f>
        <v>87</v>
      </c>
      <c r="R29" s="12" t="s">
        <v>117</v>
      </c>
      <c r="T29" s="4" t="s">
        <v>379</v>
      </c>
      <c r="U29" s="3" t="s">
        <v>380</v>
      </c>
      <c r="V29" s="3" t="s">
        <v>325</v>
      </c>
      <c r="W29" s="30" t="str">
        <f>W18</f>
        <v>Chinna Thadagam</v>
      </c>
      <c r="X29" s="17">
        <f>X18</f>
        <v>35</v>
      </c>
      <c r="Y29" s="23">
        <v>4095</v>
      </c>
      <c r="Z29" s="17">
        <f>'[5]lead  charge'!H10</f>
        <v>259.64999999999998</v>
      </c>
      <c r="AA29" s="10"/>
      <c r="AB29" s="8">
        <v>0</v>
      </c>
      <c r="AC29" s="3">
        <f>SUM(Y29+Z29+AA29+AB29)</f>
        <v>4354.6499999999996</v>
      </c>
      <c r="AD29" s="3" t="s">
        <v>381</v>
      </c>
      <c r="AE29" s="24">
        <f t="shared" si="2"/>
        <v>84</v>
      </c>
      <c r="AF29" s="25">
        <v>84</v>
      </c>
      <c r="AG29" s="17">
        <f t="shared" si="3"/>
        <v>92.4</v>
      </c>
      <c r="AH29" s="5">
        <f t="shared" si="4"/>
        <v>100.8</v>
      </c>
      <c r="AI29" s="5">
        <f t="shared" si="5"/>
        <v>126</v>
      </c>
      <c r="AJ29" s="5">
        <f t="shared" si="6"/>
        <v>88.2</v>
      </c>
      <c r="AK29" s="5">
        <f t="shared" si="7"/>
        <v>105</v>
      </c>
    </row>
    <row r="30" spans="1:37" ht="24" customHeight="1">
      <c r="A30" s="26">
        <f t="shared" si="8"/>
        <v>21</v>
      </c>
      <c r="B30" s="27" t="s">
        <v>382</v>
      </c>
      <c r="C30" s="28">
        <f>AE33</f>
        <v>10275</v>
      </c>
      <c r="D30" s="35">
        <f>AE31</f>
        <v>963</v>
      </c>
      <c r="G30" s="15" t="s">
        <v>129</v>
      </c>
      <c r="H30" s="3" t="s">
        <v>130</v>
      </c>
      <c r="I30" s="3" t="s">
        <v>115</v>
      </c>
      <c r="J30" s="3" t="s">
        <v>129</v>
      </c>
      <c r="K30" s="17">
        <v>0</v>
      </c>
      <c r="O30" s="3" t="s">
        <v>383</v>
      </c>
      <c r="R30" s="17">
        <f>(R28/1.5)</f>
        <v>1631.2333333333336</v>
      </c>
      <c r="T30" s="4" t="s">
        <v>384</v>
      </c>
      <c r="U30" s="3" t="s">
        <v>385</v>
      </c>
      <c r="V30" s="3" t="s">
        <v>325</v>
      </c>
      <c r="W30" s="22" t="s">
        <v>357</v>
      </c>
      <c r="X30" s="17"/>
      <c r="Y30" s="23">
        <v>11559</v>
      </c>
      <c r="Z30" s="17"/>
      <c r="AA30" s="4"/>
      <c r="AB30" s="8">
        <v>0</v>
      </c>
      <c r="AC30" s="3">
        <f t="shared" si="1"/>
        <v>11559</v>
      </c>
      <c r="AD30" s="3" t="s">
        <v>386</v>
      </c>
      <c r="AE30" s="24">
        <f t="shared" si="2"/>
        <v>1155</v>
      </c>
      <c r="AF30" s="32">
        <v>1155</v>
      </c>
      <c r="AG30" s="17">
        <f t="shared" si="3"/>
        <v>1270.5</v>
      </c>
      <c r="AH30" s="5">
        <f t="shared" si="4"/>
        <v>1386</v>
      </c>
      <c r="AI30" s="5">
        <f t="shared" si="5"/>
        <v>1732.5</v>
      </c>
      <c r="AJ30" s="5">
        <f t="shared" si="6"/>
        <v>1212.75</v>
      </c>
      <c r="AK30" s="5">
        <f t="shared" si="7"/>
        <v>1443.75</v>
      </c>
    </row>
    <row r="31" spans="1:37" ht="24" customHeight="1">
      <c r="A31" s="26">
        <f t="shared" si="8"/>
        <v>22</v>
      </c>
      <c r="B31" s="27" t="s">
        <v>387</v>
      </c>
      <c r="C31" s="28">
        <f>AE30</f>
        <v>1155</v>
      </c>
      <c r="D31" s="35">
        <f>AE32</f>
        <v>1078</v>
      </c>
      <c r="K31" s="12" t="s">
        <v>117</v>
      </c>
      <c r="O31" s="3" t="s">
        <v>251</v>
      </c>
      <c r="R31" s="12" t="s">
        <v>155</v>
      </c>
      <c r="T31" s="4" t="s">
        <v>388</v>
      </c>
      <c r="U31" s="3" t="s">
        <v>389</v>
      </c>
      <c r="V31" s="3" t="s">
        <v>124</v>
      </c>
      <c r="W31" s="22" t="s">
        <v>357</v>
      </c>
      <c r="X31" s="17">
        <f>'[5]lead  charge'!D14</f>
        <v>0</v>
      </c>
      <c r="Y31" s="23">
        <v>5800</v>
      </c>
      <c r="Z31" s="17">
        <f>'[5]lead  charge'!E14</f>
        <v>0</v>
      </c>
      <c r="AA31" s="4"/>
      <c r="AB31" s="8"/>
      <c r="AC31" s="3">
        <f>SUM(Y31+Z31+AA31+AB31)</f>
        <v>5800</v>
      </c>
      <c r="AD31" s="3" t="s">
        <v>390</v>
      </c>
      <c r="AE31" s="24">
        <f t="shared" si="2"/>
        <v>963</v>
      </c>
      <c r="AF31" s="32">
        <v>963</v>
      </c>
      <c r="AG31" s="17">
        <f t="shared" si="3"/>
        <v>1059.3000000000002</v>
      </c>
      <c r="AH31" s="5">
        <f t="shared" si="4"/>
        <v>1155.5999999999999</v>
      </c>
      <c r="AI31" s="5">
        <f t="shared" si="5"/>
        <v>1444.5</v>
      </c>
      <c r="AJ31" s="5">
        <f t="shared" si="6"/>
        <v>1011.1500000000001</v>
      </c>
      <c r="AK31" s="5">
        <f t="shared" si="7"/>
        <v>1203.75</v>
      </c>
    </row>
    <row r="32" spans="1:37" ht="24" customHeight="1">
      <c r="A32" s="26">
        <f t="shared" si="8"/>
        <v>23</v>
      </c>
      <c r="B32" s="27" t="s">
        <v>391</v>
      </c>
      <c r="C32" s="36">
        <v>2.5</v>
      </c>
      <c r="D32" s="28">
        <f>AE34</f>
        <v>901</v>
      </c>
      <c r="H32" s="3" t="s">
        <v>131</v>
      </c>
      <c r="K32" s="16">
        <f>SUM(K27:K30)</f>
        <v>4193.8</v>
      </c>
      <c r="T32" s="4" t="s">
        <v>392</v>
      </c>
      <c r="U32" s="3" t="s">
        <v>393</v>
      </c>
      <c r="V32" s="3" t="s">
        <v>124</v>
      </c>
      <c r="W32" s="22" t="s">
        <v>341</v>
      </c>
      <c r="X32" s="17">
        <f>'[5]lead  charge'!D15</f>
        <v>0</v>
      </c>
      <c r="Y32" s="23">
        <v>45000</v>
      </c>
      <c r="Z32" s="17">
        <f>Z31</f>
        <v>0</v>
      </c>
      <c r="AA32" s="4"/>
      <c r="AB32" s="8">
        <v>0</v>
      </c>
      <c r="AC32" s="37">
        <f>SUM(Y32+Z32+AA32+AB32)</f>
        <v>45000</v>
      </c>
      <c r="AD32" s="3" t="s">
        <v>394</v>
      </c>
      <c r="AE32" s="24">
        <f t="shared" si="2"/>
        <v>1078</v>
      </c>
      <c r="AF32" s="32">
        <v>1078</v>
      </c>
      <c r="AG32" s="17">
        <f t="shared" si="3"/>
        <v>1185.8000000000002</v>
      </c>
      <c r="AH32" s="5">
        <f t="shared" si="4"/>
        <v>1293.5999999999999</v>
      </c>
      <c r="AI32" s="5">
        <f t="shared" si="5"/>
        <v>1617</v>
      </c>
      <c r="AJ32" s="5">
        <f t="shared" si="6"/>
        <v>1131.9000000000001</v>
      </c>
      <c r="AK32" s="5">
        <f t="shared" si="7"/>
        <v>1347.5</v>
      </c>
    </row>
    <row r="33" spans="1:37" ht="24" customHeight="1">
      <c r="A33" s="26">
        <f t="shared" si="8"/>
        <v>24</v>
      </c>
      <c r="B33" s="27" t="s">
        <v>395</v>
      </c>
      <c r="C33" s="36">
        <v>3.64</v>
      </c>
      <c r="D33" s="28">
        <f>AE35</f>
        <v>805</v>
      </c>
      <c r="K33" s="12" t="s">
        <v>117</v>
      </c>
      <c r="T33" s="38" t="s">
        <v>396</v>
      </c>
      <c r="U33" s="3" t="s">
        <v>397</v>
      </c>
      <c r="V33" s="3" t="s">
        <v>124</v>
      </c>
      <c r="W33" s="22" t="s">
        <v>341</v>
      </c>
      <c r="X33" s="17">
        <f>X32</f>
        <v>0</v>
      </c>
      <c r="Y33" s="23">
        <f>Y32</f>
        <v>45000</v>
      </c>
      <c r="Z33" s="17">
        <f>Z32</f>
        <v>0</v>
      </c>
      <c r="AA33" s="4"/>
      <c r="AB33" s="8">
        <v>0</v>
      </c>
      <c r="AC33" s="37">
        <f t="shared" si="1"/>
        <v>45000</v>
      </c>
      <c r="AD33" s="3" t="s">
        <v>398</v>
      </c>
      <c r="AE33" s="24">
        <f t="shared" si="2"/>
        <v>10275</v>
      </c>
      <c r="AF33" s="32">
        <v>10275</v>
      </c>
      <c r="AG33" s="17">
        <f t="shared" si="3"/>
        <v>11302.500000000002</v>
      </c>
      <c r="AH33" s="5">
        <f t="shared" si="4"/>
        <v>12330</v>
      </c>
      <c r="AI33" s="5">
        <f t="shared" si="5"/>
        <v>15412.5</v>
      </c>
      <c r="AJ33" s="5">
        <f t="shared" si="6"/>
        <v>10788.75</v>
      </c>
      <c r="AK33" s="5">
        <f t="shared" si="7"/>
        <v>12843.75</v>
      </c>
    </row>
    <row r="34" spans="1:37" ht="24" customHeight="1">
      <c r="A34" s="26">
        <f t="shared" si="8"/>
        <v>25</v>
      </c>
      <c r="B34" s="27" t="s">
        <v>399</v>
      </c>
      <c r="C34" s="23">
        <v>41200</v>
      </c>
      <c r="D34" s="23">
        <f>C34</f>
        <v>41200</v>
      </c>
      <c r="G34" s="15" t="s">
        <v>122</v>
      </c>
      <c r="H34" s="3" t="s">
        <v>134</v>
      </c>
      <c r="T34" s="38" t="s">
        <v>400</v>
      </c>
      <c r="U34" s="3" t="s">
        <v>401</v>
      </c>
      <c r="V34" s="3" t="s">
        <v>325</v>
      </c>
      <c r="W34" s="30" t="str">
        <f>W18</f>
        <v>Chinna Thadagam</v>
      </c>
      <c r="X34" s="17">
        <f>'[5]lead  charge'!G10</f>
        <v>35</v>
      </c>
      <c r="Y34" s="23">
        <f>Y29</f>
        <v>4095</v>
      </c>
      <c r="Z34" s="17">
        <f>Z29</f>
        <v>259.64999999999998</v>
      </c>
      <c r="AA34" s="4"/>
      <c r="AB34" s="8">
        <v>0</v>
      </c>
      <c r="AC34" s="3">
        <f t="shared" si="1"/>
        <v>4354.6499999999996</v>
      </c>
      <c r="AD34" s="3" t="s">
        <v>402</v>
      </c>
      <c r="AE34" s="24">
        <f t="shared" si="2"/>
        <v>901</v>
      </c>
      <c r="AF34" s="32">
        <v>901</v>
      </c>
      <c r="AG34" s="17">
        <f t="shared" si="3"/>
        <v>991.10000000000014</v>
      </c>
      <c r="AH34" s="5">
        <f t="shared" si="4"/>
        <v>1081.2</v>
      </c>
      <c r="AI34" s="5">
        <f t="shared" si="5"/>
        <v>1351.5</v>
      </c>
      <c r="AJ34" s="5">
        <f t="shared" si="6"/>
        <v>946.05000000000007</v>
      </c>
      <c r="AK34" s="5">
        <f t="shared" si="7"/>
        <v>1126.25</v>
      </c>
    </row>
    <row r="35" spans="1:37" ht="24" customHeight="1">
      <c r="A35" s="26">
        <f t="shared" si="8"/>
        <v>26</v>
      </c>
      <c r="B35" s="27" t="s">
        <v>403</v>
      </c>
      <c r="C35" s="28">
        <f>AC38</f>
        <v>449.02</v>
      </c>
      <c r="D35" s="39"/>
      <c r="F35" s="17">
        <v>0.36</v>
      </c>
      <c r="G35" s="15" t="s">
        <v>124</v>
      </c>
      <c r="H35" s="3" t="s">
        <v>125</v>
      </c>
      <c r="I35" s="17">
        <f>C67</f>
        <v>5800</v>
      </c>
      <c r="J35" s="3" t="s">
        <v>124</v>
      </c>
      <c r="K35" s="17">
        <f>(F35*I35)</f>
        <v>2088</v>
      </c>
      <c r="T35" s="40" t="s">
        <v>404</v>
      </c>
      <c r="U35" s="41" t="s">
        <v>405</v>
      </c>
      <c r="V35" s="41" t="s">
        <v>281</v>
      </c>
      <c r="W35" s="22" t="str">
        <f>W11</f>
        <v>Madukkarai</v>
      </c>
      <c r="X35" s="31">
        <f>X11</f>
        <v>26</v>
      </c>
      <c r="Y35" s="42">
        <v>835</v>
      </c>
      <c r="Z35" s="17">
        <f>Z11</f>
        <v>239.02</v>
      </c>
      <c r="AA35" s="4"/>
      <c r="AB35" s="8"/>
      <c r="AC35" s="3">
        <f t="shared" si="1"/>
        <v>1074.02</v>
      </c>
      <c r="AD35" s="3" t="s">
        <v>406</v>
      </c>
      <c r="AE35" s="24">
        <f t="shared" si="2"/>
        <v>805</v>
      </c>
      <c r="AF35" s="32">
        <v>805</v>
      </c>
      <c r="AG35" s="17">
        <f t="shared" si="3"/>
        <v>885.50000000000011</v>
      </c>
      <c r="AH35" s="5">
        <f t="shared" si="4"/>
        <v>966</v>
      </c>
      <c r="AI35" s="5">
        <f t="shared" si="5"/>
        <v>1207.5</v>
      </c>
      <c r="AJ35" s="5">
        <f t="shared" si="6"/>
        <v>845.25</v>
      </c>
      <c r="AK35" s="5">
        <f t="shared" si="7"/>
        <v>1006.25</v>
      </c>
    </row>
    <row r="36" spans="1:37" ht="24" customHeight="1">
      <c r="A36" s="39" t="s">
        <v>115</v>
      </c>
      <c r="B36" s="27" t="s">
        <v>407</v>
      </c>
      <c r="C36" s="23">
        <v>8.1</v>
      </c>
      <c r="D36" s="39"/>
      <c r="F36" s="17">
        <v>1</v>
      </c>
      <c r="G36" s="15" t="s">
        <v>126</v>
      </c>
      <c r="H36" s="3" t="s">
        <v>127</v>
      </c>
      <c r="I36" s="17">
        <f>AC16</f>
        <v>1322.8</v>
      </c>
      <c r="J36" s="3" t="s">
        <v>126</v>
      </c>
      <c r="K36" s="17">
        <f>(F36*I36)</f>
        <v>1322.8</v>
      </c>
      <c r="T36" s="40" t="s">
        <v>408</v>
      </c>
      <c r="U36" s="41" t="s">
        <v>409</v>
      </c>
      <c r="V36" s="41" t="s">
        <v>281</v>
      </c>
      <c r="W36" s="22" t="str">
        <f>W12</f>
        <v>Madukkarai</v>
      </c>
      <c r="X36" s="31">
        <f>X11</f>
        <v>26</v>
      </c>
      <c r="Y36" s="42">
        <v>941</v>
      </c>
      <c r="Z36" s="17">
        <f>Z11</f>
        <v>239.02</v>
      </c>
      <c r="AA36" s="4"/>
      <c r="AB36" s="8">
        <v>0</v>
      </c>
      <c r="AC36" s="3">
        <f t="shared" si="1"/>
        <v>1180.02</v>
      </c>
      <c r="AD36" s="3" t="s">
        <v>410</v>
      </c>
      <c r="AE36" s="24">
        <f t="shared" si="2"/>
        <v>125.2</v>
      </c>
      <c r="AF36" s="25">
        <v>125.2</v>
      </c>
      <c r="AG36" s="17">
        <f t="shared" si="3"/>
        <v>137.72000000000003</v>
      </c>
      <c r="AH36" s="5">
        <f t="shared" si="4"/>
        <v>150.24</v>
      </c>
      <c r="AI36" s="5">
        <f t="shared" si="5"/>
        <v>187.8</v>
      </c>
      <c r="AJ36" s="5">
        <f t="shared" si="6"/>
        <v>131.46</v>
      </c>
      <c r="AK36" s="5">
        <f t="shared" si="7"/>
        <v>156.5</v>
      </c>
    </row>
    <row r="37" spans="1:37" ht="24" customHeight="1">
      <c r="A37" s="39"/>
      <c r="B37" s="27" t="s">
        <v>411</v>
      </c>
      <c r="C37" s="43">
        <v>41.6</v>
      </c>
      <c r="D37" s="39"/>
      <c r="F37" s="17">
        <v>1</v>
      </c>
      <c r="G37" s="15" t="s">
        <v>126</v>
      </c>
      <c r="H37" s="3" t="s">
        <v>128</v>
      </c>
      <c r="I37" s="17">
        <f>C18</f>
        <v>87</v>
      </c>
      <c r="J37" s="3" t="s">
        <v>126</v>
      </c>
      <c r="K37" s="17">
        <f>(F37*I37)</f>
        <v>87</v>
      </c>
      <c r="T37" s="40" t="s">
        <v>412</v>
      </c>
      <c r="U37" s="41" t="s">
        <v>413</v>
      </c>
      <c r="V37" s="41" t="s">
        <v>281</v>
      </c>
      <c r="W37" s="22" t="str">
        <f>W13</f>
        <v>Madukkarai</v>
      </c>
      <c r="X37" s="31">
        <f>X36</f>
        <v>26</v>
      </c>
      <c r="Y37" s="42">
        <v>795.75</v>
      </c>
      <c r="Z37" s="17">
        <f>Z11</f>
        <v>239.02</v>
      </c>
      <c r="AA37" s="4"/>
      <c r="AB37" s="8">
        <v>0</v>
      </c>
      <c r="AC37" s="3">
        <f>SUM(Y37+Z37+AA37+AB37)</f>
        <v>1034.77</v>
      </c>
      <c r="AD37" s="3" t="s">
        <v>414</v>
      </c>
      <c r="AE37" s="24">
        <f t="shared" si="2"/>
        <v>647</v>
      </c>
      <c r="AF37" s="25">
        <v>647</v>
      </c>
      <c r="AG37" s="17">
        <f t="shared" si="3"/>
        <v>711.7</v>
      </c>
      <c r="AH37" s="5">
        <f t="shared" si="4"/>
        <v>776.4</v>
      </c>
      <c r="AI37" s="5">
        <f t="shared" si="5"/>
        <v>970.5</v>
      </c>
      <c r="AJ37" s="5">
        <f t="shared" si="6"/>
        <v>679.35</v>
      </c>
      <c r="AK37" s="5">
        <f t="shared" si="7"/>
        <v>808.75</v>
      </c>
    </row>
    <row r="38" spans="1:37" ht="24" customHeight="1">
      <c r="A38" s="26">
        <f>(A35+1)</f>
        <v>27</v>
      </c>
      <c r="B38" s="27" t="s">
        <v>415</v>
      </c>
      <c r="C38" s="36">
        <v>40</v>
      </c>
      <c r="D38" s="27">
        <v>1.6</v>
      </c>
      <c r="G38" s="15" t="s">
        <v>129</v>
      </c>
      <c r="H38" s="3" t="s">
        <v>130</v>
      </c>
      <c r="I38" s="3" t="s">
        <v>115</v>
      </c>
      <c r="J38" s="3" t="s">
        <v>129</v>
      </c>
      <c r="K38" s="17">
        <v>0</v>
      </c>
      <c r="T38" s="4" t="s">
        <v>416</v>
      </c>
      <c r="U38" s="3" t="s">
        <v>417</v>
      </c>
      <c r="V38" s="3" t="s">
        <v>281</v>
      </c>
      <c r="W38" s="22" t="str">
        <f>W14</f>
        <v>Madukkarai</v>
      </c>
      <c r="X38" s="17">
        <f>'[5]lead  charge'!D13</f>
        <v>26</v>
      </c>
      <c r="Y38" s="44">
        <v>210</v>
      </c>
      <c r="Z38" s="17">
        <f>'[5]lead  charge'!E13</f>
        <v>239.02</v>
      </c>
      <c r="AA38" s="4"/>
      <c r="AB38" s="8">
        <v>0</v>
      </c>
      <c r="AC38" s="3">
        <f>SUM(Y38+Z38+AA38+AB38)</f>
        <v>449.02</v>
      </c>
      <c r="AD38" s="3" t="s">
        <v>418</v>
      </c>
      <c r="AE38" s="24">
        <f t="shared" si="2"/>
        <v>667</v>
      </c>
      <c r="AF38" s="25">
        <v>667</v>
      </c>
      <c r="AG38" s="17">
        <f t="shared" si="3"/>
        <v>733.7</v>
      </c>
      <c r="AH38" s="5">
        <f t="shared" si="4"/>
        <v>800.4</v>
      </c>
      <c r="AI38" s="5">
        <f t="shared" si="5"/>
        <v>1000.5</v>
      </c>
      <c r="AJ38" s="5">
        <f t="shared" si="6"/>
        <v>700.35</v>
      </c>
      <c r="AK38" s="5">
        <f t="shared" si="7"/>
        <v>833.75</v>
      </c>
    </row>
    <row r="39" spans="1:37" ht="24" customHeight="1">
      <c r="A39" s="26">
        <f t="shared" ref="A39:A58" si="10">(A38+1)</f>
        <v>28</v>
      </c>
      <c r="B39" s="27" t="s">
        <v>419</v>
      </c>
      <c r="C39" s="36">
        <v>41</v>
      </c>
      <c r="D39" s="28">
        <v>500</v>
      </c>
      <c r="K39" s="12" t="s">
        <v>117</v>
      </c>
      <c r="T39" s="38">
        <v>31</v>
      </c>
      <c r="U39" s="3" t="s">
        <v>420</v>
      </c>
      <c r="V39" s="3" t="s">
        <v>281</v>
      </c>
      <c r="W39" s="22" t="str">
        <f>W15</f>
        <v>Madukkarai</v>
      </c>
      <c r="X39" s="17">
        <f>'[5]lead  charge'!D16</f>
        <v>26</v>
      </c>
      <c r="Y39" s="44">
        <v>157</v>
      </c>
      <c r="Z39" s="17">
        <f>'[5]lead  charge'!E16</f>
        <v>239.02</v>
      </c>
      <c r="AA39" s="4"/>
      <c r="AB39" s="8">
        <v>0</v>
      </c>
      <c r="AC39" s="3">
        <f>SUM(Y39+Z39+AA39+AB39)</f>
        <v>396.02</v>
      </c>
      <c r="AD39" s="3" t="s">
        <v>421</v>
      </c>
      <c r="AE39" s="24">
        <f t="shared" si="2"/>
        <v>56.1</v>
      </c>
      <c r="AF39" s="25">
        <v>56.1</v>
      </c>
      <c r="AG39" s="17">
        <f t="shared" si="3"/>
        <v>61.710000000000008</v>
      </c>
      <c r="AH39" s="5">
        <f t="shared" si="4"/>
        <v>67.319999999999993</v>
      </c>
      <c r="AI39" s="5">
        <f t="shared" si="5"/>
        <v>84.15</v>
      </c>
      <c r="AJ39" s="5">
        <f t="shared" si="6"/>
        <v>58.905000000000001</v>
      </c>
      <c r="AK39" s="5">
        <f t="shared" si="7"/>
        <v>70.125</v>
      </c>
    </row>
    <row r="40" spans="1:37" ht="24" customHeight="1">
      <c r="A40" s="26">
        <f t="shared" si="10"/>
        <v>29</v>
      </c>
      <c r="B40" s="27" t="s">
        <v>422</v>
      </c>
      <c r="C40" s="36">
        <v>28</v>
      </c>
      <c r="D40" s="45">
        <v>116.2</v>
      </c>
      <c r="H40" s="3" t="s">
        <v>131</v>
      </c>
      <c r="K40" s="16">
        <f>SUM(K35:K38)</f>
        <v>3497.8</v>
      </c>
      <c r="T40" s="12"/>
      <c r="W40" s="46" t="s">
        <v>117</v>
      </c>
      <c r="AE40" s="24">
        <f t="shared" si="2"/>
        <v>0</v>
      </c>
      <c r="AG40" s="17"/>
    </row>
    <row r="41" spans="1:37" ht="24" customHeight="1">
      <c r="A41" s="26">
        <f t="shared" si="10"/>
        <v>30</v>
      </c>
      <c r="B41" s="27" t="s">
        <v>423</v>
      </c>
      <c r="C41" s="28">
        <f>AE22</f>
        <v>569</v>
      </c>
      <c r="D41" s="27" t="s">
        <v>1</v>
      </c>
      <c r="K41" s="12" t="s">
        <v>117</v>
      </c>
      <c r="U41" s="3" t="s">
        <v>424</v>
      </c>
      <c r="V41" s="3" t="s">
        <v>325</v>
      </c>
      <c r="W41" s="22" t="str">
        <f>+W18</f>
        <v>Chinna Thadagam</v>
      </c>
      <c r="X41" s="17">
        <f>'[5]lead  charge'!M10</f>
        <v>35</v>
      </c>
      <c r="Y41" s="23">
        <v>6282</v>
      </c>
      <c r="Z41" s="17">
        <f>'[5]lead  charge'!N10</f>
        <v>432.95</v>
      </c>
      <c r="AA41" s="4">
        <v>0</v>
      </c>
      <c r="AB41" s="8">
        <v>0</v>
      </c>
      <c r="AC41" s="3">
        <f t="shared" ref="AC41:AC47" si="11">SUM(Y41+Z41+AA41+AB41)</f>
        <v>6714.95</v>
      </c>
      <c r="AD41" s="27" t="s">
        <v>328</v>
      </c>
      <c r="AE41" s="24">
        <f t="shared" si="2"/>
        <v>59.2</v>
      </c>
      <c r="AF41" s="25">
        <v>59.2</v>
      </c>
      <c r="AG41" s="17">
        <f t="shared" si="3"/>
        <v>65.12</v>
      </c>
      <c r="AH41" s="5">
        <f t="shared" si="4"/>
        <v>71.040000000000006</v>
      </c>
      <c r="AI41" s="5">
        <f t="shared" si="5"/>
        <v>88.800000000000011</v>
      </c>
      <c r="AJ41" s="5">
        <f t="shared" si="6"/>
        <v>62.160000000000004</v>
      </c>
      <c r="AK41" s="5">
        <f t="shared" si="7"/>
        <v>74</v>
      </c>
    </row>
    <row r="42" spans="1:37" ht="24" customHeight="1">
      <c r="A42" s="26">
        <f t="shared" si="10"/>
        <v>31</v>
      </c>
      <c r="B42" s="27" t="s">
        <v>425</v>
      </c>
      <c r="C42" s="36">
        <v>5</v>
      </c>
      <c r="D42" s="47" t="s">
        <v>203</v>
      </c>
      <c r="G42" s="15" t="s">
        <v>122</v>
      </c>
      <c r="H42" s="3" t="s">
        <v>135</v>
      </c>
      <c r="U42" s="3" t="s">
        <v>426</v>
      </c>
      <c r="V42" s="3" t="s">
        <v>325</v>
      </c>
      <c r="W42" s="22" t="str">
        <f>+W41</f>
        <v>Chinna Thadagam</v>
      </c>
      <c r="X42" s="17">
        <f>X41</f>
        <v>35</v>
      </c>
      <c r="Y42" s="23">
        <v>6469</v>
      </c>
      <c r="Z42" s="17">
        <f>Z41</f>
        <v>432.95</v>
      </c>
      <c r="AA42" s="4">
        <v>0</v>
      </c>
      <c r="AB42" s="8">
        <v>0</v>
      </c>
      <c r="AC42" s="3">
        <f t="shared" si="11"/>
        <v>6901.95</v>
      </c>
      <c r="AD42" s="27" t="s">
        <v>333</v>
      </c>
      <c r="AE42" s="24">
        <f t="shared" si="2"/>
        <v>119.3</v>
      </c>
      <c r="AF42" s="25">
        <v>119.3</v>
      </c>
      <c r="AG42" s="17">
        <f t="shared" si="3"/>
        <v>131.23000000000002</v>
      </c>
      <c r="AH42" s="5">
        <f t="shared" si="4"/>
        <v>143.16</v>
      </c>
      <c r="AI42" s="5">
        <f t="shared" si="5"/>
        <v>178.95</v>
      </c>
      <c r="AJ42" s="5">
        <f t="shared" si="6"/>
        <v>125.265</v>
      </c>
      <c r="AK42" s="5">
        <f t="shared" si="7"/>
        <v>149.125</v>
      </c>
    </row>
    <row r="43" spans="1:37" ht="24" customHeight="1">
      <c r="A43" s="26">
        <f t="shared" si="10"/>
        <v>32</v>
      </c>
      <c r="B43" s="27" t="s">
        <v>427</v>
      </c>
      <c r="C43" s="23">
        <v>7.1</v>
      </c>
      <c r="D43" s="47" t="s">
        <v>1</v>
      </c>
      <c r="H43" s="12" t="s">
        <v>117</v>
      </c>
      <c r="U43" s="3" t="s">
        <v>428</v>
      </c>
      <c r="V43" s="3" t="s">
        <v>429</v>
      </c>
      <c r="W43" s="48"/>
      <c r="X43" s="5">
        <f>'[5]lead  charge'!P13</f>
        <v>0</v>
      </c>
      <c r="Y43" s="23">
        <v>120.1</v>
      </c>
      <c r="Z43" s="17">
        <f>'[5]lead  charge'!Q13</f>
        <v>0</v>
      </c>
      <c r="AA43" s="4">
        <v>0</v>
      </c>
      <c r="AB43" s="8">
        <v>0</v>
      </c>
      <c r="AC43" s="3">
        <f t="shared" si="11"/>
        <v>120.1</v>
      </c>
      <c r="AD43" s="27" t="s">
        <v>338</v>
      </c>
      <c r="AE43" s="24">
        <f t="shared" si="2"/>
        <v>119.3</v>
      </c>
      <c r="AF43" s="25">
        <f>AF42</f>
        <v>119.3</v>
      </c>
      <c r="AG43" s="17">
        <f t="shared" si="3"/>
        <v>131.23000000000002</v>
      </c>
      <c r="AH43" s="5">
        <f t="shared" si="4"/>
        <v>143.16</v>
      </c>
      <c r="AI43" s="5">
        <f t="shared" si="5"/>
        <v>178.95</v>
      </c>
      <c r="AJ43" s="5">
        <f t="shared" si="6"/>
        <v>125.265</v>
      </c>
      <c r="AK43" s="5">
        <f t="shared" si="7"/>
        <v>149.125</v>
      </c>
    </row>
    <row r="44" spans="1:37" ht="24" customHeight="1">
      <c r="A44" s="26">
        <f t="shared" si="10"/>
        <v>33</v>
      </c>
      <c r="B44" s="27" t="s">
        <v>430</v>
      </c>
      <c r="C44" s="23">
        <v>7.1</v>
      </c>
      <c r="D44" s="47" t="s">
        <v>1</v>
      </c>
      <c r="F44" s="49">
        <v>0.28799999999999998</v>
      </c>
      <c r="G44" s="15" t="s">
        <v>124</v>
      </c>
      <c r="H44" s="3" t="s">
        <v>125</v>
      </c>
      <c r="I44" s="17">
        <f>(C67)</f>
        <v>5800</v>
      </c>
      <c r="J44" s="3" t="s">
        <v>124</v>
      </c>
      <c r="K44" s="17">
        <f>(F44*I44)</f>
        <v>1670.3999999999999</v>
      </c>
      <c r="U44" s="3" t="s">
        <v>431</v>
      </c>
      <c r="V44" s="3" t="s">
        <v>429</v>
      </c>
      <c r="W44" s="48" t="str">
        <f>W39</f>
        <v>Madukkarai</v>
      </c>
      <c r="X44" s="5">
        <f>X11</f>
        <v>26</v>
      </c>
      <c r="Y44" s="23">
        <v>799.5</v>
      </c>
      <c r="Z44" s="17">
        <f>Z11</f>
        <v>239.02</v>
      </c>
      <c r="AA44" s="4">
        <v>0</v>
      </c>
      <c r="AB44" s="8">
        <v>0</v>
      </c>
      <c r="AC44" s="3">
        <f t="shared" si="11"/>
        <v>1038.52</v>
      </c>
      <c r="AD44" s="27" t="s">
        <v>343</v>
      </c>
      <c r="AE44" s="24">
        <f t="shared" si="2"/>
        <v>89.9</v>
      </c>
      <c r="AF44" s="25">
        <v>89.9</v>
      </c>
      <c r="AG44" s="17">
        <f t="shared" si="3"/>
        <v>98.890000000000015</v>
      </c>
      <c r="AH44" s="5">
        <f t="shared" si="4"/>
        <v>107.88000000000001</v>
      </c>
      <c r="AI44" s="5">
        <f t="shared" si="5"/>
        <v>134.85000000000002</v>
      </c>
      <c r="AJ44" s="5">
        <f t="shared" si="6"/>
        <v>94.39500000000001</v>
      </c>
      <c r="AK44" s="5">
        <f t="shared" si="7"/>
        <v>112.375</v>
      </c>
    </row>
    <row r="45" spans="1:37" ht="24" customHeight="1">
      <c r="A45" s="26">
        <f t="shared" si="10"/>
        <v>34</v>
      </c>
      <c r="B45" s="27" t="s">
        <v>432</v>
      </c>
      <c r="C45" s="23">
        <v>8.5</v>
      </c>
      <c r="D45" s="47" t="s">
        <v>1</v>
      </c>
      <c r="F45" s="17">
        <v>1</v>
      </c>
      <c r="G45" s="15" t="s">
        <v>126</v>
      </c>
      <c r="H45" s="3" t="s">
        <v>127</v>
      </c>
      <c r="I45" s="17">
        <f>I36</f>
        <v>1322.8</v>
      </c>
      <c r="J45" s="3" t="s">
        <v>126</v>
      </c>
      <c r="K45" s="17">
        <f>(F45*I45)</f>
        <v>1322.8</v>
      </c>
      <c r="U45" s="3" t="s">
        <v>433</v>
      </c>
      <c r="W45" s="48" t="str">
        <f>W42</f>
        <v>Chinna Thadagam</v>
      </c>
      <c r="X45" s="5">
        <f>'[5]lead  charge'!M10</f>
        <v>35</v>
      </c>
      <c r="Y45" s="23">
        <v>6282</v>
      </c>
      <c r="Z45" s="5">
        <f>Z41</f>
        <v>432.95</v>
      </c>
      <c r="AC45" s="3">
        <f t="shared" si="11"/>
        <v>6714.95</v>
      </c>
      <c r="AD45" s="27" t="s">
        <v>348</v>
      </c>
      <c r="AE45" s="24">
        <f t="shared" si="2"/>
        <v>177</v>
      </c>
      <c r="AF45" s="25">
        <v>177</v>
      </c>
      <c r="AG45" s="17">
        <f t="shared" si="3"/>
        <v>194.70000000000002</v>
      </c>
      <c r="AH45" s="5">
        <f t="shared" si="4"/>
        <v>212.4</v>
      </c>
      <c r="AI45" s="5">
        <f t="shared" si="5"/>
        <v>265.5</v>
      </c>
      <c r="AK45" s="5">
        <f t="shared" si="7"/>
        <v>221.25</v>
      </c>
    </row>
    <row r="46" spans="1:37" ht="24" customHeight="1">
      <c r="A46" s="26">
        <f t="shared" si="10"/>
        <v>35</v>
      </c>
      <c r="B46" s="27" t="s">
        <v>434</v>
      </c>
      <c r="C46" s="23">
        <v>10.199999999999999</v>
      </c>
      <c r="D46" s="47" t="s">
        <v>1</v>
      </c>
      <c r="F46" s="17">
        <v>1</v>
      </c>
      <c r="G46" s="15" t="s">
        <v>126</v>
      </c>
      <c r="H46" s="3" t="s">
        <v>128</v>
      </c>
      <c r="I46" s="17">
        <f>(C18)</f>
        <v>87</v>
      </c>
      <c r="J46" s="3" t="s">
        <v>126</v>
      </c>
      <c r="K46" s="17">
        <f>(F46*I46)</f>
        <v>87</v>
      </c>
      <c r="U46" s="3" t="s">
        <v>435</v>
      </c>
      <c r="V46" s="3" t="s">
        <v>281</v>
      </c>
      <c r="W46" s="22" t="str">
        <f>W17</f>
        <v>Karanampettai</v>
      </c>
      <c r="X46" s="17">
        <f>X16</f>
        <v>7</v>
      </c>
      <c r="Y46" s="29">
        <v>1250</v>
      </c>
      <c r="Z46" s="17">
        <f>'[5]lead  charge'!E17</f>
        <v>0</v>
      </c>
      <c r="AA46" s="4"/>
      <c r="AB46" s="8">
        <v>0</v>
      </c>
      <c r="AC46" s="3">
        <f t="shared" si="11"/>
        <v>1250</v>
      </c>
      <c r="AD46" s="27" t="s">
        <v>353</v>
      </c>
      <c r="AE46" s="24">
        <f t="shared" si="2"/>
        <v>177</v>
      </c>
      <c r="AF46" s="25">
        <f>AF45</f>
        <v>177</v>
      </c>
      <c r="AG46" s="17">
        <f t="shared" si="3"/>
        <v>194.70000000000002</v>
      </c>
      <c r="AH46" s="5">
        <f t="shared" si="4"/>
        <v>212.4</v>
      </c>
      <c r="AI46" s="5">
        <f t="shared" si="5"/>
        <v>265.5</v>
      </c>
      <c r="AJ46" s="5">
        <f>AF46*1.05</f>
        <v>185.85</v>
      </c>
      <c r="AK46" s="5">
        <f t="shared" si="7"/>
        <v>221.25</v>
      </c>
    </row>
    <row r="47" spans="1:37" ht="24" customHeight="1">
      <c r="A47" s="26">
        <f t="shared" si="10"/>
        <v>36</v>
      </c>
      <c r="B47" s="27" t="s">
        <v>436</v>
      </c>
      <c r="C47" s="23">
        <v>13.8</v>
      </c>
      <c r="D47" s="47" t="s">
        <v>1</v>
      </c>
      <c r="G47" s="15" t="s">
        <v>129</v>
      </c>
      <c r="H47" s="3" t="s">
        <v>130</v>
      </c>
      <c r="I47" s="3" t="s">
        <v>115</v>
      </c>
      <c r="J47" s="3" t="s">
        <v>129</v>
      </c>
      <c r="K47" s="17">
        <v>0</v>
      </c>
      <c r="N47" s="3" t="s">
        <v>122</v>
      </c>
      <c r="O47" s="3" t="s">
        <v>437</v>
      </c>
      <c r="U47" s="3" t="s">
        <v>438</v>
      </c>
      <c r="V47" s="3" t="s">
        <v>281</v>
      </c>
      <c r="W47" s="22" t="str">
        <f>W46</f>
        <v>Karanampettai</v>
      </c>
      <c r="X47" s="17">
        <f>X46</f>
        <v>7</v>
      </c>
      <c r="Y47" s="29">
        <f>Y46</f>
        <v>1250</v>
      </c>
      <c r="Z47" s="17">
        <f>Z46</f>
        <v>0</v>
      </c>
      <c r="AA47" s="4"/>
      <c r="AB47" s="8">
        <v>0</v>
      </c>
      <c r="AC47" s="3">
        <f t="shared" si="11"/>
        <v>1250</v>
      </c>
      <c r="AD47" s="3"/>
      <c r="AE47" s="24"/>
      <c r="AF47" s="25"/>
      <c r="AG47" s="17">
        <f t="shared" si="3"/>
        <v>0</v>
      </c>
      <c r="AH47" s="5">
        <f t="shared" si="4"/>
        <v>0</v>
      </c>
      <c r="AI47" s="5">
        <f t="shared" si="5"/>
        <v>0</v>
      </c>
      <c r="AJ47" s="5">
        <f>AF47*1.05</f>
        <v>0</v>
      </c>
      <c r="AK47" s="5">
        <f t="shared" si="7"/>
        <v>0</v>
      </c>
    </row>
    <row r="48" spans="1:37" ht="24" customHeight="1">
      <c r="A48" s="26">
        <f t="shared" si="10"/>
        <v>37</v>
      </c>
      <c r="B48" s="27" t="s">
        <v>439</v>
      </c>
      <c r="C48" s="23">
        <v>17.7</v>
      </c>
      <c r="D48" s="25">
        <v>31</v>
      </c>
      <c r="K48" s="12" t="s">
        <v>117</v>
      </c>
      <c r="O48" s="3" t="s">
        <v>440</v>
      </c>
      <c r="U48" s="12" t="s">
        <v>117</v>
      </c>
      <c r="V48" s="12" t="s">
        <v>117</v>
      </c>
      <c r="W48" s="12" t="s">
        <v>117</v>
      </c>
      <c r="X48" s="12" t="s">
        <v>117</v>
      </c>
      <c r="Y48" s="12" t="s">
        <v>117</v>
      </c>
      <c r="Z48" s="12" t="s">
        <v>117</v>
      </c>
      <c r="AA48" s="12" t="s">
        <v>117</v>
      </c>
      <c r="AB48" s="12" t="s">
        <v>117</v>
      </c>
      <c r="AC48" s="12" t="s">
        <v>117</v>
      </c>
      <c r="AD48" s="12" t="s">
        <v>117</v>
      </c>
      <c r="AE48" s="24" t="str">
        <f>AG48</f>
        <v>-</v>
      </c>
      <c r="AF48" s="12" t="s">
        <v>117</v>
      </c>
      <c r="AG48" s="12" t="s">
        <v>117</v>
      </c>
      <c r="AH48" s="12" t="s">
        <v>117</v>
      </c>
      <c r="AI48" s="12" t="s">
        <v>117</v>
      </c>
      <c r="AJ48" s="12" t="s">
        <v>117</v>
      </c>
      <c r="AK48" s="12" t="s">
        <v>117</v>
      </c>
    </row>
    <row r="49" spans="1:45" ht="24" customHeight="1">
      <c r="A49" s="26">
        <f t="shared" si="10"/>
        <v>38</v>
      </c>
      <c r="B49" s="27" t="s">
        <v>441</v>
      </c>
      <c r="C49" s="23">
        <v>19.2</v>
      </c>
      <c r="D49" s="25">
        <v>21.8</v>
      </c>
      <c r="H49" s="3" t="s">
        <v>131</v>
      </c>
      <c r="K49" s="16">
        <f>SUM(K44:K47)</f>
        <v>3080.2</v>
      </c>
      <c r="O49" s="12" t="s">
        <v>117</v>
      </c>
      <c r="U49" s="5" t="s">
        <v>442</v>
      </c>
      <c r="AE49" s="24"/>
      <c r="AG49" s="17"/>
    </row>
    <row r="50" spans="1:45" ht="24" customHeight="1">
      <c r="A50" s="26">
        <f t="shared" si="10"/>
        <v>39</v>
      </c>
      <c r="B50" s="27" t="s">
        <v>443</v>
      </c>
      <c r="C50" s="23">
        <v>10</v>
      </c>
      <c r="D50" s="47" t="s">
        <v>1</v>
      </c>
      <c r="K50" s="12" t="s">
        <v>117</v>
      </c>
      <c r="M50" s="17">
        <v>9</v>
      </c>
      <c r="N50" s="3" t="s">
        <v>126</v>
      </c>
      <c r="O50" s="3" t="s">
        <v>440</v>
      </c>
      <c r="P50" s="17">
        <f>(C81)</f>
        <v>883.65</v>
      </c>
      <c r="Q50" s="3" t="s">
        <v>126</v>
      </c>
      <c r="R50" s="17">
        <f>(M50*P50)</f>
        <v>7952.8499999999995</v>
      </c>
      <c r="AA50" s="3" t="s">
        <v>444</v>
      </c>
      <c r="AE50" s="24"/>
      <c r="AG50" s="17"/>
    </row>
    <row r="51" spans="1:45" ht="24" customHeight="1">
      <c r="A51" s="26">
        <f t="shared" si="10"/>
        <v>40</v>
      </c>
      <c r="B51" s="27" t="s">
        <v>445</v>
      </c>
      <c r="C51" s="23">
        <v>10.199999999999999</v>
      </c>
      <c r="D51" s="47" t="s">
        <v>1</v>
      </c>
      <c r="G51" s="15" t="s">
        <v>122</v>
      </c>
      <c r="H51" s="3" t="s">
        <v>136</v>
      </c>
      <c r="M51" s="17">
        <v>4.5</v>
      </c>
      <c r="N51" s="3" t="s">
        <v>126</v>
      </c>
      <c r="O51" s="3" t="s">
        <v>138</v>
      </c>
      <c r="P51" s="17">
        <f>(K77)</f>
        <v>2453.8000000000002</v>
      </c>
      <c r="Q51" s="3" t="s">
        <v>126</v>
      </c>
      <c r="R51" s="17">
        <f>(M51*P51)</f>
        <v>11042.1</v>
      </c>
      <c r="W51" s="3"/>
      <c r="AE51" s="24"/>
      <c r="AG51" s="3"/>
    </row>
    <row r="52" spans="1:45" ht="24" customHeight="1">
      <c r="A52" s="26">
        <f t="shared" si="10"/>
        <v>41</v>
      </c>
      <c r="B52" s="27" t="s">
        <v>446</v>
      </c>
      <c r="C52" s="23">
        <v>21.1</v>
      </c>
      <c r="D52" s="47" t="s">
        <v>1</v>
      </c>
      <c r="H52" s="12" t="s">
        <v>117</v>
      </c>
      <c r="M52" s="17">
        <v>1.8</v>
      </c>
      <c r="N52" s="3" t="s">
        <v>209</v>
      </c>
      <c r="O52" s="3" t="s">
        <v>145</v>
      </c>
      <c r="P52" s="17">
        <f>(C11)</f>
        <v>718</v>
      </c>
      <c r="Q52" s="3" t="s">
        <v>209</v>
      </c>
      <c r="R52" s="17">
        <f>(M52*P52)</f>
        <v>1292.4000000000001</v>
      </c>
      <c r="AE52" s="24"/>
      <c r="AG52" s="3"/>
    </row>
    <row r="53" spans="1:45" ht="24" customHeight="1">
      <c r="A53" s="26">
        <f t="shared" si="10"/>
        <v>42</v>
      </c>
      <c r="B53" s="27" t="s">
        <v>447</v>
      </c>
      <c r="C53" s="23">
        <v>28.5</v>
      </c>
      <c r="D53" s="25">
        <v>62.4</v>
      </c>
      <c r="F53" s="17">
        <v>0.24</v>
      </c>
      <c r="G53" s="15" t="s">
        <v>124</v>
      </c>
      <c r="H53" s="3" t="s">
        <v>125</v>
      </c>
      <c r="I53" s="17">
        <f>(C67)</f>
        <v>5800</v>
      </c>
      <c r="J53" s="3" t="s">
        <v>124</v>
      </c>
      <c r="K53" s="17">
        <f>(F53*I53)</f>
        <v>1392</v>
      </c>
      <c r="M53" s="17">
        <v>17.7</v>
      </c>
      <c r="N53" s="3" t="s">
        <v>209</v>
      </c>
      <c r="O53" s="3" t="s">
        <v>146</v>
      </c>
      <c r="P53" s="17">
        <f>(C12)</f>
        <v>502</v>
      </c>
      <c r="Q53" s="3" t="s">
        <v>209</v>
      </c>
      <c r="R53" s="17">
        <f>(M53*P53)</f>
        <v>8885.4</v>
      </c>
      <c r="U53" s="5" t="s">
        <v>448</v>
      </c>
      <c r="V53" s="5" t="s">
        <v>449</v>
      </c>
      <c r="Z53" s="5" t="s">
        <v>450</v>
      </c>
      <c r="AE53" s="24"/>
      <c r="AG53" s="3"/>
    </row>
    <row r="54" spans="1:45" ht="24" customHeight="1">
      <c r="A54" s="26">
        <f t="shared" si="10"/>
        <v>43</v>
      </c>
      <c r="B54" s="27" t="s">
        <v>451</v>
      </c>
      <c r="C54" s="25">
        <v>32</v>
      </c>
      <c r="D54" s="25">
        <v>47.1</v>
      </c>
      <c r="F54" s="17">
        <v>1</v>
      </c>
      <c r="G54" s="15" t="s">
        <v>126</v>
      </c>
      <c r="H54" s="3" t="s">
        <v>127</v>
      </c>
      <c r="I54" s="17">
        <f>(C78)</f>
        <v>1322.8</v>
      </c>
      <c r="J54" s="3" t="s">
        <v>126</v>
      </c>
      <c r="K54" s="17">
        <f>(F54*I54)</f>
        <v>1322.8</v>
      </c>
      <c r="M54" s="17">
        <v>14.1</v>
      </c>
      <c r="N54" s="3" t="s">
        <v>209</v>
      </c>
      <c r="O54" s="3" t="s">
        <v>147</v>
      </c>
      <c r="P54" s="17">
        <f>(C13)</f>
        <v>412</v>
      </c>
      <c r="Q54" s="3" t="s">
        <v>209</v>
      </c>
      <c r="R54" s="17">
        <f>(M54*P54)</f>
        <v>5809.2</v>
      </c>
      <c r="AE54" s="24"/>
      <c r="AG54" s="3"/>
    </row>
    <row r="55" spans="1:45" ht="24" customHeight="1">
      <c r="A55" s="26">
        <f t="shared" si="10"/>
        <v>44</v>
      </c>
      <c r="B55" s="27" t="s">
        <v>452</v>
      </c>
      <c r="C55" s="23">
        <v>35.6</v>
      </c>
      <c r="D55" s="25">
        <v>37.4</v>
      </c>
      <c r="F55" s="17">
        <v>1</v>
      </c>
      <c r="G55" s="15" t="s">
        <v>126</v>
      </c>
      <c r="H55" s="3" t="s">
        <v>128</v>
      </c>
      <c r="I55" s="17">
        <f>(C18)</f>
        <v>87</v>
      </c>
      <c r="J55" s="3" t="s">
        <v>126</v>
      </c>
      <c r="K55" s="17">
        <f>(F55*I55)</f>
        <v>87</v>
      </c>
      <c r="N55" s="3" t="s">
        <v>129</v>
      </c>
      <c r="O55" s="3" t="s">
        <v>130</v>
      </c>
      <c r="Q55" s="3" t="s">
        <v>129</v>
      </c>
      <c r="R55" s="17">
        <v>0</v>
      </c>
      <c r="AE55" s="24"/>
    </row>
    <row r="56" spans="1:45" ht="24" customHeight="1">
      <c r="A56" s="26">
        <f t="shared" si="10"/>
        <v>45</v>
      </c>
      <c r="B56" s="27" t="s">
        <v>453</v>
      </c>
      <c r="C56" s="28">
        <v>12.1</v>
      </c>
      <c r="D56" s="27" t="s">
        <v>129</v>
      </c>
      <c r="G56" s="15" t="s">
        <v>129</v>
      </c>
      <c r="H56" s="3" t="s">
        <v>130</v>
      </c>
      <c r="I56" s="3" t="s">
        <v>115</v>
      </c>
      <c r="J56" s="3" t="s">
        <v>129</v>
      </c>
      <c r="K56" s="17">
        <v>0</v>
      </c>
      <c r="R56" s="12" t="s">
        <v>117</v>
      </c>
      <c r="AE56" s="24"/>
    </row>
    <row r="57" spans="1:45" ht="24" customHeight="1">
      <c r="A57" s="26">
        <f t="shared" si="10"/>
        <v>46</v>
      </c>
      <c r="B57" s="27" t="s">
        <v>454</v>
      </c>
      <c r="C57" s="28">
        <v>35</v>
      </c>
      <c r="D57" s="27" t="s">
        <v>129</v>
      </c>
      <c r="K57" s="12" t="s">
        <v>117</v>
      </c>
      <c r="O57" s="3" t="s">
        <v>455</v>
      </c>
      <c r="R57" s="17">
        <f>SUM(R50:R55)</f>
        <v>34981.949999999997</v>
      </c>
      <c r="AE57" s="24"/>
      <c r="AG57" s="3"/>
    </row>
    <row r="58" spans="1:45" ht="24" customHeight="1">
      <c r="A58" s="26">
        <f t="shared" si="10"/>
        <v>47</v>
      </c>
      <c r="B58" s="27" t="s">
        <v>456</v>
      </c>
      <c r="C58" s="28">
        <v>15</v>
      </c>
      <c r="D58" s="27" t="s">
        <v>129</v>
      </c>
      <c r="H58" s="3" t="s">
        <v>131</v>
      </c>
      <c r="K58" s="16">
        <f>SUM(K53:K56)</f>
        <v>2801.8</v>
      </c>
      <c r="R58" s="12" t="s">
        <v>117</v>
      </c>
      <c r="AE58" s="24"/>
      <c r="AG58" s="3"/>
    </row>
    <row r="59" spans="1:45" ht="24" customHeight="1">
      <c r="A59" s="39"/>
      <c r="B59" s="39"/>
      <c r="C59" s="39"/>
      <c r="D59" s="39"/>
      <c r="F59" s="3" t="s">
        <v>115</v>
      </c>
      <c r="AE59" s="24"/>
      <c r="AP59" s="50" t="s">
        <v>457</v>
      </c>
    </row>
    <row r="60" spans="1:45" ht="24" customHeight="1">
      <c r="A60" s="26">
        <f>(A58+1)</f>
        <v>48</v>
      </c>
      <c r="B60" s="27" t="s">
        <v>458</v>
      </c>
      <c r="C60" s="23">
        <v>24</v>
      </c>
      <c r="D60" s="27" t="s">
        <v>459</v>
      </c>
      <c r="K60" s="12" t="s">
        <v>117</v>
      </c>
      <c r="O60" s="3" t="s">
        <v>383</v>
      </c>
      <c r="R60" s="17">
        <f>(R57/10)</f>
        <v>3498.1949999999997</v>
      </c>
      <c r="AE60" s="24"/>
      <c r="AG60" s="3"/>
      <c r="AN60" s="51">
        <v>6.5</v>
      </c>
      <c r="AO60" s="15" t="s">
        <v>122</v>
      </c>
      <c r="AP60" s="37" t="s">
        <v>460</v>
      </c>
      <c r="AR60" s="8"/>
    </row>
    <row r="61" spans="1:45" ht="24" customHeight="1">
      <c r="A61" s="26">
        <f t="shared" ref="A61:A91" si="12">(A60+1)</f>
        <v>49</v>
      </c>
      <c r="B61" s="27" t="s">
        <v>461</v>
      </c>
      <c r="C61" s="28">
        <f>AE29</f>
        <v>84</v>
      </c>
      <c r="D61" s="28">
        <f>AE36</f>
        <v>125.2</v>
      </c>
      <c r="G61" s="15" t="s">
        <v>122</v>
      </c>
      <c r="H61" s="3" t="s">
        <v>137</v>
      </c>
      <c r="R61" s="12" t="s">
        <v>155</v>
      </c>
      <c r="AE61" s="24"/>
      <c r="AG61" s="3"/>
      <c r="AO61" s="6"/>
      <c r="AP61" s="37" t="s">
        <v>462</v>
      </c>
      <c r="AR61" s="8"/>
    </row>
    <row r="62" spans="1:45" ht="24" customHeight="1">
      <c r="A62" s="26">
        <f t="shared" si="12"/>
        <v>50</v>
      </c>
      <c r="B62" s="27" t="s">
        <v>463</v>
      </c>
      <c r="C62" s="23">
        <v>546</v>
      </c>
      <c r="D62" s="27" t="s">
        <v>209</v>
      </c>
      <c r="H62" s="12" t="s">
        <v>117</v>
      </c>
      <c r="N62" s="3" t="s">
        <v>122</v>
      </c>
      <c r="O62" s="3" t="s">
        <v>464</v>
      </c>
      <c r="AE62" s="24"/>
      <c r="AG62" s="3"/>
      <c r="AO62" s="6"/>
      <c r="AP62" s="12" t="s">
        <v>117</v>
      </c>
      <c r="AR62" s="8"/>
    </row>
    <row r="63" spans="1:45" ht="24" customHeight="1">
      <c r="A63" s="26">
        <f t="shared" si="12"/>
        <v>51</v>
      </c>
      <c r="B63" s="52" t="s">
        <v>465</v>
      </c>
      <c r="C63" s="28">
        <v>42</v>
      </c>
      <c r="D63" s="27" t="s">
        <v>129</v>
      </c>
      <c r="F63" s="49">
        <v>0.20599999999999999</v>
      </c>
      <c r="G63" s="15" t="s">
        <v>124</v>
      </c>
      <c r="H63" s="3" t="s">
        <v>125</v>
      </c>
      <c r="I63" s="17">
        <f>(C67)</f>
        <v>5800</v>
      </c>
      <c r="J63" s="3" t="s">
        <v>124</v>
      </c>
      <c r="K63" s="17">
        <f>(F63*I63)</f>
        <v>1194.8</v>
      </c>
      <c r="O63" s="3" t="s">
        <v>466</v>
      </c>
      <c r="AB63" s="53"/>
      <c r="AE63" s="24"/>
      <c r="AG63" s="3"/>
      <c r="AN63" s="17">
        <v>1300</v>
      </c>
      <c r="AO63" s="15" t="s">
        <v>467</v>
      </c>
      <c r="AP63" s="17" t="str">
        <f>AP61</f>
        <v>Bricks of size 23x11x7 cm</v>
      </c>
      <c r="AQ63" s="17">
        <f>AC45</f>
        <v>6714.95</v>
      </c>
      <c r="AR63" s="3" t="s">
        <v>468</v>
      </c>
      <c r="AS63" s="17">
        <f>(AN63*AQ63)/1000</f>
        <v>8729.4349999999995</v>
      </c>
    </row>
    <row r="64" spans="1:45" ht="24" customHeight="1">
      <c r="A64" s="26">
        <f t="shared" si="12"/>
        <v>52</v>
      </c>
      <c r="B64" s="27" t="s">
        <v>469</v>
      </c>
      <c r="C64" s="23">
        <v>211</v>
      </c>
      <c r="D64" s="27" t="s">
        <v>126</v>
      </c>
      <c r="F64" s="17">
        <v>1</v>
      </c>
      <c r="G64" s="15" t="s">
        <v>126</v>
      </c>
      <c r="H64" s="3" t="s">
        <v>127</v>
      </c>
      <c r="I64" s="17">
        <f>(C78)</f>
        <v>1322.8</v>
      </c>
      <c r="J64" s="3" t="s">
        <v>126</v>
      </c>
      <c r="K64" s="17">
        <f>(F64*I64)</f>
        <v>1322.8</v>
      </c>
      <c r="O64" s="12" t="s">
        <v>117</v>
      </c>
      <c r="AE64" s="24"/>
      <c r="AG64" s="3"/>
      <c r="AN64" s="49">
        <v>0.70799999999999996</v>
      </c>
      <c r="AO64" s="15" t="s">
        <v>126</v>
      </c>
      <c r="AP64" s="3" t="s">
        <v>135</v>
      </c>
      <c r="AQ64" s="17">
        <f>K49</f>
        <v>3080.2</v>
      </c>
      <c r="AR64" s="3" t="s">
        <v>126</v>
      </c>
      <c r="AS64" s="17">
        <f>(AN64*AQ64)</f>
        <v>2180.7815999999998</v>
      </c>
    </row>
    <row r="65" spans="1:45" ht="24" customHeight="1">
      <c r="A65" s="26">
        <f t="shared" si="12"/>
        <v>53</v>
      </c>
      <c r="B65" s="27" t="s">
        <v>470</v>
      </c>
      <c r="C65" s="54">
        <v>304</v>
      </c>
      <c r="D65" s="27" t="s">
        <v>471</v>
      </c>
      <c r="F65" s="17">
        <v>1</v>
      </c>
      <c r="G65" s="15" t="s">
        <v>126</v>
      </c>
      <c r="H65" s="3" t="s">
        <v>128</v>
      </c>
      <c r="I65" s="17">
        <f>(C18)</f>
        <v>87</v>
      </c>
      <c r="J65" s="3" t="s">
        <v>126</v>
      </c>
      <c r="K65" s="17">
        <f>(F65*I65)</f>
        <v>87</v>
      </c>
      <c r="M65" s="17">
        <v>9</v>
      </c>
      <c r="N65" s="3" t="s">
        <v>126</v>
      </c>
      <c r="O65" s="3" t="s">
        <v>466</v>
      </c>
      <c r="P65" s="17">
        <f>(C73)</f>
        <v>1637.02</v>
      </c>
      <c r="Q65" s="3" t="s">
        <v>126</v>
      </c>
      <c r="R65" s="17">
        <f>(M65*P65)</f>
        <v>14733.18</v>
      </c>
      <c r="AE65" s="24"/>
      <c r="AG65" s="3"/>
      <c r="AN65" s="17">
        <v>1</v>
      </c>
      <c r="AO65" s="15" t="s">
        <v>209</v>
      </c>
      <c r="AP65" s="3" t="s">
        <v>144</v>
      </c>
      <c r="AQ65" s="17">
        <f>V313</f>
        <v>769</v>
      </c>
      <c r="AR65" s="3" t="s">
        <v>209</v>
      </c>
      <c r="AS65" s="17">
        <f>(AN65*AQ65)</f>
        <v>769</v>
      </c>
    </row>
    <row r="66" spans="1:45" ht="24" customHeight="1">
      <c r="A66" s="26">
        <f t="shared" si="12"/>
        <v>54</v>
      </c>
      <c r="B66" s="27" t="s">
        <v>472</v>
      </c>
      <c r="C66" s="28">
        <f>AE18</f>
        <v>660</v>
      </c>
      <c r="D66" s="27" t="s">
        <v>209</v>
      </c>
      <c r="G66" s="15" t="s">
        <v>129</v>
      </c>
      <c r="H66" s="3" t="s">
        <v>130</v>
      </c>
      <c r="I66" s="3" t="s">
        <v>115</v>
      </c>
      <c r="J66" s="3" t="s">
        <v>129</v>
      </c>
      <c r="K66" s="17">
        <v>0</v>
      </c>
      <c r="M66" s="17">
        <v>4.5</v>
      </c>
      <c r="N66" s="3" t="s">
        <v>126</v>
      </c>
      <c r="O66" s="3" t="s">
        <v>132</v>
      </c>
      <c r="P66" s="17">
        <f>(K23)</f>
        <v>5585.8</v>
      </c>
      <c r="Q66" s="3" t="s">
        <v>126</v>
      </c>
      <c r="R66" s="17">
        <f>(M66*P66)</f>
        <v>25136.100000000002</v>
      </c>
      <c r="AE66" s="24"/>
      <c r="AG66" s="3"/>
      <c r="AN66" s="17">
        <v>3</v>
      </c>
      <c r="AO66" s="15" t="s">
        <v>209</v>
      </c>
      <c r="AP66" s="3" t="s">
        <v>145</v>
      </c>
      <c r="AQ66" s="17">
        <f>V314</f>
        <v>718</v>
      </c>
      <c r="AR66" s="3" t="s">
        <v>209</v>
      </c>
      <c r="AS66" s="17">
        <f>(AN66*AQ66)</f>
        <v>2154</v>
      </c>
    </row>
    <row r="67" spans="1:45" ht="24" customHeight="1">
      <c r="A67" s="26">
        <f t="shared" si="12"/>
        <v>55</v>
      </c>
      <c r="B67" s="27" t="s">
        <v>125</v>
      </c>
      <c r="C67" s="28">
        <f>AC31</f>
        <v>5800</v>
      </c>
      <c r="D67" s="27" t="s">
        <v>124</v>
      </c>
      <c r="K67" s="12" t="s">
        <v>117</v>
      </c>
      <c r="M67" s="17">
        <v>1.8</v>
      </c>
      <c r="N67" s="3" t="s">
        <v>209</v>
      </c>
      <c r="O67" s="3" t="s">
        <v>145</v>
      </c>
      <c r="P67" s="17">
        <f>(C11)</f>
        <v>718</v>
      </c>
      <c r="Q67" s="3" t="s">
        <v>209</v>
      </c>
      <c r="R67" s="17">
        <f>(M67*P67)</f>
        <v>1292.4000000000001</v>
      </c>
      <c r="AE67" s="24"/>
      <c r="AG67" s="3"/>
      <c r="AN67" s="17">
        <v>2</v>
      </c>
      <c r="AO67" s="15" t="s">
        <v>209</v>
      </c>
      <c r="AP67" s="3" t="s">
        <v>146</v>
      </c>
      <c r="AQ67" s="17">
        <f>V315</f>
        <v>502</v>
      </c>
      <c r="AR67" s="3" t="s">
        <v>209</v>
      </c>
      <c r="AS67" s="17">
        <f>(AN67*AQ67)</f>
        <v>1004</v>
      </c>
    </row>
    <row r="68" spans="1:45" ht="24" customHeight="1">
      <c r="A68" s="26">
        <f t="shared" si="12"/>
        <v>56</v>
      </c>
      <c r="B68" s="27" t="s">
        <v>473</v>
      </c>
      <c r="C68" s="55">
        <f t="shared" ref="C68:C74" si="13">AC9</f>
        <v>676.02</v>
      </c>
      <c r="D68" s="27" t="s">
        <v>126</v>
      </c>
      <c r="H68" s="3" t="s">
        <v>131</v>
      </c>
      <c r="K68" s="16">
        <f>SUM(K63:K66)</f>
        <v>2604.6</v>
      </c>
      <c r="M68" s="17">
        <v>17.7</v>
      </c>
      <c r="N68" s="3" t="s">
        <v>209</v>
      </c>
      <c r="O68" s="3" t="s">
        <v>146</v>
      </c>
      <c r="P68" s="17">
        <f>(C12)</f>
        <v>502</v>
      </c>
      <c r="Q68" s="3" t="s">
        <v>209</v>
      </c>
      <c r="R68" s="17">
        <f>(M68*P68)</f>
        <v>8885.4</v>
      </c>
      <c r="AE68" s="24"/>
      <c r="AG68" s="3"/>
      <c r="AN68" s="17">
        <v>6</v>
      </c>
      <c r="AO68" s="15" t="s">
        <v>209</v>
      </c>
      <c r="AP68" s="3" t="s">
        <v>147</v>
      </c>
      <c r="AQ68" s="17">
        <f>V316</f>
        <v>412</v>
      </c>
      <c r="AR68" s="3" t="s">
        <v>209</v>
      </c>
      <c r="AS68" s="17">
        <f>(AN68*AQ68)</f>
        <v>2472</v>
      </c>
    </row>
    <row r="69" spans="1:45" ht="24" customHeight="1">
      <c r="A69" s="26">
        <f t="shared" si="12"/>
        <v>57</v>
      </c>
      <c r="B69" s="27" t="s">
        <v>474</v>
      </c>
      <c r="C69" s="28">
        <f t="shared" si="13"/>
        <v>869.02</v>
      </c>
      <c r="D69" s="27" t="s">
        <v>126</v>
      </c>
      <c r="K69" s="12" t="s">
        <v>117</v>
      </c>
      <c r="M69" s="17">
        <v>14.1</v>
      </c>
      <c r="N69" s="3" t="s">
        <v>209</v>
      </c>
      <c r="O69" s="3" t="s">
        <v>147</v>
      </c>
      <c r="P69" s="17">
        <f>(C13)</f>
        <v>412</v>
      </c>
      <c r="Q69" s="3" t="s">
        <v>209</v>
      </c>
      <c r="R69" s="17">
        <f>(M69*P69)</f>
        <v>5809.2</v>
      </c>
      <c r="AE69" s="24"/>
      <c r="AG69" s="3"/>
      <c r="AO69" s="15" t="s">
        <v>129</v>
      </c>
      <c r="AP69" s="3" t="s">
        <v>130</v>
      </c>
      <c r="AR69" s="3" t="s">
        <v>129</v>
      </c>
      <c r="AS69" s="17">
        <v>0</v>
      </c>
    </row>
    <row r="70" spans="1:45" ht="24" customHeight="1">
      <c r="A70" s="26">
        <f t="shared" si="12"/>
        <v>58</v>
      </c>
      <c r="B70" s="27" t="s">
        <v>475</v>
      </c>
      <c r="C70" s="28">
        <f t="shared" si="13"/>
        <v>965.68999999999994</v>
      </c>
      <c r="D70" s="27" t="s">
        <v>126</v>
      </c>
      <c r="G70" s="15" t="s">
        <v>122</v>
      </c>
      <c r="H70" s="3" t="s">
        <v>138</v>
      </c>
      <c r="N70" s="3" t="s">
        <v>129</v>
      </c>
      <c r="O70" s="3" t="s">
        <v>130</v>
      </c>
      <c r="Q70" s="3" t="s">
        <v>129</v>
      </c>
      <c r="R70" s="17">
        <v>0</v>
      </c>
      <c r="AE70" s="24"/>
      <c r="AG70" s="3"/>
      <c r="AO70" s="6"/>
      <c r="AR70" s="8"/>
      <c r="AS70" s="12" t="s">
        <v>117</v>
      </c>
    </row>
    <row r="71" spans="1:45" ht="24" customHeight="1">
      <c r="A71" s="26">
        <f t="shared" si="12"/>
        <v>59</v>
      </c>
      <c r="B71" s="27" t="s">
        <v>476</v>
      </c>
      <c r="C71" s="28">
        <f t="shared" si="13"/>
        <v>1193.02</v>
      </c>
      <c r="D71" s="27" t="s">
        <v>126</v>
      </c>
      <c r="H71" s="12" t="s">
        <v>117</v>
      </c>
      <c r="R71" s="12" t="s">
        <v>117</v>
      </c>
      <c r="AE71" s="24"/>
      <c r="AG71" s="3"/>
      <c r="AO71" s="6"/>
      <c r="AP71" s="3" t="s">
        <v>477</v>
      </c>
      <c r="AR71" s="8"/>
      <c r="AS71" s="17">
        <f>SUM(AS63:AS69)</f>
        <v>17309.2166</v>
      </c>
    </row>
    <row r="72" spans="1:45" ht="24" customHeight="1">
      <c r="A72" s="26">
        <f t="shared" si="12"/>
        <v>60</v>
      </c>
      <c r="B72" s="27" t="s">
        <v>478</v>
      </c>
      <c r="C72" s="28">
        <f t="shared" si="13"/>
        <v>1536.02</v>
      </c>
      <c r="D72" s="27" t="s">
        <v>126</v>
      </c>
      <c r="F72" s="17">
        <v>0.18</v>
      </c>
      <c r="G72" s="15" t="s">
        <v>124</v>
      </c>
      <c r="H72" s="3" t="s">
        <v>125</v>
      </c>
      <c r="I72" s="17">
        <f>(C67)</f>
        <v>5800</v>
      </c>
      <c r="J72" s="3" t="s">
        <v>124</v>
      </c>
      <c r="K72" s="17">
        <f>(F72*I72)</f>
        <v>1044</v>
      </c>
      <c r="O72" s="3" t="s">
        <v>455</v>
      </c>
      <c r="R72" s="17">
        <f>SUM(R65:R70)</f>
        <v>55856.28</v>
      </c>
      <c r="AE72" s="24"/>
      <c r="AG72" s="3"/>
      <c r="AO72" s="6"/>
      <c r="AR72" s="8"/>
      <c r="AS72" s="12" t="s">
        <v>117</v>
      </c>
    </row>
    <row r="73" spans="1:45" ht="24" customHeight="1">
      <c r="A73" s="26">
        <f t="shared" si="12"/>
        <v>61</v>
      </c>
      <c r="B73" s="27" t="s">
        <v>479</v>
      </c>
      <c r="C73" s="28">
        <f t="shared" si="13"/>
        <v>1637.02</v>
      </c>
      <c r="D73" s="27" t="s">
        <v>126</v>
      </c>
      <c r="F73" s="17">
        <v>1</v>
      </c>
      <c r="G73" s="15" t="s">
        <v>126</v>
      </c>
      <c r="H73" s="3" t="s">
        <v>127</v>
      </c>
      <c r="I73" s="17">
        <f>(C78)</f>
        <v>1322.8</v>
      </c>
      <c r="J73" s="3" t="s">
        <v>126</v>
      </c>
      <c r="K73" s="17">
        <f>(F73*I73)</f>
        <v>1322.8</v>
      </c>
      <c r="R73" s="12" t="s">
        <v>117</v>
      </c>
      <c r="AE73" s="24"/>
      <c r="AG73" s="3"/>
      <c r="AO73" s="6"/>
      <c r="AP73" s="19" t="s">
        <v>383</v>
      </c>
      <c r="AR73" s="8"/>
      <c r="AS73" s="16">
        <f>(AS71/2.83168)</f>
        <v>6112.7022121143627</v>
      </c>
    </row>
    <row r="74" spans="1:45" ht="24" customHeight="1">
      <c r="A74" s="26">
        <f t="shared" si="12"/>
        <v>62</v>
      </c>
      <c r="B74" s="27" t="s">
        <v>480</v>
      </c>
      <c r="C74" s="28">
        <f t="shared" si="13"/>
        <v>1243.02</v>
      </c>
      <c r="D74" s="27" t="s">
        <v>126</v>
      </c>
      <c r="F74" s="17">
        <v>1</v>
      </c>
      <c r="G74" s="15" t="s">
        <v>126</v>
      </c>
      <c r="H74" s="3" t="s">
        <v>128</v>
      </c>
      <c r="I74" s="17">
        <f>(C18)</f>
        <v>87</v>
      </c>
      <c r="J74" s="3" t="s">
        <v>126</v>
      </c>
      <c r="K74" s="17">
        <f>(F74*I74)</f>
        <v>87</v>
      </c>
      <c r="O74" s="3" t="s">
        <v>383</v>
      </c>
      <c r="R74" s="17">
        <f>(R72/10)</f>
        <v>5585.6279999999997</v>
      </c>
      <c r="AE74" s="24"/>
      <c r="AG74" s="3"/>
      <c r="AO74" s="6"/>
      <c r="AR74" s="8"/>
      <c r="AS74" s="12" t="s">
        <v>155</v>
      </c>
    </row>
    <row r="75" spans="1:45" ht="24" customHeight="1">
      <c r="A75" s="26">
        <f t="shared" si="12"/>
        <v>63</v>
      </c>
      <c r="B75" s="27" t="s">
        <v>481</v>
      </c>
      <c r="C75" s="36">
        <v>175</v>
      </c>
      <c r="D75" s="27" t="s">
        <v>122</v>
      </c>
      <c r="G75" s="15" t="s">
        <v>129</v>
      </c>
      <c r="H75" s="3" t="s">
        <v>130</v>
      </c>
      <c r="I75" s="3" t="s">
        <v>115</v>
      </c>
      <c r="J75" s="3" t="s">
        <v>129</v>
      </c>
      <c r="K75" s="17">
        <v>0</v>
      </c>
      <c r="R75" s="12" t="s">
        <v>155</v>
      </c>
      <c r="AE75" s="24"/>
      <c r="AG75" s="3"/>
      <c r="AO75" s="6"/>
      <c r="AP75" s="3" t="s">
        <v>482</v>
      </c>
      <c r="AR75" s="8"/>
      <c r="AS75" s="17">
        <f>AS73+C19</f>
        <v>6171.9022121143626</v>
      </c>
    </row>
    <row r="76" spans="1:45" ht="24" customHeight="1">
      <c r="A76" s="26">
        <f t="shared" si="12"/>
        <v>64</v>
      </c>
      <c r="B76" s="27" t="s">
        <v>483</v>
      </c>
      <c r="C76" s="36">
        <v>460</v>
      </c>
      <c r="D76" s="45">
        <v>290</v>
      </c>
      <c r="E76" s="5" t="s">
        <v>484</v>
      </c>
      <c r="K76" s="12" t="s">
        <v>117</v>
      </c>
      <c r="N76" s="3" t="s">
        <v>122</v>
      </c>
      <c r="O76" s="3" t="s">
        <v>485</v>
      </c>
      <c r="AE76" s="24"/>
      <c r="AG76" s="3"/>
      <c r="AO76" s="6"/>
      <c r="AP76" s="3" t="s">
        <v>486</v>
      </c>
      <c r="AR76" s="8"/>
      <c r="AS76" s="17">
        <f>AS75+C20</f>
        <v>6291.2022121143627</v>
      </c>
    </row>
    <row r="77" spans="1:45" ht="24" customHeight="1">
      <c r="A77" s="26">
        <f t="shared" si="12"/>
        <v>65</v>
      </c>
      <c r="B77" s="27" t="s">
        <v>487</v>
      </c>
      <c r="C77" s="28">
        <f>AC34</f>
        <v>4354.6499999999996</v>
      </c>
      <c r="D77" s="27" t="s">
        <v>126</v>
      </c>
      <c r="H77" s="3" t="s">
        <v>131</v>
      </c>
      <c r="K77" s="16">
        <f>SUM(K72:K75)</f>
        <v>2453.8000000000002</v>
      </c>
      <c r="O77" s="3" t="s">
        <v>488</v>
      </c>
      <c r="AE77" s="24"/>
      <c r="AG77" s="3"/>
      <c r="AO77" s="6"/>
      <c r="AP77" s="3" t="s">
        <v>489</v>
      </c>
      <c r="AR77" s="8"/>
      <c r="AS77" s="17">
        <f>AS76+C20</f>
        <v>6410.5022121143629</v>
      </c>
    </row>
    <row r="78" spans="1:45" ht="24" customHeight="1">
      <c r="A78" s="26">
        <f t="shared" si="12"/>
        <v>66</v>
      </c>
      <c r="B78" s="27" t="s">
        <v>490</v>
      </c>
      <c r="C78" s="28">
        <f t="shared" ref="C78:C91" si="14">AC16</f>
        <v>1322.8</v>
      </c>
      <c r="D78" s="27" t="s">
        <v>126</v>
      </c>
      <c r="K78" s="12" t="s">
        <v>117</v>
      </c>
      <c r="O78" s="12" t="s">
        <v>117</v>
      </c>
      <c r="AE78" s="24"/>
      <c r="AG78" s="3"/>
      <c r="AO78" s="6"/>
      <c r="AP78" s="3" t="s">
        <v>491</v>
      </c>
      <c r="AR78" s="8"/>
      <c r="AS78" s="17">
        <f>AS77+C20</f>
        <v>6529.8022121143631</v>
      </c>
    </row>
    <row r="79" spans="1:45" ht="24" customHeight="1">
      <c r="A79" s="26">
        <f t="shared" si="12"/>
        <v>67</v>
      </c>
      <c r="B79" s="27" t="s">
        <v>492</v>
      </c>
      <c r="C79" s="28">
        <f t="shared" si="14"/>
        <v>1322.8</v>
      </c>
      <c r="D79" s="27" t="s">
        <v>126</v>
      </c>
      <c r="F79" s="51">
        <v>1.1000000000000001</v>
      </c>
      <c r="G79" s="15" t="s">
        <v>115</v>
      </c>
      <c r="H79" s="3" t="s">
        <v>493</v>
      </c>
      <c r="M79" s="17">
        <v>4600</v>
      </c>
      <c r="N79" s="3" t="s">
        <v>467</v>
      </c>
      <c r="O79" s="3" t="s">
        <v>494</v>
      </c>
      <c r="P79" s="17">
        <f>AC41</f>
        <v>6714.95</v>
      </c>
      <c r="Q79" s="3" t="s">
        <v>468</v>
      </c>
      <c r="R79" s="17">
        <f>(M79*P79)/1000</f>
        <v>30888.77</v>
      </c>
      <c r="S79" s="56">
        <v>1.1000000000000001</v>
      </c>
      <c r="T79" s="15" t="s">
        <v>115</v>
      </c>
      <c r="U79" s="7" t="s">
        <v>495</v>
      </c>
      <c r="W79" s="8"/>
      <c r="AE79" s="24"/>
      <c r="AG79" s="3"/>
      <c r="AO79" s="6"/>
      <c r="AP79" s="3" t="s">
        <v>496</v>
      </c>
      <c r="AR79" s="8"/>
      <c r="AS79" s="17">
        <f>AS78+C20</f>
        <v>6649.1022121143633</v>
      </c>
    </row>
    <row r="80" spans="1:45" ht="24" customHeight="1">
      <c r="A80" s="26">
        <f t="shared" si="12"/>
        <v>68</v>
      </c>
      <c r="B80" s="27" t="s">
        <v>497</v>
      </c>
      <c r="C80" s="28">
        <f t="shared" si="14"/>
        <v>5697.65</v>
      </c>
      <c r="D80" s="27" t="s">
        <v>498</v>
      </c>
      <c r="F80" s="57" t="s">
        <v>115</v>
      </c>
      <c r="H80" s="3" t="s">
        <v>499</v>
      </c>
      <c r="M80" s="17">
        <v>2.5</v>
      </c>
      <c r="N80" s="3" t="s">
        <v>126</v>
      </c>
      <c r="O80" s="3" t="s">
        <v>135</v>
      </c>
      <c r="P80" s="17">
        <f>(K49)</f>
        <v>3080.2</v>
      </c>
      <c r="Q80" s="3" t="s">
        <v>126</v>
      </c>
      <c r="R80" s="17">
        <f>(M80*P80)</f>
        <v>7700.5</v>
      </c>
      <c r="S80" s="58" t="s">
        <v>115</v>
      </c>
      <c r="T80" s="6"/>
      <c r="U80" s="3" t="s">
        <v>499</v>
      </c>
      <c r="W80" s="8"/>
      <c r="AE80" s="24"/>
      <c r="AG80" s="3"/>
      <c r="AQ80" s="23"/>
      <c r="AS80" s="3"/>
    </row>
    <row r="81" spans="1:45" ht="24" customHeight="1">
      <c r="A81" s="26">
        <f t="shared" si="12"/>
        <v>69</v>
      </c>
      <c r="B81" s="27" t="s">
        <v>500</v>
      </c>
      <c r="C81" s="28">
        <f t="shared" si="14"/>
        <v>883.65</v>
      </c>
      <c r="D81" s="27" t="s">
        <v>126</v>
      </c>
      <c r="F81" s="17">
        <v>10</v>
      </c>
      <c r="G81" s="15" t="s">
        <v>126</v>
      </c>
      <c r="H81" s="3" t="s">
        <v>501</v>
      </c>
      <c r="I81" s="17">
        <f>(C61)</f>
        <v>84</v>
      </c>
      <c r="J81" s="3" t="s">
        <v>126</v>
      </c>
      <c r="K81" s="17">
        <f>(F81*I81)</f>
        <v>840</v>
      </c>
      <c r="M81" s="17">
        <v>3.5</v>
      </c>
      <c r="N81" s="3" t="s">
        <v>209</v>
      </c>
      <c r="O81" s="3" t="s">
        <v>144</v>
      </c>
      <c r="P81" s="17">
        <f>(C10)</f>
        <v>769</v>
      </c>
      <c r="Q81" s="3" t="s">
        <v>209</v>
      </c>
      <c r="R81" s="17">
        <f>(M81*P81)</f>
        <v>2691.5</v>
      </c>
      <c r="S81" s="49">
        <v>10</v>
      </c>
      <c r="T81" s="15" t="s">
        <v>126</v>
      </c>
      <c r="U81" s="3" t="s">
        <v>501</v>
      </c>
      <c r="V81" s="17">
        <f>AE39</f>
        <v>56.1</v>
      </c>
      <c r="W81" s="3" t="s">
        <v>126</v>
      </c>
      <c r="X81" s="17">
        <f>(S81*V81)</f>
        <v>561</v>
      </c>
      <c r="AE81" s="24"/>
      <c r="AG81" s="3"/>
      <c r="AQ81" s="23"/>
      <c r="AS81" s="3"/>
    </row>
    <row r="82" spans="1:45" ht="24" customHeight="1">
      <c r="A82" s="26">
        <f t="shared" si="12"/>
        <v>70</v>
      </c>
      <c r="B82" s="27" t="s">
        <v>502</v>
      </c>
      <c r="C82" s="28">
        <f t="shared" si="14"/>
        <v>960.65</v>
      </c>
      <c r="D82" s="27" t="s">
        <v>126</v>
      </c>
      <c r="F82" s="17">
        <v>10</v>
      </c>
      <c r="G82" s="15" t="s">
        <v>126</v>
      </c>
      <c r="H82" s="3" t="s">
        <v>503</v>
      </c>
      <c r="I82" s="17">
        <f>(C61)</f>
        <v>84</v>
      </c>
      <c r="J82" s="3" t="s">
        <v>126</v>
      </c>
      <c r="K82" s="17">
        <f>(F82*I82)</f>
        <v>840</v>
      </c>
      <c r="L82" s="5">
        <f>I82+I81</f>
        <v>168</v>
      </c>
      <c r="M82" s="17">
        <v>10.6</v>
      </c>
      <c r="N82" s="3" t="s">
        <v>209</v>
      </c>
      <c r="O82" s="3" t="s">
        <v>145</v>
      </c>
      <c r="P82" s="17">
        <f>(C11)</f>
        <v>718</v>
      </c>
      <c r="Q82" s="3" t="s">
        <v>209</v>
      </c>
      <c r="R82" s="17">
        <f>(M82*P82)</f>
        <v>7610.8</v>
      </c>
      <c r="S82" s="49">
        <v>10</v>
      </c>
      <c r="T82" s="15" t="s">
        <v>126</v>
      </c>
      <c r="U82" s="3" t="s">
        <v>503</v>
      </c>
      <c r="V82" s="17">
        <f>V81</f>
        <v>56.1</v>
      </c>
      <c r="W82" s="3" t="s">
        <v>126</v>
      </c>
      <c r="X82" s="17">
        <f>(S82*V82)</f>
        <v>561</v>
      </c>
      <c r="AE82" s="24"/>
      <c r="AG82" s="3"/>
      <c r="AQ82" s="23"/>
      <c r="AS82" s="3"/>
    </row>
    <row r="83" spans="1:45" ht="24" customHeight="1">
      <c r="A83" s="26">
        <f t="shared" si="12"/>
        <v>71</v>
      </c>
      <c r="B83" s="27" t="s">
        <v>504</v>
      </c>
      <c r="C83" s="28">
        <f t="shared" si="14"/>
        <v>16106</v>
      </c>
      <c r="D83" s="27" t="s">
        <v>498</v>
      </c>
      <c r="E83" s="5">
        <v>8710</v>
      </c>
      <c r="F83" s="17">
        <v>10</v>
      </c>
      <c r="G83" s="15" t="s">
        <v>126</v>
      </c>
      <c r="H83" s="3" t="s">
        <v>505</v>
      </c>
      <c r="I83" s="17">
        <f>(C26)/3</f>
        <v>9.7666666666666675</v>
      </c>
      <c r="J83" s="3" t="s">
        <v>126</v>
      </c>
      <c r="K83" s="17">
        <f>(F83*I83)</f>
        <v>97.666666666666671</v>
      </c>
      <c r="M83" s="17">
        <v>7.1</v>
      </c>
      <c r="N83" s="3" t="s">
        <v>209</v>
      </c>
      <c r="O83" s="3" t="s">
        <v>146</v>
      </c>
      <c r="P83" s="17">
        <f>(C12)</f>
        <v>502</v>
      </c>
      <c r="Q83" s="3" t="s">
        <v>209</v>
      </c>
      <c r="R83" s="17">
        <f>(M83*P83)</f>
        <v>3564.2</v>
      </c>
      <c r="S83" s="49">
        <v>10</v>
      </c>
      <c r="T83" s="15" t="s">
        <v>126</v>
      </c>
      <c r="U83" s="3" t="s">
        <v>505</v>
      </c>
      <c r="V83" s="17">
        <f>AE27/3</f>
        <v>8.5666666666666664</v>
      </c>
      <c r="W83" s="3" t="s">
        <v>126</v>
      </c>
      <c r="X83" s="17">
        <f>(S83*V83)</f>
        <v>85.666666666666657</v>
      </c>
      <c r="AE83" s="24"/>
      <c r="AG83" s="3"/>
      <c r="AQ83" s="23"/>
      <c r="AS83" s="3"/>
    </row>
    <row r="84" spans="1:45" ht="24" customHeight="1">
      <c r="A84" s="26">
        <f t="shared" si="12"/>
        <v>72</v>
      </c>
      <c r="B84" s="27" t="s">
        <v>506</v>
      </c>
      <c r="C84" s="28">
        <f t="shared" si="14"/>
        <v>1297</v>
      </c>
      <c r="D84" s="27" t="s">
        <v>126</v>
      </c>
      <c r="G84" s="15" t="s">
        <v>129</v>
      </c>
      <c r="H84" s="3" t="s">
        <v>130</v>
      </c>
      <c r="J84" s="3" t="s">
        <v>129</v>
      </c>
      <c r="K84" s="17">
        <v>0</v>
      </c>
      <c r="M84" s="24">
        <v>21.2</v>
      </c>
      <c r="N84" s="3" t="s">
        <v>209</v>
      </c>
      <c r="O84" s="3" t="s">
        <v>147</v>
      </c>
      <c r="P84" s="17">
        <f>(C13)</f>
        <v>412</v>
      </c>
      <c r="Q84" s="3" t="s">
        <v>209</v>
      </c>
      <c r="R84" s="17">
        <f>(M84*P84)</f>
        <v>8734.4</v>
      </c>
      <c r="T84" s="15" t="s">
        <v>129</v>
      </c>
      <c r="U84" s="3" t="s">
        <v>130</v>
      </c>
      <c r="W84" s="3" t="s">
        <v>129</v>
      </c>
      <c r="X84" s="17">
        <v>0</v>
      </c>
      <c r="AE84" s="24"/>
      <c r="AG84" s="3"/>
      <c r="AN84" s="38">
        <v>9</v>
      </c>
      <c r="AO84" s="15" t="s">
        <v>122</v>
      </c>
      <c r="AP84" s="3" t="s">
        <v>507</v>
      </c>
      <c r="AR84" s="8"/>
    </row>
    <row r="85" spans="1:45" ht="24" customHeight="1">
      <c r="A85" s="26">
        <f t="shared" si="12"/>
        <v>73</v>
      </c>
      <c r="B85" s="27" t="s">
        <v>508</v>
      </c>
      <c r="C85" s="28">
        <f t="shared" si="14"/>
        <v>955</v>
      </c>
      <c r="D85" s="27" t="s">
        <v>126</v>
      </c>
      <c r="K85" s="12" t="s">
        <v>117</v>
      </c>
      <c r="N85" s="3" t="s">
        <v>129</v>
      </c>
      <c r="O85" s="3" t="s">
        <v>130</v>
      </c>
      <c r="Q85" s="3" t="s">
        <v>129</v>
      </c>
      <c r="R85" s="17">
        <v>0</v>
      </c>
      <c r="T85" s="6"/>
      <c r="W85" s="8"/>
      <c r="X85" s="12" t="s">
        <v>117</v>
      </c>
      <c r="AE85" s="24"/>
      <c r="AG85" s="3"/>
      <c r="AO85" s="6"/>
      <c r="AP85" s="3" t="str">
        <f>AP61</f>
        <v>Bricks of size 23x11x7 cm</v>
      </c>
      <c r="AR85" s="8"/>
    </row>
    <row r="86" spans="1:45" ht="24" customHeight="1">
      <c r="A86" s="26">
        <f t="shared" si="12"/>
        <v>74</v>
      </c>
      <c r="B86" s="27" t="s">
        <v>509</v>
      </c>
      <c r="C86" s="28">
        <f t="shared" si="14"/>
        <v>34300</v>
      </c>
      <c r="D86" s="27" t="s">
        <v>126</v>
      </c>
      <c r="H86" s="3" t="s">
        <v>455</v>
      </c>
      <c r="K86" s="17">
        <f>SUM(K81:K84)</f>
        <v>1777.6666666666667</v>
      </c>
      <c r="R86" s="12" t="s">
        <v>117</v>
      </c>
      <c r="T86" s="6"/>
      <c r="U86" s="3" t="s">
        <v>455</v>
      </c>
      <c r="W86" s="8"/>
      <c r="X86" s="17">
        <f>SUM(X81:X84)</f>
        <v>1207.6666666666667</v>
      </c>
      <c r="AE86" s="24"/>
      <c r="AG86" s="3"/>
      <c r="AO86" s="6"/>
      <c r="AP86" s="12" t="s">
        <v>117</v>
      </c>
      <c r="AR86" s="8"/>
    </row>
    <row r="87" spans="1:45" ht="24" customHeight="1">
      <c r="A87" s="26">
        <f t="shared" si="12"/>
        <v>75</v>
      </c>
      <c r="B87" s="27" t="s">
        <v>510</v>
      </c>
      <c r="C87" s="28">
        <f t="shared" si="14"/>
        <v>39400</v>
      </c>
      <c r="D87" s="27" t="s">
        <v>126</v>
      </c>
      <c r="K87" s="12" t="s">
        <v>117</v>
      </c>
      <c r="O87" s="3" t="s">
        <v>455</v>
      </c>
      <c r="R87" s="17">
        <f>SUM(R79:R85)</f>
        <v>61190.170000000006</v>
      </c>
      <c r="T87" s="6"/>
      <c r="W87" s="8"/>
      <c r="X87" s="12" t="s">
        <v>117</v>
      </c>
      <c r="AE87" s="24"/>
      <c r="AG87" s="3"/>
      <c r="AN87" s="17">
        <f>AN63</f>
        <v>1300</v>
      </c>
      <c r="AO87" s="15" t="s">
        <v>467</v>
      </c>
      <c r="AP87" s="17" t="str">
        <f>AP61</f>
        <v>Bricks of size 23x11x7 cm</v>
      </c>
      <c r="AQ87" s="17">
        <f>AC45</f>
        <v>6714.95</v>
      </c>
      <c r="AR87" s="3" t="s">
        <v>468</v>
      </c>
      <c r="AS87" s="17">
        <f>AQ87*AN87/1000</f>
        <v>8729.4349999999995</v>
      </c>
    </row>
    <row r="88" spans="1:45" ht="36" customHeight="1">
      <c r="A88" s="26">
        <f t="shared" si="12"/>
        <v>76</v>
      </c>
      <c r="B88" s="27" t="s">
        <v>511</v>
      </c>
      <c r="C88" s="28">
        <f t="shared" si="14"/>
        <v>111600</v>
      </c>
      <c r="D88" s="27" t="s">
        <v>126</v>
      </c>
      <c r="H88" s="7" t="s">
        <v>512</v>
      </c>
      <c r="I88" s="50" t="s">
        <v>513</v>
      </c>
      <c r="J88" s="59"/>
      <c r="K88" s="16">
        <f>(K86/10)</f>
        <v>177.76666666666668</v>
      </c>
      <c r="R88" s="12" t="s">
        <v>117</v>
      </c>
      <c r="T88" s="6"/>
      <c r="U88" s="7" t="s">
        <v>512</v>
      </c>
      <c r="V88" s="50" t="s">
        <v>513</v>
      </c>
      <c r="W88" s="59"/>
      <c r="X88" s="16">
        <f>(X86/10)</f>
        <v>120.76666666666668</v>
      </c>
      <c r="AE88" s="24"/>
      <c r="AG88" s="3"/>
      <c r="AN88" s="49">
        <f>AN64</f>
        <v>0.70799999999999996</v>
      </c>
      <c r="AO88" s="15" t="s">
        <v>126</v>
      </c>
      <c r="AP88" s="3" t="s">
        <v>136</v>
      </c>
      <c r="AQ88" s="17">
        <f>K58</f>
        <v>2801.8</v>
      </c>
      <c r="AR88" s="3" t="s">
        <v>126</v>
      </c>
      <c r="AS88" s="17">
        <f>AQ88*AN88</f>
        <v>1983.6744000000001</v>
      </c>
    </row>
    <row r="89" spans="1:45" ht="19.5" customHeight="1">
      <c r="A89" s="26">
        <f t="shared" si="12"/>
        <v>77</v>
      </c>
      <c r="B89" s="27" t="s">
        <v>514</v>
      </c>
      <c r="C89" s="28">
        <f t="shared" si="14"/>
        <v>99400</v>
      </c>
      <c r="D89" s="27" t="s">
        <v>126</v>
      </c>
      <c r="I89" s="50" t="s">
        <v>515</v>
      </c>
      <c r="J89" s="59"/>
      <c r="K89" s="14">
        <f>ROUND(K88+C36,2)</f>
        <v>185.87</v>
      </c>
      <c r="O89" s="3" t="s">
        <v>383</v>
      </c>
      <c r="R89" s="17">
        <f>(R87/10)</f>
        <v>6119.0170000000007</v>
      </c>
      <c r="T89" s="6"/>
      <c r="V89" s="50" t="s">
        <v>515</v>
      </c>
      <c r="W89" s="59"/>
      <c r="X89" s="14">
        <f>ROUND(X88+C36,2)</f>
        <v>128.87</v>
      </c>
      <c r="AE89" s="24"/>
      <c r="AG89" s="3"/>
      <c r="AN89" s="17">
        <v>1</v>
      </c>
      <c r="AO89" s="15" t="s">
        <v>209</v>
      </c>
      <c r="AP89" s="3" t="s">
        <v>144</v>
      </c>
      <c r="AQ89" s="17">
        <f>AQ65</f>
        <v>769</v>
      </c>
      <c r="AR89" s="3" t="s">
        <v>209</v>
      </c>
      <c r="AS89" s="17">
        <f>AQ89*AN89</f>
        <v>769</v>
      </c>
    </row>
    <row r="90" spans="1:45" ht="36" customHeight="1">
      <c r="A90" s="26">
        <f t="shared" si="12"/>
        <v>78</v>
      </c>
      <c r="B90" s="27" t="s">
        <v>516</v>
      </c>
      <c r="C90" s="28">
        <f>AC28</f>
        <v>95000</v>
      </c>
      <c r="D90" s="27" t="s">
        <v>126</v>
      </c>
      <c r="F90" s="38" t="s">
        <v>517</v>
      </c>
      <c r="H90" s="60" t="s">
        <v>518</v>
      </c>
      <c r="I90" s="50" t="s">
        <v>513</v>
      </c>
      <c r="J90" s="59"/>
      <c r="K90" s="16">
        <f>K88-K83/10</f>
        <v>168</v>
      </c>
      <c r="R90" s="12" t="s">
        <v>155</v>
      </c>
      <c r="S90" s="56" t="s">
        <v>517</v>
      </c>
      <c r="T90" s="6"/>
      <c r="U90" s="60" t="s">
        <v>519</v>
      </c>
      <c r="V90" s="50" t="s">
        <v>513</v>
      </c>
      <c r="W90" s="59"/>
      <c r="X90" s="16">
        <f>X88-X83/10</f>
        <v>112.20000000000002</v>
      </c>
      <c r="AE90" s="24"/>
      <c r="AG90" s="3"/>
      <c r="AN90" s="17">
        <v>3</v>
      </c>
      <c r="AO90" s="15" t="s">
        <v>209</v>
      </c>
      <c r="AP90" s="3" t="s">
        <v>145</v>
      </c>
      <c r="AQ90" s="17">
        <f>AQ66</f>
        <v>718</v>
      </c>
      <c r="AR90" s="3" t="s">
        <v>209</v>
      </c>
      <c r="AS90" s="17">
        <f>AQ90*AN90</f>
        <v>2154</v>
      </c>
    </row>
    <row r="91" spans="1:45" ht="24" customHeight="1">
      <c r="A91" s="26">
        <f t="shared" si="12"/>
        <v>79</v>
      </c>
      <c r="B91" s="27" t="s">
        <v>520</v>
      </c>
      <c r="C91" s="28">
        <f t="shared" si="14"/>
        <v>4354.6499999999996</v>
      </c>
      <c r="D91" s="27" t="s">
        <v>498</v>
      </c>
      <c r="I91" s="50" t="s">
        <v>515</v>
      </c>
      <c r="J91" s="59"/>
      <c r="K91" s="14">
        <f>ROUND(K90+C36,2)</f>
        <v>176.1</v>
      </c>
      <c r="T91" s="6"/>
      <c r="V91" s="50" t="s">
        <v>515</v>
      </c>
      <c r="W91" s="59"/>
      <c r="X91" s="14">
        <f>ROUND(X90+C36,2)</f>
        <v>120.3</v>
      </c>
      <c r="AE91" s="24"/>
      <c r="AG91" s="3"/>
      <c r="AN91" s="17">
        <v>2</v>
      </c>
      <c r="AO91" s="15" t="s">
        <v>209</v>
      </c>
      <c r="AP91" s="3" t="s">
        <v>146</v>
      </c>
      <c r="AQ91" s="17">
        <f>AQ67</f>
        <v>502</v>
      </c>
      <c r="AR91" s="3" t="s">
        <v>209</v>
      </c>
      <c r="AS91" s="17">
        <f>AQ91*AN91</f>
        <v>1004</v>
      </c>
    </row>
    <row r="92" spans="1:45" ht="24" customHeight="1">
      <c r="A92" s="39"/>
      <c r="B92" s="39"/>
      <c r="C92" s="39"/>
      <c r="D92" s="39"/>
      <c r="F92" s="38" t="s">
        <v>521</v>
      </c>
      <c r="G92" s="15" t="s">
        <v>115</v>
      </c>
      <c r="H92" s="3" t="s">
        <v>522</v>
      </c>
      <c r="S92" s="56"/>
      <c r="T92" s="15"/>
      <c r="U92" s="3"/>
      <c r="W92" s="8"/>
      <c r="AE92" s="24"/>
      <c r="AN92" s="17">
        <v>6</v>
      </c>
      <c r="AO92" s="15" t="s">
        <v>209</v>
      </c>
      <c r="AP92" s="3" t="s">
        <v>147</v>
      </c>
      <c r="AQ92" s="17">
        <f>AQ68</f>
        <v>412</v>
      </c>
      <c r="AR92" s="3" t="s">
        <v>209</v>
      </c>
      <c r="AS92" s="17">
        <f>AQ92*AN92</f>
        <v>2472</v>
      </c>
    </row>
    <row r="93" spans="1:45" ht="24" customHeight="1">
      <c r="A93" s="39"/>
      <c r="B93" s="39"/>
      <c r="C93" s="39"/>
      <c r="D93" s="39"/>
      <c r="F93" s="57" t="s">
        <v>115</v>
      </c>
      <c r="H93" s="12" t="s">
        <v>117</v>
      </c>
      <c r="M93" s="5" t="s">
        <v>523</v>
      </c>
      <c r="S93" s="58"/>
      <c r="T93" s="6"/>
      <c r="U93" s="12"/>
      <c r="W93" s="8"/>
      <c r="AE93" s="24"/>
      <c r="AO93" s="15" t="s">
        <v>129</v>
      </c>
      <c r="AP93" s="3" t="s">
        <v>130</v>
      </c>
      <c r="AR93" s="3" t="s">
        <v>129</v>
      </c>
      <c r="AS93" s="17">
        <v>0</v>
      </c>
    </row>
    <row r="94" spans="1:45" ht="24" customHeight="1">
      <c r="A94" s="39"/>
      <c r="B94" s="39"/>
      <c r="C94" s="39"/>
      <c r="D94" s="39"/>
      <c r="F94" s="17">
        <v>10</v>
      </c>
      <c r="G94" s="15" t="s">
        <v>126</v>
      </c>
      <c r="H94" s="3" t="s">
        <v>524</v>
      </c>
      <c r="I94" s="17">
        <f>D61</f>
        <v>125.2</v>
      </c>
      <c r="J94" s="3" t="s">
        <v>126</v>
      </c>
      <c r="K94" s="17">
        <f>(F94*I94)</f>
        <v>1252</v>
      </c>
      <c r="M94" s="5">
        <v>23.2</v>
      </c>
      <c r="S94" s="49"/>
      <c r="T94" s="15"/>
      <c r="U94" s="3"/>
      <c r="V94" s="17"/>
      <c r="W94" s="3"/>
      <c r="X94" s="17"/>
      <c r="AE94" s="24"/>
      <c r="AO94" s="6"/>
      <c r="AR94" s="8"/>
      <c r="AS94" s="12" t="s">
        <v>117</v>
      </c>
    </row>
    <row r="95" spans="1:45" ht="24" customHeight="1">
      <c r="A95" s="39"/>
      <c r="B95" s="39"/>
      <c r="C95" s="39"/>
      <c r="D95" s="39"/>
      <c r="F95" s="17">
        <v>10</v>
      </c>
      <c r="G95" s="15" t="s">
        <v>126</v>
      </c>
      <c r="H95" s="3" t="s">
        <v>503</v>
      </c>
      <c r="I95" s="17">
        <f>D61</f>
        <v>125.2</v>
      </c>
      <c r="J95" s="3" t="s">
        <v>126</v>
      </c>
      <c r="K95" s="17">
        <f>(F95*I95)</f>
        <v>1252</v>
      </c>
      <c r="M95" s="5">
        <v>23.2</v>
      </c>
      <c r="S95" s="49"/>
      <c r="T95" s="15"/>
      <c r="U95" s="3"/>
      <c r="V95" s="17"/>
      <c r="W95" s="3"/>
      <c r="X95" s="17"/>
      <c r="AE95" s="24"/>
      <c r="AO95" s="6"/>
      <c r="AP95" s="3" t="s">
        <v>455</v>
      </c>
      <c r="AR95" s="8"/>
      <c r="AS95" s="17">
        <f>SUM(AS87:AS93)</f>
        <v>17112.109400000001</v>
      </c>
    </row>
    <row r="96" spans="1:45" ht="24" customHeight="1">
      <c r="A96" s="39"/>
      <c r="B96" s="39"/>
      <c r="C96" s="39"/>
      <c r="D96" s="39"/>
      <c r="F96" s="17">
        <v>10</v>
      </c>
      <c r="G96" s="15" t="s">
        <v>126</v>
      </c>
      <c r="H96" s="3" t="s">
        <v>505</v>
      </c>
      <c r="I96" s="17">
        <f>I83</f>
        <v>9.7666666666666675</v>
      </c>
      <c r="J96" s="3" t="s">
        <v>126</v>
      </c>
      <c r="K96" s="17">
        <f>(F96*I96)</f>
        <v>97.666666666666671</v>
      </c>
      <c r="M96" s="5">
        <f>I96</f>
        <v>9.7666666666666675</v>
      </c>
      <c r="S96" s="49"/>
      <c r="T96" s="15"/>
      <c r="U96" s="3"/>
      <c r="V96" s="17"/>
      <c r="W96" s="3"/>
      <c r="X96" s="17"/>
      <c r="AE96" s="24"/>
      <c r="AO96" s="6"/>
      <c r="AR96" s="8"/>
      <c r="AS96" s="12" t="s">
        <v>117</v>
      </c>
    </row>
    <row r="97" spans="1:48" ht="24" customHeight="1">
      <c r="A97" s="39"/>
      <c r="B97" s="39"/>
      <c r="C97" s="39"/>
      <c r="D97" s="39"/>
      <c r="G97" s="15" t="s">
        <v>129</v>
      </c>
      <c r="H97" s="3" t="s">
        <v>130</v>
      </c>
      <c r="J97" s="3" t="s">
        <v>129</v>
      </c>
      <c r="K97" s="17">
        <v>0</v>
      </c>
      <c r="M97" s="5">
        <f>SUM(M94:M96)</f>
        <v>56.166666666666664</v>
      </c>
      <c r="T97" s="15"/>
      <c r="U97" s="3"/>
      <c r="W97" s="3"/>
      <c r="X97" s="17"/>
      <c r="AE97" s="24"/>
      <c r="AO97" s="6"/>
      <c r="AP97" s="4" t="s">
        <v>383</v>
      </c>
      <c r="AR97" s="8"/>
      <c r="AS97" s="17">
        <f>(AS95/2.83168)</f>
        <v>6043.0943468188498</v>
      </c>
    </row>
    <row r="98" spans="1:48" ht="24" customHeight="1">
      <c r="A98" s="39"/>
      <c r="B98" s="39"/>
      <c r="C98" s="39"/>
      <c r="D98" s="39"/>
      <c r="K98" s="12" t="s">
        <v>117</v>
      </c>
      <c r="T98" s="6"/>
      <c r="W98" s="8"/>
      <c r="X98" s="12"/>
      <c r="AE98" s="24"/>
      <c r="AO98" s="6"/>
      <c r="AR98" s="8"/>
      <c r="AS98" s="12" t="s">
        <v>155</v>
      </c>
    </row>
    <row r="99" spans="1:48" ht="24" customHeight="1">
      <c r="A99" s="39"/>
      <c r="B99" s="39"/>
      <c r="C99" s="39"/>
      <c r="D99" s="39"/>
      <c r="H99" s="3" t="s">
        <v>455</v>
      </c>
      <c r="K99" s="17">
        <f>SUM(K94:K97)</f>
        <v>2601.6666666666665</v>
      </c>
      <c r="T99" s="6"/>
      <c r="U99" s="3"/>
      <c r="W99" s="8"/>
      <c r="X99" s="17"/>
      <c r="AE99" s="24"/>
      <c r="AO99" s="6"/>
      <c r="AP99" s="3" t="s">
        <v>482</v>
      </c>
      <c r="AR99" s="8"/>
      <c r="AS99" s="16">
        <f>AS97+C19</f>
        <v>6102.2943468188496</v>
      </c>
      <c r="AU99" s="5">
        <f>AS99*22.69/100</f>
        <v>1384.6105872931971</v>
      </c>
      <c r="AV99" s="5">
        <f>AS99-AU99</f>
        <v>4717.6837595256529</v>
      </c>
    </row>
    <row r="100" spans="1:48" ht="24" customHeight="1">
      <c r="A100" s="39"/>
      <c r="B100" s="39"/>
      <c r="C100" s="39"/>
      <c r="D100" s="39"/>
      <c r="K100" s="12" t="s">
        <v>117</v>
      </c>
      <c r="T100" s="6"/>
      <c r="W100" s="8"/>
      <c r="X100" s="12"/>
      <c r="AE100" s="24"/>
      <c r="AO100" s="6"/>
      <c r="AP100" s="3" t="s">
        <v>486</v>
      </c>
      <c r="AR100" s="8"/>
      <c r="AS100" s="16">
        <f>(AS99+C20)</f>
        <v>6221.5943468188498</v>
      </c>
      <c r="AU100" s="5">
        <f t="shared" ref="AU100:AU163" si="15">AS100*22.69/100</f>
        <v>1411.6797572931971</v>
      </c>
      <c r="AV100" s="5">
        <f t="shared" ref="AV100:AV163" si="16">AS100-AU100</f>
        <v>4809.9145895256524</v>
      </c>
    </row>
    <row r="101" spans="1:48" ht="24" customHeight="1">
      <c r="A101" s="39"/>
      <c r="B101" s="39"/>
      <c r="C101" s="39"/>
      <c r="D101" s="39"/>
      <c r="H101" s="7" t="s">
        <v>512</v>
      </c>
      <c r="I101" s="50" t="s">
        <v>513</v>
      </c>
      <c r="J101" s="59"/>
      <c r="K101" s="16">
        <f>(K99/10)</f>
        <v>260.16666666666663</v>
      </c>
      <c r="M101" s="5">
        <f>SUM(M94:M95)</f>
        <v>46.4</v>
      </c>
      <c r="T101" s="6"/>
      <c r="U101" s="7"/>
      <c r="V101" s="50"/>
      <c r="W101" s="59"/>
      <c r="X101" s="16"/>
      <c r="AE101" s="24"/>
      <c r="AO101" s="6"/>
      <c r="AP101" s="3" t="s">
        <v>489</v>
      </c>
      <c r="AR101" s="8"/>
      <c r="AS101" s="16">
        <f>(AS100+C20)</f>
        <v>6340.89434681885</v>
      </c>
      <c r="AU101" s="5">
        <f t="shared" si="15"/>
        <v>1438.7489272931971</v>
      </c>
      <c r="AV101" s="5">
        <f t="shared" si="16"/>
        <v>4902.1454195256529</v>
      </c>
    </row>
    <row r="102" spans="1:48" ht="24" customHeight="1">
      <c r="A102" s="39"/>
      <c r="B102" s="39"/>
      <c r="C102" s="39"/>
      <c r="D102" s="39"/>
      <c r="I102" s="50" t="s">
        <v>515</v>
      </c>
      <c r="J102" s="59"/>
      <c r="K102" s="14">
        <f>ROUND(K101+C36,2)</f>
        <v>268.27</v>
      </c>
      <c r="T102" s="6"/>
      <c r="V102" s="50"/>
      <c r="W102" s="59"/>
      <c r="X102" s="14"/>
      <c r="AE102" s="24"/>
      <c r="AO102" s="6"/>
      <c r="AP102" s="3" t="s">
        <v>491</v>
      </c>
      <c r="AR102" s="8"/>
      <c r="AS102" s="16">
        <f>(AS101+C20)</f>
        <v>6460.1943468188501</v>
      </c>
      <c r="AU102" s="5">
        <f t="shared" si="15"/>
        <v>1465.8180972931971</v>
      </c>
      <c r="AV102" s="5">
        <f t="shared" si="16"/>
        <v>4994.3762495256533</v>
      </c>
    </row>
    <row r="103" spans="1:48" ht="24" customHeight="1">
      <c r="A103" s="39"/>
      <c r="B103" s="39"/>
      <c r="C103" s="39"/>
      <c r="D103" s="39"/>
      <c r="I103" s="50"/>
      <c r="J103" s="59"/>
      <c r="K103" s="61"/>
      <c r="T103" s="6"/>
      <c r="V103" s="50"/>
      <c r="W103" s="59"/>
      <c r="X103" s="61"/>
      <c r="AE103" s="24"/>
      <c r="AN103" s="3" t="s">
        <v>115</v>
      </c>
      <c r="AO103" s="6"/>
      <c r="AP103" s="3" t="s">
        <v>496</v>
      </c>
      <c r="AR103" s="8"/>
      <c r="AS103" s="16">
        <f>(AS102+C20)</f>
        <v>6579.4943468188503</v>
      </c>
      <c r="AU103" s="5">
        <f t="shared" si="15"/>
        <v>1492.8872672931973</v>
      </c>
      <c r="AV103" s="5">
        <f t="shared" si="16"/>
        <v>5086.6070795256528</v>
      </c>
    </row>
    <row r="104" spans="1:48" ht="30.75" customHeight="1">
      <c r="A104" s="39"/>
      <c r="B104" s="39"/>
      <c r="C104" s="39"/>
      <c r="D104" s="39"/>
      <c r="F104" s="51">
        <v>1.7</v>
      </c>
      <c r="H104" s="60" t="s">
        <v>525</v>
      </c>
      <c r="I104" s="50" t="s">
        <v>513</v>
      </c>
      <c r="J104" s="59"/>
      <c r="K104" s="14">
        <f>ROUND(K101-K96/10,2)</f>
        <v>250.4</v>
      </c>
      <c r="S104" s="56"/>
      <c r="T104" s="6"/>
      <c r="U104" s="60"/>
      <c r="V104" s="50"/>
      <c r="W104" s="59"/>
      <c r="X104" s="14"/>
      <c r="AE104" s="24"/>
      <c r="AN104" s="38">
        <v>27</v>
      </c>
      <c r="AO104" s="15" t="s">
        <v>122</v>
      </c>
      <c r="AP104" s="3" t="s">
        <v>526</v>
      </c>
      <c r="AR104" s="8"/>
    </row>
    <row r="105" spans="1:48" ht="24" customHeight="1">
      <c r="A105" s="39"/>
      <c r="B105" s="39"/>
      <c r="C105" s="39"/>
      <c r="D105" s="39"/>
      <c r="I105" s="50" t="s">
        <v>515</v>
      </c>
      <c r="J105" s="59"/>
      <c r="K105" s="14">
        <f>ROUND(K104+C36,2)</f>
        <v>258.5</v>
      </c>
      <c r="T105" s="6"/>
      <c r="V105" s="50"/>
      <c r="W105" s="59"/>
      <c r="X105" s="14"/>
      <c r="AE105" s="24"/>
      <c r="AO105" s="6"/>
      <c r="AP105" s="3" t="str">
        <f>AP85</f>
        <v>Bricks of size 23x11x7 cm</v>
      </c>
      <c r="AR105" s="8"/>
    </row>
    <row r="106" spans="1:48" ht="24" customHeight="1">
      <c r="A106" s="39"/>
      <c r="B106" s="39"/>
      <c r="C106" s="39"/>
      <c r="D106" s="39"/>
      <c r="K106" s="12"/>
      <c r="T106" s="6"/>
      <c r="W106" s="8"/>
      <c r="X106" s="12"/>
      <c r="AE106" s="24"/>
      <c r="AO106" s="6"/>
      <c r="AP106" s="12" t="s">
        <v>117</v>
      </c>
      <c r="AR106" s="8"/>
    </row>
    <row r="107" spans="1:48" ht="24" customHeight="1">
      <c r="A107" s="39"/>
      <c r="B107" s="39"/>
      <c r="C107" s="39"/>
      <c r="D107" s="39"/>
      <c r="K107" s="12"/>
      <c r="T107" s="6"/>
      <c r="W107" s="8"/>
      <c r="X107" s="12"/>
      <c r="AE107" s="24"/>
      <c r="AN107" s="17">
        <v>1300</v>
      </c>
      <c r="AO107" s="15" t="s">
        <v>467</v>
      </c>
      <c r="AP107" s="17" t="str">
        <f>AP61</f>
        <v>Bricks of size 23x11x7 cm</v>
      </c>
      <c r="AQ107" s="17">
        <f>AC45</f>
        <v>6714.95</v>
      </c>
      <c r="AR107" s="3" t="s">
        <v>468</v>
      </c>
      <c r="AS107" s="17">
        <f>(AN107*AQ107)/1000</f>
        <v>8729.4349999999995</v>
      </c>
      <c r="AU107" s="5">
        <f t="shared" si="15"/>
        <v>1980.7088015000002</v>
      </c>
      <c r="AV107" s="5">
        <f t="shared" si="16"/>
        <v>6748.7261984999996</v>
      </c>
    </row>
    <row r="108" spans="1:48" ht="38.25" customHeight="1">
      <c r="A108" s="39"/>
      <c r="B108" s="39"/>
      <c r="C108" s="39"/>
      <c r="D108" s="39"/>
      <c r="F108" s="51">
        <v>1.4</v>
      </c>
      <c r="G108" s="15" t="s">
        <v>115</v>
      </c>
      <c r="H108" s="62" t="s">
        <v>527</v>
      </c>
      <c r="S108" s="56">
        <v>1.4</v>
      </c>
      <c r="T108" s="15" t="s">
        <v>115</v>
      </c>
      <c r="U108" s="62" t="s">
        <v>527</v>
      </c>
      <c r="W108" s="8"/>
      <c r="AE108" s="24"/>
      <c r="AN108" s="49">
        <v>0.70799999999999996</v>
      </c>
      <c r="AO108" s="15" t="s">
        <v>126</v>
      </c>
      <c r="AP108" s="3" t="s">
        <v>134</v>
      </c>
      <c r="AQ108" s="17">
        <f>K40</f>
        <v>3497.8</v>
      </c>
      <c r="AR108" s="3" t="s">
        <v>126</v>
      </c>
      <c r="AS108" s="17">
        <f>(AN108*AQ108)</f>
        <v>2476.4423999999999</v>
      </c>
      <c r="AU108" s="5">
        <f t="shared" si="15"/>
        <v>561.90478055999995</v>
      </c>
      <c r="AV108" s="5">
        <f t="shared" si="16"/>
        <v>1914.5376194400001</v>
      </c>
    </row>
    <row r="109" spans="1:48" ht="24" customHeight="1">
      <c r="A109" s="39"/>
      <c r="B109" s="39"/>
      <c r="C109" s="39"/>
      <c r="D109" s="39"/>
      <c r="T109" s="6"/>
      <c r="W109" s="8"/>
      <c r="AE109" s="24"/>
      <c r="AN109" s="17">
        <v>1</v>
      </c>
      <c r="AO109" s="15" t="s">
        <v>209</v>
      </c>
      <c r="AP109" s="3" t="s">
        <v>144</v>
      </c>
      <c r="AQ109" s="17">
        <f>AQ89</f>
        <v>769</v>
      </c>
      <c r="AR109" s="3" t="s">
        <v>209</v>
      </c>
      <c r="AS109" s="17">
        <f>(AN109*AQ109)</f>
        <v>769</v>
      </c>
      <c r="AU109" s="5">
        <f t="shared" si="15"/>
        <v>174.48609999999999</v>
      </c>
      <c r="AV109" s="5">
        <f t="shared" si="16"/>
        <v>594.51390000000004</v>
      </c>
    </row>
    <row r="110" spans="1:48" ht="24" customHeight="1">
      <c r="A110" s="39"/>
      <c r="B110" s="39"/>
      <c r="C110" s="39"/>
      <c r="D110" s="39"/>
      <c r="F110" s="17">
        <v>10</v>
      </c>
      <c r="G110" s="15" t="s">
        <v>126</v>
      </c>
      <c r="H110" s="3" t="s">
        <v>501</v>
      </c>
      <c r="I110" s="17">
        <f>C61</f>
        <v>84</v>
      </c>
      <c r="J110" s="3" t="s">
        <v>126</v>
      </c>
      <c r="K110" s="17">
        <f>(F110*I110)</f>
        <v>840</v>
      </c>
      <c r="S110" s="49">
        <v>10</v>
      </c>
      <c r="T110" s="15" t="s">
        <v>126</v>
      </c>
      <c r="U110" s="3" t="s">
        <v>501</v>
      </c>
      <c r="V110" s="17">
        <f>V81</f>
        <v>56.1</v>
      </c>
      <c r="W110" s="3" t="s">
        <v>126</v>
      </c>
      <c r="X110" s="17">
        <f>(S110*V110)</f>
        <v>561</v>
      </c>
      <c r="AE110" s="24"/>
      <c r="AN110" s="17">
        <v>3</v>
      </c>
      <c r="AO110" s="15" t="s">
        <v>209</v>
      </c>
      <c r="AP110" s="3" t="s">
        <v>145</v>
      </c>
      <c r="AQ110" s="17">
        <f>AQ90</f>
        <v>718</v>
      </c>
      <c r="AR110" s="3" t="s">
        <v>209</v>
      </c>
      <c r="AS110" s="17">
        <f>(AN110*AQ110)</f>
        <v>2154</v>
      </c>
      <c r="AU110" s="5">
        <f t="shared" si="15"/>
        <v>488.74260000000004</v>
      </c>
      <c r="AV110" s="5">
        <f t="shared" si="16"/>
        <v>1665.2574</v>
      </c>
    </row>
    <row r="111" spans="1:48" ht="24" customHeight="1">
      <c r="A111" s="39"/>
      <c r="B111" s="39"/>
      <c r="C111" s="39"/>
      <c r="D111" s="39"/>
      <c r="F111" s="17">
        <v>10</v>
      </c>
      <c r="G111" s="15" t="s">
        <v>126</v>
      </c>
      <c r="H111" s="3" t="s">
        <v>505</v>
      </c>
      <c r="I111" s="17">
        <f>I83</f>
        <v>9.7666666666666675</v>
      </c>
      <c r="J111" s="3" t="s">
        <v>126</v>
      </c>
      <c r="K111" s="17">
        <f>(F111*I111)</f>
        <v>97.666666666666671</v>
      </c>
      <c r="S111" s="49">
        <v>10</v>
      </c>
      <c r="T111" s="15" t="s">
        <v>126</v>
      </c>
      <c r="U111" s="3" t="s">
        <v>505</v>
      </c>
      <c r="V111" s="17">
        <f>V83</f>
        <v>8.5666666666666664</v>
      </c>
      <c r="W111" s="3" t="s">
        <v>126</v>
      </c>
      <c r="X111" s="17">
        <f>(S111*V111)</f>
        <v>85.666666666666657</v>
      </c>
      <c r="AE111" s="24"/>
      <c r="AN111" s="17">
        <v>2</v>
      </c>
      <c r="AO111" s="15" t="s">
        <v>209</v>
      </c>
      <c r="AP111" s="3" t="s">
        <v>146</v>
      </c>
      <c r="AQ111" s="17">
        <f>AQ91</f>
        <v>502</v>
      </c>
      <c r="AR111" s="3" t="s">
        <v>209</v>
      </c>
      <c r="AS111" s="17">
        <f>(AN111*AQ111)</f>
        <v>1004</v>
      </c>
      <c r="AU111" s="5">
        <f t="shared" si="15"/>
        <v>227.80760000000001</v>
      </c>
      <c r="AV111" s="5">
        <f t="shared" si="16"/>
        <v>776.19240000000002</v>
      </c>
    </row>
    <row r="112" spans="1:48" ht="24" customHeight="1">
      <c r="A112" s="39"/>
      <c r="B112" s="39"/>
      <c r="C112" s="39"/>
      <c r="D112" s="39"/>
      <c r="G112" s="15" t="s">
        <v>129</v>
      </c>
      <c r="H112" s="3" t="s">
        <v>130</v>
      </c>
      <c r="J112" s="3" t="s">
        <v>129</v>
      </c>
      <c r="K112" s="17">
        <v>0</v>
      </c>
      <c r="T112" s="15" t="s">
        <v>129</v>
      </c>
      <c r="U112" s="3" t="s">
        <v>130</v>
      </c>
      <c r="W112" s="3" t="s">
        <v>129</v>
      </c>
      <c r="X112" s="17">
        <v>0</v>
      </c>
      <c r="AE112" s="24"/>
      <c r="AN112" s="17">
        <v>6</v>
      </c>
      <c r="AO112" s="15" t="s">
        <v>209</v>
      </c>
      <c r="AP112" s="3" t="s">
        <v>147</v>
      </c>
      <c r="AQ112" s="17">
        <f>AQ92</f>
        <v>412</v>
      </c>
      <c r="AR112" s="3" t="s">
        <v>209</v>
      </c>
      <c r="AS112" s="17">
        <f>(AN112*AQ112)</f>
        <v>2472</v>
      </c>
      <c r="AU112" s="5">
        <f t="shared" si="15"/>
        <v>560.89679999999998</v>
      </c>
      <c r="AV112" s="5">
        <f t="shared" si="16"/>
        <v>1911.1032</v>
      </c>
    </row>
    <row r="113" spans="1:48" ht="24" customHeight="1">
      <c r="A113" s="39"/>
      <c r="B113" s="39"/>
      <c r="C113" s="39"/>
      <c r="D113" s="39"/>
      <c r="K113" s="12" t="s">
        <v>117</v>
      </c>
      <c r="T113" s="6"/>
      <c r="W113" s="8"/>
      <c r="X113" s="12" t="s">
        <v>117</v>
      </c>
      <c r="AE113" s="24"/>
      <c r="AO113" s="15" t="s">
        <v>129</v>
      </c>
      <c r="AP113" s="3" t="s">
        <v>130</v>
      </c>
      <c r="AR113" s="3" t="s">
        <v>129</v>
      </c>
      <c r="AS113" s="17">
        <v>0</v>
      </c>
      <c r="AU113" s="5">
        <f t="shared" si="15"/>
        <v>0</v>
      </c>
      <c r="AV113" s="5">
        <f t="shared" si="16"/>
        <v>0</v>
      </c>
    </row>
    <row r="114" spans="1:48" ht="24" customHeight="1">
      <c r="A114" s="39"/>
      <c r="B114" s="39"/>
      <c r="C114" s="39"/>
      <c r="D114" s="39"/>
      <c r="H114" s="3" t="s">
        <v>455</v>
      </c>
      <c r="K114" s="17">
        <f>SUM(K110:K112)</f>
        <v>937.66666666666663</v>
      </c>
      <c r="T114" s="6"/>
      <c r="U114" s="3" t="s">
        <v>455</v>
      </c>
      <c r="W114" s="8"/>
      <c r="X114" s="17">
        <f>SUM(X110:X112)</f>
        <v>646.66666666666663</v>
      </c>
      <c r="AE114" s="24"/>
      <c r="AO114" s="6"/>
      <c r="AR114" s="8"/>
      <c r="AS114" s="12" t="s">
        <v>117</v>
      </c>
      <c r="AU114" s="5">
        <f t="shared" si="15"/>
        <v>0</v>
      </c>
      <c r="AV114" s="5">
        <f t="shared" si="16"/>
        <v>0</v>
      </c>
    </row>
    <row r="115" spans="1:48" ht="24" customHeight="1">
      <c r="A115" s="39"/>
      <c r="B115" s="39"/>
      <c r="C115" s="39"/>
      <c r="D115" s="39"/>
      <c r="K115" s="12" t="s">
        <v>117</v>
      </c>
      <c r="T115" s="6"/>
      <c r="W115" s="8"/>
      <c r="X115" s="12" t="s">
        <v>117</v>
      </c>
      <c r="AE115" s="24"/>
      <c r="AO115" s="6"/>
      <c r="AP115" s="3" t="s">
        <v>455</v>
      </c>
      <c r="AR115" s="8"/>
      <c r="AS115" s="17">
        <f>SUM(AS107:AS113)</f>
        <v>17604.877399999998</v>
      </c>
      <c r="AU115" s="5">
        <f t="shared" si="15"/>
        <v>3994.5466820599995</v>
      </c>
      <c r="AV115" s="5">
        <f t="shared" si="16"/>
        <v>13610.330717939998</v>
      </c>
    </row>
    <row r="116" spans="1:48" ht="24" customHeight="1">
      <c r="A116" s="39"/>
      <c r="B116" s="39"/>
      <c r="C116" s="39"/>
      <c r="D116" s="39"/>
      <c r="H116" s="3"/>
      <c r="K116" s="16">
        <f>(K114/10)</f>
        <v>93.766666666666666</v>
      </c>
      <c r="L116" s="50">
        <f>K116+C36</f>
        <v>101.86666666666666</v>
      </c>
      <c r="M116" s="5">
        <f>M94</f>
        <v>23.2</v>
      </c>
      <c r="T116" s="6"/>
      <c r="U116" s="3"/>
      <c r="W116" s="8"/>
      <c r="X116" s="16">
        <f>(X114/10)</f>
        <v>64.666666666666657</v>
      </c>
      <c r="AE116" s="24"/>
      <c r="AO116" s="6"/>
      <c r="AR116" s="8"/>
      <c r="AS116" s="12" t="s">
        <v>117</v>
      </c>
      <c r="AU116" s="5">
        <f t="shared" si="15"/>
        <v>0</v>
      </c>
      <c r="AV116" s="5">
        <f t="shared" si="16"/>
        <v>0</v>
      </c>
    </row>
    <row r="117" spans="1:48" ht="24" customHeight="1">
      <c r="A117" s="39"/>
      <c r="B117" s="39"/>
      <c r="C117" s="39"/>
      <c r="D117" s="39"/>
      <c r="K117" s="12"/>
      <c r="T117" s="6"/>
      <c r="W117" s="8"/>
      <c r="X117" s="12"/>
      <c r="AE117" s="24"/>
      <c r="AO117" s="6"/>
      <c r="AP117" s="3" t="s">
        <v>383</v>
      </c>
      <c r="AR117" s="8"/>
      <c r="AS117" s="16">
        <f>(AS115/2.83168)</f>
        <v>6217.1140100576331</v>
      </c>
      <c r="AU117" s="5">
        <f t="shared" si="15"/>
        <v>1410.6631688820771</v>
      </c>
      <c r="AV117" s="5">
        <f t="shared" si="16"/>
        <v>4806.450841175556</v>
      </c>
    </row>
    <row r="118" spans="1:48" ht="24" customHeight="1">
      <c r="A118" s="39"/>
      <c r="B118" s="39"/>
      <c r="C118" s="39"/>
      <c r="D118" s="39"/>
      <c r="F118" s="51">
        <v>1.5</v>
      </c>
      <c r="H118" s="3" t="s">
        <v>528</v>
      </c>
      <c r="I118" s="50" t="s">
        <v>513</v>
      </c>
      <c r="K118" s="16">
        <f>K116-K111/10</f>
        <v>84</v>
      </c>
      <c r="S118" s="56">
        <v>1.5</v>
      </c>
      <c r="T118" s="6"/>
      <c r="U118" s="3" t="s">
        <v>528</v>
      </c>
      <c r="V118" s="50" t="s">
        <v>513</v>
      </c>
      <c r="W118" s="8"/>
      <c r="X118" s="16">
        <f>X116-X111/10</f>
        <v>56.099999999999994</v>
      </c>
      <c r="AE118" s="24"/>
      <c r="AO118" s="6"/>
      <c r="AR118" s="8"/>
      <c r="AS118" s="12" t="s">
        <v>155</v>
      </c>
      <c r="AU118" s="5">
        <f t="shared" si="15"/>
        <v>0</v>
      </c>
      <c r="AV118" s="5">
        <f t="shared" si="16"/>
        <v>0</v>
      </c>
    </row>
    <row r="119" spans="1:48" ht="24" customHeight="1">
      <c r="A119" s="39"/>
      <c r="B119" s="39"/>
      <c r="C119" s="39"/>
      <c r="D119" s="39"/>
      <c r="I119" s="50" t="s">
        <v>515</v>
      </c>
      <c r="K119" s="14">
        <f>ROUND(K118+C36,2)</f>
        <v>92.1</v>
      </c>
      <c r="T119" s="6"/>
      <c r="V119" s="50" t="s">
        <v>515</v>
      </c>
      <c r="W119" s="8"/>
      <c r="X119" s="14">
        <f>ROUND(X118+P36,2)</f>
        <v>56.1</v>
      </c>
      <c r="AE119" s="24"/>
      <c r="AO119" s="6"/>
      <c r="AP119" s="3" t="s">
        <v>482</v>
      </c>
      <c r="AR119" s="8"/>
      <c r="AS119" s="17">
        <f>(AS117+C19)</f>
        <v>6276.3140100576329</v>
      </c>
      <c r="AT119" s="5">
        <f>AS119-AS117</f>
        <v>59.199999999999818</v>
      </c>
      <c r="AU119" s="5">
        <f t="shared" si="15"/>
        <v>1424.0956488820771</v>
      </c>
      <c r="AV119" s="5">
        <f t="shared" si="16"/>
        <v>4852.2183611755554</v>
      </c>
    </row>
    <row r="120" spans="1:48" ht="24" customHeight="1">
      <c r="A120" s="39"/>
      <c r="B120" s="39"/>
      <c r="C120" s="39"/>
      <c r="D120" s="39"/>
      <c r="I120" s="5" t="s">
        <v>529</v>
      </c>
      <c r="K120" s="14">
        <f>ROUND(K119+C36,2)</f>
        <v>100.2</v>
      </c>
      <c r="T120" s="6"/>
      <c r="W120" s="8"/>
      <c r="X120" s="12"/>
      <c r="AE120" s="24"/>
      <c r="AO120" s="6"/>
      <c r="AP120" s="3" t="s">
        <v>486</v>
      </c>
      <c r="AR120" s="8"/>
      <c r="AS120" s="17">
        <f>(AS119+C20)</f>
        <v>6395.6140100576331</v>
      </c>
      <c r="AT120" s="5">
        <f>AS120-AS119</f>
        <v>119.30000000000018</v>
      </c>
      <c r="AU120" s="5">
        <f t="shared" si="15"/>
        <v>1451.164818882077</v>
      </c>
      <c r="AV120" s="5">
        <f t="shared" si="16"/>
        <v>4944.4491911755558</v>
      </c>
    </row>
    <row r="121" spans="1:48" ht="24" customHeight="1">
      <c r="A121" s="39"/>
      <c r="B121" s="39"/>
      <c r="C121" s="39"/>
      <c r="D121" s="39"/>
      <c r="I121" s="5" t="s">
        <v>530</v>
      </c>
      <c r="K121" s="14">
        <f>ROUND(K120+C36,2)</f>
        <v>108.3</v>
      </c>
      <c r="T121" s="6"/>
      <c r="W121" s="8"/>
      <c r="X121" s="12"/>
      <c r="AE121" s="24"/>
      <c r="AO121" s="6"/>
      <c r="AP121" s="3" t="s">
        <v>489</v>
      </c>
      <c r="AR121" s="8"/>
      <c r="AS121" s="17">
        <f>(AS120+C20)</f>
        <v>6514.9140100576333</v>
      </c>
      <c r="AU121" s="5">
        <f t="shared" si="15"/>
        <v>1478.233988882077</v>
      </c>
      <c r="AV121" s="5">
        <f t="shared" si="16"/>
        <v>5036.6800211755562</v>
      </c>
    </row>
    <row r="122" spans="1:48" ht="28.5" customHeight="1">
      <c r="A122" s="39"/>
      <c r="B122" s="39"/>
      <c r="C122" s="39"/>
      <c r="D122" s="39"/>
      <c r="F122" s="63">
        <v>1.8</v>
      </c>
      <c r="H122" s="62" t="s">
        <v>531</v>
      </c>
      <c r="K122" s="12"/>
      <c r="M122" s="4" t="s">
        <v>532</v>
      </c>
      <c r="N122" s="15" t="s">
        <v>122</v>
      </c>
      <c r="O122" s="3" t="s">
        <v>533</v>
      </c>
      <c r="Q122" s="8"/>
      <c r="S122" s="64"/>
      <c r="T122" s="6"/>
      <c r="U122" s="62"/>
      <c r="W122" s="8"/>
      <c r="X122" s="12"/>
      <c r="AE122" s="24"/>
      <c r="AO122" s="6"/>
      <c r="AP122" s="3" t="s">
        <v>491</v>
      </c>
      <c r="AR122" s="8"/>
      <c r="AS122" s="17">
        <f>AS121+C20</f>
        <v>6634.2140100576335</v>
      </c>
      <c r="AU122" s="5">
        <f t="shared" si="15"/>
        <v>1505.3031588820772</v>
      </c>
      <c r="AV122" s="5">
        <f t="shared" si="16"/>
        <v>5128.9108511755567</v>
      </c>
    </row>
    <row r="123" spans="1:48" ht="24" customHeight="1">
      <c r="A123" s="39"/>
      <c r="B123" s="39"/>
      <c r="C123" s="39"/>
      <c r="D123" s="39"/>
      <c r="K123" s="12"/>
      <c r="N123" s="6"/>
      <c r="O123" s="3" t="s">
        <v>534</v>
      </c>
      <c r="Q123" s="8"/>
      <c r="T123" s="6"/>
      <c r="W123" s="8"/>
      <c r="X123" s="12"/>
      <c r="AE123" s="24"/>
      <c r="AO123" s="6"/>
      <c r="AP123" s="3" t="s">
        <v>496</v>
      </c>
      <c r="AR123" s="8"/>
      <c r="AS123" s="17">
        <f>AS122+C20</f>
        <v>6753.5140100576336</v>
      </c>
      <c r="AU123" s="5">
        <f t="shared" si="15"/>
        <v>1532.3723288820772</v>
      </c>
      <c r="AV123" s="5">
        <f t="shared" si="16"/>
        <v>5221.1416811755562</v>
      </c>
    </row>
    <row r="124" spans="1:48" ht="24" customHeight="1">
      <c r="A124" s="39"/>
      <c r="B124" s="39"/>
      <c r="C124" s="39"/>
      <c r="D124" s="39"/>
      <c r="F124" s="17">
        <v>10</v>
      </c>
      <c r="G124" s="15" t="s">
        <v>126</v>
      </c>
      <c r="H124" s="3" t="s">
        <v>524</v>
      </c>
      <c r="I124" s="5">
        <f>D61</f>
        <v>125.2</v>
      </c>
      <c r="J124" s="3" t="s">
        <v>126</v>
      </c>
      <c r="K124" s="17">
        <f>(F124*I124)</f>
        <v>1252</v>
      </c>
      <c r="N124" s="6"/>
      <c r="O124" s="12" t="s">
        <v>117</v>
      </c>
      <c r="Q124" s="8"/>
      <c r="S124" s="49"/>
      <c r="T124" s="15"/>
      <c r="U124" s="3"/>
      <c r="W124" s="3" t="s">
        <v>126</v>
      </c>
      <c r="X124" s="17"/>
      <c r="AE124" s="24"/>
      <c r="AO124" s="6"/>
      <c r="AP124" s="3" t="s">
        <v>535</v>
      </c>
      <c r="AR124" s="8"/>
      <c r="AS124" s="17">
        <f>(AS119+AS120+AS121+AS122)/4</f>
        <v>6455.2640100576327</v>
      </c>
      <c r="AU124" s="5">
        <f t="shared" si="15"/>
        <v>1464.6994038820769</v>
      </c>
      <c r="AV124" s="5">
        <f t="shared" si="16"/>
        <v>4990.564606175556</v>
      </c>
    </row>
    <row r="125" spans="1:48" ht="24" customHeight="1">
      <c r="A125" s="39"/>
      <c r="B125" s="39"/>
      <c r="C125" s="39"/>
      <c r="D125" s="39"/>
      <c r="G125" s="6" t="s">
        <v>166</v>
      </c>
      <c r="J125" s="8" t="s">
        <v>166</v>
      </c>
      <c r="K125" s="17">
        <v>0</v>
      </c>
      <c r="M125" s="17">
        <v>1</v>
      </c>
      <c r="N125" s="15" t="s">
        <v>126</v>
      </c>
      <c r="O125" s="3" t="s">
        <v>536</v>
      </c>
      <c r="P125" s="17">
        <f>AC39</f>
        <v>396.02</v>
      </c>
      <c r="Q125" s="3" t="s">
        <v>126</v>
      </c>
      <c r="R125" s="17">
        <f>(M125*P125)</f>
        <v>396.02</v>
      </c>
      <c r="T125" s="6"/>
      <c r="W125" s="8" t="s">
        <v>166</v>
      </c>
      <c r="X125" s="17"/>
      <c r="AE125" s="24"/>
      <c r="AO125" s="6"/>
    </row>
    <row r="126" spans="1:48" ht="24" customHeight="1">
      <c r="A126" s="39"/>
      <c r="B126" s="39"/>
      <c r="C126" s="39"/>
      <c r="D126" s="39"/>
      <c r="K126" s="12" t="s">
        <v>117</v>
      </c>
      <c r="M126" s="17">
        <v>1</v>
      </c>
      <c r="N126" s="15" t="s">
        <v>126</v>
      </c>
      <c r="O126" s="3" t="s">
        <v>360</v>
      </c>
      <c r="P126" s="17">
        <f>P141</f>
        <v>29.3</v>
      </c>
      <c r="Q126" s="3" t="s">
        <v>126</v>
      </c>
      <c r="R126" s="17">
        <f>(M126*P126)</f>
        <v>29.3</v>
      </c>
      <c r="T126" s="6"/>
      <c r="W126" s="8"/>
      <c r="X126" s="12"/>
      <c r="AE126" s="24"/>
      <c r="AO126" s="6"/>
      <c r="AR126" s="8"/>
    </row>
    <row r="127" spans="1:48" ht="24" customHeight="1">
      <c r="A127" s="39"/>
      <c r="B127" s="39"/>
      <c r="C127" s="39"/>
      <c r="D127" s="39"/>
      <c r="H127" s="3" t="s">
        <v>455</v>
      </c>
      <c r="K127" s="17">
        <f>SUM(K124:K125)</f>
        <v>1252</v>
      </c>
      <c r="N127" s="15" t="s">
        <v>129</v>
      </c>
      <c r="O127" s="3" t="s">
        <v>130</v>
      </c>
      <c r="P127" s="3" t="s">
        <v>115</v>
      </c>
      <c r="Q127" s="3" t="s">
        <v>129</v>
      </c>
      <c r="R127" s="17">
        <v>0</v>
      </c>
      <c r="T127" s="6"/>
      <c r="U127" s="3"/>
      <c r="W127" s="8"/>
      <c r="X127" s="17"/>
      <c r="AE127" s="24"/>
      <c r="AO127" s="6"/>
      <c r="AP127" s="19" t="s">
        <v>537</v>
      </c>
      <c r="AR127" s="8"/>
    </row>
    <row r="128" spans="1:48" ht="24" customHeight="1">
      <c r="A128" s="39"/>
      <c r="B128" s="39"/>
      <c r="C128" s="39"/>
      <c r="D128" s="39"/>
      <c r="K128" s="12" t="s">
        <v>117</v>
      </c>
      <c r="N128" s="6"/>
      <c r="Q128" s="8"/>
      <c r="R128" s="12" t="s">
        <v>117</v>
      </c>
      <c r="T128" s="6"/>
      <c r="W128" s="8"/>
      <c r="X128" s="12"/>
      <c r="AE128" s="24"/>
      <c r="AO128" s="6"/>
      <c r="AP128" s="12" t="s">
        <v>117</v>
      </c>
      <c r="AR128" s="8"/>
    </row>
    <row r="129" spans="1:48" ht="38.25" customHeight="1">
      <c r="A129" s="39"/>
      <c r="B129" s="39"/>
      <c r="C129" s="39"/>
      <c r="D129" s="39"/>
      <c r="F129" s="65"/>
      <c r="H129" s="66" t="s">
        <v>538</v>
      </c>
      <c r="I129" s="50" t="s">
        <v>513</v>
      </c>
      <c r="K129" s="14">
        <f>ROUND(K127/10,2)</f>
        <v>125.2</v>
      </c>
      <c r="N129" s="6"/>
      <c r="O129" s="3" t="s">
        <v>131</v>
      </c>
      <c r="Q129" s="8"/>
      <c r="R129" s="17">
        <f>SUM(R125:R127)</f>
        <v>425.32</v>
      </c>
      <c r="S129" s="67"/>
      <c r="T129" s="6"/>
      <c r="U129" s="66"/>
      <c r="V129" s="50"/>
      <c r="W129" s="8"/>
      <c r="X129" s="14"/>
      <c r="AE129" s="24"/>
      <c r="AN129" s="38">
        <v>10</v>
      </c>
      <c r="AO129" s="15" t="s">
        <v>122</v>
      </c>
      <c r="AP129" s="3" t="s">
        <v>539</v>
      </c>
      <c r="AR129" s="8"/>
    </row>
    <row r="130" spans="1:48" ht="24" customHeight="1">
      <c r="A130" s="39"/>
      <c r="B130" s="39"/>
      <c r="C130" s="39"/>
      <c r="D130" s="39"/>
      <c r="I130" s="50" t="s">
        <v>515</v>
      </c>
      <c r="K130" s="14">
        <f>ROUND(K129+C36,2)</f>
        <v>133.30000000000001</v>
      </c>
      <c r="T130" s="6"/>
      <c r="V130" s="50"/>
      <c r="W130" s="8"/>
      <c r="X130" s="14"/>
      <c r="AE130" s="24"/>
      <c r="AO130" s="6"/>
      <c r="AP130" s="17" t="str">
        <f>AP61</f>
        <v>Bricks of size 23x11x7 cm</v>
      </c>
      <c r="AR130" s="8"/>
    </row>
    <row r="131" spans="1:48" ht="24" customHeight="1">
      <c r="A131" s="39"/>
      <c r="B131" s="39"/>
      <c r="C131" s="39"/>
      <c r="D131" s="39"/>
      <c r="I131" s="50"/>
      <c r="K131" s="12"/>
      <c r="T131" s="6"/>
      <c r="V131" s="50"/>
      <c r="W131" s="8"/>
      <c r="X131" s="12"/>
      <c r="AE131" s="24"/>
      <c r="AO131" s="6"/>
      <c r="AP131" s="12" t="s">
        <v>117</v>
      </c>
      <c r="AR131" s="8"/>
    </row>
    <row r="132" spans="1:48" ht="24" customHeight="1">
      <c r="A132" s="39"/>
      <c r="B132" s="39"/>
      <c r="C132" s="39"/>
      <c r="D132" s="39"/>
      <c r="F132" s="51">
        <v>1.6</v>
      </c>
      <c r="H132" s="3" t="s">
        <v>540</v>
      </c>
      <c r="I132" s="50"/>
      <c r="S132" s="56">
        <v>1.6</v>
      </c>
      <c r="T132" s="6"/>
      <c r="U132" s="3" t="s">
        <v>540</v>
      </c>
      <c r="V132" s="50"/>
      <c r="W132" s="8"/>
      <c r="AE132" s="24"/>
      <c r="AN132" s="17">
        <f>AN63</f>
        <v>1300</v>
      </c>
      <c r="AO132" s="15" t="s">
        <v>467</v>
      </c>
      <c r="AP132" s="17" t="str">
        <f>AP61</f>
        <v>Bricks of size 23x11x7 cm</v>
      </c>
      <c r="AQ132" s="17">
        <f>AC45</f>
        <v>6714.95</v>
      </c>
      <c r="AR132" s="3" t="s">
        <v>468</v>
      </c>
      <c r="AS132" s="17">
        <f>(AN132*AQ132)/1000</f>
        <v>8729.4349999999995</v>
      </c>
      <c r="AU132" s="5">
        <f t="shared" si="15"/>
        <v>1980.7088015000002</v>
      </c>
      <c r="AV132" s="5">
        <f t="shared" si="16"/>
        <v>6748.7261984999996</v>
      </c>
    </row>
    <row r="133" spans="1:48" ht="24" customHeight="1">
      <c r="A133" s="39"/>
      <c r="B133" s="39"/>
      <c r="C133" s="39"/>
      <c r="D133" s="39"/>
      <c r="H133" s="3" t="s">
        <v>541</v>
      </c>
      <c r="I133" s="50" t="s">
        <v>513</v>
      </c>
      <c r="K133" s="16">
        <f>C61*1.5</f>
        <v>126</v>
      </c>
      <c r="L133" s="16"/>
      <c r="M133" s="5">
        <f>M116*1.5</f>
        <v>34.799999999999997</v>
      </c>
      <c r="T133" s="6"/>
      <c r="U133" s="3" t="s">
        <v>541</v>
      </c>
      <c r="V133" s="50" t="s">
        <v>513</v>
      </c>
      <c r="W133" s="8"/>
      <c r="X133" s="16">
        <f>V81*1.5</f>
        <v>84.15</v>
      </c>
      <c r="AE133" s="24"/>
      <c r="AN133" s="49">
        <v>0.70799999999999996</v>
      </c>
      <c r="AO133" s="15" t="s">
        <v>126</v>
      </c>
      <c r="AP133" s="3" t="s">
        <v>134</v>
      </c>
      <c r="AQ133" s="17">
        <f>K40</f>
        <v>3497.8</v>
      </c>
      <c r="AR133" s="3" t="s">
        <v>126</v>
      </c>
      <c r="AS133" s="17">
        <f>(AN133*AQ133)</f>
        <v>2476.4423999999999</v>
      </c>
      <c r="AU133" s="5">
        <f t="shared" si="15"/>
        <v>561.90478055999995</v>
      </c>
      <c r="AV133" s="5">
        <f t="shared" si="16"/>
        <v>1914.5376194400001</v>
      </c>
    </row>
    <row r="134" spans="1:48" ht="24" customHeight="1">
      <c r="A134" s="39"/>
      <c r="B134" s="39"/>
      <c r="C134" s="39"/>
      <c r="D134" s="39"/>
      <c r="F134" s="3" t="s">
        <v>115</v>
      </c>
      <c r="H134" s="3" t="s">
        <v>542</v>
      </c>
      <c r="I134" s="50" t="s">
        <v>515</v>
      </c>
      <c r="K134" s="14">
        <f>ROUND(K133+C36,2)</f>
        <v>134.1</v>
      </c>
      <c r="S134" s="58" t="s">
        <v>115</v>
      </c>
      <c r="T134" s="6"/>
      <c r="U134" s="3" t="s">
        <v>542</v>
      </c>
      <c r="V134" s="50" t="s">
        <v>515</v>
      </c>
      <c r="W134" s="8"/>
      <c r="X134" s="14">
        <f>ROUND(X133+C36,2)</f>
        <v>92.25</v>
      </c>
      <c r="AE134" s="24"/>
      <c r="AN134" s="17">
        <v>1</v>
      </c>
      <c r="AO134" s="15" t="s">
        <v>209</v>
      </c>
      <c r="AP134" s="3" t="s">
        <v>144</v>
      </c>
      <c r="AQ134" s="17">
        <f>AQ109</f>
        <v>769</v>
      </c>
      <c r="AR134" s="3" t="s">
        <v>209</v>
      </c>
      <c r="AS134" s="17">
        <f>(AN134*AQ134)</f>
        <v>769</v>
      </c>
      <c r="AU134" s="5">
        <f t="shared" si="15"/>
        <v>174.48609999999999</v>
      </c>
      <c r="AV134" s="5">
        <f t="shared" si="16"/>
        <v>594.51390000000004</v>
      </c>
    </row>
    <row r="135" spans="1:48" ht="24" customHeight="1">
      <c r="A135" s="39"/>
      <c r="B135" s="39"/>
      <c r="C135" s="39"/>
      <c r="D135" s="39"/>
      <c r="K135" s="12" t="s">
        <v>155</v>
      </c>
      <c r="T135" s="6"/>
      <c r="W135" s="8"/>
      <c r="X135" s="12" t="s">
        <v>155</v>
      </c>
      <c r="AE135" s="24"/>
      <c r="AN135" s="17">
        <v>3</v>
      </c>
      <c r="AO135" s="15" t="s">
        <v>209</v>
      </c>
      <c r="AP135" s="3" t="s">
        <v>145</v>
      </c>
      <c r="AQ135" s="17">
        <f>AQ110</f>
        <v>718</v>
      </c>
      <c r="AR135" s="3" t="s">
        <v>209</v>
      </c>
      <c r="AS135" s="17">
        <f>(AN135*AQ135)</f>
        <v>2154</v>
      </c>
      <c r="AU135" s="5">
        <f t="shared" si="15"/>
        <v>488.74260000000004</v>
      </c>
      <c r="AV135" s="5">
        <f t="shared" si="16"/>
        <v>1665.2574</v>
      </c>
    </row>
    <row r="136" spans="1:48" ht="24" customHeight="1">
      <c r="A136" s="39"/>
      <c r="B136" s="39"/>
      <c r="C136" s="39"/>
      <c r="D136" s="39"/>
      <c r="H136" s="7" t="s">
        <v>543</v>
      </c>
      <c r="I136" s="50" t="s">
        <v>513</v>
      </c>
      <c r="K136" s="16">
        <f>C61*1.25</f>
        <v>105</v>
      </c>
      <c r="T136" s="6"/>
      <c r="U136" s="7" t="s">
        <v>544</v>
      </c>
      <c r="V136" s="50" t="s">
        <v>513</v>
      </c>
      <c r="W136" s="8"/>
      <c r="X136" s="16">
        <f>V81*1.25</f>
        <v>70.125</v>
      </c>
      <c r="AE136" s="24"/>
      <c r="AN136" s="17">
        <v>2</v>
      </c>
      <c r="AO136" s="15" t="s">
        <v>209</v>
      </c>
      <c r="AP136" s="3" t="s">
        <v>146</v>
      </c>
      <c r="AQ136" s="17">
        <f>AQ111</f>
        <v>502</v>
      </c>
      <c r="AR136" s="3" t="s">
        <v>209</v>
      </c>
      <c r="AS136" s="17">
        <f>(AN136*AQ136)</f>
        <v>1004</v>
      </c>
      <c r="AU136" s="5">
        <f t="shared" si="15"/>
        <v>227.80760000000001</v>
      </c>
      <c r="AV136" s="5">
        <f t="shared" si="16"/>
        <v>776.19240000000002</v>
      </c>
    </row>
    <row r="137" spans="1:48" ht="24" customHeight="1">
      <c r="A137" s="26">
        <f>(A91+1)</f>
        <v>80</v>
      </c>
      <c r="B137" s="27" t="s">
        <v>545</v>
      </c>
      <c r="C137" s="28">
        <f>AC30</f>
        <v>11559</v>
      </c>
      <c r="D137" s="68">
        <v>13.87</v>
      </c>
      <c r="E137" s="3" t="s">
        <v>115</v>
      </c>
      <c r="F137" s="4" t="s">
        <v>532</v>
      </c>
      <c r="G137" s="15" t="s">
        <v>122</v>
      </c>
      <c r="H137" s="3" t="s">
        <v>533</v>
      </c>
      <c r="M137" s="4" t="s">
        <v>532</v>
      </c>
      <c r="N137" s="15" t="s">
        <v>122</v>
      </c>
      <c r="O137" s="3" t="s">
        <v>533</v>
      </c>
      <c r="Q137" s="8"/>
      <c r="AE137" s="24"/>
      <c r="AG137" s="3"/>
      <c r="AN137" s="17">
        <v>6</v>
      </c>
      <c r="AO137" s="15" t="s">
        <v>209</v>
      </c>
      <c r="AP137" s="3" t="s">
        <v>147</v>
      </c>
      <c r="AQ137" s="17">
        <f>AQ112</f>
        <v>412</v>
      </c>
      <c r="AR137" s="3" t="s">
        <v>209</v>
      </c>
      <c r="AS137" s="17">
        <f>(AN137*AQ137)</f>
        <v>2472</v>
      </c>
      <c r="AU137" s="5">
        <f t="shared" si="15"/>
        <v>560.89679999999998</v>
      </c>
      <c r="AV137" s="5">
        <f t="shared" si="16"/>
        <v>1911.1032</v>
      </c>
    </row>
    <row r="138" spans="1:48" ht="24" customHeight="1">
      <c r="A138" s="26">
        <f t="shared" ref="A138:A143" si="17">(A137+1)</f>
        <v>81</v>
      </c>
      <c r="B138" s="27" t="s">
        <v>546</v>
      </c>
      <c r="C138" s="28">
        <f>AC33</f>
        <v>45000</v>
      </c>
      <c r="D138" s="27" t="s">
        <v>124</v>
      </c>
      <c r="H138" s="3" t="s">
        <v>547</v>
      </c>
      <c r="N138" s="6"/>
      <c r="O138" s="3" t="s">
        <v>548</v>
      </c>
      <c r="Q138" s="8"/>
      <c r="AE138" s="24"/>
      <c r="AG138" s="3"/>
      <c r="AO138" s="15" t="s">
        <v>129</v>
      </c>
      <c r="AP138" s="3" t="s">
        <v>130</v>
      </c>
      <c r="AQ138" s="3" t="s">
        <v>115</v>
      </c>
      <c r="AR138" s="3" t="s">
        <v>129</v>
      </c>
      <c r="AS138" s="17">
        <v>0</v>
      </c>
      <c r="AU138" s="5">
        <f t="shared" si="15"/>
        <v>0</v>
      </c>
      <c r="AV138" s="5">
        <f t="shared" si="16"/>
        <v>0</v>
      </c>
    </row>
    <row r="139" spans="1:48" ht="24" customHeight="1">
      <c r="A139" s="26">
        <f t="shared" si="17"/>
        <v>82</v>
      </c>
      <c r="B139" s="27" t="s">
        <v>549</v>
      </c>
      <c r="C139" s="28">
        <f>AC32</f>
        <v>45000</v>
      </c>
      <c r="D139" s="27" t="s">
        <v>124</v>
      </c>
      <c r="H139" s="12" t="s">
        <v>117</v>
      </c>
      <c r="N139" s="6"/>
      <c r="O139" s="12" t="s">
        <v>117</v>
      </c>
      <c r="Q139" s="8"/>
      <c r="AE139" s="24"/>
      <c r="AG139" s="3"/>
      <c r="AO139" s="6"/>
      <c r="AR139" s="8"/>
      <c r="AS139" s="12" t="s">
        <v>117</v>
      </c>
      <c r="AU139" s="5">
        <f t="shared" si="15"/>
        <v>0</v>
      </c>
      <c r="AV139" s="5">
        <f t="shared" si="16"/>
        <v>0</v>
      </c>
    </row>
    <row r="140" spans="1:48" ht="24" customHeight="1">
      <c r="A140" s="26">
        <f t="shared" si="17"/>
        <v>83</v>
      </c>
      <c r="B140" s="27" t="s">
        <v>550</v>
      </c>
      <c r="C140" s="28">
        <f>AC33</f>
        <v>45000</v>
      </c>
      <c r="D140" s="27" t="s">
        <v>124</v>
      </c>
      <c r="F140" s="17">
        <v>1</v>
      </c>
      <c r="G140" s="15" t="s">
        <v>126</v>
      </c>
      <c r="H140" s="3" t="s">
        <v>551</v>
      </c>
      <c r="I140" s="17">
        <f>I36</f>
        <v>1322.8</v>
      </c>
      <c r="J140" s="3" t="s">
        <v>126</v>
      </c>
      <c r="K140" s="17">
        <f>(F140*I140)</f>
        <v>1322.8</v>
      </c>
      <c r="M140" s="17">
        <v>1</v>
      </c>
      <c r="N140" s="15" t="s">
        <v>126</v>
      </c>
      <c r="O140" s="3" t="s">
        <v>536</v>
      </c>
      <c r="P140" s="17">
        <f>AC38</f>
        <v>449.02</v>
      </c>
      <c r="Q140" s="3" t="s">
        <v>126</v>
      </c>
      <c r="R140" s="17">
        <f>(M140*P140)</f>
        <v>449.02</v>
      </c>
      <c r="AE140" s="24"/>
      <c r="AG140" s="3"/>
      <c r="AO140" s="6"/>
      <c r="AP140" s="3" t="s">
        <v>455</v>
      </c>
      <c r="AR140" s="8"/>
      <c r="AS140" s="17">
        <f>SUM(AS132:AS138)</f>
        <v>17604.877399999998</v>
      </c>
      <c r="AU140" s="5">
        <f t="shared" si="15"/>
        <v>3994.5466820599995</v>
      </c>
      <c r="AV140" s="5">
        <f t="shared" si="16"/>
        <v>13610.330717939998</v>
      </c>
    </row>
    <row r="141" spans="1:48" ht="24" customHeight="1">
      <c r="A141" s="26">
        <f t="shared" si="17"/>
        <v>84</v>
      </c>
      <c r="B141" s="27" t="s">
        <v>552</v>
      </c>
      <c r="C141" s="28">
        <f>AC38</f>
        <v>449.02</v>
      </c>
      <c r="D141" s="27" t="s">
        <v>126</v>
      </c>
      <c r="F141" s="17">
        <v>1</v>
      </c>
      <c r="G141" s="15" t="s">
        <v>126</v>
      </c>
      <c r="H141" s="3" t="s">
        <v>360</v>
      </c>
      <c r="I141" s="17">
        <f>C27</f>
        <v>25.7</v>
      </c>
      <c r="J141" s="3" t="s">
        <v>126</v>
      </c>
      <c r="K141" s="17">
        <f>(F141*I141)</f>
        <v>25.7</v>
      </c>
      <c r="M141" s="17">
        <v>1</v>
      </c>
      <c r="N141" s="15" t="s">
        <v>126</v>
      </c>
      <c r="O141" s="3" t="s">
        <v>360</v>
      </c>
      <c r="P141" s="17">
        <f>C26</f>
        <v>29.3</v>
      </c>
      <c r="Q141" s="3" t="s">
        <v>126</v>
      </c>
      <c r="R141" s="17">
        <f>(M141*P141)</f>
        <v>29.3</v>
      </c>
      <c r="AE141" s="24"/>
      <c r="AG141" s="3"/>
      <c r="AO141" s="6"/>
      <c r="AR141" s="8"/>
      <c r="AS141" s="12" t="s">
        <v>117</v>
      </c>
      <c r="AU141" s="5">
        <f t="shared" si="15"/>
        <v>0</v>
      </c>
      <c r="AV141" s="5">
        <f t="shared" si="16"/>
        <v>0</v>
      </c>
    </row>
    <row r="142" spans="1:48" ht="24" customHeight="1">
      <c r="A142" s="26">
        <f t="shared" si="17"/>
        <v>85</v>
      </c>
      <c r="B142" s="27" t="s">
        <v>553</v>
      </c>
      <c r="C142" s="28">
        <v>43563.69</v>
      </c>
      <c r="D142" s="27" t="s">
        <v>124</v>
      </c>
      <c r="G142" s="15" t="s">
        <v>129</v>
      </c>
      <c r="H142" s="3" t="s">
        <v>130</v>
      </c>
      <c r="I142" s="3" t="s">
        <v>115</v>
      </c>
      <c r="J142" s="3" t="s">
        <v>129</v>
      </c>
      <c r="K142" s="17">
        <v>0</v>
      </c>
      <c r="N142" s="15" t="s">
        <v>129</v>
      </c>
      <c r="O142" s="3" t="s">
        <v>130</v>
      </c>
      <c r="P142" s="3" t="s">
        <v>115</v>
      </c>
      <c r="Q142" s="3" t="s">
        <v>129</v>
      </c>
      <c r="R142" s="17">
        <v>0</v>
      </c>
      <c r="AE142" s="24"/>
      <c r="AG142" s="3"/>
      <c r="AO142" s="6"/>
      <c r="AP142" s="3" t="s">
        <v>383</v>
      </c>
      <c r="AR142" s="8"/>
      <c r="AS142" s="17">
        <f>(AS140/2.83168)</f>
        <v>6217.1140100576331</v>
      </c>
      <c r="AU142" s="5">
        <f t="shared" si="15"/>
        <v>1410.6631688820771</v>
      </c>
      <c r="AV142" s="5">
        <f t="shared" si="16"/>
        <v>4806.450841175556</v>
      </c>
    </row>
    <row r="143" spans="1:48" ht="24" customHeight="1">
      <c r="A143" s="26">
        <f t="shared" si="17"/>
        <v>86</v>
      </c>
      <c r="B143" s="27" t="s">
        <v>554</v>
      </c>
      <c r="C143" s="23">
        <v>43750</v>
      </c>
      <c r="D143" s="27" t="s">
        <v>124</v>
      </c>
      <c r="E143" s="5">
        <v>5</v>
      </c>
      <c r="K143" s="12" t="s">
        <v>117</v>
      </c>
      <c r="N143" s="6"/>
      <c r="Q143" s="8"/>
      <c r="R143" s="12" t="s">
        <v>117</v>
      </c>
      <c r="AE143" s="24"/>
      <c r="AG143" s="3"/>
      <c r="AO143" s="6"/>
      <c r="AR143" s="8"/>
      <c r="AS143" s="12" t="s">
        <v>155</v>
      </c>
      <c r="AU143" s="5">
        <f t="shared" si="15"/>
        <v>0</v>
      </c>
      <c r="AV143" s="5">
        <f t="shared" si="16"/>
        <v>0</v>
      </c>
    </row>
    <row r="144" spans="1:48" ht="24" customHeight="1">
      <c r="A144" s="39"/>
      <c r="B144" s="27" t="s">
        <v>115</v>
      </c>
      <c r="C144" s="39"/>
      <c r="D144" s="39"/>
      <c r="H144" s="3" t="s">
        <v>555</v>
      </c>
      <c r="K144" s="16">
        <f>SUM(K138:K142)</f>
        <v>1348.5</v>
      </c>
      <c r="N144" s="6"/>
      <c r="O144" s="3" t="s">
        <v>131</v>
      </c>
      <c r="Q144" s="8"/>
      <c r="R144" s="17">
        <f>SUM(R140:R142)</f>
        <v>478.32</v>
      </c>
      <c r="AE144" s="24"/>
      <c r="AG144" s="3"/>
      <c r="AO144" s="6"/>
      <c r="AR144" s="8"/>
      <c r="AU144" s="5">
        <f t="shared" si="15"/>
        <v>0</v>
      </c>
      <c r="AV144" s="5">
        <f t="shared" si="16"/>
        <v>0</v>
      </c>
    </row>
    <row r="145" spans="1:48" ht="24" customHeight="1">
      <c r="A145" s="26">
        <f>(A143+1)</f>
        <v>87</v>
      </c>
      <c r="B145" s="27" t="s">
        <v>556</v>
      </c>
      <c r="C145" s="36">
        <v>7.5</v>
      </c>
      <c r="D145" s="27" t="s">
        <v>129</v>
      </c>
      <c r="K145" s="12" t="s">
        <v>117</v>
      </c>
      <c r="N145" s="6"/>
      <c r="O145" s="3" t="s">
        <v>557</v>
      </c>
      <c r="Q145" s="8"/>
      <c r="R145" s="12" t="s">
        <v>117</v>
      </c>
      <c r="AE145" s="24"/>
      <c r="AG145" s="3"/>
      <c r="AO145" s="15" t="s">
        <v>558</v>
      </c>
      <c r="AP145" s="3" t="s">
        <v>559</v>
      </c>
      <c r="AR145" s="8"/>
      <c r="AU145" s="5">
        <f t="shared" si="15"/>
        <v>0</v>
      </c>
      <c r="AV145" s="5">
        <f t="shared" si="16"/>
        <v>0</v>
      </c>
    </row>
    <row r="146" spans="1:48" ht="24" customHeight="1">
      <c r="A146" s="39"/>
      <c r="B146" s="3" t="s">
        <v>560</v>
      </c>
      <c r="C146" s="25">
        <v>15.5</v>
      </c>
      <c r="D146" s="39"/>
      <c r="F146" s="4" t="s">
        <v>561</v>
      </c>
      <c r="G146" s="15" t="s">
        <v>122</v>
      </c>
      <c r="H146" s="3" t="s">
        <v>562</v>
      </c>
      <c r="AE146" s="24"/>
      <c r="AO146" s="6"/>
      <c r="AP146" s="12" t="s">
        <v>117</v>
      </c>
      <c r="AR146" s="8"/>
      <c r="AU146" s="5">
        <f t="shared" si="15"/>
        <v>0</v>
      </c>
      <c r="AV146" s="5">
        <f t="shared" si="16"/>
        <v>0</v>
      </c>
    </row>
    <row r="147" spans="1:48" ht="24" customHeight="1">
      <c r="A147" s="26">
        <f>(A145+1)</f>
        <v>88</v>
      </c>
      <c r="B147" s="27" t="s">
        <v>563</v>
      </c>
      <c r="C147" s="28">
        <v>15.25</v>
      </c>
      <c r="D147" s="27" t="s">
        <v>148</v>
      </c>
      <c r="H147" s="3" t="s">
        <v>564</v>
      </c>
      <c r="M147" s="4" t="s">
        <v>532</v>
      </c>
      <c r="N147" s="15" t="s">
        <v>122</v>
      </c>
      <c r="O147" s="3" t="s">
        <v>533</v>
      </c>
      <c r="Q147" s="8"/>
      <c r="AE147" s="24"/>
      <c r="AN147" s="17">
        <v>1.1000000000000001</v>
      </c>
      <c r="AO147" s="15" t="s">
        <v>126</v>
      </c>
      <c r="AP147" s="3" t="s">
        <v>565</v>
      </c>
      <c r="AQ147" s="17">
        <f>(AS142)</f>
        <v>6217.1140100576331</v>
      </c>
      <c r="AR147" s="3" t="s">
        <v>126</v>
      </c>
      <c r="AS147" s="24">
        <f>(AN147*AQ147)</f>
        <v>6838.825411063397</v>
      </c>
      <c r="AU147" s="5">
        <f t="shared" si="15"/>
        <v>1551.729485770285</v>
      </c>
      <c r="AV147" s="5">
        <f t="shared" si="16"/>
        <v>5287.0959252931116</v>
      </c>
    </row>
    <row r="148" spans="1:48" ht="24" customHeight="1">
      <c r="A148" s="26">
        <f>(A147+1)</f>
        <v>89</v>
      </c>
      <c r="B148" s="27" t="s">
        <v>566</v>
      </c>
      <c r="C148" s="25">
        <v>142.4</v>
      </c>
      <c r="D148" s="27" t="s">
        <v>148</v>
      </c>
      <c r="H148" s="3" t="s">
        <v>567</v>
      </c>
      <c r="N148" s="6"/>
      <c r="O148" s="3" t="s">
        <v>568</v>
      </c>
      <c r="Q148" s="8"/>
      <c r="AE148" s="24"/>
      <c r="AN148" s="17">
        <v>1</v>
      </c>
      <c r="AO148" s="15" t="s">
        <v>1</v>
      </c>
      <c r="AP148" s="3" t="s">
        <v>144</v>
      </c>
      <c r="AQ148" s="17">
        <f>AQ134</f>
        <v>769</v>
      </c>
      <c r="AR148" s="3" t="s">
        <v>209</v>
      </c>
      <c r="AS148" s="24">
        <f>(AN148*AQ148)</f>
        <v>769</v>
      </c>
      <c r="AU148" s="5">
        <f t="shared" si="15"/>
        <v>174.48609999999999</v>
      </c>
      <c r="AV148" s="5">
        <f t="shared" si="16"/>
        <v>594.51390000000004</v>
      </c>
    </row>
    <row r="149" spans="1:48" ht="24" customHeight="1">
      <c r="A149" s="39"/>
      <c r="B149" s="39"/>
      <c r="C149" s="39"/>
      <c r="D149" s="39"/>
      <c r="H149" s="3" t="s">
        <v>569</v>
      </c>
      <c r="N149" s="6"/>
      <c r="O149" s="12" t="s">
        <v>117</v>
      </c>
      <c r="Q149" s="8"/>
      <c r="AE149" s="24"/>
      <c r="AO149" s="15" t="s">
        <v>129</v>
      </c>
      <c r="AP149" s="3" t="s">
        <v>130</v>
      </c>
      <c r="AQ149" s="3" t="s">
        <v>115</v>
      </c>
      <c r="AR149" s="3" t="s">
        <v>129</v>
      </c>
      <c r="AS149" s="24">
        <v>0</v>
      </c>
      <c r="AU149" s="5">
        <f t="shared" si="15"/>
        <v>0</v>
      </c>
      <c r="AV149" s="5">
        <f t="shared" si="16"/>
        <v>0</v>
      </c>
    </row>
    <row r="150" spans="1:48" ht="24" customHeight="1">
      <c r="A150" s="39"/>
      <c r="B150" s="39"/>
      <c r="C150" s="39"/>
      <c r="D150" s="39"/>
      <c r="H150" s="3" t="s">
        <v>570</v>
      </c>
      <c r="M150" s="17">
        <v>1</v>
      </c>
      <c r="N150" s="15" t="s">
        <v>126</v>
      </c>
      <c r="O150" s="3" t="s">
        <v>571</v>
      </c>
      <c r="P150" s="17">
        <f>AC43</f>
        <v>120.1</v>
      </c>
      <c r="Q150" s="3" t="s">
        <v>126</v>
      </c>
      <c r="R150" s="17">
        <f>(M150*P150)</f>
        <v>120.1</v>
      </c>
      <c r="AE150" s="24"/>
      <c r="AO150" s="6"/>
      <c r="AR150" s="8"/>
      <c r="AS150" s="69" t="s">
        <v>117</v>
      </c>
      <c r="AU150" s="5">
        <f t="shared" si="15"/>
        <v>0</v>
      </c>
      <c r="AV150" s="5">
        <f t="shared" si="16"/>
        <v>0</v>
      </c>
    </row>
    <row r="151" spans="1:48" ht="24" customHeight="1">
      <c r="A151" s="39"/>
      <c r="B151" s="39"/>
      <c r="C151" s="39"/>
      <c r="D151" s="39"/>
      <c r="H151" s="12" t="s">
        <v>117</v>
      </c>
      <c r="M151" s="17">
        <v>1</v>
      </c>
      <c r="N151" s="15" t="s">
        <v>126</v>
      </c>
      <c r="O151" s="3" t="s">
        <v>360</v>
      </c>
      <c r="P151" s="17">
        <f>AE28</f>
        <v>29.3</v>
      </c>
      <c r="Q151" s="3" t="s">
        <v>126</v>
      </c>
      <c r="R151" s="17">
        <f>(M151*P151)</f>
        <v>29.3</v>
      </c>
      <c r="AE151" s="24"/>
      <c r="AO151" s="6"/>
      <c r="AP151" s="3" t="s">
        <v>153</v>
      </c>
      <c r="AR151" s="8"/>
      <c r="AS151" s="16">
        <f>SUM(AS147:AS149)</f>
        <v>7607.825411063397</v>
      </c>
      <c r="AU151" s="5">
        <f t="shared" si="15"/>
        <v>1726.2155857702849</v>
      </c>
      <c r="AV151" s="5">
        <f t="shared" si="16"/>
        <v>5881.6098252931124</v>
      </c>
    </row>
    <row r="152" spans="1:48" ht="24" customHeight="1">
      <c r="A152" s="39"/>
      <c r="B152" s="39"/>
      <c r="C152" s="39"/>
      <c r="D152" s="39"/>
      <c r="F152" s="17">
        <v>0.7</v>
      </c>
      <c r="G152" s="15" t="s">
        <v>126</v>
      </c>
      <c r="H152" s="3" t="s">
        <v>344</v>
      </c>
      <c r="I152" s="17">
        <f>C79</f>
        <v>1322.8</v>
      </c>
      <c r="J152" s="3" t="s">
        <v>126</v>
      </c>
      <c r="K152" s="17">
        <f t="shared" ref="K152:K157" si="18">(F152*I152)</f>
        <v>925.95999999999992</v>
      </c>
      <c r="N152" s="15" t="s">
        <v>129</v>
      </c>
      <c r="O152" s="3" t="s">
        <v>130</v>
      </c>
      <c r="P152" s="3" t="s">
        <v>115</v>
      </c>
      <c r="Q152" s="3" t="s">
        <v>129</v>
      </c>
      <c r="R152" s="17">
        <v>0</v>
      </c>
      <c r="AE152" s="24"/>
      <c r="AO152" s="6"/>
      <c r="AR152" s="8"/>
      <c r="AS152" s="69" t="s">
        <v>117</v>
      </c>
      <c r="AU152" s="5">
        <f t="shared" si="15"/>
        <v>0</v>
      </c>
      <c r="AV152" s="5">
        <f t="shared" si="16"/>
        <v>0</v>
      </c>
    </row>
    <row r="153" spans="1:48" ht="24" customHeight="1">
      <c r="A153" s="39"/>
      <c r="B153" s="39"/>
      <c r="C153" s="39"/>
      <c r="D153" s="39"/>
      <c r="F153" s="17">
        <v>0.7</v>
      </c>
      <c r="G153" s="15" t="s">
        <v>126</v>
      </c>
      <c r="H153" s="70" t="s">
        <v>572</v>
      </c>
      <c r="I153" s="71">
        <f>C812</f>
        <v>3.15</v>
      </c>
      <c r="J153" s="3" t="s">
        <v>126</v>
      </c>
      <c r="K153" s="17">
        <f t="shared" si="18"/>
        <v>2.2049999999999996</v>
      </c>
      <c r="N153" s="6"/>
      <c r="Q153" s="8"/>
      <c r="R153" s="12" t="s">
        <v>117</v>
      </c>
      <c r="AE153" s="24"/>
      <c r="AO153" s="6"/>
      <c r="AP153" s="3" t="s">
        <v>154</v>
      </c>
      <c r="AR153" s="8"/>
      <c r="AS153" s="24">
        <f>(AS151/10)</f>
        <v>760.78254110633975</v>
      </c>
      <c r="AU153" s="5">
        <f t="shared" si="15"/>
        <v>172.62155857702848</v>
      </c>
      <c r="AV153" s="5">
        <f t="shared" si="16"/>
        <v>588.16098252931124</v>
      </c>
    </row>
    <row r="154" spans="1:48" ht="24" customHeight="1">
      <c r="A154" s="39"/>
      <c r="B154" s="39"/>
      <c r="C154" s="39"/>
      <c r="D154" s="39"/>
      <c r="F154" s="17">
        <v>0.72</v>
      </c>
      <c r="G154" s="15" t="s">
        <v>126</v>
      </c>
      <c r="H154" s="3" t="s">
        <v>573</v>
      </c>
      <c r="I154" s="17">
        <f>C35</f>
        <v>449.02</v>
      </c>
      <c r="J154" s="3" t="s">
        <v>126</v>
      </c>
      <c r="K154" s="17">
        <f t="shared" si="18"/>
        <v>323.2944</v>
      </c>
      <c r="N154" s="6"/>
      <c r="O154" s="3" t="s">
        <v>131</v>
      </c>
      <c r="Q154" s="8"/>
      <c r="R154" s="17">
        <f>SUM(R150:R152)</f>
        <v>149.4</v>
      </c>
      <c r="AE154" s="24"/>
      <c r="AO154" s="6"/>
      <c r="AR154" s="8"/>
      <c r="AS154" s="69" t="s">
        <v>155</v>
      </c>
      <c r="AU154" s="5">
        <f t="shared" si="15"/>
        <v>0</v>
      </c>
      <c r="AV154" s="5">
        <f t="shared" si="16"/>
        <v>0</v>
      </c>
    </row>
    <row r="155" spans="1:48" ht="24" customHeight="1">
      <c r="A155" s="39"/>
      <c r="B155" s="39"/>
      <c r="C155" s="39"/>
      <c r="D155" s="39"/>
      <c r="F155" s="17">
        <v>0.72</v>
      </c>
      <c r="G155" s="15" t="s">
        <v>126</v>
      </c>
      <c r="H155" s="70" t="s">
        <v>572</v>
      </c>
      <c r="I155" s="71">
        <f>C812</f>
        <v>3.15</v>
      </c>
      <c r="J155" s="3" t="s">
        <v>126</v>
      </c>
      <c r="K155" s="17">
        <f t="shared" si="18"/>
        <v>2.2679999999999998</v>
      </c>
      <c r="N155" s="6"/>
      <c r="O155" s="3" t="s">
        <v>557</v>
      </c>
      <c r="Q155" s="8"/>
      <c r="R155" s="12" t="s">
        <v>117</v>
      </c>
      <c r="AE155" s="24"/>
      <c r="AO155" s="6"/>
      <c r="AP155" s="3" t="s">
        <v>482</v>
      </c>
      <c r="AR155" s="8">
        <f>AS155-AS153</f>
        <v>6.5119999999999436</v>
      </c>
      <c r="AS155" s="16">
        <f>(AS153+C19/10*AN147)</f>
        <v>767.29454110633969</v>
      </c>
      <c r="AT155" s="5">
        <f>AS153-AS155</f>
        <v>-6.5119999999999436</v>
      </c>
      <c r="AU155" s="5">
        <f t="shared" si="15"/>
        <v>174.0991313770285</v>
      </c>
      <c r="AV155" s="5">
        <f t="shared" si="16"/>
        <v>593.19540972931122</v>
      </c>
    </row>
    <row r="156" spans="1:48" ht="24" customHeight="1">
      <c r="A156" s="39"/>
      <c r="B156" s="39"/>
      <c r="C156" s="39"/>
      <c r="D156" s="39"/>
      <c r="F156" s="17">
        <v>1</v>
      </c>
      <c r="G156" s="15" t="s">
        <v>126</v>
      </c>
      <c r="H156" s="3" t="s">
        <v>354</v>
      </c>
      <c r="I156" s="17">
        <f>C18</f>
        <v>87</v>
      </c>
      <c r="J156" s="3" t="s">
        <v>126</v>
      </c>
      <c r="K156" s="17">
        <f t="shared" si="18"/>
        <v>87</v>
      </c>
      <c r="AE156" s="24"/>
      <c r="AO156" s="6"/>
      <c r="AP156" s="3" t="s">
        <v>486</v>
      </c>
      <c r="AR156" s="8">
        <f>AS156-AS155</f>
        <v>13.123000000000047</v>
      </c>
      <c r="AS156" s="16">
        <f>(AS155+C20/10*AN147)</f>
        <v>780.41754110633974</v>
      </c>
      <c r="AT156" s="5">
        <f>AS156-AS155</f>
        <v>13.123000000000047</v>
      </c>
      <c r="AU156" s="5">
        <f t="shared" si="15"/>
        <v>177.07674007702849</v>
      </c>
      <c r="AV156" s="5">
        <f t="shared" si="16"/>
        <v>603.34080102931125</v>
      </c>
    </row>
    <row r="157" spans="1:48" ht="24" customHeight="1">
      <c r="A157" s="39"/>
      <c r="B157" s="39"/>
      <c r="C157" s="39"/>
      <c r="D157" s="39"/>
      <c r="F157" s="17">
        <v>1</v>
      </c>
      <c r="G157" s="15" t="s">
        <v>126</v>
      </c>
      <c r="H157" s="70" t="s">
        <v>574</v>
      </c>
      <c r="I157" s="72">
        <f>C146</f>
        <v>15.5</v>
      </c>
      <c r="J157" s="3" t="s">
        <v>126</v>
      </c>
      <c r="K157" s="17">
        <f t="shared" si="18"/>
        <v>15.5</v>
      </c>
      <c r="AE157" s="24"/>
      <c r="AO157" s="6"/>
      <c r="AP157" s="3" t="s">
        <v>489</v>
      </c>
      <c r="AR157" s="8">
        <f>AS157-AS156</f>
        <v>13.123000000000047</v>
      </c>
      <c r="AS157" s="16">
        <f>(AS156+C21/10*AN147)</f>
        <v>793.54054110633979</v>
      </c>
      <c r="AU157" s="5">
        <f t="shared" si="15"/>
        <v>180.05434877702851</v>
      </c>
      <c r="AV157" s="5">
        <f t="shared" si="16"/>
        <v>613.48619232931128</v>
      </c>
    </row>
    <row r="158" spans="1:48" ht="24" customHeight="1">
      <c r="A158" s="39"/>
      <c r="B158" s="39"/>
      <c r="C158" s="39"/>
      <c r="D158" s="39"/>
      <c r="H158" s="3" t="s">
        <v>575</v>
      </c>
      <c r="AE158" s="24"/>
      <c r="AO158" s="6"/>
      <c r="AP158" s="3" t="s">
        <v>491</v>
      </c>
      <c r="AR158" s="8">
        <f>AS158-AS157</f>
        <v>13.123000000000047</v>
      </c>
      <c r="AS158" s="16">
        <f>(AS157+C21/10*AN147)</f>
        <v>806.66354110633984</v>
      </c>
      <c r="AU158" s="5">
        <f t="shared" si="15"/>
        <v>183.03195747702853</v>
      </c>
      <c r="AV158" s="5">
        <f t="shared" si="16"/>
        <v>623.63158362931131</v>
      </c>
    </row>
    <row r="159" spans="1:48" ht="24" customHeight="1">
      <c r="A159" s="39"/>
      <c r="B159" s="39"/>
      <c r="C159" s="39"/>
      <c r="D159" s="39"/>
      <c r="G159" s="15" t="s">
        <v>129</v>
      </c>
      <c r="H159" s="3" t="s">
        <v>130</v>
      </c>
      <c r="I159" s="3" t="s">
        <v>115</v>
      </c>
      <c r="J159" s="3" t="s">
        <v>129</v>
      </c>
      <c r="K159" s="17">
        <v>0</v>
      </c>
      <c r="AE159" s="24"/>
      <c r="AO159" s="6"/>
      <c r="AP159" s="3" t="s">
        <v>576</v>
      </c>
      <c r="AR159" s="8">
        <f>AS159-AS158</f>
        <v>13.123000000000047</v>
      </c>
      <c r="AS159" s="16">
        <f>(AS158+C21/10*AN147)</f>
        <v>819.78654110633988</v>
      </c>
      <c r="AU159" s="5">
        <f t="shared" si="15"/>
        <v>186.00956617702855</v>
      </c>
      <c r="AV159" s="5">
        <f t="shared" si="16"/>
        <v>633.77697492931134</v>
      </c>
    </row>
    <row r="160" spans="1:48" ht="24" customHeight="1">
      <c r="A160" s="39"/>
      <c r="B160" s="39"/>
      <c r="C160" s="39"/>
      <c r="D160" s="39"/>
      <c r="K160" s="12" t="s">
        <v>117</v>
      </c>
      <c r="M160" s="4" t="s">
        <v>577</v>
      </c>
      <c r="N160" s="15" t="s">
        <v>122</v>
      </c>
      <c r="O160" s="3" t="s">
        <v>578</v>
      </c>
      <c r="Q160" s="8"/>
      <c r="AE160" s="24"/>
      <c r="AN160" s="73">
        <v>11</v>
      </c>
      <c r="AO160" s="74" t="s">
        <v>122</v>
      </c>
      <c r="AP160" s="7" t="s">
        <v>579</v>
      </c>
      <c r="AQ160" s="50"/>
      <c r="AR160" s="59"/>
      <c r="AS160" s="50"/>
      <c r="AU160" s="5">
        <f t="shared" si="15"/>
        <v>0</v>
      </c>
      <c r="AV160" s="5">
        <f t="shared" si="16"/>
        <v>0</v>
      </c>
    </row>
    <row r="161" spans="1:48" ht="24" customHeight="1">
      <c r="A161" s="39"/>
      <c r="B161" s="39"/>
      <c r="C161" s="39"/>
      <c r="D161" s="39"/>
      <c r="H161" s="19" t="s">
        <v>555</v>
      </c>
      <c r="K161" s="16">
        <f>SUM(K152:K159)</f>
        <v>1356.2274</v>
      </c>
      <c r="N161" s="6"/>
      <c r="O161" s="3" t="s">
        <v>580</v>
      </c>
      <c r="Q161" s="8"/>
      <c r="AE161" s="24"/>
      <c r="AN161" s="50"/>
      <c r="AO161" s="75"/>
      <c r="AP161" s="16" t="str">
        <f>AP61</f>
        <v>Bricks of size 23x11x7 cm</v>
      </c>
      <c r="AQ161" s="50"/>
      <c r="AR161" s="59"/>
      <c r="AS161" s="50"/>
      <c r="AU161" s="5">
        <f t="shared" si="15"/>
        <v>0</v>
      </c>
      <c r="AV161" s="5">
        <f t="shared" si="16"/>
        <v>0</v>
      </c>
    </row>
    <row r="162" spans="1:48" ht="24" customHeight="1">
      <c r="A162" s="39"/>
      <c r="B162" s="39"/>
      <c r="C162" s="39"/>
      <c r="D162" s="39"/>
      <c r="K162" s="12" t="s">
        <v>117</v>
      </c>
      <c r="N162" s="6"/>
      <c r="O162" s="12" t="s">
        <v>117</v>
      </c>
      <c r="Q162" s="8"/>
      <c r="AE162" s="24"/>
      <c r="AO162" s="6"/>
      <c r="AP162" s="12" t="s">
        <v>117</v>
      </c>
      <c r="AR162" s="8"/>
      <c r="AU162" s="5">
        <f t="shared" si="15"/>
        <v>0</v>
      </c>
      <c r="AV162" s="5">
        <f t="shared" si="16"/>
        <v>0</v>
      </c>
    </row>
    <row r="163" spans="1:48" ht="24" customHeight="1">
      <c r="A163" s="39"/>
      <c r="B163" s="39"/>
      <c r="C163" s="39"/>
      <c r="D163" s="39"/>
      <c r="H163" s="3" t="s">
        <v>115</v>
      </c>
      <c r="K163" s="3" t="s">
        <v>115</v>
      </c>
      <c r="M163" s="17">
        <v>9</v>
      </c>
      <c r="N163" s="15" t="s">
        <v>126</v>
      </c>
      <c r="O163" s="3" t="s">
        <v>581</v>
      </c>
      <c r="P163" s="17">
        <f>I195</f>
        <v>1243.02</v>
      </c>
      <c r="Q163" s="3" t="s">
        <v>126</v>
      </c>
      <c r="R163" s="17">
        <f>(M163*P163)</f>
        <v>11187.18</v>
      </c>
      <c r="AE163" s="24"/>
      <c r="AN163" s="17">
        <f>AN63</f>
        <v>1300</v>
      </c>
      <c r="AO163" s="15" t="s">
        <v>467</v>
      </c>
      <c r="AP163" s="17" t="str">
        <f>AP61</f>
        <v>Bricks of size 23x11x7 cm</v>
      </c>
      <c r="AQ163" s="17">
        <f>AC45</f>
        <v>6714.95</v>
      </c>
      <c r="AR163" s="3" t="s">
        <v>582</v>
      </c>
      <c r="AS163" s="17">
        <f>(AN163*AQ163)/1000</f>
        <v>8729.4349999999995</v>
      </c>
      <c r="AU163" s="5">
        <f t="shared" si="15"/>
        <v>1980.7088015000002</v>
      </c>
      <c r="AV163" s="5">
        <f t="shared" si="16"/>
        <v>6748.7261984999996</v>
      </c>
    </row>
    <row r="164" spans="1:48" ht="24" customHeight="1">
      <c r="A164" s="39"/>
      <c r="B164" s="39"/>
      <c r="C164" s="39"/>
      <c r="D164" s="39"/>
      <c r="K164" s="3" t="s">
        <v>115</v>
      </c>
      <c r="M164" s="17">
        <v>4.5</v>
      </c>
      <c r="N164" s="15" t="s">
        <v>126</v>
      </c>
      <c r="O164" s="3" t="s">
        <v>134</v>
      </c>
      <c r="P164" s="17">
        <f>K40</f>
        <v>3497.8</v>
      </c>
      <c r="Q164" s="3" t="s">
        <v>126</v>
      </c>
      <c r="R164" s="17">
        <f>(M164*P164)</f>
        <v>15740.1</v>
      </c>
      <c r="AE164" s="24"/>
      <c r="AN164" s="49">
        <f>AN133</f>
        <v>0.70799999999999996</v>
      </c>
      <c r="AO164" s="15" t="s">
        <v>126</v>
      </c>
      <c r="AP164" s="3" t="s">
        <v>134</v>
      </c>
      <c r="AQ164" s="17">
        <f>AQ133</f>
        <v>3497.8</v>
      </c>
      <c r="AR164" s="3" t="s">
        <v>126</v>
      </c>
      <c r="AS164" s="17">
        <f>(AN164*AQ164)</f>
        <v>2476.4423999999999</v>
      </c>
      <c r="AU164" s="5">
        <f t="shared" ref="AU164:AU217" si="19">AS164*22.69/100</f>
        <v>561.90478055999995</v>
      </c>
      <c r="AV164" s="5">
        <f t="shared" ref="AV164:AV217" si="20">AS164-AU164</f>
        <v>1914.5376194400001</v>
      </c>
    </row>
    <row r="165" spans="1:48" ht="24" customHeight="1">
      <c r="A165" s="76">
        <v>2.2999999999999998</v>
      </c>
      <c r="B165" s="27" t="s">
        <v>583</v>
      </c>
      <c r="C165" s="39">
        <f>AC19+I168</f>
        <v>912.94999999999993</v>
      </c>
      <c r="D165" s="39"/>
      <c r="F165" s="51">
        <v>2.6</v>
      </c>
      <c r="G165" s="15" t="s">
        <v>122</v>
      </c>
      <c r="H165" s="3" t="s">
        <v>584</v>
      </c>
      <c r="M165" s="17">
        <v>1.8</v>
      </c>
      <c r="N165" s="15" t="s">
        <v>209</v>
      </c>
      <c r="O165" s="3" t="s">
        <v>145</v>
      </c>
      <c r="P165" s="17">
        <f>I197</f>
        <v>718</v>
      </c>
      <c r="Q165" s="3" t="s">
        <v>209</v>
      </c>
      <c r="R165" s="17">
        <f>(M165*P165)</f>
        <v>1292.4000000000001</v>
      </c>
      <c r="AE165" s="24"/>
      <c r="AN165" s="17">
        <v>1</v>
      </c>
      <c r="AO165" s="15" t="s">
        <v>209</v>
      </c>
      <c r="AP165" s="3" t="s">
        <v>144</v>
      </c>
      <c r="AQ165" s="17">
        <f>AQ134</f>
        <v>769</v>
      </c>
      <c r="AR165" s="3" t="s">
        <v>209</v>
      </c>
      <c r="AS165" s="17">
        <f>(AN165*AQ165)</f>
        <v>769</v>
      </c>
      <c r="AU165" s="5">
        <f t="shared" si="19"/>
        <v>174.48609999999999</v>
      </c>
      <c r="AV165" s="5">
        <f t="shared" si="20"/>
        <v>594.51390000000004</v>
      </c>
    </row>
    <row r="166" spans="1:48" ht="24" customHeight="1">
      <c r="A166" s="76">
        <v>2.4</v>
      </c>
      <c r="B166" s="27" t="s">
        <v>585</v>
      </c>
      <c r="C166" s="39">
        <f>AC20+I168</f>
        <v>989.94999999999993</v>
      </c>
      <c r="D166" s="39"/>
      <c r="H166" s="12" t="s">
        <v>117</v>
      </c>
      <c r="M166" s="17">
        <v>17.7</v>
      </c>
      <c r="N166" s="15" t="s">
        <v>209</v>
      </c>
      <c r="O166" s="3" t="s">
        <v>146</v>
      </c>
      <c r="P166" s="17">
        <f>I198</f>
        <v>502</v>
      </c>
      <c r="Q166" s="3" t="s">
        <v>209</v>
      </c>
      <c r="R166" s="17">
        <f>(M166*P166)</f>
        <v>8885.4</v>
      </c>
      <c r="AE166" s="24"/>
      <c r="AN166" s="17">
        <v>3</v>
      </c>
      <c r="AO166" s="15" t="s">
        <v>209</v>
      </c>
      <c r="AP166" s="3" t="s">
        <v>145</v>
      </c>
      <c r="AQ166" s="17">
        <f>AQ135</f>
        <v>718</v>
      </c>
      <c r="AR166" s="3" t="s">
        <v>209</v>
      </c>
      <c r="AS166" s="17">
        <f>(AN166*AQ166)</f>
        <v>2154</v>
      </c>
      <c r="AU166" s="5">
        <f t="shared" si="19"/>
        <v>488.74260000000004</v>
      </c>
      <c r="AV166" s="5">
        <f t="shared" si="20"/>
        <v>1665.2574</v>
      </c>
    </row>
    <row r="167" spans="1:48" ht="24" customHeight="1">
      <c r="A167" s="39"/>
      <c r="B167" s="39"/>
      <c r="C167" s="39"/>
      <c r="D167" s="39"/>
      <c r="F167" s="17">
        <v>1</v>
      </c>
      <c r="G167" s="15" t="s">
        <v>126</v>
      </c>
      <c r="H167" s="3" t="s">
        <v>586</v>
      </c>
      <c r="I167" s="17">
        <f>AC15</f>
        <v>1243.02</v>
      </c>
      <c r="J167" s="3" t="s">
        <v>126</v>
      </c>
      <c r="K167" s="17">
        <f>(F167*I167)</f>
        <v>1243.02</v>
      </c>
      <c r="M167" s="17">
        <v>14.1</v>
      </c>
      <c r="N167" s="15" t="s">
        <v>209</v>
      </c>
      <c r="O167" s="3" t="s">
        <v>147</v>
      </c>
      <c r="P167" s="17">
        <f>I199</f>
        <v>412</v>
      </c>
      <c r="Q167" s="3" t="s">
        <v>209</v>
      </c>
      <c r="R167" s="17">
        <f>(M167*P167)</f>
        <v>5809.2</v>
      </c>
      <c r="AE167" s="24"/>
      <c r="AN167" s="17">
        <v>2</v>
      </c>
      <c r="AO167" s="15" t="s">
        <v>209</v>
      </c>
      <c r="AP167" s="3" t="s">
        <v>146</v>
      </c>
      <c r="AQ167" s="17">
        <f>AQ136</f>
        <v>502</v>
      </c>
      <c r="AR167" s="3" t="s">
        <v>209</v>
      </c>
      <c r="AS167" s="17">
        <f>(AN167*AQ167)</f>
        <v>1004</v>
      </c>
      <c r="AU167" s="5">
        <f t="shared" si="19"/>
        <v>227.80760000000001</v>
      </c>
      <c r="AV167" s="5">
        <f t="shared" si="20"/>
        <v>776.19240000000002</v>
      </c>
    </row>
    <row r="168" spans="1:48" ht="24" customHeight="1">
      <c r="A168" s="39"/>
      <c r="B168" s="39"/>
      <c r="C168" s="39"/>
      <c r="D168" s="39"/>
      <c r="F168" s="17">
        <v>1</v>
      </c>
      <c r="G168" s="15" t="s">
        <v>126</v>
      </c>
      <c r="H168" s="3" t="s">
        <v>360</v>
      </c>
      <c r="I168" s="17">
        <f>C26</f>
        <v>29.3</v>
      </c>
      <c r="J168" s="3" t="s">
        <v>126</v>
      </c>
      <c r="K168" s="17">
        <f>(F168*I168)</f>
        <v>29.3</v>
      </c>
      <c r="N168" s="15" t="s">
        <v>129</v>
      </c>
      <c r="O168" s="3" t="s">
        <v>130</v>
      </c>
      <c r="Q168" s="3" t="s">
        <v>129</v>
      </c>
      <c r="R168" s="17">
        <v>0</v>
      </c>
      <c r="AE168" s="24"/>
      <c r="AN168" s="17">
        <v>6</v>
      </c>
      <c r="AO168" s="15" t="s">
        <v>209</v>
      </c>
      <c r="AP168" s="3" t="s">
        <v>147</v>
      </c>
      <c r="AQ168" s="17">
        <f>AQ137</f>
        <v>412</v>
      </c>
      <c r="AR168" s="3" t="s">
        <v>209</v>
      </c>
      <c r="AS168" s="17">
        <f>(AN168*AQ168)</f>
        <v>2472</v>
      </c>
      <c r="AU168" s="5">
        <f t="shared" si="19"/>
        <v>560.89679999999998</v>
      </c>
      <c r="AV168" s="5">
        <f t="shared" si="20"/>
        <v>1911.1032</v>
      </c>
    </row>
    <row r="169" spans="1:48" ht="24" customHeight="1">
      <c r="A169" s="39"/>
      <c r="B169" s="39"/>
      <c r="C169" s="39"/>
      <c r="D169" s="39"/>
      <c r="G169" s="15" t="s">
        <v>129</v>
      </c>
      <c r="H169" s="3" t="s">
        <v>130</v>
      </c>
      <c r="I169" s="3" t="s">
        <v>115</v>
      </c>
      <c r="J169" s="3" t="s">
        <v>129</v>
      </c>
      <c r="K169" s="17">
        <v>0</v>
      </c>
      <c r="N169" s="6"/>
      <c r="Q169" s="8"/>
      <c r="R169" s="12" t="s">
        <v>117</v>
      </c>
      <c r="AE169" s="24"/>
      <c r="AO169" s="15" t="s">
        <v>129</v>
      </c>
      <c r="AP169" s="3" t="s">
        <v>130</v>
      </c>
      <c r="AQ169" s="3" t="s">
        <v>115</v>
      </c>
      <c r="AR169" s="3" t="s">
        <v>129</v>
      </c>
      <c r="AS169" s="17">
        <v>0</v>
      </c>
      <c r="AU169" s="5">
        <f t="shared" si="19"/>
        <v>0</v>
      </c>
      <c r="AV169" s="5">
        <f t="shared" si="20"/>
        <v>0</v>
      </c>
    </row>
    <row r="170" spans="1:48" ht="24" customHeight="1">
      <c r="A170" s="39"/>
      <c r="B170" s="39"/>
      <c r="C170" s="39"/>
      <c r="D170" s="39"/>
      <c r="K170" s="12" t="s">
        <v>117</v>
      </c>
      <c r="N170" s="6"/>
      <c r="Q170" s="8"/>
      <c r="R170" s="17">
        <f>SUM(R163:R168)</f>
        <v>42914.28</v>
      </c>
      <c r="AE170" s="24"/>
      <c r="AO170" s="6"/>
      <c r="AR170" s="8"/>
      <c r="AS170" s="12" t="s">
        <v>117</v>
      </c>
      <c r="AU170" s="5">
        <f t="shared" si="19"/>
        <v>0</v>
      </c>
      <c r="AV170" s="5">
        <f t="shared" si="20"/>
        <v>0</v>
      </c>
    </row>
    <row r="171" spans="1:48" ht="24" customHeight="1">
      <c r="A171" s="39"/>
      <c r="B171" s="39"/>
      <c r="C171" s="39"/>
      <c r="D171" s="39"/>
      <c r="H171" s="19" t="s">
        <v>555</v>
      </c>
      <c r="K171" s="16">
        <f>SUM(K166:K169)</f>
        <v>1272.32</v>
      </c>
      <c r="N171" s="6"/>
      <c r="O171" s="77" t="s">
        <v>455</v>
      </c>
      <c r="Q171" s="8"/>
      <c r="R171" s="12" t="s">
        <v>117</v>
      </c>
      <c r="AE171" s="24"/>
      <c r="AO171" s="6"/>
      <c r="AP171" s="3" t="s">
        <v>455</v>
      </c>
      <c r="AR171" s="8"/>
      <c r="AS171" s="17">
        <f>SUM(AS163:AS169)</f>
        <v>17604.877399999998</v>
      </c>
      <c r="AU171" s="5">
        <f t="shared" si="19"/>
        <v>3994.5466820599995</v>
      </c>
      <c r="AV171" s="5">
        <f t="shared" si="20"/>
        <v>13610.330717939998</v>
      </c>
    </row>
    <row r="172" spans="1:48" ht="24" customHeight="1">
      <c r="A172" s="39"/>
      <c r="B172" s="39"/>
      <c r="C172" s="39"/>
      <c r="D172" s="39"/>
      <c r="K172" s="12" t="s">
        <v>117</v>
      </c>
      <c r="N172" s="6"/>
      <c r="Q172" s="8"/>
      <c r="R172" s="16">
        <f>(R170/10)</f>
        <v>4291.4279999999999</v>
      </c>
      <c r="AE172" s="24"/>
      <c r="AO172" s="6"/>
      <c r="AR172" s="8"/>
      <c r="AS172" s="12" t="s">
        <v>117</v>
      </c>
      <c r="AU172" s="5">
        <f t="shared" si="19"/>
        <v>0</v>
      </c>
      <c r="AV172" s="5">
        <f t="shared" si="20"/>
        <v>0</v>
      </c>
    </row>
    <row r="173" spans="1:48" ht="24" customHeight="1">
      <c r="A173" s="39"/>
      <c r="B173" s="39"/>
      <c r="C173" s="39"/>
      <c r="D173" s="39"/>
      <c r="F173" s="51">
        <v>2.7</v>
      </c>
      <c r="G173" s="15" t="s">
        <v>122</v>
      </c>
      <c r="H173" s="3" t="s">
        <v>587</v>
      </c>
      <c r="N173" s="6"/>
      <c r="O173" s="19" t="s">
        <v>383</v>
      </c>
      <c r="Q173" s="8"/>
      <c r="R173" s="12" t="s">
        <v>155</v>
      </c>
      <c r="AE173" s="24"/>
      <c r="AO173" s="6"/>
      <c r="AP173" s="3" t="s">
        <v>383</v>
      </c>
      <c r="AR173" s="8"/>
      <c r="AS173" s="17">
        <f>(AS171/2.83168)</f>
        <v>6217.1140100576331</v>
      </c>
      <c r="AU173" s="5">
        <f t="shared" si="19"/>
        <v>1410.6631688820771</v>
      </c>
      <c r="AV173" s="5">
        <f t="shared" si="20"/>
        <v>4806.450841175556</v>
      </c>
    </row>
    <row r="174" spans="1:48" ht="24" customHeight="1">
      <c r="A174" s="39"/>
      <c r="B174" s="39"/>
      <c r="C174" s="39"/>
      <c r="D174" s="39"/>
      <c r="H174" s="12" t="s">
        <v>117</v>
      </c>
      <c r="AE174" s="24"/>
      <c r="AO174" s="6"/>
      <c r="AR174" s="8"/>
      <c r="AS174" s="12" t="s">
        <v>155</v>
      </c>
      <c r="AU174" s="5">
        <f t="shared" si="19"/>
        <v>0</v>
      </c>
      <c r="AV174" s="5">
        <f t="shared" si="20"/>
        <v>0</v>
      </c>
    </row>
    <row r="175" spans="1:48" ht="24" customHeight="1">
      <c r="A175" s="39"/>
      <c r="B175" s="39"/>
      <c r="C175" s="39"/>
      <c r="D175" s="39"/>
      <c r="F175" s="17">
        <v>1</v>
      </c>
      <c r="G175" s="15" t="s">
        <v>126</v>
      </c>
      <c r="H175" s="3" t="s">
        <v>588</v>
      </c>
      <c r="I175" s="17">
        <f>AC14</f>
        <v>1637.02</v>
      </c>
      <c r="J175" s="3" t="s">
        <v>126</v>
      </c>
      <c r="K175" s="17">
        <f>(F175*I175)</f>
        <v>1637.02</v>
      </c>
      <c r="AE175" s="24"/>
      <c r="AN175" s="3" t="s">
        <v>251</v>
      </c>
      <c r="AO175" s="6"/>
      <c r="AR175" s="8"/>
      <c r="AU175" s="5">
        <f t="shared" si="19"/>
        <v>0</v>
      </c>
      <c r="AV175" s="5">
        <f t="shared" si="20"/>
        <v>0</v>
      </c>
    </row>
    <row r="176" spans="1:48" ht="24" customHeight="1">
      <c r="A176" s="39"/>
      <c r="B176" s="39"/>
      <c r="C176" s="39"/>
      <c r="D176" s="39"/>
      <c r="F176" s="17">
        <v>1</v>
      </c>
      <c r="G176" s="15" t="s">
        <v>126</v>
      </c>
      <c r="H176" s="3" t="s">
        <v>360</v>
      </c>
      <c r="I176" s="17">
        <f>C26</f>
        <v>29.3</v>
      </c>
      <c r="J176" s="3" t="s">
        <v>126</v>
      </c>
      <c r="K176" s="17">
        <f>(F176*I176)</f>
        <v>29.3</v>
      </c>
      <c r="AE176" s="24"/>
      <c r="AO176" s="6"/>
      <c r="AR176" s="8"/>
      <c r="AU176" s="5">
        <f t="shared" si="19"/>
        <v>0</v>
      </c>
      <c r="AV176" s="5">
        <f t="shared" si="20"/>
        <v>0</v>
      </c>
    </row>
    <row r="177" spans="1:48" ht="24" customHeight="1">
      <c r="A177" s="39"/>
      <c r="B177" s="39"/>
      <c r="C177" s="39"/>
      <c r="D177" s="39"/>
      <c r="G177" s="15" t="s">
        <v>129</v>
      </c>
      <c r="H177" s="3" t="s">
        <v>130</v>
      </c>
      <c r="I177" s="3" t="s">
        <v>115</v>
      </c>
      <c r="J177" s="3" t="s">
        <v>129</v>
      </c>
      <c r="K177" s="17">
        <v>0</v>
      </c>
      <c r="AE177" s="24"/>
      <c r="AO177" s="15" t="s">
        <v>589</v>
      </c>
      <c r="AP177" s="3" t="s">
        <v>590</v>
      </c>
      <c r="AR177" s="8"/>
      <c r="AU177" s="5">
        <f t="shared" si="19"/>
        <v>0</v>
      </c>
      <c r="AV177" s="5">
        <f t="shared" si="20"/>
        <v>0</v>
      </c>
    </row>
    <row r="178" spans="1:48" ht="24" customHeight="1">
      <c r="A178" s="39"/>
      <c r="B178" s="39"/>
      <c r="C178" s="39"/>
      <c r="D178" s="39"/>
      <c r="K178" s="12" t="s">
        <v>117</v>
      </c>
      <c r="AE178" s="24"/>
      <c r="AO178" s="6"/>
      <c r="AP178" s="12" t="s">
        <v>117</v>
      </c>
      <c r="AR178" s="8"/>
      <c r="AU178" s="5">
        <f t="shared" si="19"/>
        <v>0</v>
      </c>
      <c r="AV178" s="5">
        <f t="shared" si="20"/>
        <v>0</v>
      </c>
    </row>
    <row r="179" spans="1:48" ht="24" customHeight="1">
      <c r="A179" s="39"/>
      <c r="B179" s="39"/>
      <c r="C179" s="39"/>
      <c r="D179" s="39"/>
      <c r="H179" s="19" t="s">
        <v>555</v>
      </c>
      <c r="K179" s="16">
        <f>SUM(K174:K177)</f>
        <v>1666.32</v>
      </c>
      <c r="AE179" s="24"/>
      <c r="AN179" s="17">
        <v>0.7</v>
      </c>
      <c r="AO179" s="15" t="s">
        <v>126</v>
      </c>
      <c r="AP179" s="3" t="s">
        <v>591</v>
      </c>
      <c r="AQ179" s="17">
        <f>AQ147</f>
        <v>6217.1140100576331</v>
      </c>
      <c r="AR179" s="3" t="s">
        <v>209</v>
      </c>
      <c r="AS179" s="17">
        <f>(AN179*AQ179)</f>
        <v>4351.9798070403431</v>
      </c>
      <c r="AU179" s="5">
        <f t="shared" si="19"/>
        <v>987.46421821745389</v>
      </c>
      <c r="AV179" s="5">
        <f t="shared" si="20"/>
        <v>3364.5155888228892</v>
      </c>
    </row>
    <row r="180" spans="1:48" ht="24" customHeight="1">
      <c r="K180" s="12" t="s">
        <v>117</v>
      </c>
      <c r="M180" s="17">
        <v>2.5</v>
      </c>
      <c r="N180" s="3" t="s">
        <v>126</v>
      </c>
      <c r="O180" s="3" t="s">
        <v>136</v>
      </c>
      <c r="P180" s="17">
        <f>(K58)</f>
        <v>2801.8</v>
      </c>
      <c r="Q180" s="3" t="s">
        <v>126</v>
      </c>
      <c r="R180" s="17">
        <f>(M180*P180)</f>
        <v>7004.5</v>
      </c>
      <c r="AE180" s="24"/>
      <c r="AG180" s="3"/>
      <c r="AN180" s="17">
        <v>1</v>
      </c>
      <c r="AO180" s="15" t="s">
        <v>1</v>
      </c>
      <c r="AP180" s="3" t="s">
        <v>144</v>
      </c>
      <c r="AQ180" s="17">
        <f>AQ165</f>
        <v>769</v>
      </c>
      <c r="AR180" s="3" t="s">
        <v>209</v>
      </c>
      <c r="AS180" s="17">
        <f>(AN180*AQ180)</f>
        <v>769</v>
      </c>
      <c r="AU180" s="5">
        <f t="shared" si="19"/>
        <v>174.48609999999999</v>
      </c>
      <c r="AV180" s="5">
        <f t="shared" si="20"/>
        <v>594.51390000000004</v>
      </c>
    </row>
    <row r="181" spans="1:48" ht="24" customHeight="1">
      <c r="H181" s="3" t="s">
        <v>115</v>
      </c>
      <c r="M181" s="17">
        <v>3.5</v>
      </c>
      <c r="N181" s="3" t="s">
        <v>209</v>
      </c>
      <c r="O181" s="3" t="s">
        <v>144</v>
      </c>
      <c r="P181" s="17">
        <f>(C10)</f>
        <v>769</v>
      </c>
      <c r="Q181" s="3" t="s">
        <v>209</v>
      </c>
      <c r="R181" s="17">
        <f>(M181*P181)</f>
        <v>2691.5</v>
      </c>
      <c r="AE181" s="24"/>
      <c r="AG181" s="3"/>
      <c r="AO181" s="15" t="s">
        <v>129</v>
      </c>
      <c r="AP181" s="3" t="s">
        <v>130</v>
      </c>
      <c r="AQ181" s="3" t="s">
        <v>115</v>
      </c>
      <c r="AR181" s="3" t="s">
        <v>129</v>
      </c>
      <c r="AS181" s="17">
        <v>0</v>
      </c>
      <c r="AU181" s="5">
        <f t="shared" si="19"/>
        <v>0</v>
      </c>
      <c r="AV181" s="5">
        <f t="shared" si="20"/>
        <v>0</v>
      </c>
    </row>
    <row r="182" spans="1:48" ht="24" customHeight="1">
      <c r="F182" s="4" t="s">
        <v>592</v>
      </c>
      <c r="H182" s="3" t="s">
        <v>593</v>
      </c>
      <c r="AE182" s="24"/>
      <c r="AO182" s="6"/>
      <c r="AR182" s="8"/>
      <c r="AS182" s="12" t="s">
        <v>117</v>
      </c>
      <c r="AU182" s="5">
        <f t="shared" si="19"/>
        <v>0</v>
      </c>
      <c r="AV182" s="5">
        <f t="shared" si="20"/>
        <v>0</v>
      </c>
    </row>
    <row r="183" spans="1:48" ht="24" customHeight="1">
      <c r="A183" s="39"/>
      <c r="B183" s="39"/>
      <c r="C183" s="39"/>
      <c r="D183" s="39"/>
      <c r="AE183" s="24"/>
      <c r="AO183" s="6"/>
      <c r="AP183" s="3" t="s">
        <v>153</v>
      </c>
      <c r="AR183" s="8"/>
      <c r="AS183" s="16">
        <f>SUM(AS179:AS181)</f>
        <v>5120.9798070403431</v>
      </c>
      <c r="AU183" s="5">
        <f t="shared" si="19"/>
        <v>1161.950318217454</v>
      </c>
      <c r="AV183" s="5">
        <f t="shared" si="20"/>
        <v>3959.0294888228891</v>
      </c>
    </row>
    <row r="184" spans="1:48" ht="24" customHeight="1">
      <c r="A184" s="39"/>
      <c r="B184" s="39"/>
      <c r="C184" s="39"/>
      <c r="D184" s="39"/>
      <c r="F184" s="17">
        <v>1</v>
      </c>
      <c r="G184" s="15" t="s">
        <v>126</v>
      </c>
      <c r="H184" s="3" t="s">
        <v>594</v>
      </c>
      <c r="I184" s="17">
        <f>C35</f>
        <v>449.02</v>
      </c>
      <c r="J184" s="3" t="s">
        <v>126</v>
      </c>
      <c r="K184" s="17">
        <f>(F184*I184)</f>
        <v>449.02</v>
      </c>
      <c r="AE184" s="24"/>
      <c r="AO184" s="6"/>
      <c r="AR184" s="8"/>
      <c r="AS184" s="12" t="s">
        <v>117</v>
      </c>
      <c r="AU184" s="5">
        <f t="shared" si="19"/>
        <v>0</v>
      </c>
      <c r="AV184" s="5">
        <f t="shared" si="20"/>
        <v>0</v>
      </c>
    </row>
    <row r="185" spans="1:48" ht="24" customHeight="1">
      <c r="A185" s="39"/>
      <c r="B185" s="39"/>
      <c r="C185" s="39"/>
      <c r="D185" s="39"/>
      <c r="F185" s="17">
        <v>1</v>
      </c>
      <c r="G185" s="15" t="s">
        <v>126</v>
      </c>
      <c r="H185" s="3" t="s">
        <v>572</v>
      </c>
      <c r="I185" s="78">
        <f>C812</f>
        <v>3.15</v>
      </c>
      <c r="J185" s="3" t="s">
        <v>126</v>
      </c>
      <c r="K185" s="17">
        <f>(F185*I185)</f>
        <v>3.15</v>
      </c>
      <c r="AE185" s="24"/>
      <c r="AO185" s="6"/>
      <c r="AP185" s="3" t="s">
        <v>154</v>
      </c>
      <c r="AR185" s="8"/>
      <c r="AS185" s="17">
        <f>(AS183/10)</f>
        <v>512.09798070403428</v>
      </c>
      <c r="AU185" s="5">
        <f t="shared" si="19"/>
        <v>116.19503182174537</v>
      </c>
      <c r="AV185" s="5">
        <f t="shared" si="20"/>
        <v>395.90294888228891</v>
      </c>
    </row>
    <row r="186" spans="1:48" ht="24" customHeight="1">
      <c r="A186" s="39"/>
      <c r="B186" s="39"/>
      <c r="C186" s="39"/>
      <c r="D186" s="39"/>
      <c r="F186" s="17">
        <v>1</v>
      </c>
      <c r="G186" s="15" t="s">
        <v>126</v>
      </c>
      <c r="H186" s="3" t="s">
        <v>574</v>
      </c>
      <c r="I186" s="78">
        <f>C146</f>
        <v>15.5</v>
      </c>
      <c r="J186" s="3" t="s">
        <v>126</v>
      </c>
      <c r="K186" s="17">
        <f>(F186*I186)</f>
        <v>15.5</v>
      </c>
      <c r="AE186" s="24"/>
      <c r="AO186" s="6"/>
      <c r="AR186" s="8"/>
      <c r="AS186" s="12" t="s">
        <v>155</v>
      </c>
      <c r="AU186" s="5">
        <f t="shared" si="19"/>
        <v>0</v>
      </c>
      <c r="AV186" s="5">
        <f t="shared" si="20"/>
        <v>0</v>
      </c>
    </row>
    <row r="187" spans="1:48" ht="24" customHeight="1">
      <c r="A187" s="39"/>
      <c r="B187" s="39"/>
      <c r="C187" s="39"/>
      <c r="D187" s="39"/>
      <c r="H187" s="3" t="s">
        <v>575</v>
      </c>
      <c r="AE187" s="24"/>
      <c r="AO187" s="6"/>
      <c r="AP187" s="3" t="s">
        <v>482</v>
      </c>
      <c r="AR187" s="8">
        <f>AS187-AS185</f>
        <v>4.1440000000000055</v>
      </c>
      <c r="AS187" s="16">
        <f>(AS185+C19/10*AN179)</f>
        <v>516.24198070403429</v>
      </c>
      <c r="AU187" s="5">
        <f t="shared" si="19"/>
        <v>117.13530542174539</v>
      </c>
      <c r="AV187" s="5">
        <f t="shared" si="20"/>
        <v>399.1066752822889</v>
      </c>
    </row>
    <row r="188" spans="1:48" ht="24" customHeight="1">
      <c r="A188" s="39"/>
      <c r="B188" s="39"/>
      <c r="C188" s="39"/>
      <c r="D188" s="39"/>
      <c r="K188" s="12" t="s">
        <v>117</v>
      </c>
      <c r="AE188" s="24"/>
      <c r="AO188" s="6"/>
      <c r="AP188" s="3" t="s">
        <v>486</v>
      </c>
      <c r="AR188" s="8">
        <f>AS188-AS187</f>
        <v>8.3509999999999991</v>
      </c>
      <c r="AS188" s="16">
        <f>(AS187+C20/10*AN179)</f>
        <v>524.59298070403429</v>
      </c>
      <c r="AU188" s="5">
        <f t="shared" si="19"/>
        <v>119.03014732174539</v>
      </c>
      <c r="AV188" s="5">
        <f t="shared" si="20"/>
        <v>405.56283338228889</v>
      </c>
    </row>
    <row r="189" spans="1:48" ht="24" customHeight="1">
      <c r="A189" s="39"/>
      <c r="B189" s="39"/>
      <c r="C189" s="39"/>
      <c r="D189" s="39"/>
      <c r="H189" s="19" t="s">
        <v>555</v>
      </c>
      <c r="K189" s="16">
        <f>SUM(K182:K187)</f>
        <v>467.66999999999996</v>
      </c>
      <c r="AE189" s="24"/>
      <c r="AO189" s="6"/>
      <c r="AP189" s="3" t="s">
        <v>489</v>
      </c>
      <c r="AR189" s="8">
        <f>AS189-AS188</f>
        <v>8.3509999999999991</v>
      </c>
      <c r="AS189" s="16">
        <f>(AS188+C21/10*AN179)</f>
        <v>532.94398070403429</v>
      </c>
      <c r="AU189" s="5">
        <f t="shared" si="19"/>
        <v>120.92498922174538</v>
      </c>
      <c r="AV189" s="5">
        <f t="shared" si="20"/>
        <v>412.01899148228892</v>
      </c>
    </row>
    <row r="190" spans="1:48" ht="24" customHeight="1">
      <c r="A190" s="39"/>
      <c r="B190" s="39"/>
      <c r="C190" s="39"/>
      <c r="D190" s="39"/>
      <c r="F190" s="3" t="s">
        <v>115</v>
      </c>
      <c r="K190" s="12" t="s">
        <v>117</v>
      </c>
      <c r="AE190" s="24"/>
      <c r="AO190" s="6"/>
      <c r="AP190" s="3" t="s">
        <v>491</v>
      </c>
      <c r="AR190" s="8">
        <f>AS190-AS189</f>
        <v>8.3509999999999991</v>
      </c>
      <c r="AS190" s="16">
        <f>(AS189+C21/10*AN179)</f>
        <v>541.29498070403429</v>
      </c>
      <c r="AU190" s="5">
        <f t="shared" si="19"/>
        <v>122.81983112174539</v>
      </c>
      <c r="AV190" s="5">
        <f t="shared" si="20"/>
        <v>418.47514958228891</v>
      </c>
    </row>
    <row r="191" spans="1:48" ht="24" customHeight="1">
      <c r="A191" s="39"/>
      <c r="B191" s="39"/>
      <c r="C191" s="39"/>
      <c r="D191" s="39"/>
      <c r="K191" s="3" t="s">
        <v>115</v>
      </c>
      <c r="AE191" s="24"/>
      <c r="AO191" s="6"/>
      <c r="AP191" s="3" t="s">
        <v>595</v>
      </c>
      <c r="AR191" s="8">
        <f>AS191-AS190</f>
        <v>8.3509999999999991</v>
      </c>
      <c r="AS191" s="16">
        <f>(AS190+C21/10*AN179)</f>
        <v>549.64598070403429</v>
      </c>
      <c r="AU191" s="5">
        <f t="shared" si="19"/>
        <v>124.71467302174538</v>
      </c>
      <c r="AV191" s="5">
        <f t="shared" si="20"/>
        <v>424.93130768228889</v>
      </c>
    </row>
    <row r="192" spans="1:48" ht="24" customHeight="1">
      <c r="A192" s="26">
        <f>(A148+1)</f>
        <v>90</v>
      </c>
      <c r="B192" s="27" t="s">
        <v>596</v>
      </c>
      <c r="C192" s="28">
        <v>65</v>
      </c>
      <c r="D192" s="27" t="s">
        <v>597</v>
      </c>
      <c r="F192" s="4" t="s">
        <v>577</v>
      </c>
      <c r="G192" s="15" t="s">
        <v>122</v>
      </c>
      <c r="H192" s="3" t="s">
        <v>598</v>
      </c>
      <c r="M192" s="4" t="s">
        <v>577</v>
      </c>
      <c r="N192" s="15" t="s">
        <v>122</v>
      </c>
      <c r="O192" s="3" t="s">
        <v>599</v>
      </c>
      <c r="Q192" s="8"/>
      <c r="S192" s="4" t="s">
        <v>577</v>
      </c>
      <c r="T192" s="15" t="s">
        <v>122</v>
      </c>
      <c r="U192" s="3" t="s">
        <v>599</v>
      </c>
      <c r="W192" s="8"/>
      <c r="AE192" s="24"/>
      <c r="AG192" s="3"/>
      <c r="AP192" s="3"/>
      <c r="AR192" s="8"/>
      <c r="AS192" s="16"/>
      <c r="AU192" s="5">
        <f t="shared" si="19"/>
        <v>0</v>
      </c>
      <c r="AV192" s="5">
        <f t="shared" si="20"/>
        <v>0</v>
      </c>
    </row>
    <row r="193" spans="1:48" ht="24" customHeight="1">
      <c r="A193" s="26">
        <f t="shared" ref="A193:A208" si="21">(A192+1)</f>
        <v>91</v>
      </c>
      <c r="B193" s="27" t="s">
        <v>600</v>
      </c>
      <c r="C193" s="28">
        <v>25</v>
      </c>
      <c r="D193" s="27" t="s">
        <v>597</v>
      </c>
      <c r="H193" s="3" t="s">
        <v>580</v>
      </c>
      <c r="N193" s="6"/>
      <c r="O193" s="3" t="s">
        <v>466</v>
      </c>
      <c r="Q193" s="8"/>
      <c r="S193" s="5"/>
      <c r="T193" s="6"/>
      <c r="U193" s="3" t="s">
        <v>580</v>
      </c>
      <c r="W193" s="8"/>
      <c r="AE193" s="24"/>
      <c r="AG193" s="3"/>
      <c r="AP193" s="3"/>
      <c r="AR193" s="8"/>
      <c r="AS193" s="16"/>
      <c r="AU193" s="5">
        <f t="shared" si="19"/>
        <v>0</v>
      </c>
      <c r="AV193" s="5">
        <f t="shared" si="20"/>
        <v>0</v>
      </c>
    </row>
    <row r="194" spans="1:48" ht="24" customHeight="1">
      <c r="A194" s="26">
        <f t="shared" si="21"/>
        <v>92</v>
      </c>
      <c r="B194" s="27" t="s">
        <v>601</v>
      </c>
      <c r="C194" s="25">
        <v>266</v>
      </c>
      <c r="D194" s="27" t="s">
        <v>597</v>
      </c>
      <c r="H194" s="12" t="s">
        <v>117</v>
      </c>
      <c r="N194" s="6"/>
      <c r="O194" s="12" t="s">
        <v>117</v>
      </c>
      <c r="Q194" s="8"/>
      <c r="S194" s="5"/>
      <c r="T194" s="6"/>
      <c r="U194" s="12" t="s">
        <v>117</v>
      </c>
      <c r="W194" s="8"/>
      <c r="AE194" s="24"/>
      <c r="AG194" s="3"/>
      <c r="AU194" s="5">
        <f t="shared" si="19"/>
        <v>0</v>
      </c>
      <c r="AV194" s="5">
        <f t="shared" si="20"/>
        <v>0</v>
      </c>
    </row>
    <row r="195" spans="1:48" ht="24" customHeight="1">
      <c r="A195" s="26">
        <f t="shared" si="21"/>
        <v>93</v>
      </c>
      <c r="B195" s="27" t="s">
        <v>602</v>
      </c>
      <c r="C195" s="25">
        <v>234.3</v>
      </c>
      <c r="D195" s="45">
        <v>96.11</v>
      </c>
      <c r="F195" s="17">
        <v>9</v>
      </c>
      <c r="G195" s="15" t="s">
        <v>126</v>
      </c>
      <c r="H195" s="3" t="s">
        <v>581</v>
      </c>
      <c r="I195" s="17">
        <f>(C74)</f>
        <v>1243.02</v>
      </c>
      <c r="J195" s="3" t="s">
        <v>126</v>
      </c>
      <c r="K195" s="17">
        <f>(F195*I195)</f>
        <v>11187.18</v>
      </c>
      <c r="M195" s="17">
        <v>9</v>
      </c>
      <c r="N195" s="15" t="s">
        <v>126</v>
      </c>
      <c r="O195" s="3" t="s">
        <v>603</v>
      </c>
      <c r="P195" s="17">
        <f>(C73)</f>
        <v>1637.02</v>
      </c>
      <c r="Q195" s="3" t="s">
        <v>126</v>
      </c>
      <c r="R195" s="17">
        <f>(M195*P195)</f>
        <v>14733.18</v>
      </c>
      <c r="S195" s="17">
        <v>9</v>
      </c>
      <c r="T195" s="15" t="s">
        <v>126</v>
      </c>
      <c r="U195" s="3" t="s">
        <v>581</v>
      </c>
      <c r="V195" s="17">
        <f>(C74)</f>
        <v>1243.02</v>
      </c>
      <c r="W195" s="3" t="s">
        <v>126</v>
      </c>
      <c r="X195" s="17">
        <f>(S195*V195)</f>
        <v>11187.18</v>
      </c>
      <c r="AE195" s="24"/>
      <c r="AG195" s="3"/>
      <c r="AP195" s="3"/>
      <c r="AR195" s="8"/>
      <c r="AS195" s="16"/>
      <c r="AU195" s="5">
        <f t="shared" si="19"/>
        <v>0</v>
      </c>
      <c r="AV195" s="5">
        <f t="shared" si="20"/>
        <v>0</v>
      </c>
    </row>
    <row r="196" spans="1:48" ht="24" customHeight="1">
      <c r="A196" s="26">
        <f t="shared" si="21"/>
        <v>94</v>
      </c>
      <c r="B196" s="27" t="s">
        <v>604</v>
      </c>
      <c r="C196" s="25">
        <v>144.69999999999999</v>
      </c>
      <c r="D196" s="27" t="s">
        <v>597</v>
      </c>
      <c r="F196" s="17">
        <v>4.5</v>
      </c>
      <c r="G196" s="15" t="s">
        <v>126</v>
      </c>
      <c r="H196" s="3" t="s">
        <v>135</v>
      </c>
      <c r="I196" s="17">
        <f>(K49)</f>
        <v>3080.2</v>
      </c>
      <c r="J196" s="3" t="s">
        <v>126</v>
      </c>
      <c r="K196" s="17">
        <f>(F196*I196)</f>
        <v>13860.9</v>
      </c>
      <c r="M196" s="17">
        <v>4.5</v>
      </c>
      <c r="N196" s="15" t="s">
        <v>126</v>
      </c>
      <c r="O196" s="3" t="s">
        <v>133</v>
      </c>
      <c r="P196" s="17">
        <f>K32</f>
        <v>4193.8</v>
      </c>
      <c r="Q196" s="3" t="s">
        <v>126</v>
      </c>
      <c r="R196" s="17">
        <f>(M196*P196)</f>
        <v>18872.100000000002</v>
      </c>
      <c r="S196" s="17">
        <v>4.5</v>
      </c>
      <c r="T196" s="15" t="s">
        <v>126</v>
      </c>
      <c r="U196" s="3" t="s">
        <v>133</v>
      </c>
      <c r="V196" s="17">
        <f>P196</f>
        <v>4193.8</v>
      </c>
      <c r="W196" s="3" t="s">
        <v>126</v>
      </c>
      <c r="X196" s="17">
        <f>(S196*V196)</f>
        <v>18872.100000000002</v>
      </c>
      <c r="AE196" s="24"/>
      <c r="AG196" s="3"/>
      <c r="AP196" s="3"/>
      <c r="AS196" s="16"/>
      <c r="AU196" s="5">
        <f t="shared" si="19"/>
        <v>0</v>
      </c>
      <c r="AV196" s="5">
        <f t="shared" si="20"/>
        <v>0</v>
      </c>
    </row>
    <row r="197" spans="1:48" ht="24" customHeight="1">
      <c r="A197" s="26">
        <f t="shared" si="21"/>
        <v>95</v>
      </c>
      <c r="B197" s="27" t="s">
        <v>605</v>
      </c>
      <c r="C197" s="28">
        <v>0.25</v>
      </c>
      <c r="D197" s="27" t="s">
        <v>209</v>
      </c>
      <c r="F197" s="17">
        <v>1.8</v>
      </c>
      <c r="G197" s="15" t="s">
        <v>209</v>
      </c>
      <c r="H197" s="3" t="s">
        <v>145</v>
      </c>
      <c r="I197" s="17">
        <f>(C11)</f>
        <v>718</v>
      </c>
      <c r="J197" s="3" t="s">
        <v>209</v>
      </c>
      <c r="K197" s="17">
        <f>(F197*I197)</f>
        <v>1292.4000000000001</v>
      </c>
      <c r="M197" s="17">
        <v>1.8</v>
      </c>
      <c r="N197" s="15" t="s">
        <v>209</v>
      </c>
      <c r="O197" s="3" t="s">
        <v>145</v>
      </c>
      <c r="P197" s="17">
        <f>I197</f>
        <v>718</v>
      </c>
      <c r="Q197" s="3" t="s">
        <v>209</v>
      </c>
      <c r="R197" s="17">
        <f>(M197*P197)</f>
        <v>1292.4000000000001</v>
      </c>
      <c r="S197" s="17">
        <v>1.8</v>
      </c>
      <c r="T197" s="15" t="s">
        <v>209</v>
      </c>
      <c r="U197" s="3" t="s">
        <v>145</v>
      </c>
      <c r="V197" s="17">
        <f>P197</f>
        <v>718</v>
      </c>
      <c r="W197" s="3" t="s">
        <v>209</v>
      </c>
      <c r="X197" s="17">
        <f>(S197*V197)</f>
        <v>1292.4000000000001</v>
      </c>
      <c r="AE197" s="24"/>
      <c r="AG197" s="3"/>
      <c r="AP197" s="3"/>
      <c r="AS197" s="16"/>
      <c r="AU197" s="5">
        <f t="shared" si="19"/>
        <v>0</v>
      </c>
      <c r="AV197" s="5">
        <f t="shared" si="20"/>
        <v>0</v>
      </c>
    </row>
    <row r="198" spans="1:48" ht="24" customHeight="1">
      <c r="A198" s="26">
        <f t="shared" si="21"/>
        <v>96</v>
      </c>
      <c r="B198" s="27" t="s">
        <v>606</v>
      </c>
      <c r="C198" s="23">
        <v>31.65</v>
      </c>
      <c r="D198" s="27" t="s">
        <v>140</v>
      </c>
      <c r="F198" s="17">
        <v>17.7</v>
      </c>
      <c r="G198" s="15" t="s">
        <v>209</v>
      </c>
      <c r="H198" s="3" t="s">
        <v>146</v>
      </c>
      <c r="I198" s="17">
        <f>(C12)</f>
        <v>502</v>
      </c>
      <c r="J198" s="3" t="s">
        <v>209</v>
      </c>
      <c r="K198" s="17">
        <f>(F198*I198)</f>
        <v>8885.4</v>
      </c>
      <c r="M198" s="17">
        <v>17.7</v>
      </c>
      <c r="N198" s="15" t="s">
        <v>209</v>
      </c>
      <c r="O198" s="3" t="s">
        <v>146</v>
      </c>
      <c r="P198" s="17">
        <f>I198</f>
        <v>502</v>
      </c>
      <c r="Q198" s="3" t="s">
        <v>209</v>
      </c>
      <c r="R198" s="17">
        <f>(M198*P198)</f>
        <v>8885.4</v>
      </c>
      <c r="S198" s="17">
        <v>17.7</v>
      </c>
      <c r="T198" s="15" t="s">
        <v>209</v>
      </c>
      <c r="U198" s="3" t="s">
        <v>146</v>
      </c>
      <c r="V198" s="17">
        <f>P198</f>
        <v>502</v>
      </c>
      <c r="W198" s="3" t="s">
        <v>209</v>
      </c>
      <c r="X198" s="17">
        <f>(S198*V198)</f>
        <v>8885.4</v>
      </c>
      <c r="AE198" s="24"/>
      <c r="AG198" s="3"/>
      <c r="AP198" s="3"/>
      <c r="AS198" s="16"/>
      <c r="AU198" s="5">
        <f t="shared" si="19"/>
        <v>0</v>
      </c>
      <c r="AV198" s="5">
        <f t="shared" si="20"/>
        <v>0</v>
      </c>
    </row>
    <row r="199" spans="1:48" ht="24" customHeight="1">
      <c r="A199" s="26">
        <f t="shared" si="21"/>
        <v>97</v>
      </c>
      <c r="B199" s="27" t="s">
        <v>607</v>
      </c>
      <c r="C199" s="23">
        <v>295</v>
      </c>
      <c r="D199" s="23">
        <v>91</v>
      </c>
      <c r="E199" s="27" t="s">
        <v>140</v>
      </c>
      <c r="F199" s="17">
        <v>14.1</v>
      </c>
      <c r="G199" s="15" t="s">
        <v>209</v>
      </c>
      <c r="H199" s="3" t="s">
        <v>147</v>
      </c>
      <c r="I199" s="17">
        <f>(C13)</f>
        <v>412</v>
      </c>
      <c r="J199" s="3" t="s">
        <v>209</v>
      </c>
      <c r="K199" s="17">
        <f>(F199*I199)</f>
        <v>5809.2</v>
      </c>
      <c r="M199" s="17">
        <v>14.1</v>
      </c>
      <c r="N199" s="15" t="s">
        <v>209</v>
      </c>
      <c r="O199" s="3" t="s">
        <v>147</v>
      </c>
      <c r="P199" s="17">
        <f>I199</f>
        <v>412</v>
      </c>
      <c r="Q199" s="3" t="s">
        <v>209</v>
      </c>
      <c r="R199" s="17">
        <f>(M199*P199)</f>
        <v>5809.2</v>
      </c>
      <c r="S199" s="17">
        <v>14.1</v>
      </c>
      <c r="T199" s="15" t="s">
        <v>209</v>
      </c>
      <c r="U199" s="3" t="s">
        <v>147</v>
      </c>
      <c r="V199" s="17">
        <f>P199</f>
        <v>412</v>
      </c>
      <c r="W199" s="3" t="s">
        <v>209</v>
      </c>
      <c r="X199" s="17">
        <f>(S199*V199)</f>
        <v>5809.2</v>
      </c>
      <c r="AE199" s="24"/>
      <c r="AG199" s="3"/>
      <c r="AP199" s="3"/>
      <c r="AS199" s="16"/>
      <c r="AU199" s="5">
        <f t="shared" si="19"/>
        <v>0</v>
      </c>
      <c r="AV199" s="5">
        <f t="shared" si="20"/>
        <v>0</v>
      </c>
    </row>
    <row r="200" spans="1:48" ht="24" customHeight="1">
      <c r="A200" s="26">
        <f t="shared" si="21"/>
        <v>98</v>
      </c>
      <c r="B200" s="27" t="s">
        <v>608</v>
      </c>
      <c r="C200" s="23">
        <v>143</v>
      </c>
      <c r="D200" s="27" t="s">
        <v>1</v>
      </c>
      <c r="G200" s="15" t="s">
        <v>129</v>
      </c>
      <c r="H200" s="3" t="s">
        <v>130</v>
      </c>
      <c r="J200" s="3" t="s">
        <v>129</v>
      </c>
      <c r="K200" s="17">
        <v>0</v>
      </c>
      <c r="N200" s="15" t="s">
        <v>129</v>
      </c>
      <c r="O200" s="3" t="s">
        <v>130</v>
      </c>
      <c r="Q200" s="3" t="s">
        <v>129</v>
      </c>
      <c r="R200" s="17">
        <v>0</v>
      </c>
      <c r="S200" s="5"/>
      <c r="T200" s="15" t="s">
        <v>129</v>
      </c>
      <c r="U200" s="3" t="s">
        <v>130</v>
      </c>
      <c r="W200" s="3" t="s">
        <v>129</v>
      </c>
      <c r="X200" s="17">
        <v>0</v>
      </c>
      <c r="AE200" s="24"/>
      <c r="AG200" s="3"/>
      <c r="AU200" s="5">
        <f t="shared" si="19"/>
        <v>0</v>
      </c>
      <c r="AV200" s="5">
        <f t="shared" si="20"/>
        <v>0</v>
      </c>
    </row>
    <row r="201" spans="1:48" ht="24" customHeight="1">
      <c r="A201" s="26">
        <f t="shared" si="21"/>
        <v>99</v>
      </c>
      <c r="B201" s="27" t="s">
        <v>609</v>
      </c>
      <c r="C201" s="23">
        <v>1180</v>
      </c>
      <c r="D201" s="27" t="s">
        <v>1</v>
      </c>
      <c r="K201" s="12" t="s">
        <v>117</v>
      </c>
      <c r="N201" s="6"/>
      <c r="Q201" s="8"/>
      <c r="R201" s="12" t="s">
        <v>117</v>
      </c>
      <c r="S201" s="5"/>
      <c r="T201" s="6"/>
      <c r="W201" s="8"/>
      <c r="X201" s="12" t="s">
        <v>117</v>
      </c>
      <c r="AE201" s="24"/>
      <c r="AG201" s="3"/>
      <c r="AU201" s="5">
        <f t="shared" si="19"/>
        <v>0</v>
      </c>
      <c r="AV201" s="5">
        <f t="shared" si="20"/>
        <v>0</v>
      </c>
    </row>
    <row r="202" spans="1:48" ht="24" customHeight="1">
      <c r="A202" s="26">
        <f t="shared" si="21"/>
        <v>100</v>
      </c>
      <c r="B202" s="27" t="s">
        <v>610</v>
      </c>
      <c r="C202" s="36">
        <v>47.2</v>
      </c>
      <c r="D202" s="27" t="s">
        <v>1</v>
      </c>
      <c r="K202" s="17">
        <f>SUM(K195:K200)</f>
        <v>41035.08</v>
      </c>
      <c r="N202" s="6"/>
      <c r="Q202" s="8"/>
      <c r="R202" s="17">
        <f>SUM(R195:R200)</f>
        <v>49592.28</v>
      </c>
      <c r="S202" s="5"/>
      <c r="T202" s="6"/>
      <c r="W202" s="8"/>
      <c r="X202" s="17">
        <f>SUM(X195:X200)</f>
        <v>46046.28</v>
      </c>
      <c r="AE202" s="24"/>
      <c r="AG202" s="3"/>
      <c r="AU202" s="5">
        <f t="shared" si="19"/>
        <v>0</v>
      </c>
      <c r="AV202" s="5">
        <f t="shared" si="20"/>
        <v>0</v>
      </c>
    </row>
    <row r="203" spans="1:48" ht="24" customHeight="1">
      <c r="A203" s="26">
        <f t="shared" si="21"/>
        <v>101</v>
      </c>
      <c r="B203" s="27" t="s">
        <v>611</v>
      </c>
      <c r="C203" s="25">
        <v>125.6</v>
      </c>
      <c r="D203" s="27" t="s">
        <v>1</v>
      </c>
      <c r="E203" s="79">
        <v>162.9</v>
      </c>
      <c r="H203" s="77" t="s">
        <v>455</v>
      </c>
      <c r="K203" s="12" t="s">
        <v>117</v>
      </c>
      <c r="N203" s="6"/>
      <c r="O203" s="3" t="s">
        <v>455</v>
      </c>
      <c r="Q203" s="8"/>
      <c r="R203" s="12" t="s">
        <v>117</v>
      </c>
      <c r="S203" s="5"/>
      <c r="T203" s="6"/>
      <c r="U203" s="3" t="s">
        <v>455</v>
      </c>
      <c r="W203" s="8"/>
      <c r="X203" s="12" t="s">
        <v>117</v>
      </c>
      <c r="AE203" s="24"/>
      <c r="AG203" s="3"/>
      <c r="AU203" s="5">
        <f t="shared" si="19"/>
        <v>0</v>
      </c>
      <c r="AV203" s="5">
        <f t="shared" si="20"/>
        <v>0</v>
      </c>
    </row>
    <row r="204" spans="1:48" ht="24" customHeight="1">
      <c r="A204" s="26">
        <f t="shared" si="21"/>
        <v>102</v>
      </c>
      <c r="B204" s="27" t="s">
        <v>612</v>
      </c>
      <c r="C204" s="25">
        <v>62.2</v>
      </c>
      <c r="D204" s="27" t="s">
        <v>1</v>
      </c>
      <c r="K204" s="16">
        <f>(K202/10)</f>
        <v>4103.5079999999998</v>
      </c>
      <c r="N204" s="6"/>
      <c r="Q204" s="8"/>
      <c r="R204" s="17">
        <f>(R202/10)</f>
        <v>4959.2280000000001</v>
      </c>
      <c r="S204" s="5"/>
      <c r="T204" s="6"/>
      <c r="W204" s="8"/>
      <c r="X204" s="17">
        <f>(X202/10)</f>
        <v>4604.6279999999997</v>
      </c>
      <c r="AE204" s="24"/>
      <c r="AU204" s="5">
        <f t="shared" si="19"/>
        <v>0</v>
      </c>
      <c r="AV204" s="5">
        <f t="shared" si="20"/>
        <v>0</v>
      </c>
    </row>
    <row r="205" spans="1:48" ht="24" customHeight="1">
      <c r="A205" s="26">
        <f t="shared" si="21"/>
        <v>103</v>
      </c>
      <c r="B205" s="27" t="s">
        <v>613</v>
      </c>
      <c r="C205" s="25">
        <v>100</v>
      </c>
      <c r="D205" s="27" t="s">
        <v>1</v>
      </c>
      <c r="H205" s="19" t="s">
        <v>383</v>
      </c>
      <c r="K205" s="12" t="s">
        <v>155</v>
      </c>
      <c r="N205" s="6"/>
      <c r="O205" s="3" t="s">
        <v>383</v>
      </c>
      <c r="Q205" s="8"/>
      <c r="R205" s="12" t="s">
        <v>155</v>
      </c>
      <c r="S205" s="5"/>
      <c r="T205" s="6"/>
      <c r="U205" s="3" t="s">
        <v>383</v>
      </c>
      <c r="W205" s="8"/>
      <c r="X205" s="12" t="s">
        <v>155</v>
      </c>
      <c r="AE205" s="24"/>
      <c r="AU205" s="5">
        <f t="shared" si="19"/>
        <v>0</v>
      </c>
      <c r="AV205" s="5">
        <f t="shared" si="20"/>
        <v>0</v>
      </c>
    </row>
    <row r="206" spans="1:48" ht="24" customHeight="1">
      <c r="A206" s="26">
        <f t="shared" si="21"/>
        <v>104</v>
      </c>
      <c r="B206" s="27" t="s">
        <v>614</v>
      </c>
      <c r="C206" s="25">
        <v>99.6</v>
      </c>
      <c r="D206" s="27" t="s">
        <v>1</v>
      </c>
      <c r="E206" s="79">
        <v>138</v>
      </c>
      <c r="AE206" s="24"/>
      <c r="AG206" s="3"/>
      <c r="AU206" s="5">
        <f t="shared" si="19"/>
        <v>0</v>
      </c>
      <c r="AV206" s="5">
        <f t="shared" si="20"/>
        <v>0</v>
      </c>
    </row>
    <row r="207" spans="1:48" ht="24" customHeight="1">
      <c r="A207" s="26">
        <f t="shared" si="21"/>
        <v>105</v>
      </c>
      <c r="B207" s="27" t="s">
        <v>615</v>
      </c>
      <c r="C207" s="25">
        <v>223.2</v>
      </c>
      <c r="D207" s="27" t="s">
        <v>616</v>
      </c>
      <c r="F207" s="4" t="s">
        <v>617</v>
      </c>
      <c r="G207" s="15" t="s">
        <v>122</v>
      </c>
      <c r="H207" s="3" t="s">
        <v>618</v>
      </c>
      <c r="AE207" s="24"/>
      <c r="AU207" s="5">
        <f t="shared" si="19"/>
        <v>0</v>
      </c>
      <c r="AV207" s="5">
        <f t="shared" si="20"/>
        <v>0</v>
      </c>
    </row>
    <row r="208" spans="1:48" ht="24" customHeight="1">
      <c r="A208" s="26">
        <f t="shared" si="21"/>
        <v>106</v>
      </c>
      <c r="B208" s="27" t="s">
        <v>619</v>
      </c>
      <c r="C208" s="25">
        <v>162.9</v>
      </c>
      <c r="D208" s="27" t="s">
        <v>1</v>
      </c>
      <c r="H208" s="3" t="s">
        <v>466</v>
      </c>
      <c r="N208" s="3" t="s">
        <v>196</v>
      </c>
      <c r="O208" s="3" t="s">
        <v>620</v>
      </c>
      <c r="AE208" s="24"/>
      <c r="AU208" s="5">
        <f t="shared" si="19"/>
        <v>0</v>
      </c>
      <c r="AV208" s="5">
        <f t="shared" si="20"/>
        <v>0</v>
      </c>
    </row>
    <row r="209" spans="1:48" ht="24" customHeight="1">
      <c r="A209" s="39"/>
      <c r="B209" s="39"/>
      <c r="C209" s="39"/>
      <c r="D209" s="39"/>
      <c r="H209" s="12" t="s">
        <v>117</v>
      </c>
      <c r="O209" s="12" t="s">
        <v>117</v>
      </c>
      <c r="AE209" s="24"/>
      <c r="AU209" s="5">
        <f t="shared" si="19"/>
        <v>0</v>
      </c>
      <c r="AV209" s="5">
        <f t="shared" si="20"/>
        <v>0</v>
      </c>
    </row>
    <row r="210" spans="1:48" ht="24" customHeight="1">
      <c r="A210" s="39"/>
      <c r="B210" s="39"/>
      <c r="C210" s="39"/>
      <c r="D210" s="39"/>
      <c r="F210" s="17">
        <v>9</v>
      </c>
      <c r="G210" s="15" t="s">
        <v>126</v>
      </c>
      <c r="H210" s="3" t="s">
        <v>603</v>
      </c>
      <c r="I210" s="17">
        <f>C73</f>
        <v>1637.02</v>
      </c>
      <c r="J210" s="3" t="s">
        <v>126</v>
      </c>
      <c r="K210" s="17">
        <f>(F210*I210)</f>
        <v>14733.18</v>
      </c>
      <c r="M210" s="80">
        <v>1.153E-2</v>
      </c>
      <c r="N210" s="3" t="s">
        <v>126</v>
      </c>
      <c r="O210" s="3" t="s">
        <v>621</v>
      </c>
      <c r="P210" s="17">
        <f>C88</f>
        <v>111600</v>
      </c>
      <c r="Q210" s="3" t="s">
        <v>126</v>
      </c>
      <c r="R210" s="17">
        <f t="shared" ref="R210:R219" si="22">(M210*P210)</f>
        <v>1286.748</v>
      </c>
      <c r="AE210" s="24"/>
      <c r="AU210" s="5">
        <f t="shared" si="19"/>
        <v>0</v>
      </c>
      <c r="AV210" s="5">
        <f t="shared" si="20"/>
        <v>0</v>
      </c>
    </row>
    <row r="211" spans="1:48" ht="24" customHeight="1">
      <c r="A211" s="39"/>
      <c r="B211" s="39"/>
      <c r="C211" s="39"/>
      <c r="D211" s="39"/>
      <c r="F211" s="17">
        <v>4.5</v>
      </c>
      <c r="G211" s="15" t="s">
        <v>126</v>
      </c>
      <c r="H211" s="3" t="s">
        <v>132</v>
      </c>
      <c r="I211" s="17">
        <f>K23</f>
        <v>5585.8</v>
      </c>
      <c r="J211" s="3" t="s">
        <v>126</v>
      </c>
      <c r="K211" s="17">
        <f>(F211*I211)</f>
        <v>25136.100000000002</v>
      </c>
      <c r="M211" s="80">
        <v>1.013E-2</v>
      </c>
      <c r="N211" s="3" t="s">
        <v>126</v>
      </c>
      <c r="O211" s="3" t="s">
        <v>622</v>
      </c>
      <c r="P211" s="17">
        <f>C89</f>
        <v>99400</v>
      </c>
      <c r="Q211" s="3" t="s">
        <v>126</v>
      </c>
      <c r="R211" s="17">
        <f t="shared" si="22"/>
        <v>1006.922</v>
      </c>
      <c r="AE211" s="24"/>
      <c r="AU211" s="5">
        <f t="shared" si="19"/>
        <v>0</v>
      </c>
      <c r="AV211" s="5">
        <f t="shared" si="20"/>
        <v>0</v>
      </c>
    </row>
    <row r="212" spans="1:48" ht="24" customHeight="1">
      <c r="A212" s="39"/>
      <c r="B212" s="39"/>
      <c r="C212" s="39"/>
      <c r="D212" s="39"/>
      <c r="F212" s="17">
        <v>1.8</v>
      </c>
      <c r="G212" s="15" t="s">
        <v>209</v>
      </c>
      <c r="H212" s="3" t="s">
        <v>145</v>
      </c>
      <c r="I212" s="17">
        <f>C11</f>
        <v>718</v>
      </c>
      <c r="J212" s="3" t="s">
        <v>209</v>
      </c>
      <c r="K212" s="17">
        <f>(F212*I212)</f>
        <v>1292.4000000000001</v>
      </c>
      <c r="M212" s="80">
        <v>0.77780000000000005</v>
      </c>
      <c r="N212" s="3" t="s">
        <v>140</v>
      </c>
      <c r="O212" s="3" t="s">
        <v>623</v>
      </c>
      <c r="P212" s="17">
        <f>C783</f>
        <v>387.4</v>
      </c>
      <c r="Q212" s="3" t="s">
        <v>140</v>
      </c>
      <c r="R212" s="17">
        <f t="shared" si="22"/>
        <v>301.31972000000002</v>
      </c>
      <c r="AE212" s="24"/>
      <c r="AU212" s="5">
        <f t="shared" si="19"/>
        <v>0</v>
      </c>
      <c r="AV212" s="5">
        <f t="shared" si="20"/>
        <v>0</v>
      </c>
    </row>
    <row r="213" spans="1:48" ht="24" customHeight="1">
      <c r="A213" s="39"/>
      <c r="B213" s="39"/>
      <c r="C213" s="39"/>
      <c r="D213" s="39"/>
      <c r="F213" s="17">
        <v>17.7</v>
      </c>
      <c r="G213" s="15" t="s">
        <v>209</v>
      </c>
      <c r="H213" s="3" t="s">
        <v>146</v>
      </c>
      <c r="I213" s="17">
        <f>C12</f>
        <v>502</v>
      </c>
      <c r="J213" s="3" t="s">
        <v>209</v>
      </c>
      <c r="K213" s="17">
        <f>(F213*I213)</f>
        <v>8885.4</v>
      </c>
      <c r="M213" s="80">
        <v>1.23</v>
      </c>
      <c r="N213" s="3" t="s">
        <v>140</v>
      </c>
      <c r="O213" s="3" t="s">
        <v>624</v>
      </c>
      <c r="P213" s="17">
        <f>D30</f>
        <v>963</v>
      </c>
      <c r="Q213" s="3" t="s">
        <v>140</v>
      </c>
      <c r="R213" s="17">
        <f t="shared" si="22"/>
        <v>1184.49</v>
      </c>
      <c r="AE213" s="24"/>
      <c r="AU213" s="5">
        <f t="shared" si="19"/>
        <v>0</v>
      </c>
      <c r="AV213" s="5">
        <f t="shared" si="20"/>
        <v>0</v>
      </c>
    </row>
    <row r="214" spans="1:48" ht="24" customHeight="1">
      <c r="A214" s="39"/>
      <c r="B214" s="39"/>
      <c r="C214" s="39"/>
      <c r="D214" s="39"/>
      <c r="F214" s="17">
        <v>14.1</v>
      </c>
      <c r="G214" s="15" t="s">
        <v>209</v>
      </c>
      <c r="H214" s="3" t="s">
        <v>147</v>
      </c>
      <c r="I214" s="17">
        <f>C13</f>
        <v>412</v>
      </c>
      <c r="J214" s="3" t="s">
        <v>209</v>
      </c>
      <c r="K214" s="17">
        <f>(F214*I214)</f>
        <v>5809.2</v>
      </c>
      <c r="M214" s="17">
        <v>2</v>
      </c>
      <c r="N214" s="3" t="s">
        <v>209</v>
      </c>
      <c r="O214" s="3" t="s">
        <v>625</v>
      </c>
      <c r="P214" s="17">
        <f>C284</f>
        <v>57.2</v>
      </c>
      <c r="Q214" s="3" t="s">
        <v>209</v>
      </c>
      <c r="R214" s="17">
        <f t="shared" si="22"/>
        <v>114.4</v>
      </c>
      <c r="AE214" s="24"/>
      <c r="AU214" s="5">
        <f t="shared" si="19"/>
        <v>0</v>
      </c>
      <c r="AV214" s="5">
        <f t="shared" si="20"/>
        <v>0</v>
      </c>
    </row>
    <row r="215" spans="1:48" ht="24" customHeight="1">
      <c r="A215" s="39"/>
      <c r="B215" s="39"/>
      <c r="C215" s="39"/>
      <c r="D215" s="39"/>
      <c r="G215" s="15" t="s">
        <v>129</v>
      </c>
      <c r="H215" s="3" t="s">
        <v>130</v>
      </c>
      <c r="J215" s="3" t="s">
        <v>129</v>
      </c>
      <c r="K215" s="17">
        <v>0</v>
      </c>
      <c r="M215" s="17">
        <v>3</v>
      </c>
      <c r="N215" s="3" t="s">
        <v>209</v>
      </c>
      <c r="O215" s="3" t="s">
        <v>626</v>
      </c>
      <c r="P215" s="17">
        <f>C279</f>
        <v>79.099999999999994</v>
      </c>
      <c r="Q215" s="3" t="s">
        <v>209</v>
      </c>
      <c r="R215" s="17">
        <f t="shared" si="22"/>
        <v>237.29999999999998</v>
      </c>
      <c r="AE215" s="24"/>
      <c r="AU215" s="5">
        <f t="shared" si="19"/>
        <v>0</v>
      </c>
      <c r="AV215" s="5">
        <f t="shared" si="20"/>
        <v>0</v>
      </c>
    </row>
    <row r="216" spans="1:48" ht="24" customHeight="1">
      <c r="A216" s="39"/>
      <c r="B216" s="39"/>
      <c r="C216" s="39"/>
      <c r="D216" s="39"/>
      <c r="K216" s="12" t="s">
        <v>117</v>
      </c>
      <c r="M216" s="17">
        <v>1</v>
      </c>
      <c r="N216" s="3" t="s">
        <v>209</v>
      </c>
      <c r="O216" s="3" t="s">
        <v>627</v>
      </c>
      <c r="P216" s="17">
        <f>C286</f>
        <v>159.69999999999999</v>
      </c>
      <c r="Q216" s="3" t="s">
        <v>209</v>
      </c>
      <c r="R216" s="17">
        <f t="shared" si="22"/>
        <v>159.69999999999999</v>
      </c>
      <c r="T216" s="5">
        <v>0</v>
      </c>
      <c r="AE216" s="24"/>
      <c r="AU216" s="5">
        <f t="shared" si="19"/>
        <v>0</v>
      </c>
      <c r="AV216" s="5">
        <f t="shared" si="20"/>
        <v>0</v>
      </c>
    </row>
    <row r="217" spans="1:48" ht="24" customHeight="1">
      <c r="A217" s="39"/>
      <c r="B217" s="39"/>
      <c r="C217" s="39"/>
      <c r="D217" s="39"/>
      <c r="K217" s="17">
        <f>SUM(K210:K215)</f>
        <v>55856.28</v>
      </c>
      <c r="M217" s="17">
        <v>1</v>
      </c>
      <c r="N217" s="3" t="s">
        <v>209</v>
      </c>
      <c r="O217" s="3" t="s">
        <v>628</v>
      </c>
      <c r="P217" s="17">
        <f>C288</f>
        <v>7.3</v>
      </c>
      <c r="Q217" s="3" t="s">
        <v>209</v>
      </c>
      <c r="R217" s="17">
        <f t="shared" si="22"/>
        <v>7.3</v>
      </c>
      <c r="AE217" s="24"/>
      <c r="AU217" s="5">
        <f t="shared" si="19"/>
        <v>0</v>
      </c>
      <c r="AV217" s="5">
        <f t="shared" si="20"/>
        <v>0</v>
      </c>
    </row>
    <row r="218" spans="1:48" ht="24" customHeight="1">
      <c r="A218" s="39"/>
      <c r="B218" s="39"/>
      <c r="C218" s="39"/>
      <c r="D218" s="39"/>
      <c r="H218" s="3" t="s">
        <v>455</v>
      </c>
      <c r="K218" s="12" t="s">
        <v>117</v>
      </c>
      <c r="M218" s="17">
        <v>1</v>
      </c>
      <c r="N218" s="3" t="s">
        <v>209</v>
      </c>
      <c r="O218" s="3" t="s">
        <v>629</v>
      </c>
      <c r="P218" s="17">
        <f>C598</f>
        <v>50.9</v>
      </c>
      <c r="Q218" s="3" t="s">
        <v>209</v>
      </c>
      <c r="R218" s="17">
        <f t="shared" si="22"/>
        <v>50.9</v>
      </c>
      <c r="AE218" s="24"/>
    </row>
    <row r="219" spans="1:48" ht="24" customHeight="1">
      <c r="A219" s="39"/>
      <c r="B219" s="39"/>
      <c r="C219" s="39"/>
      <c r="D219" s="39"/>
      <c r="K219" s="16">
        <f>(K217/10)</f>
        <v>5585.6279999999997</v>
      </c>
      <c r="M219" s="17">
        <v>1</v>
      </c>
      <c r="N219" s="3" t="s">
        <v>209</v>
      </c>
      <c r="O219" s="3" t="s">
        <v>630</v>
      </c>
      <c r="P219" s="17">
        <f>D598</f>
        <v>43.8</v>
      </c>
      <c r="Q219" s="3" t="s">
        <v>209</v>
      </c>
      <c r="R219" s="17">
        <f t="shared" si="22"/>
        <v>43.8</v>
      </c>
      <c r="AE219" s="24"/>
    </row>
    <row r="220" spans="1:48" ht="24" customHeight="1">
      <c r="A220" s="39"/>
      <c r="B220" s="39"/>
      <c r="C220" s="39"/>
      <c r="D220" s="39"/>
      <c r="H220" s="19" t="s">
        <v>383</v>
      </c>
      <c r="K220" s="12" t="s">
        <v>155</v>
      </c>
      <c r="R220" s="12" t="s">
        <v>117</v>
      </c>
      <c r="AE220" s="24"/>
    </row>
    <row r="221" spans="1:48" ht="24" customHeight="1">
      <c r="A221" s="39"/>
      <c r="B221" s="39"/>
      <c r="C221" s="39"/>
      <c r="D221" s="39"/>
      <c r="O221" s="4" t="s">
        <v>631</v>
      </c>
      <c r="R221" s="17">
        <f>SUM(R210:R219)</f>
        <v>4392.8797199999999</v>
      </c>
      <c r="AE221" s="24"/>
    </row>
    <row r="222" spans="1:48" ht="24" customHeight="1">
      <c r="A222" s="39"/>
      <c r="B222" s="39"/>
      <c r="C222" s="39"/>
      <c r="D222" s="39"/>
      <c r="F222" s="4" t="s">
        <v>632</v>
      </c>
      <c r="G222" s="15" t="s">
        <v>122</v>
      </c>
      <c r="H222" s="3" t="s">
        <v>633</v>
      </c>
      <c r="N222" s="3" t="s">
        <v>115</v>
      </c>
      <c r="R222" s="12" t="s">
        <v>117</v>
      </c>
      <c r="AE222" s="24"/>
    </row>
    <row r="223" spans="1:48" ht="24" customHeight="1">
      <c r="A223" s="39"/>
      <c r="B223" s="39"/>
      <c r="C223" s="39"/>
      <c r="D223" s="39"/>
      <c r="H223" s="3" t="s">
        <v>634</v>
      </c>
      <c r="M223" s="3" t="s">
        <v>115</v>
      </c>
      <c r="AE223" s="24"/>
    </row>
    <row r="224" spans="1:48" ht="24" customHeight="1">
      <c r="A224" s="39"/>
      <c r="B224" s="39"/>
      <c r="C224" s="39"/>
      <c r="D224" s="39"/>
      <c r="H224" s="12" t="s">
        <v>117</v>
      </c>
      <c r="O224" s="4" t="s">
        <v>154</v>
      </c>
      <c r="R224" s="17">
        <f>R221/M213</f>
        <v>3571.4469268292683</v>
      </c>
      <c r="AE224" s="24"/>
    </row>
    <row r="225" spans="1:31" ht="24" customHeight="1">
      <c r="A225" s="39"/>
      <c r="B225" s="39"/>
      <c r="C225" s="39"/>
      <c r="D225" s="39"/>
      <c r="F225" s="17">
        <v>9</v>
      </c>
      <c r="G225" s="15" t="s">
        <v>126</v>
      </c>
      <c r="H225" s="3" t="s">
        <v>635</v>
      </c>
      <c r="I225" s="17">
        <f>AC20</f>
        <v>960.65</v>
      </c>
      <c r="J225" s="3" t="s">
        <v>126</v>
      </c>
      <c r="K225" s="17">
        <f>(F225*I225)</f>
        <v>8645.85</v>
      </c>
      <c r="M225" s="3" t="s">
        <v>636</v>
      </c>
      <c r="AE225" s="24"/>
    </row>
    <row r="226" spans="1:31" ht="24" customHeight="1">
      <c r="A226" s="39"/>
      <c r="B226" s="39"/>
      <c r="C226" s="39"/>
      <c r="D226" s="39"/>
      <c r="F226" s="17">
        <v>4.5</v>
      </c>
      <c r="G226" s="15" t="s">
        <v>126</v>
      </c>
      <c r="H226" s="3" t="s">
        <v>138</v>
      </c>
      <c r="I226" s="17">
        <f>K77</f>
        <v>2453.8000000000002</v>
      </c>
      <c r="J226" s="3" t="s">
        <v>126</v>
      </c>
      <c r="K226" s="17">
        <f>(F226*I226)</f>
        <v>11042.1</v>
      </c>
      <c r="AE226" s="24"/>
    </row>
    <row r="227" spans="1:31" ht="24" customHeight="1">
      <c r="A227" s="39"/>
      <c r="B227" s="39"/>
      <c r="C227" s="39"/>
      <c r="D227" s="39"/>
      <c r="F227" s="17">
        <v>1.8</v>
      </c>
      <c r="G227" s="15" t="s">
        <v>209</v>
      </c>
      <c r="H227" s="3" t="s">
        <v>145</v>
      </c>
      <c r="I227" s="17">
        <f>C11</f>
        <v>718</v>
      </c>
      <c r="J227" s="3" t="s">
        <v>209</v>
      </c>
      <c r="K227" s="17">
        <f>(F227*I227)</f>
        <v>1292.4000000000001</v>
      </c>
      <c r="AE227" s="24"/>
    </row>
    <row r="228" spans="1:31" ht="24" customHeight="1">
      <c r="A228" s="39"/>
      <c r="B228" s="39"/>
      <c r="C228" s="39"/>
      <c r="D228" s="39"/>
      <c r="F228" s="17">
        <v>17.7</v>
      </c>
      <c r="G228" s="15" t="s">
        <v>209</v>
      </c>
      <c r="H228" s="3" t="s">
        <v>146</v>
      </c>
      <c r="I228" s="17">
        <f>C12</f>
        <v>502</v>
      </c>
      <c r="J228" s="3" t="s">
        <v>209</v>
      </c>
      <c r="K228" s="17">
        <f>(F228*I228)</f>
        <v>8885.4</v>
      </c>
      <c r="M228" s="4" t="s">
        <v>632</v>
      </c>
      <c r="N228" s="15" t="s">
        <v>122</v>
      </c>
      <c r="O228" s="3" t="s">
        <v>637</v>
      </c>
      <c r="Q228" s="8"/>
      <c r="AE228" s="24"/>
    </row>
    <row r="229" spans="1:31" ht="24" customHeight="1">
      <c r="A229" s="39"/>
      <c r="B229" s="39"/>
      <c r="C229" s="39"/>
      <c r="D229" s="39"/>
      <c r="F229" s="17">
        <v>14.1</v>
      </c>
      <c r="G229" s="15" t="s">
        <v>209</v>
      </c>
      <c r="H229" s="3" t="s">
        <v>147</v>
      </c>
      <c r="I229" s="17">
        <f>C13</f>
        <v>412</v>
      </c>
      <c r="J229" s="3" t="s">
        <v>209</v>
      </c>
      <c r="K229" s="17">
        <f>(F229*I229)</f>
        <v>5809.2</v>
      </c>
      <c r="N229" s="6"/>
      <c r="O229" s="3" t="s">
        <v>638</v>
      </c>
      <c r="Q229" s="8"/>
      <c r="AE229" s="24"/>
    </row>
    <row r="230" spans="1:31" ht="24" customHeight="1">
      <c r="A230" s="39"/>
      <c r="B230" s="39"/>
      <c r="C230" s="39"/>
      <c r="D230" s="39"/>
      <c r="G230" s="15" t="s">
        <v>129</v>
      </c>
      <c r="H230" s="3" t="s">
        <v>130</v>
      </c>
      <c r="J230" s="3" t="s">
        <v>129</v>
      </c>
      <c r="K230" s="17">
        <v>0</v>
      </c>
      <c r="N230" s="6"/>
      <c r="O230" s="12" t="s">
        <v>117</v>
      </c>
      <c r="Q230" s="8"/>
      <c r="AE230" s="24"/>
    </row>
    <row r="231" spans="1:31" ht="24" customHeight="1">
      <c r="A231" s="39"/>
      <c r="B231" s="39"/>
      <c r="C231" s="39"/>
      <c r="D231" s="39"/>
      <c r="K231" s="12" t="s">
        <v>117</v>
      </c>
      <c r="M231" s="17">
        <v>9</v>
      </c>
      <c r="N231" s="15" t="s">
        <v>126</v>
      </c>
      <c r="O231" s="3" t="s">
        <v>639</v>
      </c>
      <c r="P231" s="17">
        <f>AC15</f>
        <v>1243.02</v>
      </c>
      <c r="Q231" s="3" t="s">
        <v>126</v>
      </c>
      <c r="R231" s="17">
        <f>(M231*P231)</f>
        <v>11187.18</v>
      </c>
      <c r="AE231" s="24"/>
    </row>
    <row r="232" spans="1:31" ht="24" customHeight="1">
      <c r="A232" s="39"/>
      <c r="B232" s="39"/>
      <c r="C232" s="39"/>
      <c r="D232" s="39"/>
      <c r="K232" s="17">
        <f>SUM(K225:K230)</f>
        <v>35674.949999999997</v>
      </c>
      <c r="M232" s="17">
        <v>4.5</v>
      </c>
      <c r="N232" s="15" t="s">
        <v>126</v>
      </c>
      <c r="O232" s="3" t="s">
        <v>134</v>
      </c>
      <c r="P232" s="17">
        <f>K40</f>
        <v>3497.8</v>
      </c>
      <c r="Q232" s="3" t="s">
        <v>126</v>
      </c>
      <c r="R232" s="17">
        <f>(M232*P232)</f>
        <v>15740.1</v>
      </c>
      <c r="AE232" s="24"/>
    </row>
    <row r="233" spans="1:31" ht="24" customHeight="1">
      <c r="A233" s="39"/>
      <c r="B233" s="39"/>
      <c r="C233" s="39"/>
      <c r="D233" s="39"/>
      <c r="H233" s="3" t="s">
        <v>455</v>
      </c>
      <c r="K233" s="12" t="s">
        <v>117</v>
      </c>
      <c r="M233" s="17">
        <v>1.8</v>
      </c>
      <c r="N233" s="15" t="s">
        <v>209</v>
      </c>
      <c r="O233" s="3" t="s">
        <v>145</v>
      </c>
      <c r="P233" s="17">
        <f>I227</f>
        <v>718</v>
      </c>
      <c r="Q233" s="3" t="s">
        <v>209</v>
      </c>
      <c r="R233" s="17">
        <f>(M233*P233)</f>
        <v>1292.4000000000001</v>
      </c>
      <c r="AE233" s="24"/>
    </row>
    <row r="234" spans="1:31" ht="24" customHeight="1">
      <c r="A234" s="39"/>
      <c r="B234" s="39"/>
      <c r="C234" s="39"/>
      <c r="D234" s="39"/>
      <c r="K234" s="16">
        <f>(K232/10)</f>
        <v>3567.4949999999999</v>
      </c>
      <c r="M234" s="17">
        <v>17.7</v>
      </c>
      <c r="N234" s="15" t="s">
        <v>209</v>
      </c>
      <c r="O234" s="3" t="s">
        <v>146</v>
      </c>
      <c r="P234" s="17">
        <f>I228</f>
        <v>502</v>
      </c>
      <c r="Q234" s="3" t="s">
        <v>209</v>
      </c>
      <c r="R234" s="17">
        <f>(M234*P234)</f>
        <v>8885.4</v>
      </c>
      <c r="AE234" s="24"/>
    </row>
    <row r="235" spans="1:31" ht="24" customHeight="1">
      <c r="A235" s="39"/>
      <c r="B235" s="39"/>
      <c r="C235" s="39"/>
      <c r="D235" s="39"/>
      <c r="H235" s="19" t="s">
        <v>383</v>
      </c>
      <c r="K235" s="12" t="s">
        <v>155</v>
      </c>
      <c r="M235" s="17">
        <v>14.1</v>
      </c>
      <c r="N235" s="15" t="s">
        <v>209</v>
      </c>
      <c r="O235" s="3" t="s">
        <v>147</v>
      </c>
      <c r="P235" s="17">
        <f>I229</f>
        <v>412</v>
      </c>
      <c r="Q235" s="3" t="s">
        <v>209</v>
      </c>
      <c r="R235" s="17">
        <f>(M235*P235)</f>
        <v>5809.2</v>
      </c>
      <c r="AE235" s="24"/>
    </row>
    <row r="236" spans="1:31" ht="24" customHeight="1">
      <c r="A236" s="39"/>
      <c r="B236" s="39"/>
      <c r="C236" s="39"/>
      <c r="D236" s="39"/>
      <c r="N236" s="15" t="s">
        <v>129</v>
      </c>
      <c r="O236" s="3" t="s">
        <v>130</v>
      </c>
      <c r="Q236" s="3" t="s">
        <v>129</v>
      </c>
      <c r="R236" s="17">
        <v>0</v>
      </c>
      <c r="AE236" s="24"/>
    </row>
    <row r="237" spans="1:31" ht="24" customHeight="1">
      <c r="A237" s="39"/>
      <c r="B237" s="39"/>
      <c r="C237" s="39"/>
      <c r="D237" s="39"/>
      <c r="N237" s="6"/>
      <c r="Q237" s="8"/>
      <c r="R237" s="12" t="s">
        <v>117</v>
      </c>
      <c r="AE237" s="24"/>
    </row>
    <row r="238" spans="1:31" ht="24" customHeight="1">
      <c r="A238" s="39"/>
      <c r="B238" s="39"/>
      <c r="C238" s="39"/>
      <c r="D238" s="39"/>
      <c r="F238" s="51">
        <v>3.6</v>
      </c>
      <c r="H238" s="3" t="s">
        <v>640</v>
      </c>
      <c r="N238" s="6"/>
      <c r="Q238" s="8"/>
      <c r="R238" s="17">
        <f>SUM(R231:R236)</f>
        <v>42914.28</v>
      </c>
      <c r="AE238" s="24"/>
    </row>
    <row r="239" spans="1:31" ht="24" customHeight="1">
      <c r="A239" s="39"/>
      <c r="B239" s="39"/>
      <c r="C239" s="39"/>
      <c r="D239" s="39"/>
      <c r="H239" s="3" t="s">
        <v>641</v>
      </c>
      <c r="N239" s="6"/>
      <c r="O239" s="3" t="s">
        <v>455</v>
      </c>
      <c r="Q239" s="8"/>
      <c r="R239" s="12" t="s">
        <v>117</v>
      </c>
      <c r="AE239" s="24"/>
    </row>
    <row r="240" spans="1:31" ht="24" customHeight="1">
      <c r="A240" s="39"/>
      <c r="B240" s="39"/>
      <c r="C240" s="39"/>
      <c r="D240" s="39"/>
      <c r="H240" s="12" t="s">
        <v>155</v>
      </c>
      <c r="N240" s="6"/>
      <c r="Q240" s="8"/>
      <c r="R240" s="16">
        <f>(R238/10)</f>
        <v>4291.4279999999999</v>
      </c>
      <c r="AE240" s="24"/>
    </row>
    <row r="241" spans="1:31" ht="24" customHeight="1">
      <c r="A241" s="39"/>
      <c r="B241" s="39"/>
      <c r="C241" s="39"/>
      <c r="D241" s="39"/>
      <c r="F241" s="17">
        <v>1.25</v>
      </c>
      <c r="G241" s="15" t="s">
        <v>642</v>
      </c>
      <c r="H241" s="3" t="s">
        <v>643</v>
      </c>
      <c r="I241" s="78">
        <f>C812</f>
        <v>3.15</v>
      </c>
      <c r="J241" s="3" t="s">
        <v>642</v>
      </c>
      <c r="K241" s="17">
        <f>(F241*I241)</f>
        <v>3.9375</v>
      </c>
      <c r="N241" s="6"/>
      <c r="O241" s="19" t="s">
        <v>383</v>
      </c>
      <c r="Q241" s="8"/>
      <c r="R241" s="12" t="s">
        <v>155</v>
      </c>
      <c r="AE241" s="24"/>
    </row>
    <row r="242" spans="1:31" ht="24" customHeight="1">
      <c r="A242" s="39"/>
      <c r="B242" s="39"/>
      <c r="C242" s="39"/>
      <c r="D242" s="39"/>
      <c r="F242" s="17">
        <v>0.75</v>
      </c>
      <c r="G242" s="15" t="s">
        <v>642</v>
      </c>
      <c r="H242" s="3" t="s">
        <v>644</v>
      </c>
      <c r="I242" s="17">
        <f>AC37</f>
        <v>1034.77</v>
      </c>
      <c r="J242" s="3" t="s">
        <v>642</v>
      </c>
      <c r="K242" s="17">
        <f>(F242*I242)</f>
        <v>776.07749999999999</v>
      </c>
      <c r="AE242" s="24"/>
    </row>
    <row r="243" spans="1:31" ht="24" customHeight="1">
      <c r="A243" s="39"/>
      <c r="B243" s="39"/>
      <c r="C243" s="39"/>
      <c r="D243" s="39"/>
      <c r="F243" s="17">
        <v>0.5</v>
      </c>
      <c r="G243" s="15" t="s">
        <v>642</v>
      </c>
      <c r="H243" s="3" t="s">
        <v>645</v>
      </c>
      <c r="I243" s="17">
        <f>AC36</f>
        <v>1180.02</v>
      </c>
      <c r="J243" s="3" t="s">
        <v>642</v>
      </c>
      <c r="K243" s="17">
        <f>(F243*I243)</f>
        <v>590.01</v>
      </c>
      <c r="AE243" s="24"/>
    </row>
    <row r="244" spans="1:31" ht="24" customHeight="1">
      <c r="A244" s="39"/>
      <c r="B244" s="39"/>
      <c r="C244" s="39"/>
      <c r="D244" s="39"/>
      <c r="F244" s="17">
        <v>0.45</v>
      </c>
      <c r="G244" s="15" t="s">
        <v>642</v>
      </c>
      <c r="H244" s="3" t="s">
        <v>646</v>
      </c>
      <c r="I244" s="17">
        <f>AC38</f>
        <v>449.02</v>
      </c>
      <c r="J244" s="3" t="s">
        <v>642</v>
      </c>
      <c r="K244" s="17">
        <f>(F244*I244)</f>
        <v>202.059</v>
      </c>
      <c r="AE244" s="24"/>
    </row>
    <row r="245" spans="1:31" ht="24" customHeight="1">
      <c r="A245" s="39"/>
      <c r="B245" s="39"/>
      <c r="C245" s="39"/>
      <c r="D245" s="39"/>
      <c r="F245" s="17">
        <v>10</v>
      </c>
      <c r="G245" s="15" t="s">
        <v>110</v>
      </c>
      <c r="H245" s="3" t="s">
        <v>647</v>
      </c>
      <c r="I245" s="78">
        <v>17.82</v>
      </c>
      <c r="J245" s="3" t="s">
        <v>110</v>
      </c>
      <c r="K245" s="17">
        <f>(F245*I245)</f>
        <v>178.2</v>
      </c>
      <c r="AE245" s="24"/>
    </row>
    <row r="246" spans="1:31" ht="24" customHeight="1">
      <c r="A246" s="39"/>
      <c r="B246" s="39"/>
      <c r="C246" s="39"/>
      <c r="D246" s="39"/>
      <c r="H246" s="3" t="s">
        <v>648</v>
      </c>
      <c r="K246" s="12" t="s">
        <v>117</v>
      </c>
      <c r="AE246" s="24"/>
    </row>
    <row r="247" spans="1:31" ht="24" customHeight="1">
      <c r="A247" s="39"/>
      <c r="B247" s="39"/>
      <c r="C247" s="39"/>
      <c r="D247" s="39"/>
      <c r="H247" s="3" t="s">
        <v>649</v>
      </c>
      <c r="K247" s="17">
        <f>SUM(K241:K245)</f>
        <v>1750.2840000000001</v>
      </c>
      <c r="AE247" s="24"/>
    </row>
    <row r="248" spans="1:31" ht="24" customHeight="1">
      <c r="A248" s="39"/>
      <c r="B248" s="39"/>
      <c r="C248" s="39"/>
      <c r="D248" s="39"/>
      <c r="K248" s="12" t="s">
        <v>117</v>
      </c>
      <c r="AE248" s="24"/>
    </row>
    <row r="249" spans="1:31" ht="24" customHeight="1">
      <c r="A249" s="39"/>
      <c r="B249" s="39"/>
      <c r="C249" s="39"/>
      <c r="D249" s="39"/>
      <c r="H249" s="19" t="s">
        <v>650</v>
      </c>
      <c r="K249" s="16">
        <f>K247/10</f>
        <v>175.0284</v>
      </c>
      <c r="AE249" s="24"/>
    </row>
    <row r="250" spans="1:31" ht="24" customHeight="1">
      <c r="A250" s="39"/>
      <c r="B250" s="39"/>
      <c r="C250" s="39"/>
      <c r="D250" s="39"/>
      <c r="K250" s="12" t="s">
        <v>155</v>
      </c>
      <c r="AE250" s="24"/>
    </row>
    <row r="251" spans="1:31" ht="24" customHeight="1">
      <c r="A251" s="39"/>
      <c r="B251" s="39"/>
      <c r="C251" s="39"/>
      <c r="D251" s="39"/>
      <c r="AE251" s="24"/>
    </row>
    <row r="252" spans="1:31" ht="24" customHeight="1">
      <c r="A252" s="39"/>
      <c r="B252" s="39"/>
      <c r="C252" s="39"/>
      <c r="D252" s="39"/>
      <c r="F252" s="51">
        <v>3.7</v>
      </c>
      <c r="H252" s="3" t="s">
        <v>651</v>
      </c>
      <c r="AE252" s="24"/>
    </row>
    <row r="253" spans="1:31" ht="24" customHeight="1">
      <c r="A253" s="39"/>
      <c r="B253" s="39"/>
      <c r="C253" s="39"/>
      <c r="D253" s="39"/>
      <c r="H253" s="12" t="s">
        <v>117</v>
      </c>
      <c r="AE253" s="24"/>
    </row>
    <row r="254" spans="1:31" ht="24" customHeight="1">
      <c r="A254" s="39"/>
      <c r="B254" s="39"/>
      <c r="C254" s="39"/>
      <c r="D254" s="39"/>
      <c r="F254" s="17">
        <v>2.7</v>
      </c>
      <c r="G254" s="15" t="s">
        <v>642</v>
      </c>
      <c r="H254" s="3" t="s">
        <v>652</v>
      </c>
      <c r="I254" s="17">
        <f>AC35</f>
        <v>1074.02</v>
      </c>
      <c r="J254" s="3" t="s">
        <v>642</v>
      </c>
      <c r="K254" s="17">
        <f>(F254*I254)</f>
        <v>2899.8540000000003</v>
      </c>
      <c r="AE254" s="24"/>
    </row>
    <row r="255" spans="1:31" ht="24" customHeight="1">
      <c r="A255" s="39"/>
      <c r="B255" s="39"/>
      <c r="C255" s="39"/>
      <c r="D255" s="39"/>
      <c r="F255" s="81">
        <v>0.14499999999999999</v>
      </c>
      <c r="G255" s="15" t="s">
        <v>642</v>
      </c>
      <c r="H255" s="3" t="s">
        <v>653</v>
      </c>
      <c r="I255" s="17">
        <f>AC17</f>
        <v>1322.8</v>
      </c>
      <c r="J255" s="3" t="s">
        <v>642</v>
      </c>
      <c r="K255" s="17">
        <f>(F255*I255)</f>
        <v>191.80599999999998</v>
      </c>
      <c r="AE255" s="24"/>
    </row>
    <row r="256" spans="1:31" ht="24" customHeight="1">
      <c r="A256" s="39"/>
      <c r="B256" s="39"/>
      <c r="C256" s="39"/>
      <c r="D256" s="39"/>
      <c r="F256" s="17">
        <v>218.8</v>
      </c>
      <c r="G256" s="15" t="s">
        <v>654</v>
      </c>
      <c r="H256" s="3" t="s">
        <v>655</v>
      </c>
      <c r="I256" s="17">
        <f>C142</f>
        <v>43563.69</v>
      </c>
      <c r="J256" s="3" t="s">
        <v>654</v>
      </c>
      <c r="K256" s="17">
        <f>(F256*I256)/1000</f>
        <v>9531.735372000001</v>
      </c>
      <c r="AE256" s="24"/>
    </row>
    <row r="257" spans="1:33" ht="24" customHeight="1">
      <c r="A257" s="39"/>
      <c r="B257" s="39"/>
      <c r="C257" s="39"/>
      <c r="D257" s="39"/>
      <c r="F257" s="17">
        <v>100</v>
      </c>
      <c r="G257" s="15" t="s">
        <v>110</v>
      </c>
      <c r="H257" s="3" t="s">
        <v>656</v>
      </c>
      <c r="I257" s="78">
        <v>14.3</v>
      </c>
      <c r="J257" s="3" t="s">
        <v>110</v>
      </c>
      <c r="K257" s="17">
        <f>(F257*I257)</f>
        <v>1430</v>
      </c>
      <c r="AE257" s="24"/>
    </row>
    <row r="258" spans="1:33" ht="24" customHeight="1">
      <c r="A258" s="39"/>
      <c r="B258" s="39"/>
      <c r="C258" s="39"/>
      <c r="D258" s="39"/>
      <c r="K258" s="12" t="s">
        <v>117</v>
      </c>
      <c r="AE258" s="24"/>
    </row>
    <row r="259" spans="1:33" ht="24" customHeight="1">
      <c r="A259" s="39"/>
      <c r="B259" s="39"/>
      <c r="C259" s="39"/>
      <c r="D259" s="39"/>
      <c r="H259" s="3" t="s">
        <v>657</v>
      </c>
      <c r="K259" s="17">
        <f>SUM(K254:K257)</f>
        <v>14053.395372000001</v>
      </c>
      <c r="AE259" s="24"/>
    </row>
    <row r="260" spans="1:33" ht="24" customHeight="1">
      <c r="A260" s="39"/>
      <c r="B260" s="39"/>
      <c r="C260" s="39"/>
      <c r="D260" s="39"/>
      <c r="K260" s="12" t="s">
        <v>117</v>
      </c>
      <c r="AE260" s="24"/>
    </row>
    <row r="261" spans="1:33" ht="24" customHeight="1">
      <c r="A261" s="39"/>
      <c r="B261" s="39"/>
      <c r="C261" s="39"/>
      <c r="D261" s="39"/>
      <c r="H261" s="19" t="s">
        <v>650</v>
      </c>
      <c r="K261" s="16">
        <f>K259/100</f>
        <v>140.53395372</v>
      </c>
      <c r="AE261" s="24"/>
    </row>
    <row r="262" spans="1:33" ht="24" customHeight="1">
      <c r="A262" s="39"/>
      <c r="B262" s="39"/>
      <c r="C262" s="39"/>
      <c r="D262" s="39"/>
      <c r="F262" s="3" t="s">
        <v>115</v>
      </c>
      <c r="G262" s="15" t="s">
        <v>115</v>
      </c>
      <c r="K262" s="12" t="s">
        <v>155</v>
      </c>
      <c r="AE262" s="24"/>
    </row>
    <row r="263" spans="1:33" ht="24" customHeight="1">
      <c r="A263" s="39"/>
      <c r="B263" s="39"/>
      <c r="C263" s="39"/>
      <c r="D263" s="39"/>
      <c r="AE263" s="24"/>
    </row>
    <row r="264" spans="1:33" ht="24" customHeight="1">
      <c r="A264" s="39"/>
      <c r="B264" s="39"/>
      <c r="C264" s="39"/>
      <c r="D264" s="39"/>
      <c r="AE264" s="24"/>
    </row>
    <row r="265" spans="1:33" ht="24" customHeight="1">
      <c r="A265" s="26">
        <f>(A206+1)</f>
        <v>105</v>
      </c>
      <c r="B265" s="82" t="s">
        <v>658</v>
      </c>
      <c r="C265" s="23">
        <v>138</v>
      </c>
      <c r="D265" s="27" t="s">
        <v>1</v>
      </c>
      <c r="F265" s="4" t="s">
        <v>659</v>
      </c>
      <c r="H265" s="3" t="s">
        <v>660</v>
      </c>
      <c r="N265" s="3" t="s">
        <v>558</v>
      </c>
      <c r="O265" s="3" t="s">
        <v>661</v>
      </c>
      <c r="AE265" s="24"/>
      <c r="AG265" s="3"/>
    </row>
    <row r="266" spans="1:33" ht="24" customHeight="1">
      <c r="A266" s="26">
        <f t="shared" ref="A266:A280" si="23">(A265+1)</f>
        <v>106</v>
      </c>
      <c r="B266" s="82" t="s">
        <v>662</v>
      </c>
      <c r="C266" s="25">
        <v>167.1</v>
      </c>
      <c r="D266" s="27" t="s">
        <v>1</v>
      </c>
      <c r="H266" s="12" t="s">
        <v>155</v>
      </c>
      <c r="O266" s="12" t="s">
        <v>117</v>
      </c>
      <c r="AE266" s="24"/>
      <c r="AG266" s="3"/>
    </row>
    <row r="267" spans="1:33" ht="24" customHeight="1">
      <c r="A267" s="26">
        <f t="shared" si="23"/>
        <v>107</v>
      </c>
      <c r="B267" s="83" t="s">
        <v>663</v>
      </c>
      <c r="C267" s="84">
        <v>63</v>
      </c>
      <c r="D267" s="25">
        <v>132.69999999999999</v>
      </c>
      <c r="G267" s="15" t="s">
        <v>122</v>
      </c>
      <c r="H267" s="3" t="s">
        <v>664</v>
      </c>
      <c r="M267" s="17">
        <v>1.1399999999999999</v>
      </c>
      <c r="N267" s="3" t="s">
        <v>126</v>
      </c>
      <c r="O267" s="3" t="s">
        <v>591</v>
      </c>
      <c r="P267" s="17">
        <f>(K420)</f>
        <v>5568.9621999999999</v>
      </c>
      <c r="Q267" s="3" t="s">
        <v>209</v>
      </c>
      <c r="R267" s="17">
        <f>(M267*P267)</f>
        <v>6348.6169079999991</v>
      </c>
      <c r="AE267" s="24"/>
      <c r="AG267" s="3"/>
    </row>
    <row r="268" spans="1:33" ht="39" customHeight="1">
      <c r="A268" s="26">
        <f t="shared" si="23"/>
        <v>108</v>
      </c>
      <c r="B268" s="85" t="s">
        <v>665</v>
      </c>
      <c r="C268" s="23">
        <v>17600</v>
      </c>
      <c r="D268" s="27" t="s">
        <v>126</v>
      </c>
      <c r="H268" s="3" t="s">
        <v>666</v>
      </c>
      <c r="M268" s="17">
        <v>1</v>
      </c>
      <c r="N268" s="3" t="s">
        <v>1</v>
      </c>
      <c r="O268" s="3" t="s">
        <v>144</v>
      </c>
      <c r="P268" s="17">
        <f>(C10)</f>
        <v>769</v>
      </c>
      <c r="Q268" s="3" t="s">
        <v>209</v>
      </c>
      <c r="R268" s="17">
        <f>(M268*P268)</f>
        <v>769</v>
      </c>
      <c r="AE268" s="24"/>
      <c r="AG268" s="3"/>
    </row>
    <row r="269" spans="1:33" ht="24" customHeight="1">
      <c r="A269" s="26">
        <f t="shared" si="23"/>
        <v>109</v>
      </c>
      <c r="B269" s="27" t="s">
        <v>667</v>
      </c>
      <c r="C269" s="23">
        <v>15500</v>
      </c>
      <c r="D269" s="27" t="s">
        <v>126</v>
      </c>
      <c r="H269" s="12" t="s">
        <v>117</v>
      </c>
      <c r="N269" s="3" t="s">
        <v>129</v>
      </c>
      <c r="O269" s="3" t="s">
        <v>130</v>
      </c>
      <c r="P269" s="3" t="s">
        <v>115</v>
      </c>
      <c r="Q269" s="3" t="s">
        <v>129</v>
      </c>
      <c r="R269" s="17">
        <v>0.05</v>
      </c>
      <c r="AE269" s="24"/>
      <c r="AG269" s="3"/>
    </row>
    <row r="270" spans="1:33" ht="24" customHeight="1">
      <c r="A270" s="26">
        <f t="shared" si="23"/>
        <v>110</v>
      </c>
      <c r="B270" s="27" t="s">
        <v>668</v>
      </c>
      <c r="C270" s="23">
        <v>25.2</v>
      </c>
      <c r="D270" s="27" t="s">
        <v>1</v>
      </c>
      <c r="F270" s="17">
        <v>9</v>
      </c>
      <c r="G270" s="15" t="s">
        <v>126</v>
      </c>
      <c r="H270" s="3" t="s">
        <v>669</v>
      </c>
      <c r="I270" s="17">
        <f>(C73)</f>
        <v>1637.02</v>
      </c>
      <c r="J270" s="3" t="s">
        <v>126</v>
      </c>
      <c r="K270" s="17">
        <f t="shared" ref="K270:K275" si="24">(F270*I270)</f>
        <v>14733.18</v>
      </c>
      <c r="R270" s="12" t="s">
        <v>117</v>
      </c>
      <c r="AE270" s="24"/>
      <c r="AG270" s="3"/>
    </row>
    <row r="271" spans="1:33" ht="24" customHeight="1">
      <c r="A271" s="26">
        <f t="shared" si="23"/>
        <v>111</v>
      </c>
      <c r="B271" s="27" t="s">
        <v>670</v>
      </c>
      <c r="C271" s="25">
        <v>48.95</v>
      </c>
      <c r="D271" s="27" t="s">
        <v>148</v>
      </c>
      <c r="E271" s="79">
        <v>155</v>
      </c>
      <c r="F271" s="49">
        <v>3.2309999999999999</v>
      </c>
      <c r="G271" s="15" t="s">
        <v>124</v>
      </c>
      <c r="H271" s="3" t="s">
        <v>125</v>
      </c>
      <c r="I271" s="17">
        <f>(C67)</f>
        <v>5800</v>
      </c>
      <c r="J271" s="3" t="s">
        <v>124</v>
      </c>
      <c r="K271" s="17">
        <f t="shared" si="24"/>
        <v>18739.8</v>
      </c>
      <c r="O271" s="3" t="s">
        <v>153</v>
      </c>
      <c r="R271" s="17">
        <f>SUM(R267:R269)</f>
        <v>7117.6669079999992</v>
      </c>
      <c r="AE271" s="24"/>
      <c r="AG271" s="3"/>
    </row>
    <row r="272" spans="1:33" ht="24" customHeight="1">
      <c r="A272" s="26">
        <f t="shared" si="23"/>
        <v>112</v>
      </c>
      <c r="B272" s="27" t="s">
        <v>671</v>
      </c>
      <c r="C272" s="25">
        <v>300.89999999999998</v>
      </c>
      <c r="D272" s="45">
        <v>452.09</v>
      </c>
      <c r="E272" s="86">
        <v>250</v>
      </c>
      <c r="F272" s="17">
        <v>4.5</v>
      </c>
      <c r="G272" s="15" t="s">
        <v>126</v>
      </c>
      <c r="H272" s="3" t="s">
        <v>127</v>
      </c>
      <c r="I272" s="17">
        <f>(C78)</f>
        <v>1322.8</v>
      </c>
      <c r="J272" s="3" t="s">
        <v>126</v>
      </c>
      <c r="K272" s="17">
        <f t="shared" si="24"/>
        <v>5952.5999999999995</v>
      </c>
      <c r="R272" s="12" t="s">
        <v>117</v>
      </c>
      <c r="AE272" s="24"/>
      <c r="AG272" s="3"/>
    </row>
    <row r="273" spans="1:33" ht="24" customHeight="1">
      <c r="A273" s="26">
        <f t="shared" si="23"/>
        <v>113</v>
      </c>
      <c r="B273" s="27" t="s">
        <v>672</v>
      </c>
      <c r="C273" s="25">
        <v>141.30000000000001</v>
      </c>
      <c r="D273" s="27" t="s">
        <v>203</v>
      </c>
      <c r="F273" s="17">
        <v>3.5</v>
      </c>
      <c r="G273" s="15" t="s">
        <v>209</v>
      </c>
      <c r="H273" s="3" t="s">
        <v>145</v>
      </c>
      <c r="I273" s="17">
        <f>(C11)</f>
        <v>718</v>
      </c>
      <c r="J273" s="3" t="s">
        <v>209</v>
      </c>
      <c r="K273" s="17">
        <f t="shared" si="24"/>
        <v>2513</v>
      </c>
      <c r="O273" s="3" t="s">
        <v>154</v>
      </c>
      <c r="R273" s="17">
        <f>(R271/10)</f>
        <v>711.76669079999988</v>
      </c>
      <c r="AE273" s="24"/>
      <c r="AG273" s="3"/>
    </row>
    <row r="274" spans="1:33" ht="24" customHeight="1">
      <c r="A274" s="26">
        <f t="shared" si="23"/>
        <v>114</v>
      </c>
      <c r="B274" s="27" t="s">
        <v>673</v>
      </c>
      <c r="C274" s="25">
        <v>51.3</v>
      </c>
      <c r="D274" s="27" t="s">
        <v>1</v>
      </c>
      <c r="F274" s="17">
        <v>21.2</v>
      </c>
      <c r="G274" s="15" t="s">
        <v>209</v>
      </c>
      <c r="H274" s="3" t="s">
        <v>146</v>
      </c>
      <c r="I274" s="17">
        <f>(C12)</f>
        <v>502</v>
      </c>
      <c r="J274" s="3" t="s">
        <v>209</v>
      </c>
      <c r="K274" s="17">
        <f t="shared" si="24"/>
        <v>10642.4</v>
      </c>
      <c r="R274" s="12" t="s">
        <v>155</v>
      </c>
      <c r="Y274" s="9">
        <v>1.51</v>
      </c>
      <c r="Z274" s="9">
        <v>1.08</v>
      </c>
      <c r="AB274" s="5">
        <v>55.07</v>
      </c>
      <c r="AC274" s="5">
        <f>Y274*AB274</f>
        <v>83.155699999999996</v>
      </c>
      <c r="AD274" s="5">
        <f>Z274*AB274</f>
        <v>59.475600000000007</v>
      </c>
      <c r="AE274" s="24"/>
      <c r="AG274" s="3"/>
    </row>
    <row r="275" spans="1:33" ht="24" customHeight="1">
      <c r="A275" s="26">
        <f t="shared" si="23"/>
        <v>115</v>
      </c>
      <c r="B275" s="27" t="s">
        <v>674</v>
      </c>
      <c r="C275" s="25">
        <v>44.8</v>
      </c>
      <c r="D275" s="27" t="s">
        <v>1</v>
      </c>
      <c r="F275" s="17">
        <v>35.299999999999997</v>
      </c>
      <c r="G275" s="15" t="s">
        <v>209</v>
      </c>
      <c r="H275" s="3" t="s">
        <v>147</v>
      </c>
      <c r="I275" s="17">
        <f>(C13)</f>
        <v>412</v>
      </c>
      <c r="J275" s="3" t="s">
        <v>209</v>
      </c>
      <c r="K275" s="17">
        <f t="shared" si="24"/>
        <v>14543.599999999999</v>
      </c>
      <c r="N275" s="3" t="s">
        <v>675</v>
      </c>
      <c r="O275" s="3" t="s">
        <v>482</v>
      </c>
      <c r="R275" s="17">
        <f>(R273+C19/10*M267)</f>
        <v>718.51549079999984</v>
      </c>
      <c r="Y275" s="9">
        <v>0.216</v>
      </c>
      <c r="Z275" s="9">
        <v>0.216</v>
      </c>
      <c r="AB275" s="5">
        <v>993.48</v>
      </c>
      <c r="AC275" s="5">
        <f>Y275*AB275</f>
        <v>214.59168</v>
      </c>
      <c r="AD275" s="5">
        <f>Z275*AB275</f>
        <v>214.59168</v>
      </c>
      <c r="AE275" s="24"/>
      <c r="AG275" s="3"/>
    </row>
    <row r="276" spans="1:33" ht="24" customHeight="1">
      <c r="A276" s="26">
        <f t="shared" si="23"/>
        <v>116</v>
      </c>
      <c r="B276" s="27" t="s">
        <v>676</v>
      </c>
      <c r="C276" s="36">
        <v>16.440000000000001</v>
      </c>
      <c r="D276" s="27" t="s">
        <v>1</v>
      </c>
      <c r="G276" s="15" t="s">
        <v>129</v>
      </c>
      <c r="H276" s="3" t="s">
        <v>130</v>
      </c>
      <c r="I276" s="3" t="s">
        <v>115</v>
      </c>
      <c r="J276" s="3" t="s">
        <v>129</v>
      </c>
      <c r="K276" s="17">
        <v>0</v>
      </c>
      <c r="N276" s="3" t="s">
        <v>677</v>
      </c>
      <c r="O276" s="3" t="s">
        <v>486</v>
      </c>
      <c r="R276" s="17">
        <f>(R275+C20/10*M267)</f>
        <v>732.11569079999981</v>
      </c>
      <c r="Y276" s="9">
        <v>0.71599999999999997</v>
      </c>
      <c r="Z276" s="9">
        <v>0.48699999999999999</v>
      </c>
      <c r="AB276" s="5">
        <v>1762.91</v>
      </c>
      <c r="AC276" s="5">
        <f>Y276*AB276</f>
        <v>1262.2435600000001</v>
      </c>
      <c r="AD276" s="5">
        <f>Z276*AB276</f>
        <v>858.53717000000006</v>
      </c>
      <c r="AE276" s="24"/>
      <c r="AG276" s="3"/>
    </row>
    <row r="277" spans="1:33" ht="24" customHeight="1">
      <c r="A277" s="26">
        <f t="shared" si="23"/>
        <v>117</v>
      </c>
      <c r="B277" s="27" t="s">
        <v>678</v>
      </c>
      <c r="C277" s="25">
        <v>31.5</v>
      </c>
      <c r="D277" s="28">
        <v>6.25</v>
      </c>
      <c r="K277" s="12" t="s">
        <v>117</v>
      </c>
      <c r="N277" s="3" t="s">
        <v>679</v>
      </c>
      <c r="O277" s="3" t="s">
        <v>489</v>
      </c>
      <c r="R277" s="17">
        <f>(R276+C21/10*M267)</f>
        <v>745.71589079999978</v>
      </c>
      <c r="Y277" s="9">
        <v>7.35</v>
      </c>
      <c r="Z277" s="9">
        <v>5.36</v>
      </c>
      <c r="AB277" s="5">
        <v>69.709999999999994</v>
      </c>
      <c r="AC277" s="5">
        <f>Y277*AB277</f>
        <v>512.36849999999993</v>
      </c>
      <c r="AD277" s="5">
        <f>Z277*AB277</f>
        <v>373.6456</v>
      </c>
      <c r="AE277" s="24"/>
      <c r="AG277" s="3"/>
    </row>
    <row r="278" spans="1:33" ht="24" customHeight="1">
      <c r="A278" s="26">
        <f t="shared" si="23"/>
        <v>118</v>
      </c>
      <c r="B278" s="27" t="s">
        <v>680</v>
      </c>
      <c r="C278" s="25">
        <v>357.5</v>
      </c>
      <c r="D278" s="27" t="s">
        <v>140</v>
      </c>
      <c r="H278" s="3" t="s">
        <v>681</v>
      </c>
      <c r="K278" s="17">
        <f>SUM(K270:K276)</f>
        <v>67124.579999999987</v>
      </c>
      <c r="N278" s="3" t="s">
        <v>682</v>
      </c>
      <c r="O278" s="3" t="s">
        <v>491</v>
      </c>
      <c r="R278" s="17">
        <f>(R277+C21/10*M267)</f>
        <v>759.31609079999976</v>
      </c>
      <c r="Y278" s="9">
        <v>3.2000000000000001E-2</v>
      </c>
      <c r="Z278" s="9">
        <v>3.2000000000000001E-2</v>
      </c>
      <c r="AB278" s="5">
        <v>2824.15</v>
      </c>
      <c r="AC278" s="5">
        <f>Y278*AB278</f>
        <v>90.372799999999998</v>
      </c>
      <c r="AD278" s="5">
        <f>Z278*AB278</f>
        <v>90.372799999999998</v>
      </c>
      <c r="AE278" s="24"/>
      <c r="AG278" s="3"/>
    </row>
    <row r="279" spans="1:33" ht="24" customHeight="1">
      <c r="A279" s="26">
        <f t="shared" si="23"/>
        <v>119</v>
      </c>
      <c r="B279" s="27" t="s">
        <v>683</v>
      </c>
      <c r="C279" s="25">
        <v>79.099999999999994</v>
      </c>
      <c r="D279" s="27" t="s">
        <v>1</v>
      </c>
      <c r="K279" s="12" t="s">
        <v>117</v>
      </c>
      <c r="Z279" s="9"/>
      <c r="AD279" s="5">
        <v>13.38</v>
      </c>
      <c r="AE279" s="24"/>
      <c r="AG279" s="3"/>
    </row>
    <row r="280" spans="1:33" ht="24" customHeight="1">
      <c r="A280" s="26">
        <f t="shared" si="23"/>
        <v>120</v>
      </c>
      <c r="B280" s="27" t="s">
        <v>684</v>
      </c>
      <c r="C280" s="25">
        <v>63.5</v>
      </c>
      <c r="D280" s="27" t="s">
        <v>1</v>
      </c>
      <c r="H280" s="19" t="s">
        <v>383</v>
      </c>
      <c r="K280" s="16">
        <f>(K278/10)</f>
        <v>6712.4579999999987</v>
      </c>
      <c r="R280" s="3" t="s">
        <v>115</v>
      </c>
      <c r="AC280" s="5">
        <f>SUM(AC274:AC279)</f>
        <v>2162.7322400000003</v>
      </c>
      <c r="AD280" s="5">
        <f>SUM(AD274:AD279)</f>
        <v>1610.0028500000003</v>
      </c>
      <c r="AE280" s="24"/>
      <c r="AG280" s="3"/>
    </row>
    <row r="281" spans="1:33" ht="24" customHeight="1">
      <c r="A281" s="39"/>
      <c r="B281" s="39"/>
      <c r="C281" s="79"/>
      <c r="D281" s="39"/>
      <c r="F281" s="3" t="s">
        <v>115</v>
      </c>
      <c r="N281" s="3" t="s">
        <v>558</v>
      </c>
      <c r="O281" s="3" t="s">
        <v>685</v>
      </c>
      <c r="AE281" s="24"/>
    </row>
    <row r="282" spans="1:33" ht="24" customHeight="1">
      <c r="A282" s="26">
        <f>(A280+1)</f>
        <v>121</v>
      </c>
      <c r="B282" s="27" t="s">
        <v>686</v>
      </c>
      <c r="C282" s="25">
        <v>43.6</v>
      </c>
      <c r="D282" s="27" t="s">
        <v>1</v>
      </c>
      <c r="O282" s="3" t="s">
        <v>687</v>
      </c>
      <c r="AE282" s="24"/>
      <c r="AG282" s="3"/>
    </row>
    <row r="283" spans="1:33" ht="24" customHeight="1">
      <c r="A283" s="26">
        <f t="shared" ref="A283:A346" si="25">(A282+1)</f>
        <v>122</v>
      </c>
      <c r="B283" s="27" t="s">
        <v>688</v>
      </c>
      <c r="C283" s="25">
        <v>35.15</v>
      </c>
      <c r="D283" s="27" t="s">
        <v>1</v>
      </c>
      <c r="F283" s="17">
        <v>1</v>
      </c>
      <c r="G283" s="15" t="s">
        <v>126</v>
      </c>
      <c r="H283" s="3" t="s">
        <v>689</v>
      </c>
      <c r="K283" s="17">
        <f>(C25)</f>
        <v>70.7</v>
      </c>
      <c r="O283" s="12" t="s">
        <v>117</v>
      </c>
      <c r="AE283" s="24"/>
      <c r="AG283" s="3"/>
    </row>
    <row r="284" spans="1:33" ht="24" customHeight="1">
      <c r="A284" s="26">
        <f t="shared" si="25"/>
        <v>123</v>
      </c>
      <c r="B284" s="27" t="s">
        <v>690</v>
      </c>
      <c r="C284" s="25">
        <v>57.2</v>
      </c>
      <c r="D284" s="27" t="s">
        <v>1</v>
      </c>
      <c r="K284" s="12" t="s">
        <v>117</v>
      </c>
      <c r="M284" s="17">
        <v>10</v>
      </c>
      <c r="N284" s="3" t="s">
        <v>140</v>
      </c>
      <c r="O284" s="3" t="s">
        <v>691</v>
      </c>
      <c r="P284" s="17">
        <f>(K1241)</f>
        <v>1004.9637999999999</v>
      </c>
      <c r="Q284" s="3" t="s">
        <v>140</v>
      </c>
      <c r="R284" s="17">
        <f>(M284*P284)</f>
        <v>10049.637999999999</v>
      </c>
      <c r="AE284" s="24"/>
      <c r="AG284" s="3"/>
    </row>
    <row r="285" spans="1:33" ht="24" customHeight="1">
      <c r="A285" s="26">
        <f t="shared" si="25"/>
        <v>124</v>
      </c>
      <c r="B285" s="27" t="s">
        <v>692</v>
      </c>
      <c r="C285" s="25">
        <v>35.1</v>
      </c>
      <c r="D285" s="27" t="s">
        <v>1</v>
      </c>
      <c r="E285" s="79">
        <v>50.3</v>
      </c>
      <c r="H285" s="3" t="s">
        <v>693</v>
      </c>
      <c r="K285" s="16">
        <f>SUM(K280:K283)</f>
        <v>6783.1579999999985</v>
      </c>
      <c r="M285" s="17">
        <v>1.1000000000000001</v>
      </c>
      <c r="N285" s="3" t="s">
        <v>209</v>
      </c>
      <c r="O285" s="3" t="s">
        <v>145</v>
      </c>
      <c r="P285" s="17">
        <f>(C11)</f>
        <v>718</v>
      </c>
      <c r="Q285" s="3" t="s">
        <v>209</v>
      </c>
      <c r="R285" s="17">
        <f>(M285*P285)</f>
        <v>789.80000000000007</v>
      </c>
      <c r="AE285" s="24"/>
      <c r="AG285" s="3"/>
    </row>
    <row r="286" spans="1:33" ht="24" customHeight="1">
      <c r="A286" s="26">
        <f t="shared" si="25"/>
        <v>125</v>
      </c>
      <c r="B286" s="27" t="s">
        <v>694</v>
      </c>
      <c r="C286" s="25">
        <v>159.69999999999999</v>
      </c>
      <c r="D286" s="27" t="s">
        <v>1</v>
      </c>
      <c r="K286" s="12" t="s">
        <v>117</v>
      </c>
      <c r="M286" s="17">
        <v>1.1000000000000001</v>
      </c>
      <c r="N286" s="3" t="s">
        <v>209</v>
      </c>
      <c r="O286" s="3" t="s">
        <v>146</v>
      </c>
      <c r="P286" s="17">
        <f>(C12)</f>
        <v>502</v>
      </c>
      <c r="Q286" s="3" t="s">
        <v>209</v>
      </c>
      <c r="R286" s="17">
        <f>(M286*P286)</f>
        <v>552.20000000000005</v>
      </c>
      <c r="AE286" s="24"/>
      <c r="AG286" s="3"/>
    </row>
    <row r="287" spans="1:33" ht="24" customHeight="1">
      <c r="A287" s="26">
        <f t="shared" si="25"/>
        <v>126</v>
      </c>
      <c r="B287" s="27" t="s">
        <v>695</v>
      </c>
      <c r="C287" s="25">
        <v>89.7</v>
      </c>
      <c r="D287" s="27" t="s">
        <v>1</v>
      </c>
      <c r="H287" s="3" t="s">
        <v>482</v>
      </c>
      <c r="K287" s="16">
        <f>(K285+C22)</f>
        <v>6873.0579999999982</v>
      </c>
      <c r="L287" s="5">
        <v>54</v>
      </c>
      <c r="M287" s="17">
        <v>1.1000000000000001</v>
      </c>
      <c r="N287" s="3" t="s">
        <v>209</v>
      </c>
      <c r="O287" s="3" t="s">
        <v>251</v>
      </c>
      <c r="P287" s="17">
        <f>(C13)</f>
        <v>412</v>
      </c>
      <c r="Q287" s="3" t="s">
        <v>209</v>
      </c>
      <c r="R287" s="17">
        <f>(M287*P287)</f>
        <v>453.20000000000005</v>
      </c>
      <c r="AE287" s="24"/>
      <c r="AG287" s="3"/>
    </row>
    <row r="288" spans="1:33" ht="24" customHeight="1">
      <c r="A288" s="26">
        <f t="shared" si="25"/>
        <v>127</v>
      </c>
      <c r="B288" s="27" t="s">
        <v>696</v>
      </c>
      <c r="C288" s="45">
        <v>7.3</v>
      </c>
      <c r="D288" s="27" t="s">
        <v>1</v>
      </c>
      <c r="H288" s="3" t="s">
        <v>486</v>
      </c>
      <c r="K288" s="16">
        <f>(K287+C23)</f>
        <v>7050.0579999999982</v>
      </c>
      <c r="L288" s="5">
        <v>107</v>
      </c>
      <c r="R288" s="12" t="s">
        <v>117</v>
      </c>
      <c r="AE288" s="24"/>
      <c r="AG288" s="3"/>
    </row>
    <row r="289" spans="1:33" ht="24" customHeight="1">
      <c r="A289" s="26">
        <f t="shared" si="25"/>
        <v>128</v>
      </c>
      <c r="B289" s="27" t="s">
        <v>697</v>
      </c>
      <c r="C289" s="45">
        <v>7.3</v>
      </c>
      <c r="D289" s="27" t="s">
        <v>1</v>
      </c>
      <c r="H289" s="3" t="s">
        <v>489</v>
      </c>
      <c r="K289" s="16">
        <f>(K288+C24)</f>
        <v>7227.0579999999982</v>
      </c>
      <c r="O289" s="3" t="s">
        <v>153</v>
      </c>
      <c r="R289" s="17">
        <f>SUM(R284:R287)</f>
        <v>11844.838</v>
      </c>
      <c r="AE289" s="24"/>
      <c r="AG289" s="3"/>
    </row>
    <row r="290" spans="1:33" ht="24" customHeight="1">
      <c r="A290" s="26">
        <f t="shared" si="25"/>
        <v>129</v>
      </c>
      <c r="B290" s="27" t="s">
        <v>698</v>
      </c>
      <c r="C290" s="36">
        <v>2.9</v>
      </c>
      <c r="D290" s="27" t="s">
        <v>699</v>
      </c>
      <c r="H290" s="3" t="s">
        <v>491</v>
      </c>
      <c r="K290" s="16">
        <f>(K289+C24)</f>
        <v>7404.0579999999982</v>
      </c>
      <c r="R290" s="12" t="s">
        <v>117</v>
      </c>
      <c r="AE290" s="24"/>
      <c r="AG290" s="3"/>
    </row>
    <row r="291" spans="1:33" ht="24" customHeight="1">
      <c r="A291" s="26">
        <f t="shared" si="25"/>
        <v>130</v>
      </c>
      <c r="B291" s="27" t="s">
        <v>700</v>
      </c>
      <c r="C291" s="45">
        <v>11.8</v>
      </c>
      <c r="D291" s="27" t="s">
        <v>699</v>
      </c>
      <c r="H291" s="3" t="s">
        <v>496</v>
      </c>
      <c r="K291" s="16">
        <f>(K290+C24)</f>
        <v>7581.0579999999982</v>
      </c>
      <c r="O291" s="3" t="s">
        <v>154</v>
      </c>
      <c r="R291" s="17">
        <f>(R289/10)</f>
        <v>1184.4838</v>
      </c>
      <c r="AE291" s="24"/>
      <c r="AG291" s="3"/>
    </row>
    <row r="292" spans="1:33" ht="24" customHeight="1">
      <c r="A292" s="26">
        <f t="shared" si="25"/>
        <v>131</v>
      </c>
      <c r="B292" s="27" t="s">
        <v>701</v>
      </c>
      <c r="C292" s="45">
        <v>8.9</v>
      </c>
      <c r="D292" s="27" t="s">
        <v>1</v>
      </c>
      <c r="R292" s="12" t="s">
        <v>155</v>
      </c>
      <c r="AE292" s="24"/>
      <c r="AG292" s="3"/>
    </row>
    <row r="293" spans="1:33" ht="24" customHeight="1">
      <c r="A293" s="26">
        <f t="shared" si="25"/>
        <v>132</v>
      </c>
      <c r="B293" s="27" t="s">
        <v>702</v>
      </c>
      <c r="C293" s="45">
        <v>6.1</v>
      </c>
      <c r="D293" s="27" t="s">
        <v>1</v>
      </c>
      <c r="F293" s="4" t="s">
        <v>298</v>
      </c>
      <c r="G293" s="15" t="s">
        <v>122</v>
      </c>
      <c r="H293" s="3" t="s">
        <v>703</v>
      </c>
      <c r="AE293" s="24"/>
      <c r="AG293" s="3"/>
    </row>
    <row r="294" spans="1:33" ht="24" customHeight="1">
      <c r="A294" s="26">
        <f t="shared" si="25"/>
        <v>133</v>
      </c>
      <c r="B294" s="27" t="s">
        <v>704</v>
      </c>
      <c r="C294" s="36">
        <v>5.75</v>
      </c>
      <c r="D294" s="27" t="s">
        <v>1</v>
      </c>
      <c r="H294" s="12" t="s">
        <v>155</v>
      </c>
      <c r="N294" s="3" t="s">
        <v>122</v>
      </c>
      <c r="O294" s="3" t="s">
        <v>705</v>
      </c>
      <c r="AE294" s="24"/>
      <c r="AG294" s="3"/>
    </row>
    <row r="295" spans="1:33" ht="24" customHeight="1">
      <c r="A295" s="26">
        <f t="shared" si="25"/>
        <v>134</v>
      </c>
      <c r="B295" s="27" t="s">
        <v>706</v>
      </c>
      <c r="C295" s="36">
        <v>8.5</v>
      </c>
      <c r="D295" s="27" t="s">
        <v>1</v>
      </c>
      <c r="F295" s="17">
        <v>10</v>
      </c>
      <c r="G295" s="15" t="s">
        <v>126</v>
      </c>
      <c r="H295" s="3" t="s">
        <v>707</v>
      </c>
      <c r="I295" s="17">
        <f>(C68)</f>
        <v>676.02</v>
      </c>
      <c r="J295" s="3" t="s">
        <v>126</v>
      </c>
      <c r="K295" s="17">
        <f t="shared" ref="K295:K301" si="26">(F295*I295)</f>
        <v>6760.2</v>
      </c>
      <c r="O295" s="12" t="s">
        <v>117</v>
      </c>
      <c r="AE295" s="24"/>
      <c r="AG295" s="3"/>
    </row>
    <row r="296" spans="1:33" ht="24" customHeight="1">
      <c r="A296" s="26">
        <f t="shared" si="25"/>
        <v>135</v>
      </c>
      <c r="B296" s="27" t="s">
        <v>708</v>
      </c>
      <c r="C296" s="36">
        <v>10</v>
      </c>
      <c r="D296" s="27" t="s">
        <v>1</v>
      </c>
      <c r="F296" s="17">
        <v>1</v>
      </c>
      <c r="G296" s="15" t="s">
        <v>126</v>
      </c>
      <c r="H296" s="3" t="s">
        <v>474</v>
      </c>
      <c r="I296" s="17">
        <f>(C69)</f>
        <v>869.02</v>
      </c>
      <c r="J296" s="3" t="s">
        <v>126</v>
      </c>
      <c r="K296" s="17">
        <f t="shared" si="26"/>
        <v>869.02</v>
      </c>
      <c r="M296" s="17">
        <v>0.14000000000000001</v>
      </c>
      <c r="N296" s="3" t="s">
        <v>126</v>
      </c>
      <c r="O296" s="3" t="s">
        <v>133</v>
      </c>
      <c r="P296" s="17">
        <f>(K32)</f>
        <v>4193.8</v>
      </c>
      <c r="Q296" s="3" t="s">
        <v>126</v>
      </c>
      <c r="R296" s="17">
        <f>(M296*P296)</f>
        <v>587.13200000000006</v>
      </c>
      <c r="AE296" s="24"/>
      <c r="AG296" s="3"/>
    </row>
    <row r="297" spans="1:33" ht="24" customHeight="1">
      <c r="A297" s="26">
        <f t="shared" si="25"/>
        <v>136</v>
      </c>
      <c r="B297" s="27" t="s">
        <v>709</v>
      </c>
      <c r="C297" s="45">
        <v>7</v>
      </c>
      <c r="D297" s="27" t="s">
        <v>1</v>
      </c>
      <c r="F297" s="17">
        <v>3.4</v>
      </c>
      <c r="G297" s="15" t="s">
        <v>126</v>
      </c>
      <c r="H297" s="3" t="s">
        <v>135</v>
      </c>
      <c r="I297" s="17">
        <f>(K49)</f>
        <v>3080.2</v>
      </c>
      <c r="J297" s="3" t="s">
        <v>126</v>
      </c>
      <c r="K297" s="17">
        <f t="shared" si="26"/>
        <v>10472.679999999998</v>
      </c>
      <c r="M297" s="17">
        <v>1.1000000000000001</v>
      </c>
      <c r="N297" s="3" t="s">
        <v>209</v>
      </c>
      <c r="O297" s="3" t="s">
        <v>144</v>
      </c>
      <c r="P297" s="17">
        <f>(C10)</f>
        <v>769</v>
      </c>
      <c r="Q297" s="3" t="s">
        <v>209</v>
      </c>
      <c r="R297" s="17">
        <f>(M297*P297)</f>
        <v>845.90000000000009</v>
      </c>
      <c r="AE297" s="24"/>
      <c r="AG297" s="3"/>
    </row>
    <row r="298" spans="1:33" ht="24" customHeight="1">
      <c r="A298" s="26">
        <f t="shared" si="25"/>
        <v>137</v>
      </c>
      <c r="B298" s="27" t="s">
        <v>710</v>
      </c>
      <c r="C298" s="36">
        <v>2.2000000000000002</v>
      </c>
      <c r="D298" s="27" t="s">
        <v>1</v>
      </c>
      <c r="F298" s="17">
        <v>7.1</v>
      </c>
      <c r="G298" s="15" t="s">
        <v>209</v>
      </c>
      <c r="H298" s="3" t="s">
        <v>144</v>
      </c>
      <c r="I298" s="17">
        <f>(C10)</f>
        <v>769</v>
      </c>
      <c r="J298" s="3" t="s">
        <v>209</v>
      </c>
      <c r="K298" s="17">
        <f t="shared" si="26"/>
        <v>5459.9</v>
      </c>
      <c r="M298" s="17">
        <v>0.5</v>
      </c>
      <c r="N298" s="3" t="s">
        <v>209</v>
      </c>
      <c r="O298" s="3" t="s">
        <v>146</v>
      </c>
      <c r="P298" s="17">
        <f>(C12)</f>
        <v>502</v>
      </c>
      <c r="Q298" s="3" t="s">
        <v>209</v>
      </c>
      <c r="R298" s="17">
        <f>(M298*P298)</f>
        <v>251</v>
      </c>
      <c r="AE298" s="24"/>
      <c r="AG298" s="3"/>
    </row>
    <row r="299" spans="1:33" ht="24" customHeight="1">
      <c r="A299" s="26">
        <f t="shared" si="25"/>
        <v>138</v>
      </c>
      <c r="B299" s="27" t="s">
        <v>711</v>
      </c>
      <c r="C299" s="36">
        <v>10.5</v>
      </c>
      <c r="D299" s="27" t="s">
        <v>1</v>
      </c>
      <c r="F299" s="17">
        <v>10.6</v>
      </c>
      <c r="G299" s="15" t="s">
        <v>209</v>
      </c>
      <c r="H299" s="3" t="s">
        <v>145</v>
      </c>
      <c r="I299" s="17">
        <f>(C11)</f>
        <v>718</v>
      </c>
      <c r="J299" s="3" t="s">
        <v>209</v>
      </c>
      <c r="K299" s="17">
        <f t="shared" si="26"/>
        <v>7610.8</v>
      </c>
      <c r="M299" s="17">
        <v>1.1000000000000001</v>
      </c>
      <c r="N299" s="3" t="s">
        <v>209</v>
      </c>
      <c r="O299" s="3" t="s">
        <v>147</v>
      </c>
      <c r="P299" s="17">
        <f>(C13)</f>
        <v>412</v>
      </c>
      <c r="Q299" s="3" t="s">
        <v>209</v>
      </c>
      <c r="R299" s="17">
        <f>(M299*P299)</f>
        <v>453.20000000000005</v>
      </c>
      <c r="AE299" s="24"/>
      <c r="AG299" s="3"/>
    </row>
    <row r="300" spans="1:33" ht="24" customHeight="1">
      <c r="A300" s="26">
        <f t="shared" si="25"/>
        <v>139</v>
      </c>
      <c r="B300" s="27" t="s">
        <v>712</v>
      </c>
      <c r="C300" s="36">
        <v>5.5</v>
      </c>
      <c r="D300" s="27" t="s">
        <v>1</v>
      </c>
      <c r="F300" s="17">
        <v>14.1</v>
      </c>
      <c r="G300" s="15" t="s">
        <v>209</v>
      </c>
      <c r="H300" s="3" t="s">
        <v>146</v>
      </c>
      <c r="I300" s="17">
        <f>(C12)</f>
        <v>502</v>
      </c>
      <c r="J300" s="3" t="s">
        <v>209</v>
      </c>
      <c r="K300" s="17">
        <f t="shared" si="26"/>
        <v>7078.2</v>
      </c>
      <c r="N300" s="3" t="s">
        <v>129</v>
      </c>
      <c r="O300" s="3" t="s">
        <v>130</v>
      </c>
      <c r="P300" s="3" t="s">
        <v>115</v>
      </c>
      <c r="Q300" s="3" t="s">
        <v>129</v>
      </c>
      <c r="R300" s="17">
        <v>0</v>
      </c>
      <c r="AE300" s="24"/>
      <c r="AG300" s="3"/>
    </row>
    <row r="301" spans="1:33" ht="24" customHeight="1">
      <c r="A301" s="26">
        <f t="shared" si="25"/>
        <v>140</v>
      </c>
      <c r="B301" s="27" t="s">
        <v>713</v>
      </c>
      <c r="C301" s="36">
        <v>21</v>
      </c>
      <c r="D301" s="27" t="s">
        <v>1</v>
      </c>
      <c r="F301" s="17">
        <v>14.1</v>
      </c>
      <c r="G301" s="15" t="s">
        <v>209</v>
      </c>
      <c r="H301" s="3" t="s">
        <v>147</v>
      </c>
      <c r="I301" s="17">
        <f>(C13)</f>
        <v>412</v>
      </c>
      <c r="J301" s="3" t="s">
        <v>209</v>
      </c>
      <c r="K301" s="17">
        <f t="shared" si="26"/>
        <v>5809.2</v>
      </c>
      <c r="R301" s="12" t="s">
        <v>117</v>
      </c>
      <c r="AE301" s="24"/>
      <c r="AG301" s="3"/>
    </row>
    <row r="302" spans="1:33" ht="24" customHeight="1">
      <c r="A302" s="26">
        <f t="shared" si="25"/>
        <v>141</v>
      </c>
      <c r="B302" s="27" t="s">
        <v>714</v>
      </c>
      <c r="C302" s="36">
        <v>10</v>
      </c>
      <c r="D302" s="27" t="s">
        <v>1</v>
      </c>
      <c r="G302" s="15" t="s">
        <v>129</v>
      </c>
      <c r="H302" s="3" t="s">
        <v>130</v>
      </c>
      <c r="J302" s="3" t="s">
        <v>129</v>
      </c>
      <c r="K302" s="17">
        <v>0</v>
      </c>
      <c r="O302" s="3" t="s">
        <v>115</v>
      </c>
      <c r="R302" s="17">
        <f>SUM(R296:R300)</f>
        <v>2137.232</v>
      </c>
      <c r="AE302" s="24"/>
      <c r="AG302" s="3"/>
    </row>
    <row r="303" spans="1:33" ht="24" customHeight="1">
      <c r="A303" s="26">
        <f t="shared" si="25"/>
        <v>142</v>
      </c>
      <c r="B303" s="27" t="s">
        <v>715</v>
      </c>
      <c r="C303" s="36">
        <v>4</v>
      </c>
      <c r="D303" s="27" t="s">
        <v>1</v>
      </c>
      <c r="K303" s="12" t="s">
        <v>117</v>
      </c>
      <c r="R303" s="12" t="s">
        <v>117</v>
      </c>
      <c r="AE303" s="24"/>
      <c r="AG303" s="3"/>
    </row>
    <row r="304" spans="1:33" ht="24" customHeight="1">
      <c r="A304" s="26">
        <f t="shared" si="25"/>
        <v>143</v>
      </c>
      <c r="B304" s="27" t="s">
        <v>697</v>
      </c>
      <c r="C304" s="36">
        <v>8</v>
      </c>
      <c r="D304" s="27" t="s">
        <v>209</v>
      </c>
      <c r="H304" s="3" t="s">
        <v>455</v>
      </c>
      <c r="K304" s="17">
        <f>SUM(K295:K302)</f>
        <v>44059.999999999993</v>
      </c>
      <c r="O304" s="3" t="s">
        <v>154</v>
      </c>
      <c r="R304" s="17">
        <f>(R302/10)</f>
        <v>213.72319999999999</v>
      </c>
      <c r="AE304" s="24"/>
      <c r="AG304" s="3"/>
    </row>
    <row r="305" spans="1:33" ht="24" customHeight="1">
      <c r="A305" s="26">
        <f t="shared" si="25"/>
        <v>144</v>
      </c>
      <c r="B305" s="27" t="s">
        <v>698</v>
      </c>
      <c r="C305" s="36">
        <v>8.5</v>
      </c>
      <c r="D305" s="27" t="s">
        <v>1</v>
      </c>
      <c r="K305" s="12" t="s">
        <v>117</v>
      </c>
      <c r="N305" s="3" t="s">
        <v>122</v>
      </c>
      <c r="O305" s="3" t="s">
        <v>716</v>
      </c>
      <c r="R305" s="12" t="s">
        <v>155</v>
      </c>
      <c r="AE305" s="24"/>
      <c r="AG305" s="3"/>
    </row>
    <row r="306" spans="1:33" ht="24" customHeight="1">
      <c r="A306" s="26">
        <f t="shared" si="25"/>
        <v>145</v>
      </c>
      <c r="B306" s="27" t="s">
        <v>717</v>
      </c>
      <c r="C306" s="36">
        <v>2.8</v>
      </c>
      <c r="D306" s="27" t="s">
        <v>1</v>
      </c>
      <c r="H306" s="19" t="s">
        <v>383</v>
      </c>
      <c r="K306" s="16">
        <f>(K304/10)</f>
        <v>4405.9999999999991</v>
      </c>
      <c r="O306" s="12" t="s">
        <v>117</v>
      </c>
      <c r="AE306" s="24"/>
      <c r="AG306" s="3"/>
    </row>
    <row r="307" spans="1:33" ht="24" customHeight="1">
      <c r="A307" s="26">
        <f t="shared" si="25"/>
        <v>146</v>
      </c>
      <c r="B307" s="27" t="s">
        <v>718</v>
      </c>
      <c r="C307" s="36">
        <v>1.8</v>
      </c>
      <c r="D307" s="27" t="s">
        <v>1</v>
      </c>
      <c r="K307" s="12" t="s">
        <v>155</v>
      </c>
      <c r="M307" s="17">
        <v>0.14000000000000001</v>
      </c>
      <c r="N307" s="3" t="s">
        <v>126</v>
      </c>
      <c r="O307" s="3" t="s">
        <v>132</v>
      </c>
      <c r="P307" s="17">
        <f>(K23)</f>
        <v>5585.8</v>
      </c>
      <c r="Q307" s="3" t="s">
        <v>126</v>
      </c>
      <c r="R307" s="17">
        <f>(M307*P307)</f>
        <v>782.01200000000006</v>
      </c>
      <c r="AE307" s="24"/>
      <c r="AG307" s="3"/>
    </row>
    <row r="308" spans="1:33" ht="24" customHeight="1">
      <c r="A308" s="26">
        <f t="shared" si="25"/>
        <v>147</v>
      </c>
      <c r="B308" s="45" t="s">
        <v>719</v>
      </c>
      <c r="C308" s="45">
        <v>3</v>
      </c>
      <c r="D308" s="27" t="s">
        <v>1</v>
      </c>
      <c r="F308" s="51">
        <v>6.5</v>
      </c>
      <c r="G308" s="15" t="s">
        <v>122</v>
      </c>
      <c r="H308" s="3" t="s">
        <v>720</v>
      </c>
      <c r="M308" s="17">
        <v>1.1000000000000001</v>
      </c>
      <c r="N308" s="3" t="s">
        <v>209</v>
      </c>
      <c r="O308" s="3" t="s">
        <v>144</v>
      </c>
      <c r="P308" s="17">
        <f>(C10)</f>
        <v>769</v>
      </c>
      <c r="Q308" s="3" t="s">
        <v>209</v>
      </c>
      <c r="R308" s="17">
        <f>(M308*P308)</f>
        <v>845.90000000000009</v>
      </c>
      <c r="S308" s="9">
        <v>6.1</v>
      </c>
      <c r="T308" s="5" t="s">
        <v>122</v>
      </c>
      <c r="U308" s="5" t="s">
        <v>721</v>
      </c>
      <c r="AB308" s="38">
        <v>6</v>
      </c>
      <c r="AC308" s="15" t="s">
        <v>122</v>
      </c>
      <c r="AD308" s="3" t="s">
        <v>722</v>
      </c>
      <c r="AF308" s="8"/>
    </row>
    <row r="309" spans="1:33" ht="24" customHeight="1">
      <c r="A309" s="26">
        <f t="shared" si="25"/>
        <v>148</v>
      </c>
      <c r="B309" s="27" t="s">
        <v>723</v>
      </c>
      <c r="C309" s="87" t="s">
        <v>115</v>
      </c>
      <c r="D309" s="88"/>
      <c r="H309" s="3" t="s">
        <v>724</v>
      </c>
      <c r="M309" s="17">
        <v>0.5</v>
      </c>
      <c r="N309" s="3" t="s">
        <v>209</v>
      </c>
      <c r="O309" s="3" t="s">
        <v>146</v>
      </c>
      <c r="P309" s="17">
        <f>(C12)</f>
        <v>502</v>
      </c>
      <c r="Q309" s="3" t="s">
        <v>209</v>
      </c>
      <c r="R309" s="17">
        <f>(M309*P309)</f>
        <v>251</v>
      </c>
      <c r="U309" s="5" t="s">
        <v>725</v>
      </c>
      <c r="AC309" s="6"/>
      <c r="AD309" s="3" t="s">
        <v>726</v>
      </c>
      <c r="AF309" s="8"/>
    </row>
    <row r="310" spans="1:33" ht="24" customHeight="1">
      <c r="A310" s="26">
        <f t="shared" si="25"/>
        <v>149</v>
      </c>
      <c r="B310" s="27" t="s">
        <v>727</v>
      </c>
      <c r="C310" s="89">
        <v>66.44</v>
      </c>
      <c r="D310" s="90" t="s">
        <v>203</v>
      </c>
      <c r="H310" s="12" t="s">
        <v>117</v>
      </c>
      <c r="M310" s="17">
        <v>1.1000000000000001</v>
      </c>
      <c r="N310" s="3" t="s">
        <v>209</v>
      </c>
      <c r="O310" s="3" t="s">
        <v>147</v>
      </c>
      <c r="P310" s="17">
        <f>(C13)</f>
        <v>412</v>
      </c>
      <c r="Q310" s="3" t="s">
        <v>209</v>
      </c>
      <c r="R310" s="17">
        <f>(M310*P310)</f>
        <v>453.20000000000005</v>
      </c>
      <c r="U310" s="5" t="s">
        <v>117</v>
      </c>
      <c r="AC310" s="6"/>
      <c r="AD310" s="12" t="s">
        <v>117</v>
      </c>
      <c r="AF310" s="8"/>
    </row>
    <row r="311" spans="1:33" ht="15.75">
      <c r="A311" s="26">
        <f t="shared" si="25"/>
        <v>150</v>
      </c>
      <c r="B311" s="27" t="s">
        <v>728</v>
      </c>
      <c r="C311" s="89">
        <v>83.5</v>
      </c>
      <c r="D311" s="90" t="s">
        <v>203</v>
      </c>
      <c r="F311" s="17">
        <v>4800</v>
      </c>
      <c r="G311" s="15" t="s">
        <v>467</v>
      </c>
      <c r="H311" s="17" t="str">
        <f>H309</f>
        <v>Bricks of size 22x11x7 cm</v>
      </c>
      <c r="I311" s="17">
        <f>C80</f>
        <v>5697.65</v>
      </c>
      <c r="J311" s="3" t="s">
        <v>468</v>
      </c>
      <c r="K311" s="17">
        <f>(F311*I311)/1000</f>
        <v>27348.720000000001</v>
      </c>
      <c r="N311" s="3" t="s">
        <v>129</v>
      </c>
      <c r="O311" s="3" t="s">
        <v>130</v>
      </c>
      <c r="P311" s="3" t="s">
        <v>115</v>
      </c>
      <c r="Q311" s="3" t="s">
        <v>129</v>
      </c>
      <c r="R311" s="17">
        <v>0</v>
      </c>
      <c r="S311" s="9">
        <v>4600</v>
      </c>
      <c r="T311" s="5" t="s">
        <v>467</v>
      </c>
      <c r="U311" s="5" t="s">
        <v>725</v>
      </c>
      <c r="V311" s="91">
        <f>AC41</f>
        <v>6714.95</v>
      </c>
      <c r="W311" s="9" t="s">
        <v>729</v>
      </c>
      <c r="X311" s="5">
        <f>(V311*S311)/1000</f>
        <v>30888.77</v>
      </c>
      <c r="AB311" s="17">
        <v>4240</v>
      </c>
      <c r="AC311" s="15" t="s">
        <v>467</v>
      </c>
      <c r="AD311" s="17" t="str">
        <f>AD309</f>
        <v>Bricks of size 23x11.4x7.5 cm</v>
      </c>
      <c r="AE311" s="17">
        <f>AC42</f>
        <v>6901.95</v>
      </c>
      <c r="AF311" s="3" t="s">
        <v>468</v>
      </c>
      <c r="AG311" s="17">
        <f>(AB311*AE311)/1000</f>
        <v>29264.268</v>
      </c>
    </row>
    <row r="312" spans="1:33" ht="24" customHeight="1">
      <c r="A312" s="26">
        <f t="shared" si="25"/>
        <v>151</v>
      </c>
      <c r="B312" s="27" t="s">
        <v>730</v>
      </c>
      <c r="C312" s="89">
        <v>102.12</v>
      </c>
      <c r="D312" s="90" t="s">
        <v>203</v>
      </c>
      <c r="F312" s="17">
        <v>2.5</v>
      </c>
      <c r="G312" s="15" t="s">
        <v>126</v>
      </c>
      <c r="H312" s="3" t="s">
        <v>135</v>
      </c>
      <c r="I312" s="17">
        <f>K49</f>
        <v>3080.2</v>
      </c>
      <c r="J312" s="3" t="s">
        <v>126</v>
      </c>
      <c r="K312" s="17">
        <f>(F312*I312)</f>
        <v>7700.5</v>
      </c>
      <c r="R312" s="12" t="s">
        <v>117</v>
      </c>
      <c r="S312" s="9">
        <v>2.5</v>
      </c>
      <c r="T312" s="5" t="s">
        <v>126</v>
      </c>
      <c r="U312" s="5" t="s">
        <v>135</v>
      </c>
      <c r="V312" s="91">
        <f>K49</f>
        <v>3080.2</v>
      </c>
      <c r="W312" s="5" t="s">
        <v>126</v>
      </c>
      <c r="X312" s="5">
        <f>V312*S312</f>
        <v>7700.5</v>
      </c>
      <c r="AB312" s="17">
        <v>2</v>
      </c>
      <c r="AC312" s="15" t="s">
        <v>126</v>
      </c>
      <c r="AD312" s="3" t="s">
        <v>135</v>
      </c>
      <c r="AE312" s="17">
        <f>K49</f>
        <v>3080.2</v>
      </c>
      <c r="AF312" s="3" t="s">
        <v>126</v>
      </c>
      <c r="AG312" s="17">
        <f>(AB312*AE312)</f>
        <v>6160.4</v>
      </c>
    </row>
    <row r="313" spans="1:33" ht="24" customHeight="1">
      <c r="A313" s="26">
        <f t="shared" si="25"/>
        <v>152</v>
      </c>
      <c r="B313" s="27" t="s">
        <v>731</v>
      </c>
      <c r="C313" s="89">
        <v>182.52</v>
      </c>
      <c r="D313" s="90" t="s">
        <v>203</v>
      </c>
      <c r="F313" s="17">
        <v>3.5</v>
      </c>
      <c r="G313" s="15" t="s">
        <v>209</v>
      </c>
      <c r="H313" s="3" t="s">
        <v>144</v>
      </c>
      <c r="I313" s="17">
        <f>C10</f>
        <v>769</v>
      </c>
      <c r="J313" s="3" t="s">
        <v>209</v>
      </c>
      <c r="K313" s="17">
        <f>(F313*I313)</f>
        <v>2691.5</v>
      </c>
      <c r="O313" s="3" t="s">
        <v>153</v>
      </c>
      <c r="R313" s="17">
        <f>SUM(R307:R311)</f>
        <v>2332.1120000000001</v>
      </c>
      <c r="S313" s="9">
        <v>3.5</v>
      </c>
      <c r="T313" s="5" t="s">
        <v>209</v>
      </c>
      <c r="U313" s="5" t="s">
        <v>144</v>
      </c>
      <c r="V313" s="91">
        <f>I313</f>
        <v>769</v>
      </c>
      <c r="W313" s="5" t="s">
        <v>209</v>
      </c>
      <c r="X313" s="5">
        <f>V313*S313</f>
        <v>2691.5</v>
      </c>
      <c r="AB313" s="17">
        <v>3.5</v>
      </c>
      <c r="AC313" s="15" t="s">
        <v>209</v>
      </c>
      <c r="AD313" s="3" t="s">
        <v>144</v>
      </c>
      <c r="AE313" s="17">
        <f>V313</f>
        <v>769</v>
      </c>
      <c r="AF313" s="3" t="s">
        <v>209</v>
      </c>
      <c r="AG313" s="17">
        <f>(AB313*AE313)</f>
        <v>2691.5</v>
      </c>
    </row>
    <row r="314" spans="1:33" ht="24" customHeight="1">
      <c r="A314" s="26">
        <f t="shared" si="25"/>
        <v>153</v>
      </c>
      <c r="B314" s="27" t="s">
        <v>732</v>
      </c>
      <c r="C314" s="92"/>
      <c r="D314" s="92"/>
      <c r="F314" s="17">
        <v>10.6</v>
      </c>
      <c r="G314" s="15" t="s">
        <v>209</v>
      </c>
      <c r="H314" s="3" t="s">
        <v>145</v>
      </c>
      <c r="I314" s="17">
        <f>C11</f>
        <v>718</v>
      </c>
      <c r="J314" s="3" t="s">
        <v>209</v>
      </c>
      <c r="K314" s="17">
        <f>(F314*I314)</f>
        <v>7610.8</v>
      </c>
      <c r="R314" s="12" t="s">
        <v>117</v>
      </c>
      <c r="S314" s="9">
        <v>10.6</v>
      </c>
      <c r="T314" s="5" t="s">
        <v>209</v>
      </c>
      <c r="U314" s="5" t="s">
        <v>145</v>
      </c>
      <c r="V314" s="91">
        <f>I314</f>
        <v>718</v>
      </c>
      <c r="W314" s="5" t="s">
        <v>209</v>
      </c>
      <c r="X314" s="5">
        <f>V314*S314</f>
        <v>7610.8</v>
      </c>
      <c r="AB314" s="17">
        <v>10.6</v>
      </c>
      <c r="AC314" s="15" t="s">
        <v>209</v>
      </c>
      <c r="AD314" s="3" t="s">
        <v>145</v>
      </c>
      <c r="AE314" s="17">
        <f>V314</f>
        <v>718</v>
      </c>
      <c r="AF314" s="3" t="s">
        <v>209</v>
      </c>
      <c r="AG314" s="17">
        <f>(AB314*AE314)</f>
        <v>7610.8</v>
      </c>
    </row>
    <row r="315" spans="1:33" ht="24" customHeight="1">
      <c r="A315" s="26">
        <f t="shared" si="25"/>
        <v>154</v>
      </c>
      <c r="B315" s="27" t="s">
        <v>727</v>
      </c>
      <c r="C315" s="89">
        <v>26.62</v>
      </c>
      <c r="D315" s="90" t="s">
        <v>1</v>
      </c>
      <c r="F315" s="17">
        <v>7.1</v>
      </c>
      <c r="G315" s="15" t="s">
        <v>209</v>
      </c>
      <c r="H315" s="3" t="s">
        <v>146</v>
      </c>
      <c r="I315" s="17">
        <f>C12</f>
        <v>502</v>
      </c>
      <c r="J315" s="3" t="s">
        <v>209</v>
      </c>
      <c r="K315" s="17">
        <f>(F315*I315)</f>
        <v>3564.2</v>
      </c>
      <c r="O315" s="3" t="s">
        <v>154</v>
      </c>
      <c r="R315" s="17">
        <f>(R313/10)</f>
        <v>233.21120000000002</v>
      </c>
      <c r="S315" s="9">
        <v>7.1</v>
      </c>
      <c r="T315" s="5" t="s">
        <v>209</v>
      </c>
      <c r="U315" s="5" t="s">
        <v>146</v>
      </c>
      <c r="V315" s="91">
        <f>I315</f>
        <v>502</v>
      </c>
      <c r="W315" s="5" t="s">
        <v>209</v>
      </c>
      <c r="X315" s="5">
        <f>V315*S315</f>
        <v>3564.2</v>
      </c>
      <c r="AB315" s="17">
        <v>7.1</v>
      </c>
      <c r="AC315" s="15" t="s">
        <v>209</v>
      </c>
      <c r="AD315" s="3" t="s">
        <v>146</v>
      </c>
      <c r="AE315" s="17">
        <f>V315</f>
        <v>502</v>
      </c>
      <c r="AF315" s="3" t="s">
        <v>209</v>
      </c>
      <c r="AG315" s="17">
        <f>(AB315*AE315)</f>
        <v>3564.2</v>
      </c>
    </row>
    <row r="316" spans="1:33" ht="24" customHeight="1">
      <c r="A316" s="26">
        <f t="shared" si="25"/>
        <v>155</v>
      </c>
      <c r="B316" s="27" t="s">
        <v>728</v>
      </c>
      <c r="C316" s="89">
        <v>34.869999999999997</v>
      </c>
      <c r="D316" s="90" t="s">
        <v>1</v>
      </c>
      <c r="F316" s="17">
        <v>21.2</v>
      </c>
      <c r="G316" s="15" t="s">
        <v>209</v>
      </c>
      <c r="H316" s="3" t="s">
        <v>147</v>
      </c>
      <c r="I316" s="17">
        <f>C13</f>
        <v>412</v>
      </c>
      <c r="J316" s="3" t="s">
        <v>209</v>
      </c>
      <c r="K316" s="17">
        <f>(F316*I316)</f>
        <v>8734.4</v>
      </c>
      <c r="R316" s="12" t="s">
        <v>155</v>
      </c>
      <c r="S316" s="9">
        <v>21.2</v>
      </c>
      <c r="T316" s="5" t="s">
        <v>209</v>
      </c>
      <c r="U316" s="5" t="s">
        <v>147</v>
      </c>
      <c r="V316" s="91">
        <f>I316</f>
        <v>412</v>
      </c>
      <c r="W316" s="5" t="s">
        <v>209</v>
      </c>
      <c r="X316" s="5">
        <f>V316*S316</f>
        <v>8734.4</v>
      </c>
      <c r="AB316" s="17">
        <v>21.2</v>
      </c>
      <c r="AC316" s="15" t="s">
        <v>209</v>
      </c>
      <c r="AD316" s="3" t="s">
        <v>147</v>
      </c>
      <c r="AE316" s="17">
        <f>V316</f>
        <v>412</v>
      </c>
      <c r="AF316" s="3" t="s">
        <v>209</v>
      </c>
      <c r="AG316" s="17">
        <f>(AB316*AE316)</f>
        <v>8734.4</v>
      </c>
    </row>
    <row r="317" spans="1:33" ht="24" customHeight="1">
      <c r="A317" s="26">
        <f t="shared" si="25"/>
        <v>156</v>
      </c>
      <c r="B317" s="27" t="s">
        <v>730</v>
      </c>
      <c r="C317" s="89">
        <v>45</v>
      </c>
      <c r="D317" s="90" t="s">
        <v>1</v>
      </c>
      <c r="G317" s="15" t="s">
        <v>129</v>
      </c>
      <c r="H317" s="3" t="s">
        <v>130</v>
      </c>
      <c r="J317" s="3" t="s">
        <v>129</v>
      </c>
      <c r="K317" s="17">
        <v>0</v>
      </c>
      <c r="N317" s="3" t="s">
        <v>122</v>
      </c>
      <c r="O317" s="3" t="s">
        <v>733</v>
      </c>
      <c r="T317" s="5" t="s">
        <v>129</v>
      </c>
      <c r="U317" s="5" t="s">
        <v>130</v>
      </c>
      <c r="W317" s="5" t="s">
        <v>129</v>
      </c>
      <c r="X317" s="5">
        <v>0</v>
      </c>
      <c r="AC317" s="15" t="s">
        <v>129</v>
      </c>
      <c r="AD317" s="3" t="s">
        <v>130</v>
      </c>
      <c r="AF317" s="3" t="s">
        <v>129</v>
      </c>
      <c r="AG317" s="17">
        <v>0</v>
      </c>
    </row>
    <row r="318" spans="1:33" ht="24" customHeight="1">
      <c r="A318" s="26">
        <f t="shared" si="25"/>
        <v>157</v>
      </c>
      <c r="B318" s="27" t="s">
        <v>731</v>
      </c>
      <c r="C318" s="89">
        <v>99.75</v>
      </c>
      <c r="D318" s="90" t="s">
        <v>1</v>
      </c>
      <c r="K318" s="12" t="s">
        <v>117</v>
      </c>
      <c r="O318" s="12" t="s">
        <v>117</v>
      </c>
      <c r="X318" s="5" t="s">
        <v>117</v>
      </c>
      <c r="AC318" s="6"/>
      <c r="AF318" s="8"/>
      <c r="AG318" s="12" t="s">
        <v>117</v>
      </c>
    </row>
    <row r="319" spans="1:33" ht="24" customHeight="1">
      <c r="A319" s="26">
        <f t="shared" si="25"/>
        <v>158</v>
      </c>
      <c r="B319" s="27" t="s">
        <v>734</v>
      </c>
      <c r="C319" s="92"/>
      <c r="D319" s="92"/>
      <c r="H319" s="3" t="s">
        <v>455</v>
      </c>
      <c r="K319" s="17">
        <f>SUM(K311:K317)</f>
        <v>57650.12</v>
      </c>
      <c r="M319" s="17">
        <v>0.1</v>
      </c>
      <c r="N319" s="3" t="s">
        <v>126</v>
      </c>
      <c r="O319" s="3" t="s">
        <v>132</v>
      </c>
      <c r="P319" s="17">
        <f>(K23)</f>
        <v>5585.8</v>
      </c>
      <c r="Q319" s="3" t="s">
        <v>126</v>
      </c>
      <c r="R319" s="17">
        <f>(M319*P319)</f>
        <v>558.58000000000004</v>
      </c>
      <c r="U319" s="5" t="s">
        <v>455</v>
      </c>
      <c r="X319" s="5">
        <f>SUM(X311:X318)</f>
        <v>61190.170000000006</v>
      </c>
      <c r="AC319" s="6"/>
      <c r="AD319" s="3" t="s">
        <v>455</v>
      </c>
      <c r="AF319" s="8"/>
      <c r="AG319" s="17">
        <f>SUM(AG311:AG317)</f>
        <v>58025.567999999999</v>
      </c>
    </row>
    <row r="320" spans="1:33" ht="24" customHeight="1">
      <c r="A320" s="26">
        <f t="shared" si="25"/>
        <v>159</v>
      </c>
      <c r="B320" s="27" t="s">
        <v>727</v>
      </c>
      <c r="C320" s="89">
        <v>43.47</v>
      </c>
      <c r="D320" s="90" t="s">
        <v>1</v>
      </c>
      <c r="K320" s="12" t="s">
        <v>117</v>
      </c>
      <c r="M320" s="17">
        <v>1.1000000000000001</v>
      </c>
      <c r="N320" s="3" t="s">
        <v>209</v>
      </c>
      <c r="O320" s="3" t="s">
        <v>144</v>
      </c>
      <c r="P320" s="17">
        <f>(C10)</f>
        <v>769</v>
      </c>
      <c r="Q320" s="3" t="s">
        <v>209</v>
      </c>
      <c r="R320" s="17">
        <f>(M320*P320)</f>
        <v>845.90000000000009</v>
      </c>
      <c r="X320" s="5" t="s">
        <v>117</v>
      </c>
      <c r="AC320" s="6"/>
      <c r="AF320" s="8"/>
      <c r="AG320" s="12" t="s">
        <v>117</v>
      </c>
    </row>
    <row r="321" spans="1:34" ht="24" customHeight="1">
      <c r="A321" s="26">
        <f t="shared" si="25"/>
        <v>160</v>
      </c>
      <c r="B321" s="27" t="s">
        <v>728</v>
      </c>
      <c r="C321" s="89">
        <v>50.34</v>
      </c>
      <c r="D321" s="90" t="s">
        <v>1</v>
      </c>
      <c r="H321" s="19" t="s">
        <v>383</v>
      </c>
      <c r="K321" s="16">
        <f>(K319/10)</f>
        <v>5765.0120000000006</v>
      </c>
      <c r="M321" s="17">
        <v>1.1000000000000001</v>
      </c>
      <c r="N321" s="3" t="s">
        <v>209</v>
      </c>
      <c r="O321" s="3" t="s">
        <v>146</v>
      </c>
      <c r="P321" s="17">
        <f>(C12)</f>
        <v>502</v>
      </c>
      <c r="Q321" s="3" t="s">
        <v>209</v>
      </c>
      <c r="R321" s="17">
        <f>(M321*P321)</f>
        <v>552.20000000000005</v>
      </c>
      <c r="U321" s="5" t="s">
        <v>383</v>
      </c>
      <c r="X321" s="50">
        <f>X319/10</f>
        <v>6119.0170000000007</v>
      </c>
      <c r="AC321" s="6"/>
      <c r="AD321" s="19" t="s">
        <v>383</v>
      </c>
      <c r="AF321" s="8"/>
      <c r="AG321" s="16">
        <f>(AG319/10)</f>
        <v>5802.5568000000003</v>
      </c>
    </row>
    <row r="322" spans="1:34" ht="24" customHeight="1">
      <c r="A322" s="26">
        <f t="shared" si="25"/>
        <v>161</v>
      </c>
      <c r="B322" s="27" t="s">
        <v>730</v>
      </c>
      <c r="C322" s="89">
        <v>65.209999999999994</v>
      </c>
      <c r="D322" s="90" t="s">
        <v>1</v>
      </c>
      <c r="K322" s="12" t="s">
        <v>155</v>
      </c>
      <c r="M322" s="17">
        <v>1.1000000000000001</v>
      </c>
      <c r="N322" s="3" t="s">
        <v>209</v>
      </c>
      <c r="O322" s="3" t="s">
        <v>147</v>
      </c>
      <c r="P322" s="17">
        <f>(C13)</f>
        <v>412</v>
      </c>
      <c r="Q322" s="3" t="s">
        <v>209</v>
      </c>
      <c r="R322" s="17">
        <f>(M322*P322)</f>
        <v>453.20000000000005</v>
      </c>
      <c r="AC322" s="6"/>
      <c r="AF322" s="8"/>
      <c r="AG322" s="12" t="s">
        <v>155</v>
      </c>
    </row>
    <row r="323" spans="1:34" ht="24" customHeight="1">
      <c r="A323" s="26">
        <f t="shared" si="25"/>
        <v>162</v>
      </c>
      <c r="B323" s="27" t="s">
        <v>731</v>
      </c>
      <c r="C323" s="89">
        <v>145.29</v>
      </c>
      <c r="D323" s="90" t="s">
        <v>1</v>
      </c>
      <c r="H323" s="3" t="s">
        <v>482</v>
      </c>
      <c r="K323" s="17">
        <f>(K321+C19)</f>
        <v>5824.2120000000004</v>
      </c>
      <c r="L323" s="5">
        <f>K323-K321</f>
        <v>59.199999999999818</v>
      </c>
      <c r="N323" s="3" t="s">
        <v>129</v>
      </c>
      <c r="O323" s="3" t="s">
        <v>130</v>
      </c>
      <c r="P323" s="3" t="s">
        <v>115</v>
      </c>
      <c r="Q323" s="3" t="s">
        <v>129</v>
      </c>
      <c r="R323" s="17">
        <v>0</v>
      </c>
      <c r="U323" s="5" t="s">
        <v>482</v>
      </c>
      <c r="X323" s="5">
        <f>X321+C19</f>
        <v>6178.2170000000006</v>
      </c>
      <c r="Y323" s="5">
        <f>X323-X321</f>
        <v>59.199999999999818</v>
      </c>
      <c r="AC323" s="6"/>
      <c r="AD323" s="3" t="s">
        <v>482</v>
      </c>
      <c r="AF323" s="8"/>
      <c r="AG323" s="17">
        <f>AG321+C19</f>
        <v>5861.7568000000001</v>
      </c>
      <c r="AH323" s="5">
        <f>AG323-AG321</f>
        <v>59.199999999999818</v>
      </c>
    </row>
    <row r="324" spans="1:34" ht="24" customHeight="1">
      <c r="A324" s="26">
        <f t="shared" si="25"/>
        <v>163</v>
      </c>
      <c r="B324" s="27" t="s">
        <v>735</v>
      </c>
      <c r="C324" s="92"/>
      <c r="D324" s="92"/>
      <c r="H324" s="3" t="s">
        <v>486</v>
      </c>
      <c r="K324" s="17">
        <f>(K323+C20)</f>
        <v>5943.5120000000006</v>
      </c>
      <c r="L324" s="5">
        <f>K324-K323</f>
        <v>119.30000000000018</v>
      </c>
      <c r="R324" s="12" t="s">
        <v>117</v>
      </c>
      <c r="U324" s="5" t="s">
        <v>486</v>
      </c>
      <c r="X324" s="5">
        <f>X323+C20</f>
        <v>6297.5170000000007</v>
      </c>
      <c r="Y324" s="5">
        <f>X324-X323</f>
        <v>119.30000000000018</v>
      </c>
      <c r="AC324" s="6"/>
      <c r="AD324" s="3" t="s">
        <v>486</v>
      </c>
      <c r="AF324" s="8"/>
      <c r="AG324" s="17">
        <f>AG323+C20</f>
        <v>5981.0568000000003</v>
      </c>
      <c r="AH324" s="5">
        <f>AG324-AG323</f>
        <v>119.30000000000018</v>
      </c>
    </row>
    <row r="325" spans="1:34" ht="24" customHeight="1">
      <c r="A325" s="26">
        <f t="shared" si="25"/>
        <v>164</v>
      </c>
      <c r="B325" s="27" t="s">
        <v>727</v>
      </c>
      <c r="C325" s="89">
        <v>14.91</v>
      </c>
      <c r="D325" s="90" t="s">
        <v>203</v>
      </c>
      <c r="H325" s="3" t="s">
        <v>489</v>
      </c>
      <c r="K325" s="17">
        <f>(K324+C21)</f>
        <v>6062.8120000000008</v>
      </c>
      <c r="M325" s="5">
        <f>(K325+K324)/2</f>
        <v>6003.1620000000003</v>
      </c>
      <c r="O325" s="3" t="s">
        <v>153</v>
      </c>
      <c r="R325" s="17">
        <f>SUM(R319:R323)</f>
        <v>2409.88</v>
      </c>
      <c r="U325" s="5" t="s">
        <v>489</v>
      </c>
      <c r="X325" s="5">
        <f>X324+C20</f>
        <v>6416.8170000000009</v>
      </c>
      <c r="AC325" s="6"/>
      <c r="AD325" s="3" t="s">
        <v>489</v>
      </c>
      <c r="AF325" s="8"/>
      <c r="AG325" s="17">
        <f>AG324+C20</f>
        <v>6100.3568000000005</v>
      </c>
      <c r="AH325" s="5">
        <f>AG324-AG323</f>
        <v>119.30000000000018</v>
      </c>
    </row>
    <row r="326" spans="1:34" ht="24" customHeight="1">
      <c r="A326" s="26">
        <f t="shared" si="25"/>
        <v>165</v>
      </c>
      <c r="B326" s="27" t="s">
        <v>728</v>
      </c>
      <c r="C326" s="89">
        <v>19.41</v>
      </c>
      <c r="D326" s="90" t="s">
        <v>203</v>
      </c>
      <c r="H326" s="3" t="s">
        <v>491</v>
      </c>
      <c r="K326" s="17">
        <f>(K325+C21)</f>
        <v>6182.112000000001</v>
      </c>
      <c r="R326" s="12" t="s">
        <v>117</v>
      </c>
      <c r="U326" s="5" t="s">
        <v>491</v>
      </c>
      <c r="X326" s="5">
        <f>X325+C20</f>
        <v>6536.1170000000011</v>
      </c>
      <c r="AC326" s="6"/>
      <c r="AD326" s="3" t="s">
        <v>491</v>
      </c>
      <c r="AF326" s="8"/>
      <c r="AG326" s="17">
        <f>AG325+C20</f>
        <v>6219.6568000000007</v>
      </c>
    </row>
    <row r="327" spans="1:34" ht="24" customHeight="1">
      <c r="A327" s="26">
        <f t="shared" si="25"/>
        <v>166</v>
      </c>
      <c r="B327" s="27" t="s">
        <v>730</v>
      </c>
      <c r="C327" s="89">
        <v>22.22</v>
      </c>
      <c r="D327" s="90" t="s">
        <v>203</v>
      </c>
      <c r="H327" s="3" t="s">
        <v>496</v>
      </c>
      <c r="K327" s="17">
        <f>(K326+C21)</f>
        <v>6301.4120000000012</v>
      </c>
      <c r="O327" s="3" t="s">
        <v>154</v>
      </c>
      <c r="R327" s="17">
        <f>(R325/10)</f>
        <v>240.988</v>
      </c>
      <c r="U327" s="5" t="s">
        <v>496</v>
      </c>
      <c r="X327" s="5">
        <f>X326+C20</f>
        <v>6655.4170000000013</v>
      </c>
      <c r="AC327" s="6"/>
      <c r="AD327" s="3" t="s">
        <v>496</v>
      </c>
      <c r="AF327" s="8"/>
      <c r="AG327" s="17">
        <f>AG326+C20</f>
        <v>6338.9568000000008</v>
      </c>
    </row>
    <row r="328" spans="1:34" ht="24" customHeight="1">
      <c r="A328" s="26"/>
      <c r="B328" s="27"/>
      <c r="C328" s="89"/>
      <c r="D328" s="90"/>
      <c r="H328" s="3"/>
      <c r="K328" s="17"/>
      <c r="O328" s="3"/>
      <c r="R328" s="17"/>
      <c r="AE328" s="23"/>
      <c r="AG328" s="3"/>
    </row>
    <row r="329" spans="1:34" ht="24" customHeight="1">
      <c r="A329" s="26"/>
      <c r="B329" s="27"/>
      <c r="C329" s="89"/>
      <c r="D329" s="90"/>
      <c r="F329" s="4" t="s">
        <v>736</v>
      </c>
      <c r="H329" s="3" t="s">
        <v>737</v>
      </c>
      <c r="K329" s="93">
        <v>705</v>
      </c>
      <c r="L329" s="5" t="s">
        <v>738</v>
      </c>
      <c r="O329" s="3"/>
      <c r="R329" s="17"/>
      <c r="AE329" s="23"/>
      <c r="AG329" s="3"/>
    </row>
    <row r="330" spans="1:34" ht="24" customHeight="1">
      <c r="A330" s="26"/>
      <c r="B330" s="27"/>
      <c r="C330" s="89"/>
      <c r="D330" s="90"/>
      <c r="H330" s="3" t="s">
        <v>739</v>
      </c>
      <c r="K330" s="12" t="s">
        <v>155</v>
      </c>
      <c r="O330" s="3"/>
      <c r="R330" s="17"/>
      <c r="AE330" s="23"/>
      <c r="AG330" s="3"/>
    </row>
    <row r="331" spans="1:34" ht="24" customHeight="1">
      <c r="A331" s="26"/>
      <c r="B331" s="27"/>
      <c r="C331" s="89"/>
      <c r="D331" s="90"/>
      <c r="H331" s="3"/>
      <c r="K331" s="17"/>
      <c r="O331" s="3"/>
      <c r="R331" s="17"/>
      <c r="AE331" s="23"/>
      <c r="AG331" s="3"/>
    </row>
    <row r="332" spans="1:34" ht="24" customHeight="1">
      <c r="A332" s="26">
        <f>(A327+1)</f>
        <v>167</v>
      </c>
      <c r="B332" s="27" t="s">
        <v>731</v>
      </c>
      <c r="C332" s="89">
        <v>46.42</v>
      </c>
      <c r="D332" s="90" t="s">
        <v>203</v>
      </c>
      <c r="F332" s="38">
        <v>9</v>
      </c>
      <c r="G332" s="15" t="s">
        <v>122</v>
      </c>
      <c r="H332" s="3" t="s">
        <v>740</v>
      </c>
      <c r="R332" s="12" t="s">
        <v>155</v>
      </c>
      <c r="S332" s="9">
        <v>9</v>
      </c>
      <c r="T332" s="5" t="s">
        <v>122</v>
      </c>
      <c r="U332" s="5" t="s">
        <v>741</v>
      </c>
      <c r="AB332" s="38">
        <v>9</v>
      </c>
      <c r="AC332" s="15" t="s">
        <v>122</v>
      </c>
      <c r="AD332" s="3" t="s">
        <v>742</v>
      </c>
      <c r="AF332" s="8"/>
    </row>
    <row r="333" spans="1:34" ht="24" customHeight="1">
      <c r="A333" s="26">
        <f t="shared" si="25"/>
        <v>168</v>
      </c>
      <c r="B333" s="27" t="s">
        <v>743</v>
      </c>
      <c r="C333" s="92"/>
      <c r="D333" s="92"/>
      <c r="H333" s="3" t="str">
        <f>H309</f>
        <v>Bricks of size 22x11x7 cm</v>
      </c>
      <c r="U333" s="5" t="s">
        <v>725</v>
      </c>
      <c r="AC333" s="6"/>
      <c r="AD333" s="3" t="str">
        <f>AD309</f>
        <v>Bricks of size 23x11.4x7.5 cm</v>
      </c>
      <c r="AF333" s="8"/>
    </row>
    <row r="334" spans="1:34" ht="24" customHeight="1">
      <c r="A334" s="26">
        <f t="shared" si="25"/>
        <v>169</v>
      </c>
      <c r="B334" s="27" t="s">
        <v>727</v>
      </c>
      <c r="C334" s="89">
        <v>8.58</v>
      </c>
      <c r="D334" s="90" t="s">
        <v>1</v>
      </c>
      <c r="H334" s="12" t="s">
        <v>117</v>
      </c>
      <c r="N334" s="3" t="s">
        <v>122</v>
      </c>
      <c r="O334" s="3" t="s">
        <v>744</v>
      </c>
      <c r="U334" s="5" t="s">
        <v>117</v>
      </c>
      <c r="AC334" s="6"/>
      <c r="AD334" s="12" t="s">
        <v>117</v>
      </c>
      <c r="AF334" s="8"/>
    </row>
    <row r="335" spans="1:34" ht="24" customHeight="1">
      <c r="A335" s="26">
        <f t="shared" si="25"/>
        <v>170</v>
      </c>
      <c r="B335" s="27" t="s">
        <v>728</v>
      </c>
      <c r="C335" s="89">
        <v>12.26</v>
      </c>
      <c r="D335" s="90" t="s">
        <v>1</v>
      </c>
      <c r="F335" s="17">
        <f>F311</f>
        <v>4800</v>
      </c>
      <c r="G335" s="15" t="s">
        <v>467</v>
      </c>
      <c r="H335" s="17" t="str">
        <f>H309</f>
        <v>Bricks of size 22x11x7 cm</v>
      </c>
      <c r="I335" s="17">
        <f>C80</f>
        <v>5697.65</v>
      </c>
      <c r="J335" s="3" t="s">
        <v>468</v>
      </c>
      <c r="K335" s="17">
        <f>(F335*I335)/1000</f>
        <v>27348.720000000001</v>
      </c>
      <c r="O335" s="12" t="s">
        <v>117</v>
      </c>
      <c r="S335" s="9">
        <v>4600</v>
      </c>
      <c r="T335" s="5" t="s">
        <v>467</v>
      </c>
      <c r="U335" s="5" t="s">
        <v>725</v>
      </c>
      <c r="V335" s="5">
        <f>AC41</f>
        <v>6714.95</v>
      </c>
      <c r="W335" s="5" t="s">
        <v>468</v>
      </c>
      <c r="X335" s="5">
        <f>V335*S335/1000</f>
        <v>30888.77</v>
      </c>
      <c r="AB335" s="17">
        <f>AB311</f>
        <v>4240</v>
      </c>
      <c r="AC335" s="15" t="s">
        <v>467</v>
      </c>
      <c r="AD335" s="17" t="str">
        <f>AD309</f>
        <v>Bricks of size 23x11.4x7.5 cm</v>
      </c>
      <c r="AE335" s="17">
        <f>AC42</f>
        <v>6901.95</v>
      </c>
      <c r="AF335" s="3" t="s">
        <v>468</v>
      </c>
      <c r="AG335" s="17">
        <f>AE335*AB335/1000</f>
        <v>29264.268</v>
      </c>
    </row>
    <row r="336" spans="1:34" ht="24" customHeight="1">
      <c r="A336" s="26">
        <f t="shared" si="25"/>
        <v>171</v>
      </c>
      <c r="B336" s="27" t="s">
        <v>730</v>
      </c>
      <c r="C336" s="89">
        <v>13.89</v>
      </c>
      <c r="D336" s="90" t="s">
        <v>1</v>
      </c>
      <c r="F336" s="17">
        <f>F312</f>
        <v>2.5</v>
      </c>
      <c r="G336" s="15" t="s">
        <v>126</v>
      </c>
      <c r="H336" s="3" t="s">
        <v>136</v>
      </c>
      <c r="I336" s="17">
        <f>K58</f>
        <v>2801.8</v>
      </c>
      <c r="J336" s="3" t="s">
        <v>126</v>
      </c>
      <c r="K336" s="17">
        <f>(F336*I336)</f>
        <v>7004.5</v>
      </c>
      <c r="M336" s="17">
        <v>0.22</v>
      </c>
      <c r="N336" s="3" t="s">
        <v>126</v>
      </c>
      <c r="O336" s="3" t="s">
        <v>135</v>
      </c>
      <c r="P336" s="17">
        <f>(K49)</f>
        <v>3080.2</v>
      </c>
      <c r="Q336" s="3" t="s">
        <v>126</v>
      </c>
      <c r="R336" s="17">
        <f>(M336*P336)</f>
        <v>677.64400000000001</v>
      </c>
      <c r="S336" s="9">
        <v>2.5</v>
      </c>
      <c r="T336" s="5" t="s">
        <v>126</v>
      </c>
      <c r="U336" s="5" t="s">
        <v>136</v>
      </c>
      <c r="V336" s="5">
        <f>I336</f>
        <v>2801.8</v>
      </c>
      <c r="W336" s="5" t="s">
        <v>126</v>
      </c>
      <c r="X336" s="5">
        <f t="shared" ref="X336:X341" si="27">V336*S336</f>
        <v>7004.5</v>
      </c>
      <c r="AB336" s="17">
        <f>AB312</f>
        <v>2</v>
      </c>
      <c r="AC336" s="15" t="s">
        <v>126</v>
      </c>
      <c r="AD336" s="3" t="s">
        <v>136</v>
      </c>
      <c r="AE336" s="17">
        <f>V336</f>
        <v>2801.8</v>
      </c>
      <c r="AF336" s="3" t="s">
        <v>126</v>
      </c>
      <c r="AG336" s="17">
        <f>AE336*AB336</f>
        <v>5603.6</v>
      </c>
    </row>
    <row r="337" spans="1:33" ht="24" customHeight="1">
      <c r="A337" s="26">
        <f t="shared" si="25"/>
        <v>172</v>
      </c>
      <c r="B337" s="27" t="s">
        <v>731</v>
      </c>
      <c r="C337" s="89">
        <v>36.25</v>
      </c>
      <c r="D337" s="90" t="s">
        <v>1</v>
      </c>
      <c r="F337" s="17">
        <v>3.5</v>
      </c>
      <c r="G337" s="15" t="s">
        <v>209</v>
      </c>
      <c r="H337" s="3" t="s">
        <v>144</v>
      </c>
      <c r="I337" s="17">
        <f>C10</f>
        <v>769</v>
      </c>
      <c r="J337" s="3" t="s">
        <v>209</v>
      </c>
      <c r="K337" s="17">
        <f>(F337*I337)</f>
        <v>2691.5</v>
      </c>
      <c r="M337" s="17">
        <v>2.2000000000000002</v>
      </c>
      <c r="N337" s="3" t="s">
        <v>209</v>
      </c>
      <c r="O337" s="3" t="s">
        <v>144</v>
      </c>
      <c r="P337" s="17">
        <f>(C10)</f>
        <v>769</v>
      </c>
      <c r="Q337" s="3" t="s">
        <v>209</v>
      </c>
      <c r="R337" s="17">
        <f>(M337*P337)</f>
        <v>1691.8000000000002</v>
      </c>
      <c r="S337" s="9">
        <v>3.5</v>
      </c>
      <c r="T337" s="5" t="s">
        <v>209</v>
      </c>
      <c r="U337" s="5" t="s">
        <v>144</v>
      </c>
      <c r="V337" s="5">
        <f>I337</f>
        <v>769</v>
      </c>
      <c r="W337" s="5" t="s">
        <v>209</v>
      </c>
      <c r="X337" s="5">
        <f t="shared" si="27"/>
        <v>2691.5</v>
      </c>
      <c r="AB337" s="17">
        <v>3.5</v>
      </c>
      <c r="AC337" s="15" t="s">
        <v>209</v>
      </c>
      <c r="AD337" s="3" t="s">
        <v>144</v>
      </c>
      <c r="AE337" s="17">
        <f>V337</f>
        <v>769</v>
      </c>
      <c r="AF337" s="3" t="s">
        <v>209</v>
      </c>
      <c r="AG337" s="17">
        <f>AE337*AB337</f>
        <v>2691.5</v>
      </c>
    </row>
    <row r="338" spans="1:33" ht="24" customHeight="1">
      <c r="A338" s="26">
        <f t="shared" si="25"/>
        <v>173</v>
      </c>
      <c r="B338" s="27" t="s">
        <v>745</v>
      </c>
      <c r="C338" s="92"/>
      <c r="D338" s="92"/>
      <c r="F338" s="17">
        <v>10.6</v>
      </c>
      <c r="G338" s="15" t="s">
        <v>209</v>
      </c>
      <c r="H338" s="3" t="s">
        <v>145</v>
      </c>
      <c r="I338" s="17">
        <f>C11</f>
        <v>718</v>
      </c>
      <c r="J338" s="3" t="s">
        <v>209</v>
      </c>
      <c r="K338" s="17">
        <f>(F338*I338)</f>
        <v>7610.8</v>
      </c>
      <c r="M338" s="17">
        <v>0.5</v>
      </c>
      <c r="N338" s="3" t="s">
        <v>209</v>
      </c>
      <c r="O338" s="3" t="s">
        <v>146</v>
      </c>
      <c r="P338" s="17">
        <f>(C12)</f>
        <v>502</v>
      </c>
      <c r="Q338" s="3" t="s">
        <v>209</v>
      </c>
      <c r="R338" s="17">
        <f>(M338*P338)</f>
        <v>251</v>
      </c>
      <c r="S338" s="9">
        <v>10.6</v>
      </c>
      <c r="T338" s="5" t="s">
        <v>209</v>
      </c>
      <c r="U338" s="5" t="s">
        <v>145</v>
      </c>
      <c r="V338" s="5">
        <f>I338</f>
        <v>718</v>
      </c>
      <c r="W338" s="5" t="s">
        <v>209</v>
      </c>
      <c r="X338" s="5">
        <f t="shared" si="27"/>
        <v>7610.8</v>
      </c>
      <c r="AB338" s="17">
        <v>10.6</v>
      </c>
      <c r="AC338" s="15" t="s">
        <v>209</v>
      </c>
      <c r="AD338" s="3" t="s">
        <v>145</v>
      </c>
      <c r="AE338" s="17">
        <f>V338</f>
        <v>718</v>
      </c>
      <c r="AF338" s="3" t="s">
        <v>209</v>
      </c>
      <c r="AG338" s="17">
        <f>AE338*AB338</f>
        <v>7610.8</v>
      </c>
    </row>
    <row r="339" spans="1:33" ht="24" customHeight="1">
      <c r="A339" s="26">
        <f t="shared" si="25"/>
        <v>174</v>
      </c>
      <c r="B339" s="27" t="s">
        <v>727</v>
      </c>
      <c r="C339" s="89">
        <v>15.7</v>
      </c>
      <c r="D339" s="90" t="s">
        <v>1</v>
      </c>
      <c r="F339" s="17">
        <v>7.1</v>
      </c>
      <c r="G339" s="15" t="s">
        <v>209</v>
      </c>
      <c r="H339" s="3" t="s">
        <v>146</v>
      </c>
      <c r="I339" s="17">
        <f>C12</f>
        <v>502</v>
      </c>
      <c r="J339" s="3" t="s">
        <v>209</v>
      </c>
      <c r="K339" s="17">
        <f>(F339*I339)</f>
        <v>3564.2</v>
      </c>
      <c r="M339" s="17">
        <v>3.2</v>
      </c>
      <c r="N339" s="3" t="s">
        <v>209</v>
      </c>
      <c r="O339" s="3" t="s">
        <v>147</v>
      </c>
      <c r="P339" s="17">
        <f>(C13)</f>
        <v>412</v>
      </c>
      <c r="Q339" s="3" t="s">
        <v>209</v>
      </c>
      <c r="R339" s="17">
        <f>(M339*P339)</f>
        <v>1318.4</v>
      </c>
      <c r="S339" s="9">
        <v>7.1</v>
      </c>
      <c r="T339" s="5" t="s">
        <v>209</v>
      </c>
      <c r="U339" s="5" t="s">
        <v>146</v>
      </c>
      <c r="V339" s="5">
        <f>I339</f>
        <v>502</v>
      </c>
      <c r="W339" s="5" t="s">
        <v>209</v>
      </c>
      <c r="X339" s="5">
        <f t="shared" si="27"/>
        <v>3564.2</v>
      </c>
      <c r="AB339" s="17">
        <v>7.1</v>
      </c>
      <c r="AC339" s="15" t="s">
        <v>209</v>
      </c>
      <c r="AD339" s="3" t="s">
        <v>146</v>
      </c>
      <c r="AE339" s="17">
        <f>V339</f>
        <v>502</v>
      </c>
      <c r="AF339" s="3" t="s">
        <v>209</v>
      </c>
      <c r="AG339" s="17">
        <f>AE339*AB339</f>
        <v>3564.2</v>
      </c>
    </row>
    <row r="340" spans="1:33" ht="24" customHeight="1">
      <c r="A340" s="26">
        <f t="shared" si="25"/>
        <v>175</v>
      </c>
      <c r="B340" s="27" t="s">
        <v>728</v>
      </c>
      <c r="C340" s="89">
        <v>22.31</v>
      </c>
      <c r="D340" s="90" t="s">
        <v>1</v>
      </c>
      <c r="F340" s="17">
        <v>21.2</v>
      </c>
      <c r="G340" s="15" t="s">
        <v>209</v>
      </c>
      <c r="H340" s="3" t="s">
        <v>147</v>
      </c>
      <c r="I340" s="17">
        <f>C13</f>
        <v>412</v>
      </c>
      <c r="J340" s="3" t="s">
        <v>209</v>
      </c>
      <c r="K340" s="17">
        <f>(F340*I340)</f>
        <v>8734.4</v>
      </c>
      <c r="N340" s="3" t="s">
        <v>129</v>
      </c>
      <c r="O340" s="3" t="s">
        <v>130</v>
      </c>
      <c r="P340" s="3" t="s">
        <v>115</v>
      </c>
      <c r="Q340" s="3" t="s">
        <v>129</v>
      </c>
      <c r="R340" s="17">
        <v>0</v>
      </c>
      <c r="S340" s="9">
        <v>21.2</v>
      </c>
      <c r="T340" s="5" t="s">
        <v>209</v>
      </c>
      <c r="U340" s="5" t="s">
        <v>147</v>
      </c>
      <c r="V340" s="5">
        <f>I340</f>
        <v>412</v>
      </c>
      <c r="W340" s="5" t="s">
        <v>209</v>
      </c>
      <c r="X340" s="5">
        <f t="shared" si="27"/>
        <v>8734.4</v>
      </c>
      <c r="AB340" s="17">
        <v>21.2</v>
      </c>
      <c r="AC340" s="15" t="s">
        <v>209</v>
      </c>
      <c r="AD340" s="3" t="s">
        <v>147</v>
      </c>
      <c r="AE340" s="17">
        <f>V340</f>
        <v>412</v>
      </c>
      <c r="AF340" s="3" t="s">
        <v>209</v>
      </c>
      <c r="AG340" s="17">
        <f>AE340*AB340</f>
        <v>8734.4</v>
      </c>
    </row>
    <row r="341" spans="1:33" ht="24" customHeight="1">
      <c r="A341" s="26">
        <f t="shared" si="25"/>
        <v>176</v>
      </c>
      <c r="B341" s="27" t="s">
        <v>730</v>
      </c>
      <c r="C341" s="89">
        <v>25.24</v>
      </c>
      <c r="D341" s="90" t="s">
        <v>1</v>
      </c>
      <c r="G341" s="15" t="s">
        <v>129</v>
      </c>
      <c r="H341" s="3" t="s">
        <v>130</v>
      </c>
      <c r="J341" s="3" t="s">
        <v>129</v>
      </c>
      <c r="K341" s="17">
        <v>0</v>
      </c>
      <c r="R341" s="12" t="s">
        <v>117</v>
      </c>
      <c r="T341" s="5" t="s">
        <v>129</v>
      </c>
      <c r="U341" s="5" t="s">
        <v>130</v>
      </c>
      <c r="W341" s="5" t="s">
        <v>129</v>
      </c>
      <c r="X341" s="5">
        <f t="shared" si="27"/>
        <v>0</v>
      </c>
      <c r="AC341" s="15" t="s">
        <v>129</v>
      </c>
      <c r="AD341" s="3" t="s">
        <v>130</v>
      </c>
      <c r="AF341" s="3" t="s">
        <v>129</v>
      </c>
      <c r="AG341" s="17">
        <v>0</v>
      </c>
    </row>
    <row r="342" spans="1:33" ht="24" customHeight="1">
      <c r="A342" s="26">
        <f t="shared" si="25"/>
        <v>177</v>
      </c>
      <c r="B342" s="27" t="s">
        <v>731</v>
      </c>
      <c r="C342" s="89">
        <v>52.34</v>
      </c>
      <c r="D342" s="90" t="s">
        <v>1</v>
      </c>
      <c r="K342" s="12" t="s">
        <v>117</v>
      </c>
      <c r="O342" s="3" t="s">
        <v>153</v>
      </c>
      <c r="R342" s="17">
        <f>SUM(R336:R340)</f>
        <v>3938.8440000000005</v>
      </c>
      <c r="X342" s="12" t="s">
        <v>117</v>
      </c>
      <c r="AC342" s="6"/>
      <c r="AF342" s="8"/>
      <c r="AG342" s="12" t="s">
        <v>117</v>
      </c>
    </row>
    <row r="343" spans="1:33" ht="24" customHeight="1">
      <c r="A343" s="26">
        <f t="shared" si="25"/>
        <v>178</v>
      </c>
      <c r="B343" s="27" t="s">
        <v>746</v>
      </c>
      <c r="C343" s="92"/>
      <c r="D343" s="92"/>
      <c r="H343" s="3" t="s">
        <v>455</v>
      </c>
      <c r="K343" s="17">
        <f>SUM(K335:K341)</f>
        <v>56954.12</v>
      </c>
      <c r="R343" s="12" t="s">
        <v>117</v>
      </c>
      <c r="U343" s="5" t="s">
        <v>455</v>
      </c>
      <c r="X343" s="5">
        <f>SUM(X335:X342)</f>
        <v>60494.170000000006</v>
      </c>
      <c r="AC343" s="6"/>
      <c r="AD343" s="3" t="s">
        <v>455</v>
      </c>
      <c r="AF343" s="8"/>
      <c r="AG343" s="17">
        <f>SUM(AG335:AG341)</f>
        <v>57468.768000000004</v>
      </c>
    </row>
    <row r="344" spans="1:33" ht="24" customHeight="1">
      <c r="A344" s="26">
        <f t="shared" si="25"/>
        <v>179</v>
      </c>
      <c r="B344" s="27" t="s">
        <v>727</v>
      </c>
      <c r="C344" s="89">
        <v>13.73</v>
      </c>
      <c r="D344" s="90" t="s">
        <v>1</v>
      </c>
      <c r="K344" s="12" t="s">
        <v>117</v>
      </c>
      <c r="O344" s="3" t="s">
        <v>154</v>
      </c>
      <c r="R344" s="17">
        <f>(R342/10)</f>
        <v>393.88440000000003</v>
      </c>
      <c r="X344" s="12" t="s">
        <v>117</v>
      </c>
      <c r="AC344" s="6"/>
      <c r="AF344" s="8"/>
      <c r="AG344" s="12" t="s">
        <v>117</v>
      </c>
    </row>
    <row r="345" spans="1:33" ht="24" customHeight="1">
      <c r="A345" s="26">
        <f t="shared" si="25"/>
        <v>180</v>
      </c>
      <c r="B345" s="27" t="s">
        <v>728</v>
      </c>
      <c r="C345" s="89">
        <v>20.16</v>
      </c>
      <c r="D345" s="90" t="s">
        <v>1</v>
      </c>
      <c r="H345" s="4" t="s">
        <v>383</v>
      </c>
      <c r="K345" s="17">
        <f>(K343/10)</f>
        <v>5695.4120000000003</v>
      </c>
      <c r="R345" s="12" t="s">
        <v>155</v>
      </c>
      <c r="U345" s="5" t="s">
        <v>383</v>
      </c>
      <c r="X345" s="5">
        <f>X343/10</f>
        <v>6049.4170000000004</v>
      </c>
      <c r="AC345" s="6"/>
      <c r="AD345" s="4" t="s">
        <v>383</v>
      </c>
      <c r="AF345" s="8"/>
      <c r="AG345" s="17">
        <f>(AG343/10)</f>
        <v>5746.8768</v>
      </c>
    </row>
    <row r="346" spans="1:33" ht="24" customHeight="1">
      <c r="A346" s="26">
        <f t="shared" si="25"/>
        <v>181</v>
      </c>
      <c r="B346" s="27" t="s">
        <v>730</v>
      </c>
      <c r="C346" s="89">
        <v>22.73</v>
      </c>
      <c r="D346" s="90" t="s">
        <v>1</v>
      </c>
      <c r="K346" s="12" t="s">
        <v>155</v>
      </c>
      <c r="N346" s="3" t="s">
        <v>122</v>
      </c>
      <c r="O346" s="3" t="s">
        <v>747</v>
      </c>
      <c r="X346" s="53" t="s">
        <v>748</v>
      </c>
      <c r="AC346" s="6"/>
      <c r="AF346" s="8"/>
      <c r="AG346" s="12" t="s">
        <v>155</v>
      </c>
    </row>
    <row r="347" spans="1:33" ht="24" customHeight="1">
      <c r="A347" s="26">
        <f t="shared" ref="A347:A410" si="28">(A346+1)</f>
        <v>182</v>
      </c>
      <c r="B347" s="27" t="s">
        <v>731</v>
      </c>
      <c r="C347" s="89">
        <v>46.98</v>
      </c>
      <c r="D347" s="90" t="s">
        <v>115</v>
      </c>
      <c r="H347" s="3" t="s">
        <v>482</v>
      </c>
      <c r="K347" s="16">
        <f>(K345+C19)</f>
        <v>5754.6120000000001</v>
      </c>
      <c r="L347" s="5">
        <f>K347-K345</f>
        <v>59.199999999999818</v>
      </c>
      <c r="O347" s="12" t="s">
        <v>117</v>
      </c>
      <c r="U347" s="50" t="s">
        <v>482</v>
      </c>
      <c r="X347" s="50">
        <f>X345+C19</f>
        <v>6108.6170000000002</v>
      </c>
      <c r="AC347" s="6"/>
      <c r="AD347" s="3" t="s">
        <v>482</v>
      </c>
      <c r="AF347" s="8"/>
      <c r="AG347" s="16">
        <f>(AG345+C19)</f>
        <v>5806.0767999999998</v>
      </c>
    </row>
    <row r="348" spans="1:33" ht="24" customHeight="1">
      <c r="A348" s="26">
        <f t="shared" si="28"/>
        <v>183</v>
      </c>
      <c r="B348" s="27" t="s">
        <v>749</v>
      </c>
      <c r="C348" s="92"/>
      <c r="D348" s="92"/>
      <c r="H348" s="3" t="s">
        <v>486</v>
      </c>
      <c r="K348" s="16">
        <f>(K347+C20)</f>
        <v>5873.9120000000003</v>
      </c>
      <c r="L348" s="5">
        <f>K348-K347</f>
        <v>119.30000000000018</v>
      </c>
      <c r="M348" s="17">
        <v>0.22</v>
      </c>
      <c r="N348" s="3" t="s">
        <v>126</v>
      </c>
      <c r="O348" s="3" t="s">
        <v>133</v>
      </c>
      <c r="P348" s="17">
        <f>(K32)</f>
        <v>4193.8</v>
      </c>
      <c r="Q348" s="3" t="s">
        <v>126</v>
      </c>
      <c r="R348" s="17">
        <f>(M348*P348)</f>
        <v>922.63600000000008</v>
      </c>
      <c r="U348" s="50" t="s">
        <v>486</v>
      </c>
      <c r="X348" s="50">
        <f>X347+C20</f>
        <v>6227.9170000000004</v>
      </c>
      <c r="AC348" s="6"/>
      <c r="AD348" s="3" t="s">
        <v>486</v>
      </c>
      <c r="AF348" s="8"/>
      <c r="AG348" s="16">
        <f>(AG347+C20)</f>
        <v>5925.3768</v>
      </c>
    </row>
    <row r="349" spans="1:33" ht="24" customHeight="1">
      <c r="A349" s="26">
        <f t="shared" si="28"/>
        <v>184</v>
      </c>
      <c r="B349" s="27" t="s">
        <v>727</v>
      </c>
      <c r="C349" s="89">
        <v>19.3</v>
      </c>
      <c r="D349" s="90" t="s">
        <v>1</v>
      </c>
      <c r="H349" s="3" t="s">
        <v>489</v>
      </c>
      <c r="K349" s="16">
        <f>(K348+C20)</f>
        <v>5993.2120000000004</v>
      </c>
      <c r="L349" s="5">
        <f>K349-K348</f>
        <v>119.30000000000018</v>
      </c>
      <c r="M349" s="17">
        <v>2.2000000000000002</v>
      </c>
      <c r="N349" s="3" t="s">
        <v>209</v>
      </c>
      <c r="O349" s="3" t="s">
        <v>144</v>
      </c>
      <c r="P349" s="17">
        <f>(C10)</f>
        <v>769</v>
      </c>
      <c r="Q349" s="3" t="s">
        <v>209</v>
      </c>
      <c r="R349" s="17">
        <f>(M349*P349)</f>
        <v>1691.8000000000002</v>
      </c>
      <c r="U349" s="50" t="s">
        <v>489</v>
      </c>
      <c r="X349" s="50">
        <f>X348+C20</f>
        <v>6347.2170000000006</v>
      </c>
      <c r="AC349" s="6"/>
      <c r="AD349" s="3" t="s">
        <v>489</v>
      </c>
      <c r="AF349" s="8"/>
      <c r="AG349" s="16">
        <f>(AG348+C20)</f>
        <v>6044.6768000000002</v>
      </c>
    </row>
    <row r="350" spans="1:33" ht="24" customHeight="1">
      <c r="A350" s="26">
        <f t="shared" si="28"/>
        <v>185</v>
      </c>
      <c r="B350" s="27" t="s">
        <v>730</v>
      </c>
      <c r="C350" s="89">
        <v>33.46</v>
      </c>
      <c r="D350" s="90" t="s">
        <v>1</v>
      </c>
      <c r="H350" s="3" t="s">
        <v>491</v>
      </c>
      <c r="K350" s="16">
        <f>(K349+C21)</f>
        <v>6112.5120000000006</v>
      </c>
      <c r="M350" s="17">
        <v>0.5</v>
      </c>
      <c r="N350" s="3" t="s">
        <v>209</v>
      </c>
      <c r="O350" s="3" t="s">
        <v>146</v>
      </c>
      <c r="P350" s="17">
        <f>(C12)</f>
        <v>502</v>
      </c>
      <c r="Q350" s="3" t="s">
        <v>209</v>
      </c>
      <c r="R350" s="17">
        <f>(M350*P350)</f>
        <v>251</v>
      </c>
      <c r="U350" s="50" t="s">
        <v>491</v>
      </c>
      <c r="X350" s="50">
        <f>X349+C20</f>
        <v>6466.5170000000007</v>
      </c>
      <c r="AC350" s="6"/>
      <c r="AD350" s="3" t="s">
        <v>491</v>
      </c>
      <c r="AF350" s="8"/>
      <c r="AG350" s="16">
        <f>(AG349+C20)</f>
        <v>6163.9768000000004</v>
      </c>
    </row>
    <row r="351" spans="1:33" ht="24" customHeight="1">
      <c r="A351" s="26">
        <f t="shared" si="28"/>
        <v>186</v>
      </c>
      <c r="B351" s="27" t="s">
        <v>731</v>
      </c>
      <c r="C351" s="89">
        <v>53.62</v>
      </c>
      <c r="D351" s="90" t="s">
        <v>1</v>
      </c>
      <c r="F351" s="3" t="s">
        <v>115</v>
      </c>
      <c r="H351" s="3" t="s">
        <v>496</v>
      </c>
      <c r="K351" s="16">
        <f>(K350+C21)</f>
        <v>6231.8120000000008</v>
      </c>
      <c r="L351" s="5">
        <f>K351-K350</f>
        <v>119.30000000000018</v>
      </c>
      <c r="M351" s="17">
        <v>3.2</v>
      </c>
      <c r="N351" s="3" t="s">
        <v>209</v>
      </c>
      <c r="O351" s="3" t="s">
        <v>147</v>
      </c>
      <c r="P351" s="17">
        <f>(C13)</f>
        <v>412</v>
      </c>
      <c r="Q351" s="3" t="s">
        <v>209</v>
      </c>
      <c r="R351" s="17">
        <f>(M351*P351)</f>
        <v>1318.4</v>
      </c>
      <c r="S351" s="9" t="s">
        <v>115</v>
      </c>
      <c r="U351" s="50" t="s">
        <v>496</v>
      </c>
      <c r="X351" s="50">
        <f>X350+C20</f>
        <v>6585.8170000000009</v>
      </c>
      <c r="AB351" s="3" t="s">
        <v>115</v>
      </c>
      <c r="AC351" s="6"/>
      <c r="AD351" s="3" t="s">
        <v>496</v>
      </c>
      <c r="AF351" s="8"/>
      <c r="AG351" s="16">
        <f>(AG350+C20)</f>
        <v>6283.2768000000005</v>
      </c>
    </row>
    <row r="352" spans="1:33" ht="24" customHeight="1">
      <c r="A352" s="26">
        <f t="shared" si="28"/>
        <v>187</v>
      </c>
      <c r="B352" s="27" t="s">
        <v>750</v>
      </c>
      <c r="C352" s="92"/>
      <c r="D352" s="92"/>
      <c r="F352" s="38">
        <v>27</v>
      </c>
      <c r="G352" s="15" t="s">
        <v>122</v>
      </c>
      <c r="H352" s="3" t="s">
        <v>751</v>
      </c>
      <c r="L352" s="5">
        <f>K351+L351</f>
        <v>6351.112000000001</v>
      </c>
      <c r="N352" s="3" t="s">
        <v>129</v>
      </c>
      <c r="O352" s="3" t="s">
        <v>130</v>
      </c>
      <c r="P352" s="3" t="s">
        <v>115</v>
      </c>
      <c r="Q352" s="3" t="s">
        <v>129</v>
      </c>
      <c r="R352" s="17">
        <v>0</v>
      </c>
      <c r="S352" s="9">
        <v>27</v>
      </c>
      <c r="T352" s="5" t="s">
        <v>122</v>
      </c>
      <c r="U352" s="5" t="s">
        <v>752</v>
      </c>
      <c r="AB352" s="3"/>
      <c r="AC352" s="6"/>
      <c r="AD352" s="3">
        <v>5</v>
      </c>
      <c r="AF352" s="8"/>
      <c r="AG352" s="16">
        <f>(AG351+C20)</f>
        <v>6402.5768000000007</v>
      </c>
    </row>
    <row r="353" spans="1:34" ht="24" customHeight="1">
      <c r="A353" s="26">
        <f t="shared" si="28"/>
        <v>188</v>
      </c>
      <c r="B353" s="27" t="s">
        <v>727</v>
      </c>
      <c r="C353" s="89">
        <v>13.73</v>
      </c>
      <c r="D353" s="90" t="s">
        <v>1</v>
      </c>
      <c r="H353" s="3" t="str">
        <f>H333</f>
        <v>Bricks of size 22x11x7 cm</v>
      </c>
      <c r="L353" s="5">
        <f>L352+L351</f>
        <v>6470.4120000000012</v>
      </c>
      <c r="R353" s="12" t="s">
        <v>117</v>
      </c>
      <c r="U353" s="5" t="s">
        <v>725</v>
      </c>
      <c r="AB353" s="3"/>
      <c r="AC353" s="6"/>
      <c r="AD353" s="3">
        <v>6</v>
      </c>
      <c r="AF353" s="8"/>
      <c r="AG353" s="16">
        <f>(AG352+C20)</f>
        <v>6521.8768000000009</v>
      </c>
    </row>
    <row r="354" spans="1:34" ht="24" customHeight="1">
      <c r="A354" s="26">
        <f t="shared" si="28"/>
        <v>189</v>
      </c>
      <c r="B354" s="27" t="s">
        <v>728</v>
      </c>
      <c r="C354" s="89">
        <v>20.16</v>
      </c>
      <c r="D354" s="90" t="s">
        <v>1</v>
      </c>
      <c r="H354" s="12" t="s">
        <v>117</v>
      </c>
      <c r="O354" s="3" t="s">
        <v>153</v>
      </c>
      <c r="R354" s="17">
        <f>SUM(R348:R352)</f>
        <v>4183.8360000000002</v>
      </c>
      <c r="U354" s="5" t="s">
        <v>117</v>
      </c>
      <c r="AB354" s="3"/>
      <c r="AC354" s="6"/>
      <c r="AD354" s="3">
        <v>7</v>
      </c>
      <c r="AF354" s="8"/>
      <c r="AG354" s="16">
        <f>(AG353+C20)</f>
        <v>6641.1768000000011</v>
      </c>
    </row>
    <row r="355" spans="1:34" ht="24" customHeight="1">
      <c r="A355" s="26">
        <f t="shared" si="28"/>
        <v>190</v>
      </c>
      <c r="B355" s="27" t="s">
        <v>730</v>
      </c>
      <c r="C355" s="89">
        <v>22.73</v>
      </c>
      <c r="D355" s="90" t="s">
        <v>1</v>
      </c>
      <c r="F355" s="17">
        <v>4800</v>
      </c>
      <c r="G355" s="15" t="s">
        <v>467</v>
      </c>
      <c r="H355" s="17" t="str">
        <f>H309</f>
        <v>Bricks of size 22x11x7 cm</v>
      </c>
      <c r="I355" s="17">
        <f>C80</f>
        <v>5697.65</v>
      </c>
      <c r="J355" s="3" t="s">
        <v>468</v>
      </c>
      <c r="K355" s="17">
        <f>(F355*I355)/1000</f>
        <v>27348.720000000001</v>
      </c>
      <c r="R355" s="12" t="s">
        <v>117</v>
      </c>
      <c r="S355" s="9">
        <v>4600</v>
      </c>
      <c r="T355" s="5" t="s">
        <v>467</v>
      </c>
      <c r="U355" s="5" t="s">
        <v>725</v>
      </c>
      <c r="V355" s="5">
        <f>AC41</f>
        <v>6714.95</v>
      </c>
      <c r="W355" s="5" t="s">
        <v>468</v>
      </c>
      <c r="X355" s="5">
        <f>V355*S355/1000</f>
        <v>30888.77</v>
      </c>
      <c r="AB355" s="3"/>
      <c r="AC355" s="6"/>
      <c r="AD355" s="3">
        <v>8</v>
      </c>
      <c r="AF355" s="8"/>
      <c r="AG355" s="16">
        <f>(AG354+C20)</f>
        <v>6760.4768000000013</v>
      </c>
    </row>
    <row r="356" spans="1:34" ht="24" customHeight="1">
      <c r="A356" s="26">
        <f t="shared" si="28"/>
        <v>191</v>
      </c>
      <c r="B356" s="27" t="s">
        <v>731</v>
      </c>
      <c r="C356" s="89">
        <v>46.98</v>
      </c>
      <c r="D356" s="90" t="s">
        <v>1</v>
      </c>
      <c r="F356" s="17">
        <v>2.5</v>
      </c>
      <c r="G356" s="15" t="s">
        <v>126</v>
      </c>
      <c r="H356" s="3" t="s">
        <v>134</v>
      </c>
      <c r="I356" s="17">
        <f>K40</f>
        <v>3497.8</v>
      </c>
      <c r="J356" s="3" t="s">
        <v>126</v>
      </c>
      <c r="K356" s="17">
        <f>(F356*I356)</f>
        <v>8744.5</v>
      </c>
      <c r="O356" s="3" t="s">
        <v>154</v>
      </c>
      <c r="R356" s="17">
        <f>(R354/10)</f>
        <v>418.3836</v>
      </c>
      <c r="S356" s="9">
        <v>2.5</v>
      </c>
      <c r="T356" s="5" t="s">
        <v>126</v>
      </c>
      <c r="U356" s="5" t="s">
        <v>134</v>
      </c>
      <c r="V356" s="5">
        <f>I356</f>
        <v>3497.8</v>
      </c>
      <c r="W356" s="5" t="s">
        <v>126</v>
      </c>
      <c r="X356" s="5">
        <f>V356*S356</f>
        <v>8744.5</v>
      </c>
      <c r="AB356" s="3"/>
      <c r="AC356" s="6"/>
      <c r="AD356" s="3">
        <v>9</v>
      </c>
      <c r="AF356" s="8"/>
      <c r="AG356" s="16">
        <f>(AG355+C20)</f>
        <v>6879.7768000000015</v>
      </c>
    </row>
    <row r="357" spans="1:34" ht="24" customHeight="1">
      <c r="A357" s="26">
        <f t="shared" si="28"/>
        <v>192</v>
      </c>
      <c r="B357" s="27" t="s">
        <v>753</v>
      </c>
      <c r="C357" s="92"/>
      <c r="D357" s="92"/>
      <c r="F357" s="17">
        <v>3.5</v>
      </c>
      <c r="G357" s="15" t="s">
        <v>209</v>
      </c>
      <c r="H357" s="3" t="s">
        <v>144</v>
      </c>
      <c r="I357" s="17">
        <f>(C10)</f>
        <v>769</v>
      </c>
      <c r="J357" s="3" t="s">
        <v>209</v>
      </c>
      <c r="K357" s="17">
        <f>(F357*I357)</f>
        <v>2691.5</v>
      </c>
      <c r="R357" s="12" t="s">
        <v>155</v>
      </c>
      <c r="S357" s="9">
        <v>3.5</v>
      </c>
      <c r="T357" s="5" t="s">
        <v>209</v>
      </c>
      <c r="U357" s="5" t="s">
        <v>144</v>
      </c>
      <c r="V357" s="5">
        <f>I357</f>
        <v>769</v>
      </c>
      <c r="W357" s="5" t="s">
        <v>209</v>
      </c>
      <c r="X357" s="5">
        <f>V357*S357</f>
        <v>2691.5</v>
      </c>
      <c r="AB357" s="3"/>
      <c r="AC357" s="6"/>
      <c r="AD357" s="3">
        <v>10</v>
      </c>
      <c r="AF357" s="8"/>
      <c r="AG357" s="16">
        <f>(AG356+C20)</f>
        <v>6999.0768000000016</v>
      </c>
    </row>
    <row r="358" spans="1:34" ht="24" customHeight="1">
      <c r="A358" s="26">
        <f t="shared" si="28"/>
        <v>193</v>
      </c>
      <c r="B358" s="27" t="s">
        <v>727</v>
      </c>
      <c r="C358" s="89">
        <v>19.3</v>
      </c>
      <c r="D358" s="90" t="s">
        <v>1</v>
      </c>
      <c r="F358" s="17">
        <v>10.6</v>
      </c>
      <c r="G358" s="15" t="s">
        <v>209</v>
      </c>
      <c r="H358" s="3" t="s">
        <v>145</v>
      </c>
      <c r="I358" s="17">
        <f>(C11)</f>
        <v>718</v>
      </c>
      <c r="J358" s="3" t="s">
        <v>209</v>
      </c>
      <c r="K358" s="17">
        <f>(F358*I358)</f>
        <v>7610.8</v>
      </c>
      <c r="N358" s="3" t="s">
        <v>122</v>
      </c>
      <c r="O358" s="3" t="s">
        <v>754</v>
      </c>
      <c r="S358" s="9">
        <v>10.6</v>
      </c>
      <c r="T358" s="5" t="s">
        <v>209</v>
      </c>
      <c r="U358" s="5" t="s">
        <v>145</v>
      </c>
      <c r="V358" s="5">
        <f>I358</f>
        <v>718</v>
      </c>
      <c r="W358" s="5" t="s">
        <v>209</v>
      </c>
      <c r="X358" s="5">
        <f>V358*S358</f>
        <v>7610.8</v>
      </c>
      <c r="AB358" s="3"/>
      <c r="AC358" s="6"/>
      <c r="AD358" s="3">
        <v>11</v>
      </c>
      <c r="AF358" s="8"/>
      <c r="AG358" s="16">
        <f>(AG357+C20)</f>
        <v>7118.3768000000018</v>
      </c>
    </row>
    <row r="359" spans="1:34" ht="24" customHeight="1">
      <c r="A359" s="26">
        <f t="shared" si="28"/>
        <v>194</v>
      </c>
      <c r="B359" s="27" t="s">
        <v>728</v>
      </c>
      <c r="C359" s="89">
        <v>25.74</v>
      </c>
      <c r="D359" s="90" t="s">
        <v>1</v>
      </c>
      <c r="F359" s="17">
        <v>7.1</v>
      </c>
      <c r="G359" s="15" t="s">
        <v>209</v>
      </c>
      <c r="H359" s="3" t="s">
        <v>146</v>
      </c>
      <c r="I359" s="17">
        <f>(C12)</f>
        <v>502</v>
      </c>
      <c r="J359" s="3" t="s">
        <v>209</v>
      </c>
      <c r="K359" s="17">
        <f>(F359*I359)</f>
        <v>3564.2</v>
      </c>
      <c r="O359" s="3" t="s">
        <v>755</v>
      </c>
      <c r="S359" s="9">
        <v>7.1</v>
      </c>
      <c r="T359" s="5" t="s">
        <v>209</v>
      </c>
      <c r="U359" s="5" t="s">
        <v>146</v>
      </c>
      <c r="V359" s="5">
        <f>I359</f>
        <v>502</v>
      </c>
      <c r="W359" s="5" t="s">
        <v>209</v>
      </c>
      <c r="X359" s="5">
        <f>V359*S359</f>
        <v>3564.2</v>
      </c>
      <c r="AB359" s="3"/>
      <c r="AC359" s="6"/>
      <c r="AD359" s="3">
        <v>12</v>
      </c>
      <c r="AF359" s="8"/>
      <c r="AG359" s="16">
        <f>(AG358+C20)</f>
        <v>7237.676800000002</v>
      </c>
    </row>
    <row r="360" spans="1:34" ht="24" customHeight="1">
      <c r="A360" s="26">
        <f t="shared" si="28"/>
        <v>195</v>
      </c>
      <c r="B360" s="27" t="s">
        <v>730</v>
      </c>
      <c r="C360" s="89">
        <v>33.46</v>
      </c>
      <c r="D360" s="90" t="s">
        <v>1</v>
      </c>
      <c r="F360" s="17">
        <v>21.2</v>
      </c>
      <c r="G360" s="15" t="s">
        <v>209</v>
      </c>
      <c r="H360" s="3" t="s">
        <v>147</v>
      </c>
      <c r="I360" s="17">
        <f>(C13)</f>
        <v>412</v>
      </c>
      <c r="J360" s="3" t="s">
        <v>209</v>
      </c>
      <c r="K360" s="17">
        <f>(F360*I360)</f>
        <v>8734.4</v>
      </c>
      <c r="O360" s="3" t="s">
        <v>756</v>
      </c>
      <c r="S360" s="9">
        <v>21.2</v>
      </c>
      <c r="T360" s="5" t="s">
        <v>209</v>
      </c>
      <c r="U360" s="5" t="s">
        <v>147</v>
      </c>
      <c r="V360" s="5">
        <f>I360</f>
        <v>412</v>
      </c>
      <c r="W360" s="5" t="s">
        <v>209</v>
      </c>
      <c r="X360" s="5">
        <f>V360*S360</f>
        <v>8734.4</v>
      </c>
      <c r="AB360" s="3"/>
      <c r="AC360" s="6"/>
      <c r="AD360" s="3">
        <v>13</v>
      </c>
      <c r="AF360" s="8"/>
      <c r="AG360" s="16">
        <f>(AG359+C20)</f>
        <v>7356.9768000000022</v>
      </c>
    </row>
    <row r="361" spans="1:34" ht="24" customHeight="1">
      <c r="A361" s="26">
        <f t="shared" si="28"/>
        <v>196</v>
      </c>
      <c r="B361" s="27" t="s">
        <v>731</v>
      </c>
      <c r="C361" s="89">
        <v>53.62</v>
      </c>
      <c r="D361" s="90" t="s">
        <v>115</v>
      </c>
      <c r="G361" s="15" t="s">
        <v>129</v>
      </c>
      <c r="H361" s="3" t="s">
        <v>130</v>
      </c>
      <c r="J361" s="3" t="s">
        <v>129</v>
      </c>
      <c r="K361" s="17">
        <v>0</v>
      </c>
      <c r="O361" s="12" t="s">
        <v>117</v>
      </c>
      <c r="T361" s="5" t="s">
        <v>129</v>
      </c>
      <c r="U361" s="5" t="s">
        <v>130</v>
      </c>
      <c r="W361" s="5" t="s">
        <v>129</v>
      </c>
      <c r="X361" s="5">
        <v>0</v>
      </c>
      <c r="AB361" s="38">
        <v>27</v>
      </c>
      <c r="AC361" s="15" t="s">
        <v>122</v>
      </c>
      <c r="AD361" s="3" t="s">
        <v>757</v>
      </c>
      <c r="AF361" s="8"/>
    </row>
    <row r="362" spans="1:34" ht="24" customHeight="1">
      <c r="A362" s="26">
        <f t="shared" si="28"/>
        <v>197</v>
      </c>
      <c r="B362" s="27" t="s">
        <v>758</v>
      </c>
      <c r="C362" s="92"/>
      <c r="D362" s="92"/>
      <c r="K362" s="12" t="s">
        <v>117</v>
      </c>
      <c r="M362" s="17">
        <v>0.22</v>
      </c>
      <c r="N362" s="3" t="s">
        <v>126</v>
      </c>
      <c r="O362" s="3" t="s">
        <v>134</v>
      </c>
      <c r="P362" s="17">
        <f>(K40)</f>
        <v>3497.8</v>
      </c>
      <c r="Q362" s="3" t="s">
        <v>126</v>
      </c>
      <c r="R362" s="17">
        <f t="shared" ref="R362:R367" si="29">(M362*P362)</f>
        <v>769.51600000000008</v>
      </c>
      <c r="X362" s="12" t="s">
        <v>117</v>
      </c>
      <c r="AC362" s="6"/>
      <c r="AD362" s="3" t="str">
        <f>AD333</f>
        <v>Bricks of size 23x11.4x7.5 cm</v>
      </c>
      <c r="AF362" s="8"/>
    </row>
    <row r="363" spans="1:34" ht="24" customHeight="1">
      <c r="A363" s="26">
        <f t="shared" si="28"/>
        <v>198</v>
      </c>
      <c r="B363" s="27" t="s">
        <v>727</v>
      </c>
      <c r="C363" s="89">
        <v>26.16</v>
      </c>
      <c r="D363" s="90" t="s">
        <v>1</v>
      </c>
      <c r="H363" s="3" t="s">
        <v>455</v>
      </c>
      <c r="K363" s="17">
        <f>SUM(K355:K361)</f>
        <v>58694.12</v>
      </c>
      <c r="M363" s="17">
        <v>2.2000000000000002</v>
      </c>
      <c r="N363" s="3" t="s">
        <v>209</v>
      </c>
      <c r="O363" s="3" t="s">
        <v>144</v>
      </c>
      <c r="P363" s="17">
        <f>(C10)</f>
        <v>769</v>
      </c>
      <c r="Q363" s="3" t="s">
        <v>209</v>
      </c>
      <c r="R363" s="17">
        <f t="shared" si="29"/>
        <v>1691.8000000000002</v>
      </c>
      <c r="U363" s="5" t="s">
        <v>455</v>
      </c>
      <c r="X363" s="5">
        <f>SUM(X355:X361)</f>
        <v>62234.170000000006</v>
      </c>
      <c r="AC363" s="6"/>
      <c r="AD363" s="12" t="s">
        <v>117</v>
      </c>
      <c r="AF363" s="8"/>
    </row>
    <row r="364" spans="1:34" ht="24" customHeight="1">
      <c r="A364" s="26">
        <f t="shared" si="28"/>
        <v>199</v>
      </c>
      <c r="B364" s="27" t="s">
        <v>728</v>
      </c>
      <c r="C364" s="89">
        <v>34.32</v>
      </c>
      <c r="D364" s="90" t="s">
        <v>1</v>
      </c>
      <c r="K364" s="12" t="s">
        <v>117</v>
      </c>
      <c r="M364" s="17">
        <v>0.5</v>
      </c>
      <c r="N364" s="3" t="s">
        <v>209</v>
      </c>
      <c r="O364" s="3" t="s">
        <v>146</v>
      </c>
      <c r="P364" s="17">
        <f>(C12)</f>
        <v>502</v>
      </c>
      <c r="Q364" s="3" t="s">
        <v>209</v>
      </c>
      <c r="R364" s="17">
        <f t="shared" si="29"/>
        <v>251</v>
      </c>
      <c r="X364" s="12" t="s">
        <v>117</v>
      </c>
      <c r="AB364" s="17">
        <v>4240</v>
      </c>
      <c r="AC364" s="15" t="s">
        <v>467</v>
      </c>
      <c r="AD364" s="17" t="str">
        <f>AD309</f>
        <v>Bricks of size 23x11.4x7.5 cm</v>
      </c>
      <c r="AE364" s="17">
        <f>AC42</f>
        <v>6901.95</v>
      </c>
      <c r="AF364" s="3" t="s">
        <v>468</v>
      </c>
      <c r="AG364" s="17">
        <f>(AB364*AE364)/1000</f>
        <v>29264.268</v>
      </c>
    </row>
    <row r="365" spans="1:34" ht="24" customHeight="1">
      <c r="A365" s="26">
        <f t="shared" si="28"/>
        <v>200</v>
      </c>
      <c r="B365" s="27" t="s">
        <v>730</v>
      </c>
      <c r="C365" s="89">
        <v>40.33</v>
      </c>
      <c r="D365" s="90" t="s">
        <v>1</v>
      </c>
      <c r="H365" s="3" t="s">
        <v>383</v>
      </c>
      <c r="K365" s="17">
        <f>(K363/10)</f>
        <v>5869.4120000000003</v>
      </c>
      <c r="M365" s="17">
        <v>1.1000000000000001</v>
      </c>
      <c r="N365" s="3" t="s">
        <v>759</v>
      </c>
      <c r="O365" s="3" t="s">
        <v>760</v>
      </c>
      <c r="P365" s="17">
        <f>(C10)</f>
        <v>769</v>
      </c>
      <c r="Q365" s="3" t="s">
        <v>209</v>
      </c>
      <c r="R365" s="17">
        <f t="shared" si="29"/>
        <v>845.90000000000009</v>
      </c>
      <c r="U365" s="5" t="s">
        <v>383</v>
      </c>
      <c r="X365" s="5">
        <f>X363/10</f>
        <v>6223.4170000000004</v>
      </c>
      <c r="AB365" s="17">
        <v>2</v>
      </c>
      <c r="AC365" s="15" t="s">
        <v>126</v>
      </c>
      <c r="AD365" s="3" t="s">
        <v>134</v>
      </c>
      <c r="AE365" s="17">
        <f>V356</f>
        <v>3497.8</v>
      </c>
      <c r="AF365" s="3" t="s">
        <v>126</v>
      </c>
      <c r="AG365" s="17">
        <f>(AB365*AE365)</f>
        <v>6995.6</v>
      </c>
    </row>
    <row r="366" spans="1:34" ht="24" customHeight="1">
      <c r="A366" s="26">
        <f t="shared" si="28"/>
        <v>201</v>
      </c>
      <c r="B366" s="27" t="s">
        <v>761</v>
      </c>
      <c r="C366" s="92"/>
      <c r="D366" s="90" t="s">
        <v>115</v>
      </c>
      <c r="K366" s="12" t="s">
        <v>155</v>
      </c>
      <c r="M366" s="17">
        <v>3.2</v>
      </c>
      <c r="N366" s="3" t="s">
        <v>209</v>
      </c>
      <c r="O366" s="3" t="s">
        <v>147</v>
      </c>
      <c r="P366" s="17">
        <f>(C13)</f>
        <v>412</v>
      </c>
      <c r="Q366" s="3" t="s">
        <v>209</v>
      </c>
      <c r="R366" s="17">
        <f t="shared" si="29"/>
        <v>1318.4</v>
      </c>
      <c r="X366" s="53" t="s">
        <v>748</v>
      </c>
      <c r="AB366" s="17">
        <v>3.5</v>
      </c>
      <c r="AC366" s="15" t="s">
        <v>209</v>
      </c>
      <c r="AD366" s="3" t="s">
        <v>144</v>
      </c>
      <c r="AE366" s="17">
        <f>V357</f>
        <v>769</v>
      </c>
      <c r="AF366" s="3" t="s">
        <v>209</v>
      </c>
      <c r="AG366" s="17">
        <f>(AB366*AE366)</f>
        <v>2691.5</v>
      </c>
    </row>
    <row r="367" spans="1:34" ht="24" customHeight="1">
      <c r="A367" s="26">
        <f t="shared" si="28"/>
        <v>202</v>
      </c>
      <c r="B367" s="27" t="s">
        <v>727</v>
      </c>
      <c r="C367" s="89">
        <v>20.329999999999998</v>
      </c>
      <c r="D367" s="90" t="s">
        <v>1</v>
      </c>
      <c r="H367" s="3" t="s">
        <v>482</v>
      </c>
      <c r="J367" s="8">
        <f>K367-K365</f>
        <v>59.199999999999818</v>
      </c>
      <c r="K367" s="17">
        <f>(K365+C19)</f>
        <v>5928.6120000000001</v>
      </c>
      <c r="M367" s="17">
        <v>9.8000000000000007</v>
      </c>
      <c r="N367" s="3" t="s">
        <v>148</v>
      </c>
      <c r="O367" s="3" t="s">
        <v>762</v>
      </c>
      <c r="P367" s="17">
        <f>(C148)</f>
        <v>142.4</v>
      </c>
      <c r="Q367" s="3" t="s">
        <v>148</v>
      </c>
      <c r="R367" s="17">
        <f t="shared" si="29"/>
        <v>1395.5200000000002</v>
      </c>
      <c r="U367" s="5" t="s">
        <v>482</v>
      </c>
      <c r="X367" s="5">
        <f>X365+C19</f>
        <v>6282.6170000000002</v>
      </c>
      <c r="Y367" s="5">
        <f>X365+X367+X368+X369+X370+X371</f>
        <v>38829.502</v>
      </c>
      <c r="Z367" s="5">
        <f>Y367/6</f>
        <v>6471.5836666666664</v>
      </c>
      <c r="AB367" s="17">
        <v>10.6</v>
      </c>
      <c r="AC367" s="15" t="s">
        <v>209</v>
      </c>
      <c r="AD367" s="3" t="s">
        <v>145</v>
      </c>
      <c r="AE367" s="17">
        <f>V358</f>
        <v>718</v>
      </c>
      <c r="AF367" s="3" t="s">
        <v>209</v>
      </c>
      <c r="AG367" s="17">
        <f>(AB367*AE367)</f>
        <v>7610.8</v>
      </c>
    </row>
    <row r="368" spans="1:34" ht="24" customHeight="1">
      <c r="A368" s="26">
        <f t="shared" si="28"/>
        <v>203</v>
      </c>
      <c r="B368" s="27" t="s">
        <v>728</v>
      </c>
      <c r="C368" s="89">
        <v>26.6</v>
      </c>
      <c r="D368" s="90" t="s">
        <v>1</v>
      </c>
      <c r="H368" s="3" t="s">
        <v>486</v>
      </c>
      <c r="J368" s="8">
        <f>K368-K367</f>
        <v>119.30000000000018</v>
      </c>
      <c r="K368" s="17">
        <f>(K367+C20)</f>
        <v>6047.9120000000003</v>
      </c>
      <c r="L368" s="5">
        <f>(K367+K368)/2</f>
        <v>5988.2620000000006</v>
      </c>
      <c r="N368" s="3" t="s">
        <v>129</v>
      </c>
      <c r="O368" s="3" t="s">
        <v>130</v>
      </c>
      <c r="P368" s="3" t="s">
        <v>115</v>
      </c>
      <c r="Q368" s="3" t="s">
        <v>129</v>
      </c>
      <c r="R368" s="17">
        <v>0</v>
      </c>
      <c r="U368" s="5" t="s">
        <v>486</v>
      </c>
      <c r="X368" s="5">
        <f>X367+C20</f>
        <v>6401.9170000000004</v>
      </c>
      <c r="Y368" s="5">
        <f>SUM(X367:X368)/2</f>
        <v>6342.2669999999998</v>
      </c>
      <c r="AB368" s="17">
        <v>7.1</v>
      </c>
      <c r="AC368" s="15" t="s">
        <v>209</v>
      </c>
      <c r="AD368" s="3" t="s">
        <v>146</v>
      </c>
      <c r="AE368" s="17">
        <f>V359</f>
        <v>502</v>
      </c>
      <c r="AF368" s="3" t="s">
        <v>209</v>
      </c>
      <c r="AG368" s="17">
        <f>(AB368*AE368)</f>
        <v>3564.2</v>
      </c>
      <c r="AH368" s="5">
        <f>(AG377+AG376)/2</f>
        <v>6004.9268000000011</v>
      </c>
    </row>
    <row r="369" spans="1:34" ht="24" customHeight="1">
      <c r="A369" s="26">
        <f t="shared" si="28"/>
        <v>204</v>
      </c>
      <c r="B369" s="27" t="s">
        <v>730</v>
      </c>
      <c r="C369" s="89">
        <v>33.89</v>
      </c>
      <c r="D369" s="90" t="s">
        <v>1</v>
      </c>
      <c r="H369" s="3" t="s">
        <v>489</v>
      </c>
      <c r="J369" s="8">
        <f>K369-K368</f>
        <v>119.30000000000018</v>
      </c>
      <c r="K369" s="17">
        <f>(K368+C21)</f>
        <v>6167.2120000000004</v>
      </c>
      <c r="L369" s="5">
        <f>SUM(K367:K369)/3</f>
        <v>6047.9120000000003</v>
      </c>
      <c r="R369" s="12" t="s">
        <v>117</v>
      </c>
      <c r="U369" s="5" t="s">
        <v>489</v>
      </c>
      <c r="X369" s="5">
        <f>X368+C20</f>
        <v>6521.2170000000006</v>
      </c>
      <c r="Y369" s="5">
        <f>SUM(X367:X369)/3</f>
        <v>6401.9170000000004</v>
      </c>
      <c r="AB369" s="17">
        <v>21.2</v>
      </c>
      <c r="AC369" s="15" t="s">
        <v>209</v>
      </c>
      <c r="AD369" s="3" t="s">
        <v>147</v>
      </c>
      <c r="AE369" s="17">
        <f>V360</f>
        <v>412</v>
      </c>
      <c r="AF369" s="3" t="s">
        <v>209</v>
      </c>
      <c r="AG369" s="17">
        <f>(AB369*AE369)</f>
        <v>8734.4</v>
      </c>
      <c r="AH369" s="5">
        <f>SUM(AG376:AG378)/3</f>
        <v>6064.5768000000016</v>
      </c>
    </row>
    <row r="370" spans="1:34" ht="24" customHeight="1">
      <c r="A370" s="26">
        <f t="shared" si="28"/>
        <v>205</v>
      </c>
      <c r="B370" s="27" t="s">
        <v>763</v>
      </c>
      <c r="C370" s="92"/>
      <c r="D370" s="92"/>
      <c r="H370" s="3" t="s">
        <v>491</v>
      </c>
      <c r="J370" s="8">
        <f>K370-K369</f>
        <v>119.30000000000018</v>
      </c>
      <c r="K370" s="17">
        <f>K369+C21</f>
        <v>6286.5120000000006</v>
      </c>
      <c r="O370" s="3" t="s">
        <v>153</v>
      </c>
      <c r="R370" s="17">
        <f>SUM(R362:R368)</f>
        <v>6272.1360000000004</v>
      </c>
      <c r="U370" s="5" t="s">
        <v>491</v>
      </c>
      <c r="X370" s="5">
        <f>X369+C20</f>
        <v>6640.5170000000007</v>
      </c>
      <c r="AC370" s="15" t="s">
        <v>129</v>
      </c>
      <c r="AD370" s="3" t="s">
        <v>130</v>
      </c>
      <c r="AF370" s="3" t="s">
        <v>129</v>
      </c>
      <c r="AG370" s="17">
        <v>0</v>
      </c>
    </row>
    <row r="371" spans="1:34" ht="24" customHeight="1">
      <c r="A371" s="26">
        <f t="shared" si="28"/>
        <v>206</v>
      </c>
      <c r="B371" s="27" t="s">
        <v>727</v>
      </c>
      <c r="C371" s="89">
        <v>13.29</v>
      </c>
      <c r="D371" s="90" t="s">
        <v>1</v>
      </c>
      <c r="H371" s="3" t="s">
        <v>496</v>
      </c>
      <c r="J371" s="8">
        <f>K371-K370</f>
        <v>119.30000000000018</v>
      </c>
      <c r="K371" s="17">
        <f>K370+C21</f>
        <v>6405.8120000000008</v>
      </c>
      <c r="R371" s="12" t="s">
        <v>117</v>
      </c>
      <c r="U371" s="5" t="s">
        <v>496</v>
      </c>
      <c r="X371" s="5">
        <f>X370+C20</f>
        <v>6759.8170000000009</v>
      </c>
      <c r="AC371" s="6"/>
      <c r="AF371" s="8"/>
      <c r="AG371" s="12" t="s">
        <v>117</v>
      </c>
    </row>
    <row r="372" spans="1:34" ht="24" customHeight="1">
      <c r="A372" s="26">
        <f t="shared" si="28"/>
        <v>207</v>
      </c>
      <c r="B372" s="27" t="s">
        <v>728</v>
      </c>
      <c r="C372" s="89">
        <v>18.02</v>
      </c>
      <c r="D372" s="90" t="s">
        <v>1</v>
      </c>
      <c r="H372" s="3" t="s">
        <v>535</v>
      </c>
      <c r="J372" s="8">
        <f>SUM(K367+K368+K369)/3</f>
        <v>6047.9120000000003</v>
      </c>
      <c r="K372" s="17">
        <f>(K367+K368+K369+K370)/4</f>
        <v>6107.5619999999999</v>
      </c>
      <c r="O372" s="3" t="s">
        <v>154</v>
      </c>
      <c r="R372" s="17">
        <f>(R370/10)</f>
        <v>627.21360000000004</v>
      </c>
      <c r="U372" s="5" t="s">
        <v>535</v>
      </c>
      <c r="W372" s="5">
        <v>2171.31</v>
      </c>
      <c r="X372" s="5">
        <f>SUM(X367:X370)/4</f>
        <v>6461.567</v>
      </c>
      <c r="AC372" s="6"/>
      <c r="AD372" s="3" t="s">
        <v>455</v>
      </c>
      <c r="AF372" s="8"/>
      <c r="AG372" s="17">
        <f>SUM(AG364:AG370)</f>
        <v>58860.768000000004</v>
      </c>
    </row>
    <row r="373" spans="1:34" ht="24" customHeight="1">
      <c r="A373" s="26">
        <f t="shared" si="28"/>
        <v>208</v>
      </c>
      <c r="B373" s="27" t="s">
        <v>730</v>
      </c>
      <c r="C373" s="89">
        <v>23.17</v>
      </c>
      <c r="D373" s="90" t="s">
        <v>1</v>
      </c>
      <c r="R373" s="12" t="s">
        <v>155</v>
      </c>
      <c r="AC373" s="6"/>
      <c r="AF373" s="8"/>
      <c r="AG373" s="12" t="s">
        <v>117</v>
      </c>
    </row>
    <row r="374" spans="1:34" ht="24" customHeight="1">
      <c r="A374" s="26">
        <f t="shared" si="28"/>
        <v>209</v>
      </c>
      <c r="B374" s="27" t="s">
        <v>764</v>
      </c>
      <c r="C374" s="92"/>
      <c r="D374" s="90" t="s">
        <v>115</v>
      </c>
      <c r="H374" s="4" t="s">
        <v>537</v>
      </c>
      <c r="N374" s="3" t="s">
        <v>122</v>
      </c>
      <c r="O374" s="3" t="s">
        <v>765</v>
      </c>
      <c r="U374" s="5" t="s">
        <v>537</v>
      </c>
      <c r="AC374" s="6"/>
      <c r="AD374" s="3" t="s">
        <v>383</v>
      </c>
      <c r="AF374" s="8"/>
      <c r="AG374" s="17">
        <f>(AG372/10)</f>
        <v>5886.0768000000007</v>
      </c>
    </row>
    <row r="375" spans="1:34" ht="24" customHeight="1">
      <c r="A375" s="26">
        <f t="shared" si="28"/>
        <v>210</v>
      </c>
      <c r="B375" s="27" t="s">
        <v>727</v>
      </c>
      <c r="C375" s="89">
        <v>9</v>
      </c>
      <c r="D375" s="90" t="s">
        <v>1</v>
      </c>
      <c r="H375" s="12" t="s">
        <v>117</v>
      </c>
      <c r="O375" s="12" t="s">
        <v>117</v>
      </c>
      <c r="U375" s="5" t="s">
        <v>117</v>
      </c>
      <c r="AC375" s="6"/>
      <c r="AF375" s="8"/>
      <c r="AG375" s="12" t="s">
        <v>155</v>
      </c>
    </row>
    <row r="376" spans="1:34" ht="24" customHeight="1">
      <c r="A376" s="26">
        <f t="shared" si="28"/>
        <v>211</v>
      </c>
      <c r="B376" s="27" t="s">
        <v>728</v>
      </c>
      <c r="C376" s="89">
        <v>11.58</v>
      </c>
      <c r="D376" s="90" t="s">
        <v>1</v>
      </c>
      <c r="F376" s="38">
        <v>10</v>
      </c>
      <c r="G376" s="15" t="s">
        <v>122</v>
      </c>
      <c r="H376" s="3" t="s">
        <v>766</v>
      </c>
      <c r="M376" s="17">
        <v>0.05</v>
      </c>
      <c r="N376" s="3" t="s">
        <v>126</v>
      </c>
      <c r="O376" s="3" t="s">
        <v>508</v>
      </c>
      <c r="P376" s="17">
        <f>(C84)</f>
        <v>1297</v>
      </c>
      <c r="Q376" s="3" t="s">
        <v>126</v>
      </c>
      <c r="R376" s="17">
        <f>(M376*P376)</f>
        <v>64.850000000000009</v>
      </c>
      <c r="S376" s="9">
        <v>10</v>
      </c>
      <c r="T376" s="5" t="s">
        <v>122</v>
      </c>
      <c r="U376" s="5" t="s">
        <v>767</v>
      </c>
      <c r="AC376" s="6"/>
      <c r="AD376" s="3" t="s">
        <v>482</v>
      </c>
      <c r="AF376" s="8"/>
      <c r="AG376" s="17">
        <f>(AG374+C19)</f>
        <v>5945.2768000000005</v>
      </c>
    </row>
    <row r="377" spans="1:34" ht="24" customHeight="1">
      <c r="A377" s="26">
        <f t="shared" si="28"/>
        <v>212</v>
      </c>
      <c r="B377" s="27" t="s">
        <v>730</v>
      </c>
      <c r="C377" s="89">
        <v>14.15</v>
      </c>
      <c r="D377" s="90" t="s">
        <v>1</v>
      </c>
      <c r="H377" s="17" t="str">
        <f>H309</f>
        <v>Bricks of size 22x11x7 cm</v>
      </c>
      <c r="M377" s="17">
        <v>1.1000000000000001</v>
      </c>
      <c r="N377" s="3" t="s">
        <v>209</v>
      </c>
      <c r="O377" s="3" t="s">
        <v>145</v>
      </c>
      <c r="P377" s="17">
        <f>(C11)</f>
        <v>718</v>
      </c>
      <c r="Q377" s="3" t="s">
        <v>209</v>
      </c>
      <c r="R377" s="17">
        <f>(M377*P377)</f>
        <v>789.80000000000007</v>
      </c>
      <c r="U377" s="5" t="s">
        <v>725</v>
      </c>
      <c r="AC377" s="6"/>
      <c r="AD377" s="3" t="s">
        <v>486</v>
      </c>
      <c r="AF377" s="8"/>
      <c r="AG377" s="17">
        <f>(AG376+C20)</f>
        <v>6064.5768000000007</v>
      </c>
    </row>
    <row r="378" spans="1:34" ht="24" customHeight="1">
      <c r="A378" s="26">
        <f t="shared" si="28"/>
        <v>213</v>
      </c>
      <c r="B378" s="27" t="s">
        <v>768</v>
      </c>
      <c r="C378" s="92"/>
      <c r="D378" s="92"/>
      <c r="H378" s="12" t="s">
        <v>117</v>
      </c>
      <c r="M378" s="17">
        <v>0.3</v>
      </c>
      <c r="N378" s="3" t="s">
        <v>209</v>
      </c>
      <c r="O378" s="3" t="s">
        <v>146</v>
      </c>
      <c r="P378" s="17">
        <f>(C12)</f>
        <v>502</v>
      </c>
      <c r="Q378" s="3" t="s">
        <v>209</v>
      </c>
      <c r="R378" s="17">
        <f>(M378*P378)</f>
        <v>150.6</v>
      </c>
      <c r="U378" s="5" t="s">
        <v>117</v>
      </c>
      <c r="AC378" s="6"/>
      <c r="AD378" s="3" t="s">
        <v>489</v>
      </c>
      <c r="AF378" s="8"/>
      <c r="AG378" s="17">
        <f>(AG377+C20)</f>
        <v>6183.8768000000009</v>
      </c>
    </row>
    <row r="379" spans="1:34" ht="24" customHeight="1">
      <c r="A379" s="26">
        <f t="shared" si="28"/>
        <v>214</v>
      </c>
      <c r="B379" s="27" t="s">
        <v>727</v>
      </c>
      <c r="C379" s="89">
        <v>4.29</v>
      </c>
      <c r="D379" s="90" t="s">
        <v>1</v>
      </c>
      <c r="F379" s="17">
        <f>F311</f>
        <v>4800</v>
      </c>
      <c r="G379" s="15" t="s">
        <v>467</v>
      </c>
      <c r="H379" s="17" t="str">
        <f>H309</f>
        <v>Bricks of size 22x11x7 cm</v>
      </c>
      <c r="I379" s="17">
        <f>(C80)</f>
        <v>5697.65</v>
      </c>
      <c r="J379" s="3" t="s">
        <v>468</v>
      </c>
      <c r="K379" s="17">
        <f>(F379*I379)/1000</f>
        <v>27348.720000000001</v>
      </c>
      <c r="M379" s="17">
        <v>1.9</v>
      </c>
      <c r="N379" s="3" t="s">
        <v>209</v>
      </c>
      <c r="O379" s="3" t="s">
        <v>147</v>
      </c>
      <c r="P379" s="17">
        <f>(C13)</f>
        <v>412</v>
      </c>
      <c r="Q379" s="3" t="s">
        <v>209</v>
      </c>
      <c r="R379" s="17">
        <f>(M379*P379)</f>
        <v>782.8</v>
      </c>
      <c r="S379" s="9">
        <v>4600</v>
      </c>
      <c r="T379" s="5" t="s">
        <v>467</v>
      </c>
      <c r="U379" s="5" t="s">
        <v>725</v>
      </c>
      <c r="V379" s="5">
        <f>AC41</f>
        <v>6714.95</v>
      </c>
      <c r="W379" s="5" t="s">
        <v>468</v>
      </c>
      <c r="X379" s="5">
        <f>S379*V379/1000</f>
        <v>30888.77</v>
      </c>
      <c r="AC379" s="6"/>
      <c r="AD379" s="3" t="s">
        <v>491</v>
      </c>
      <c r="AF379" s="8"/>
      <c r="AG379" s="17">
        <f>AG378+C20</f>
        <v>6303.1768000000011</v>
      </c>
    </row>
    <row r="380" spans="1:34" ht="24" customHeight="1">
      <c r="A380" s="26">
        <f t="shared" si="28"/>
        <v>215</v>
      </c>
      <c r="B380" s="27" t="s">
        <v>728</v>
      </c>
      <c r="C380" s="89">
        <v>6.01</v>
      </c>
      <c r="D380" s="90" t="s">
        <v>1</v>
      </c>
      <c r="F380" s="17">
        <v>1.59</v>
      </c>
      <c r="G380" s="15" t="s">
        <v>126</v>
      </c>
      <c r="H380" s="3" t="s">
        <v>134</v>
      </c>
      <c r="I380" s="17">
        <f>(K40)</f>
        <v>3497.8</v>
      </c>
      <c r="J380" s="3" t="s">
        <v>126</v>
      </c>
      <c r="K380" s="17">
        <f>(F380*I380)</f>
        <v>5561.5020000000004</v>
      </c>
      <c r="N380" s="3" t="s">
        <v>129</v>
      </c>
      <c r="O380" s="3" t="s">
        <v>769</v>
      </c>
      <c r="P380" s="3" t="s">
        <v>115</v>
      </c>
      <c r="Q380" s="3" t="s">
        <v>129</v>
      </c>
      <c r="R380" s="17">
        <v>1.46</v>
      </c>
      <c r="S380" s="9">
        <v>1.59</v>
      </c>
      <c r="T380" s="5" t="s">
        <v>126</v>
      </c>
      <c r="U380" s="5" t="s">
        <v>134</v>
      </c>
      <c r="V380" s="5">
        <f>I380</f>
        <v>3497.8</v>
      </c>
      <c r="W380" s="5" t="s">
        <v>126</v>
      </c>
      <c r="X380" s="5">
        <f>V380*S380</f>
        <v>5561.5020000000004</v>
      </c>
      <c r="AC380" s="6"/>
      <c r="AD380" s="3" t="s">
        <v>496</v>
      </c>
      <c r="AF380" s="8"/>
      <c r="AG380" s="17">
        <f>AG379+C20</f>
        <v>6422.4768000000013</v>
      </c>
    </row>
    <row r="381" spans="1:34" ht="24" customHeight="1">
      <c r="A381" s="26">
        <f t="shared" si="28"/>
        <v>216</v>
      </c>
      <c r="B381" s="27" t="s">
        <v>730</v>
      </c>
      <c r="C381" s="89">
        <v>6.86</v>
      </c>
      <c r="D381" s="90" t="s">
        <v>1</v>
      </c>
      <c r="F381" s="17">
        <v>7</v>
      </c>
      <c r="G381" s="15" t="s">
        <v>209</v>
      </c>
      <c r="H381" s="3" t="s">
        <v>144</v>
      </c>
      <c r="I381" s="17">
        <f>(C10)</f>
        <v>769</v>
      </c>
      <c r="J381" s="3" t="s">
        <v>209</v>
      </c>
      <c r="K381" s="17">
        <f>(F381*I381)</f>
        <v>5383</v>
      </c>
      <c r="R381" s="12" t="s">
        <v>117</v>
      </c>
      <c r="S381" s="9">
        <v>7</v>
      </c>
      <c r="T381" s="5" t="s">
        <v>209</v>
      </c>
      <c r="U381" s="5" t="s">
        <v>144</v>
      </c>
      <c r="V381" s="5">
        <f>I381</f>
        <v>769</v>
      </c>
      <c r="W381" s="5" t="s">
        <v>209</v>
      </c>
      <c r="X381" s="5">
        <f>V381*S381</f>
        <v>5383</v>
      </c>
      <c r="AC381" s="6"/>
      <c r="AD381" s="3" t="s">
        <v>535</v>
      </c>
      <c r="AF381" s="8"/>
      <c r="AG381" s="17">
        <f>(AG376+AG377+AG378+AG379)/4</f>
        <v>6124.2268000000013</v>
      </c>
    </row>
    <row r="382" spans="1:34" ht="24" customHeight="1">
      <c r="A382" s="26">
        <f t="shared" si="28"/>
        <v>217</v>
      </c>
      <c r="B382" s="27" t="s">
        <v>770</v>
      </c>
      <c r="C382" s="92"/>
      <c r="D382" s="90" t="s">
        <v>115</v>
      </c>
      <c r="F382" s="17">
        <v>7.1</v>
      </c>
      <c r="G382" s="15" t="s">
        <v>209</v>
      </c>
      <c r="H382" s="3" t="s">
        <v>145</v>
      </c>
      <c r="I382" s="17">
        <f>(C11)</f>
        <v>718</v>
      </c>
      <c r="J382" s="3" t="s">
        <v>209</v>
      </c>
      <c r="K382" s="17">
        <f>(F382*I382)</f>
        <v>5097.8</v>
      </c>
      <c r="O382" s="3" t="s">
        <v>771</v>
      </c>
      <c r="R382" s="17">
        <f>SUM(R375:R380)</f>
        <v>1789.5100000000002</v>
      </c>
      <c r="S382" s="9">
        <v>7.1</v>
      </c>
      <c r="T382" s="5" t="s">
        <v>209</v>
      </c>
      <c r="U382" s="5" t="s">
        <v>145</v>
      </c>
      <c r="V382" s="5">
        <f>I382</f>
        <v>718</v>
      </c>
      <c r="W382" s="5" t="s">
        <v>209</v>
      </c>
      <c r="X382" s="5">
        <f>V382*S382</f>
        <v>5097.8</v>
      </c>
      <c r="AC382" s="6"/>
      <c r="AF382" s="8"/>
    </row>
    <row r="383" spans="1:34" ht="24" customHeight="1">
      <c r="A383" s="26">
        <f t="shared" si="28"/>
        <v>218</v>
      </c>
      <c r="B383" s="27" t="s">
        <v>727</v>
      </c>
      <c r="C383" s="89">
        <v>14.91</v>
      </c>
      <c r="D383" s="90" t="s">
        <v>1</v>
      </c>
      <c r="F383" s="17">
        <v>7.1</v>
      </c>
      <c r="G383" s="15" t="s">
        <v>209</v>
      </c>
      <c r="H383" s="3" t="s">
        <v>146</v>
      </c>
      <c r="I383" s="17">
        <f>(C12)</f>
        <v>502</v>
      </c>
      <c r="J383" s="3" t="s">
        <v>209</v>
      </c>
      <c r="K383" s="17">
        <f>(F383*I383)</f>
        <v>3564.2</v>
      </c>
      <c r="R383" s="12" t="s">
        <v>117</v>
      </c>
      <c r="S383" s="9">
        <v>7.1</v>
      </c>
      <c r="T383" s="5" t="s">
        <v>209</v>
      </c>
      <c r="U383" s="5" t="s">
        <v>146</v>
      </c>
      <c r="V383" s="5">
        <f>I383</f>
        <v>502</v>
      </c>
      <c r="W383" s="5" t="s">
        <v>209</v>
      </c>
      <c r="X383" s="5">
        <f>V383*S383</f>
        <v>3564.2</v>
      </c>
      <c r="AC383" s="6"/>
      <c r="AD383" s="4" t="s">
        <v>537</v>
      </c>
      <c r="AF383" s="8"/>
    </row>
    <row r="384" spans="1:34" ht="24" customHeight="1">
      <c r="A384" s="26">
        <f t="shared" si="28"/>
        <v>219</v>
      </c>
      <c r="B384" s="27" t="s">
        <v>728</v>
      </c>
      <c r="C384" s="89">
        <v>17.579999999999998</v>
      </c>
      <c r="D384" s="90" t="s">
        <v>1</v>
      </c>
      <c r="F384" s="17">
        <v>21.2</v>
      </c>
      <c r="G384" s="15" t="s">
        <v>209</v>
      </c>
      <c r="H384" s="3" t="s">
        <v>147</v>
      </c>
      <c r="I384" s="17">
        <f>(C13)</f>
        <v>412</v>
      </c>
      <c r="J384" s="3" t="s">
        <v>209</v>
      </c>
      <c r="K384" s="17">
        <f>(F384*I384)</f>
        <v>8734.4</v>
      </c>
      <c r="O384" s="3" t="s">
        <v>154</v>
      </c>
      <c r="R384" s="17">
        <f>(R382/100)</f>
        <v>17.895100000000003</v>
      </c>
      <c r="S384" s="9">
        <v>21.2</v>
      </c>
      <c r="T384" s="5" t="s">
        <v>209</v>
      </c>
      <c r="U384" s="5" t="s">
        <v>147</v>
      </c>
      <c r="V384" s="5">
        <f>I384</f>
        <v>412</v>
      </c>
      <c r="W384" s="5" t="s">
        <v>209</v>
      </c>
      <c r="X384" s="5">
        <f>V384*S384</f>
        <v>8734.4</v>
      </c>
      <c r="AC384" s="6"/>
      <c r="AD384" s="12" t="s">
        <v>117</v>
      </c>
      <c r="AF384" s="8"/>
    </row>
    <row r="385" spans="1:33" ht="24" customHeight="1">
      <c r="A385" s="26">
        <f t="shared" si="28"/>
        <v>220</v>
      </c>
      <c r="B385" s="27" t="s">
        <v>730</v>
      </c>
      <c r="C385" s="89">
        <v>19.3</v>
      </c>
      <c r="D385" s="90" t="s">
        <v>1</v>
      </c>
      <c r="G385" s="15" t="s">
        <v>129</v>
      </c>
      <c r="H385" s="3" t="s">
        <v>130</v>
      </c>
      <c r="I385" s="3" t="s">
        <v>115</v>
      </c>
      <c r="J385" s="3" t="s">
        <v>129</v>
      </c>
      <c r="K385" s="17">
        <v>0</v>
      </c>
      <c r="R385" s="12" t="s">
        <v>155</v>
      </c>
      <c r="T385" s="5" t="s">
        <v>129</v>
      </c>
      <c r="U385" s="5" t="s">
        <v>130</v>
      </c>
      <c r="V385" s="5" t="s">
        <v>115</v>
      </c>
      <c r="W385" s="5" t="s">
        <v>129</v>
      </c>
      <c r="X385" s="5">
        <v>0</v>
      </c>
      <c r="AB385" s="38">
        <v>10</v>
      </c>
      <c r="AC385" s="15" t="s">
        <v>122</v>
      </c>
      <c r="AD385" s="3" t="s">
        <v>772</v>
      </c>
      <c r="AF385" s="8"/>
    </row>
    <row r="386" spans="1:33" ht="24" customHeight="1">
      <c r="A386" s="26">
        <f t="shared" si="28"/>
        <v>221</v>
      </c>
      <c r="B386" s="27" t="s">
        <v>773</v>
      </c>
      <c r="C386" s="92"/>
      <c r="D386" s="92"/>
      <c r="K386" s="12" t="s">
        <v>117</v>
      </c>
      <c r="X386" s="53" t="s">
        <v>774</v>
      </c>
      <c r="AC386" s="6"/>
      <c r="AD386" s="17" t="str">
        <f>AD309</f>
        <v>Bricks of size 23x11.4x7.5 cm</v>
      </c>
      <c r="AF386" s="8"/>
    </row>
    <row r="387" spans="1:33" ht="24" customHeight="1">
      <c r="A387" s="26">
        <f t="shared" si="28"/>
        <v>222</v>
      </c>
      <c r="B387" s="27" t="s">
        <v>727</v>
      </c>
      <c r="C387" s="89">
        <v>15.87</v>
      </c>
      <c r="D387" s="90" t="s">
        <v>1</v>
      </c>
      <c r="H387" s="3" t="s">
        <v>455</v>
      </c>
      <c r="K387" s="17">
        <f>SUM(K379:K385)</f>
        <v>55689.622000000003</v>
      </c>
      <c r="U387" s="5" t="s">
        <v>455</v>
      </c>
      <c r="X387" s="5">
        <f>SUM(X379:X386)</f>
        <v>59229.671999999999</v>
      </c>
      <c r="AC387" s="6"/>
      <c r="AD387" s="12" t="s">
        <v>117</v>
      </c>
      <c r="AF387" s="8"/>
    </row>
    <row r="388" spans="1:33" ht="24" customHeight="1">
      <c r="A388" s="26">
        <f t="shared" si="28"/>
        <v>223</v>
      </c>
      <c r="B388" s="27" t="s">
        <v>728</v>
      </c>
      <c r="C388" s="89">
        <v>20.16</v>
      </c>
      <c r="D388" s="90" t="s">
        <v>1</v>
      </c>
      <c r="K388" s="12" t="s">
        <v>117</v>
      </c>
      <c r="N388" s="3" t="s">
        <v>558</v>
      </c>
      <c r="O388" s="3" t="s">
        <v>775</v>
      </c>
      <c r="X388" s="53" t="s">
        <v>774</v>
      </c>
      <c r="AB388" s="17">
        <f>AB311</f>
        <v>4240</v>
      </c>
      <c r="AC388" s="15" t="s">
        <v>467</v>
      </c>
      <c r="AD388" s="17" t="str">
        <f>AD309</f>
        <v>Bricks of size 23x11.4x7.5 cm</v>
      </c>
      <c r="AE388" s="17">
        <f>AC42</f>
        <v>6901.95</v>
      </c>
      <c r="AF388" s="3" t="s">
        <v>468</v>
      </c>
      <c r="AG388" s="17">
        <f>(AB388*AE388)/1000</f>
        <v>29264.268</v>
      </c>
    </row>
    <row r="389" spans="1:33" ht="24" customHeight="1">
      <c r="A389" s="26">
        <f t="shared" si="28"/>
        <v>224</v>
      </c>
      <c r="B389" s="27" t="s">
        <v>730</v>
      </c>
      <c r="C389" s="89">
        <v>22.31</v>
      </c>
      <c r="D389" s="90" t="s">
        <v>1</v>
      </c>
      <c r="H389" s="3" t="s">
        <v>383</v>
      </c>
      <c r="K389" s="17">
        <f>(K387/10)</f>
        <v>5568.9621999999999</v>
      </c>
      <c r="O389" s="12" t="s">
        <v>117</v>
      </c>
      <c r="U389" s="5" t="s">
        <v>383</v>
      </c>
      <c r="X389" s="5">
        <f>X387/10</f>
        <v>5922.9672</v>
      </c>
      <c r="AB389" s="17">
        <v>1.27</v>
      </c>
      <c r="AC389" s="15" t="s">
        <v>126</v>
      </c>
      <c r="AD389" s="3" t="s">
        <v>134</v>
      </c>
      <c r="AE389" s="17">
        <f>V380</f>
        <v>3497.8</v>
      </c>
      <c r="AF389" s="3" t="s">
        <v>126</v>
      </c>
      <c r="AG389" s="17">
        <f>(AB389*AE389)</f>
        <v>4442.2060000000001</v>
      </c>
    </row>
    <row r="390" spans="1:33" ht="24" customHeight="1">
      <c r="A390" s="26">
        <f t="shared" si="28"/>
        <v>225</v>
      </c>
      <c r="B390" s="27" t="s">
        <v>776</v>
      </c>
      <c r="C390" s="88"/>
      <c r="D390" s="87" t="s">
        <v>115</v>
      </c>
      <c r="K390" s="12" t="s">
        <v>155</v>
      </c>
      <c r="M390" s="17">
        <v>7.0000000000000007E-2</v>
      </c>
      <c r="N390" s="3" t="s">
        <v>126</v>
      </c>
      <c r="O390" s="3" t="s">
        <v>508</v>
      </c>
      <c r="P390" s="17">
        <f>(C84)</f>
        <v>1297</v>
      </c>
      <c r="Q390" s="3" t="s">
        <v>126</v>
      </c>
      <c r="R390" s="17">
        <f>(M390*P390)</f>
        <v>90.79</v>
      </c>
      <c r="X390" s="53" t="s">
        <v>777</v>
      </c>
      <c r="AB390" s="17">
        <v>7</v>
      </c>
      <c r="AC390" s="15" t="s">
        <v>209</v>
      </c>
      <c r="AD390" s="3" t="s">
        <v>144</v>
      </c>
      <c r="AE390" s="17">
        <f>V381</f>
        <v>769</v>
      </c>
      <c r="AF390" s="3" t="s">
        <v>209</v>
      </c>
      <c r="AG390" s="17">
        <f>(AB390*AE390)</f>
        <v>5383</v>
      </c>
    </row>
    <row r="391" spans="1:33" ht="24" customHeight="1">
      <c r="A391" s="26">
        <f t="shared" si="28"/>
        <v>226</v>
      </c>
      <c r="B391" s="27" t="s">
        <v>778</v>
      </c>
      <c r="C391" s="25">
        <v>69.8</v>
      </c>
      <c r="D391" s="27" t="s">
        <v>203</v>
      </c>
      <c r="M391" s="17">
        <v>1.6</v>
      </c>
      <c r="N391" s="3" t="s">
        <v>209</v>
      </c>
      <c r="O391" s="3" t="s">
        <v>145</v>
      </c>
      <c r="P391" s="17">
        <f>(C11)</f>
        <v>718</v>
      </c>
      <c r="Q391" s="3" t="s">
        <v>209</v>
      </c>
      <c r="R391" s="17">
        <f>(M391*P391)</f>
        <v>1148.8</v>
      </c>
      <c r="AB391" s="17">
        <v>7.1</v>
      </c>
      <c r="AC391" s="15" t="s">
        <v>209</v>
      </c>
      <c r="AD391" s="3" t="s">
        <v>145</v>
      </c>
      <c r="AE391" s="17">
        <f>V382</f>
        <v>718</v>
      </c>
      <c r="AF391" s="3" t="s">
        <v>209</v>
      </c>
      <c r="AG391" s="17">
        <f>(AB391*AE391)</f>
        <v>5097.8</v>
      </c>
    </row>
    <row r="392" spans="1:33" ht="24" customHeight="1">
      <c r="A392" s="26">
        <f t="shared" si="28"/>
        <v>227</v>
      </c>
      <c r="B392" s="27" t="s">
        <v>779</v>
      </c>
      <c r="C392" s="25">
        <v>98.6</v>
      </c>
      <c r="D392" s="27" t="s">
        <v>203</v>
      </c>
      <c r="G392" s="15" t="s">
        <v>558</v>
      </c>
      <c r="H392" s="3" t="s">
        <v>559</v>
      </c>
      <c r="M392" s="17">
        <v>0.5</v>
      </c>
      <c r="N392" s="3" t="s">
        <v>209</v>
      </c>
      <c r="O392" s="3" t="s">
        <v>146</v>
      </c>
      <c r="P392" s="17">
        <f>(C12)</f>
        <v>502</v>
      </c>
      <c r="Q392" s="3" t="s">
        <v>209</v>
      </c>
      <c r="R392" s="17">
        <f>(M392*P392)</f>
        <v>251</v>
      </c>
      <c r="T392" s="5" t="s">
        <v>558</v>
      </c>
      <c r="U392" s="5" t="s">
        <v>780</v>
      </c>
      <c r="AB392" s="17">
        <v>7.1</v>
      </c>
      <c r="AC392" s="15" t="s">
        <v>209</v>
      </c>
      <c r="AD392" s="3" t="s">
        <v>146</v>
      </c>
      <c r="AE392" s="17">
        <f>V383</f>
        <v>502</v>
      </c>
      <c r="AF392" s="3" t="s">
        <v>209</v>
      </c>
      <c r="AG392" s="17">
        <f>(AB392*AE392)</f>
        <v>3564.2</v>
      </c>
    </row>
    <row r="393" spans="1:33" ht="24" customHeight="1">
      <c r="A393" s="26">
        <f t="shared" si="28"/>
        <v>228</v>
      </c>
      <c r="B393" s="27" t="s">
        <v>781</v>
      </c>
      <c r="C393" s="25">
        <v>128</v>
      </c>
      <c r="D393" s="27" t="s">
        <v>203</v>
      </c>
      <c r="H393" s="12" t="s">
        <v>117</v>
      </c>
      <c r="M393" s="17">
        <v>2.7</v>
      </c>
      <c r="N393" s="3" t="s">
        <v>209</v>
      </c>
      <c r="O393" s="3" t="s">
        <v>147</v>
      </c>
      <c r="P393" s="17">
        <f>(C13)</f>
        <v>412</v>
      </c>
      <c r="Q393" s="3" t="s">
        <v>209</v>
      </c>
      <c r="R393" s="17">
        <f>(M393*P393)</f>
        <v>1112.4000000000001</v>
      </c>
      <c r="U393" s="5" t="s">
        <v>117</v>
      </c>
      <c r="AB393" s="17">
        <v>21.2</v>
      </c>
      <c r="AC393" s="15" t="s">
        <v>209</v>
      </c>
      <c r="AD393" s="3" t="s">
        <v>147</v>
      </c>
      <c r="AE393" s="17">
        <f>V384</f>
        <v>412</v>
      </c>
      <c r="AF393" s="3" t="s">
        <v>209</v>
      </c>
      <c r="AG393" s="17">
        <f>(AB393*AE393)</f>
        <v>8734.4</v>
      </c>
    </row>
    <row r="394" spans="1:33" ht="24" customHeight="1">
      <c r="A394" s="26">
        <f t="shared" si="28"/>
        <v>229</v>
      </c>
      <c r="B394" s="27" t="s">
        <v>782</v>
      </c>
      <c r="C394" s="25">
        <v>151.4</v>
      </c>
      <c r="D394" s="27" t="s">
        <v>203</v>
      </c>
      <c r="F394" s="17">
        <v>1.1000000000000001</v>
      </c>
      <c r="G394" s="15" t="s">
        <v>126</v>
      </c>
      <c r="H394" s="3" t="s">
        <v>565</v>
      </c>
      <c r="I394" s="17">
        <f>(K389)</f>
        <v>5568.9621999999999</v>
      </c>
      <c r="J394" s="3" t="s">
        <v>126</v>
      </c>
      <c r="K394" s="17">
        <f>(F394*I394)</f>
        <v>6125.8584200000005</v>
      </c>
      <c r="N394" s="3" t="s">
        <v>129</v>
      </c>
      <c r="O394" s="3" t="s">
        <v>769</v>
      </c>
      <c r="P394" s="3" t="s">
        <v>115</v>
      </c>
      <c r="Q394" s="3" t="s">
        <v>129</v>
      </c>
      <c r="R394" s="17">
        <v>2.09</v>
      </c>
      <c r="S394" s="9">
        <v>1.1200000000000001</v>
      </c>
      <c r="T394" s="5" t="s">
        <v>126</v>
      </c>
      <c r="U394" s="5" t="s">
        <v>565</v>
      </c>
      <c r="V394" s="5">
        <f>X389</f>
        <v>5922.9672</v>
      </c>
      <c r="W394" s="5" t="s">
        <v>126</v>
      </c>
      <c r="X394" s="5">
        <f>V394*S394</f>
        <v>6633.7232640000011</v>
      </c>
      <c r="AC394" s="15" t="s">
        <v>129</v>
      </c>
      <c r="AD394" s="3" t="s">
        <v>130</v>
      </c>
      <c r="AE394" s="3" t="s">
        <v>115</v>
      </c>
      <c r="AF394" s="3" t="s">
        <v>129</v>
      </c>
      <c r="AG394" s="17">
        <v>0</v>
      </c>
    </row>
    <row r="395" spans="1:33" ht="24" customHeight="1">
      <c r="A395" s="26">
        <f t="shared" si="28"/>
        <v>230</v>
      </c>
      <c r="B395" s="27" t="s">
        <v>783</v>
      </c>
      <c r="C395" s="25">
        <v>163</v>
      </c>
      <c r="D395" s="27" t="s">
        <v>203</v>
      </c>
      <c r="F395" s="17">
        <v>1</v>
      </c>
      <c r="G395" s="15" t="s">
        <v>1</v>
      </c>
      <c r="H395" s="3" t="s">
        <v>144</v>
      </c>
      <c r="I395" s="17">
        <f>(C10)</f>
        <v>769</v>
      </c>
      <c r="J395" s="3" t="s">
        <v>209</v>
      </c>
      <c r="K395" s="17">
        <f>(F395*I395)</f>
        <v>769</v>
      </c>
      <c r="R395" s="12" t="s">
        <v>117</v>
      </c>
      <c r="S395" s="9">
        <v>1</v>
      </c>
      <c r="T395" s="5" t="s">
        <v>1</v>
      </c>
      <c r="U395" s="5" t="s">
        <v>144</v>
      </c>
      <c r="V395" s="5">
        <f>I395</f>
        <v>769</v>
      </c>
      <c r="W395" s="5" t="s">
        <v>209</v>
      </c>
      <c r="X395" s="5">
        <f>V395*S395</f>
        <v>769</v>
      </c>
      <c r="AC395" s="6"/>
      <c r="AF395" s="8"/>
      <c r="AG395" s="12" t="s">
        <v>117</v>
      </c>
    </row>
    <row r="396" spans="1:33" ht="24" customHeight="1">
      <c r="A396" s="26">
        <f t="shared" si="28"/>
        <v>231</v>
      </c>
      <c r="B396" s="27" t="s">
        <v>727</v>
      </c>
      <c r="C396" s="25">
        <v>209</v>
      </c>
      <c r="D396" s="27" t="s">
        <v>203</v>
      </c>
      <c r="G396" s="15" t="s">
        <v>129</v>
      </c>
      <c r="H396" s="3" t="s">
        <v>130</v>
      </c>
      <c r="I396" s="3" t="s">
        <v>115</v>
      </c>
      <c r="J396" s="3" t="s">
        <v>129</v>
      </c>
      <c r="K396" s="17">
        <v>0</v>
      </c>
      <c r="O396" s="3" t="s">
        <v>771</v>
      </c>
      <c r="R396" s="17">
        <f>SUM(R389:R394)</f>
        <v>2605.08</v>
      </c>
      <c r="T396" s="5" t="s">
        <v>129</v>
      </c>
      <c r="U396" s="5" t="s">
        <v>130</v>
      </c>
      <c r="V396" s="5" t="s">
        <v>115</v>
      </c>
      <c r="W396" s="5" t="s">
        <v>129</v>
      </c>
      <c r="X396" s="5">
        <v>0</v>
      </c>
      <c r="AC396" s="6"/>
      <c r="AD396" s="3" t="s">
        <v>455</v>
      </c>
      <c r="AF396" s="8"/>
      <c r="AG396" s="17">
        <f>SUM(AG388:AG394)</f>
        <v>56485.874000000003</v>
      </c>
    </row>
    <row r="397" spans="1:33" ht="24" customHeight="1">
      <c r="A397" s="26">
        <f t="shared" si="28"/>
        <v>232</v>
      </c>
      <c r="B397" s="27" t="s">
        <v>784</v>
      </c>
      <c r="C397" s="25">
        <v>244.4</v>
      </c>
      <c r="D397" s="27" t="s">
        <v>203</v>
      </c>
      <c r="K397" s="12" t="s">
        <v>117</v>
      </c>
      <c r="R397" s="12" t="s">
        <v>117</v>
      </c>
      <c r="X397" s="53" t="s">
        <v>774</v>
      </c>
      <c r="AC397" s="6"/>
      <c r="AF397" s="8"/>
      <c r="AG397" s="12" t="s">
        <v>117</v>
      </c>
    </row>
    <row r="398" spans="1:33" ht="24" customHeight="1">
      <c r="A398" s="26">
        <f t="shared" si="28"/>
        <v>233</v>
      </c>
      <c r="B398" s="27" t="s">
        <v>785</v>
      </c>
      <c r="C398" s="39"/>
      <c r="D398" s="39"/>
      <c r="H398" s="3" t="s">
        <v>153</v>
      </c>
      <c r="K398" s="17">
        <f>SUM(K394:K396)</f>
        <v>6894.8584200000005</v>
      </c>
      <c r="O398" s="3" t="s">
        <v>154</v>
      </c>
      <c r="R398" s="17">
        <f>(R396/100)</f>
        <v>26.050799999999999</v>
      </c>
      <c r="U398" s="5" t="s">
        <v>153</v>
      </c>
      <c r="X398" s="5">
        <f>SUM(X394:X396)</f>
        <v>7402.7232640000011</v>
      </c>
      <c r="AC398" s="6"/>
      <c r="AD398" s="3" t="s">
        <v>383</v>
      </c>
      <c r="AF398" s="8"/>
      <c r="AG398" s="17">
        <f>(AG396/10)</f>
        <v>5648.5874000000003</v>
      </c>
    </row>
    <row r="399" spans="1:33" ht="24" customHeight="1">
      <c r="A399" s="26">
        <f t="shared" si="28"/>
        <v>234</v>
      </c>
      <c r="B399" s="27" t="s">
        <v>786</v>
      </c>
      <c r="C399" s="25">
        <v>13.6</v>
      </c>
      <c r="D399" s="27" t="s">
        <v>209</v>
      </c>
      <c r="K399" s="12" t="s">
        <v>117</v>
      </c>
      <c r="R399" s="12" t="s">
        <v>155</v>
      </c>
      <c r="X399" s="53" t="s">
        <v>774</v>
      </c>
      <c r="AC399" s="6"/>
      <c r="AF399" s="8"/>
      <c r="AG399" s="12" t="s">
        <v>155</v>
      </c>
    </row>
    <row r="400" spans="1:33" ht="24" customHeight="1">
      <c r="A400" s="26">
        <f t="shared" si="28"/>
        <v>235</v>
      </c>
      <c r="B400" s="27" t="s">
        <v>779</v>
      </c>
      <c r="C400" s="25">
        <v>23.2</v>
      </c>
      <c r="D400" s="27" t="s">
        <v>209</v>
      </c>
      <c r="H400" s="3" t="s">
        <v>154</v>
      </c>
      <c r="K400" s="16">
        <f>(K398/10)</f>
        <v>689.48584200000005</v>
      </c>
      <c r="N400" s="3" t="s">
        <v>558</v>
      </c>
      <c r="O400" s="3" t="s">
        <v>787</v>
      </c>
      <c r="U400" s="5" t="s">
        <v>154</v>
      </c>
      <c r="X400" s="5">
        <f>X398/10</f>
        <v>740.27232640000011</v>
      </c>
      <c r="AC400" s="6"/>
      <c r="AF400" s="8"/>
    </row>
    <row r="401" spans="1:33" ht="24" customHeight="1">
      <c r="A401" s="26">
        <f t="shared" si="28"/>
        <v>236</v>
      </c>
      <c r="B401" s="27" t="s">
        <v>781</v>
      </c>
      <c r="C401" s="25">
        <v>52</v>
      </c>
      <c r="D401" s="27" t="s">
        <v>209</v>
      </c>
      <c r="K401" s="12" t="s">
        <v>155</v>
      </c>
      <c r="O401" s="12" t="s">
        <v>117</v>
      </c>
      <c r="X401" s="53" t="s">
        <v>777</v>
      </c>
      <c r="AC401" s="15" t="s">
        <v>558</v>
      </c>
      <c r="AD401" s="3" t="s">
        <v>788</v>
      </c>
      <c r="AF401" s="8"/>
    </row>
    <row r="402" spans="1:33" ht="24" customHeight="1">
      <c r="A402" s="26">
        <f t="shared" si="28"/>
        <v>237</v>
      </c>
      <c r="B402" s="27" t="s">
        <v>782</v>
      </c>
      <c r="C402" s="25">
        <v>69.8</v>
      </c>
      <c r="D402" s="27" t="s">
        <v>209</v>
      </c>
      <c r="H402" s="3" t="s">
        <v>482</v>
      </c>
      <c r="J402" s="8">
        <f>K402-K400</f>
        <v>6.5119999999999436</v>
      </c>
      <c r="K402" s="16">
        <f>(K400+C19/10*F394)</f>
        <v>695.99784199999999</v>
      </c>
      <c r="M402" s="17">
        <v>10</v>
      </c>
      <c r="N402" s="3" t="s">
        <v>140</v>
      </c>
      <c r="O402" s="3" t="s">
        <v>775</v>
      </c>
      <c r="P402" s="17">
        <f>(R398)</f>
        <v>26.050799999999999</v>
      </c>
      <c r="Q402" s="3" t="s">
        <v>140</v>
      </c>
      <c r="R402" s="17">
        <f>(M402*P402)</f>
        <v>260.50799999999998</v>
      </c>
      <c r="U402" s="50" t="s">
        <v>482</v>
      </c>
      <c r="W402" s="5">
        <f>0.112*C19</f>
        <v>6.6304000000000007</v>
      </c>
      <c r="X402" s="50">
        <f>X400+W402</f>
        <v>746.90272640000012</v>
      </c>
      <c r="AC402" s="6"/>
      <c r="AD402" s="12" t="s">
        <v>117</v>
      </c>
      <c r="AF402" s="8"/>
    </row>
    <row r="403" spans="1:33" ht="24" customHeight="1">
      <c r="A403" s="26">
        <f t="shared" si="28"/>
        <v>238</v>
      </c>
      <c r="B403" s="27" t="s">
        <v>783</v>
      </c>
      <c r="C403" s="25">
        <v>87</v>
      </c>
      <c r="D403" s="27" t="s">
        <v>209</v>
      </c>
      <c r="H403" s="3" t="s">
        <v>486</v>
      </c>
      <c r="J403" s="8">
        <f>K403-K402</f>
        <v>13.123000000000047</v>
      </c>
      <c r="K403" s="16">
        <f>(K402+C20/10*F394)</f>
        <v>709.12084200000004</v>
      </c>
      <c r="M403" s="17">
        <v>10</v>
      </c>
      <c r="N403" s="3" t="s">
        <v>140</v>
      </c>
      <c r="O403" s="3" t="s">
        <v>789</v>
      </c>
      <c r="P403" s="17">
        <f>(R398/2)</f>
        <v>13.025399999999999</v>
      </c>
      <c r="Q403" s="3" t="s">
        <v>140</v>
      </c>
      <c r="R403" s="17">
        <f>(M403*P403)</f>
        <v>130.25399999999999</v>
      </c>
      <c r="U403" s="50" t="s">
        <v>486</v>
      </c>
      <c r="W403" s="5">
        <f>0.112*C20</f>
        <v>13.361599999999999</v>
      </c>
      <c r="X403" s="50">
        <f>X402+W403</f>
        <v>760.26432640000007</v>
      </c>
      <c r="AB403" s="17">
        <v>1.1399999999999999</v>
      </c>
      <c r="AC403" s="15" t="s">
        <v>126</v>
      </c>
      <c r="AD403" s="3" t="s">
        <v>565</v>
      </c>
      <c r="AE403" s="17">
        <f>(AG398)</f>
        <v>5648.5874000000003</v>
      </c>
      <c r="AF403" s="3" t="s">
        <v>126</v>
      </c>
      <c r="AG403" s="17">
        <f>(AB403*AE403)</f>
        <v>6439.3896359999999</v>
      </c>
    </row>
    <row r="404" spans="1:33" ht="24" customHeight="1">
      <c r="A404" s="26">
        <f t="shared" si="28"/>
        <v>239</v>
      </c>
      <c r="B404" s="27" t="s">
        <v>727</v>
      </c>
      <c r="C404" s="25">
        <v>116.3</v>
      </c>
      <c r="D404" s="27" t="s">
        <v>209</v>
      </c>
      <c r="H404" s="3" t="s">
        <v>489</v>
      </c>
      <c r="K404" s="16">
        <f>(K403+C21/10*F394)</f>
        <v>722.24384200000009</v>
      </c>
      <c r="O404" s="3" t="s">
        <v>790</v>
      </c>
      <c r="R404" s="12" t="s">
        <v>117</v>
      </c>
      <c r="U404" s="50" t="s">
        <v>489</v>
      </c>
      <c r="W404" s="5">
        <f>W403</f>
        <v>13.361599999999999</v>
      </c>
      <c r="X404" s="50">
        <f>X403+W404</f>
        <v>773.62592640000003</v>
      </c>
      <c r="AB404" s="17">
        <v>1</v>
      </c>
      <c r="AC404" s="15" t="s">
        <v>1</v>
      </c>
      <c r="AD404" s="3" t="s">
        <v>144</v>
      </c>
      <c r="AE404" s="17">
        <f>AE390</f>
        <v>769</v>
      </c>
      <c r="AF404" s="3" t="s">
        <v>209</v>
      </c>
      <c r="AG404" s="17">
        <f>(AB404*AE404)</f>
        <v>769</v>
      </c>
    </row>
    <row r="405" spans="1:33" ht="24" customHeight="1">
      <c r="A405" s="26">
        <f t="shared" si="28"/>
        <v>240</v>
      </c>
      <c r="B405" s="94" t="s">
        <v>791</v>
      </c>
      <c r="C405" s="95">
        <v>246</v>
      </c>
      <c r="D405" s="96" t="s">
        <v>209</v>
      </c>
      <c r="H405" s="3" t="s">
        <v>491</v>
      </c>
      <c r="K405" s="16">
        <f>(K404+C21/10*F394)</f>
        <v>735.36684200000013</v>
      </c>
      <c r="R405" s="17">
        <f>SUM(R402:R403)</f>
        <v>390.76199999999994</v>
      </c>
      <c r="U405" s="50" t="s">
        <v>491</v>
      </c>
      <c r="W405" s="5">
        <f>W403</f>
        <v>13.361599999999999</v>
      </c>
      <c r="X405" s="50">
        <f>X404+W405</f>
        <v>786.98752639999998</v>
      </c>
      <c r="AC405" s="15" t="s">
        <v>129</v>
      </c>
      <c r="AD405" s="3" t="s">
        <v>130</v>
      </c>
      <c r="AE405" s="3" t="s">
        <v>115</v>
      </c>
      <c r="AF405" s="3" t="s">
        <v>129</v>
      </c>
      <c r="AG405" s="17">
        <v>0</v>
      </c>
    </row>
    <row r="406" spans="1:33" ht="24" customHeight="1">
      <c r="A406" s="26">
        <f t="shared" si="28"/>
        <v>241</v>
      </c>
      <c r="B406" s="27" t="s">
        <v>792</v>
      </c>
      <c r="C406" s="39"/>
      <c r="D406" s="27" t="s">
        <v>115</v>
      </c>
      <c r="H406" s="3" t="s">
        <v>576</v>
      </c>
      <c r="K406" s="16">
        <f>(K405+C21/10*F394)</f>
        <v>748.48984200000018</v>
      </c>
      <c r="L406" s="5">
        <f>K406-K405</f>
        <v>13.123000000000047</v>
      </c>
      <c r="O406" s="3" t="s">
        <v>153</v>
      </c>
      <c r="R406" s="12" t="s">
        <v>117</v>
      </c>
      <c r="U406" s="50" t="s">
        <v>576</v>
      </c>
      <c r="W406" s="5">
        <f>W405</f>
        <v>13.361599999999999</v>
      </c>
      <c r="X406" s="50">
        <f>X405+W406</f>
        <v>800.34912639999993</v>
      </c>
      <c r="AC406" s="6"/>
      <c r="AF406" s="8"/>
      <c r="AG406" s="12" t="s">
        <v>117</v>
      </c>
    </row>
    <row r="407" spans="1:33" ht="24" customHeight="1">
      <c r="A407" s="26">
        <f t="shared" si="28"/>
        <v>242</v>
      </c>
      <c r="B407" s="27" t="s">
        <v>786</v>
      </c>
      <c r="C407" s="25">
        <v>13.6</v>
      </c>
      <c r="D407" s="27" t="s">
        <v>209</v>
      </c>
      <c r="F407" s="38">
        <v>11</v>
      </c>
      <c r="G407" s="15" t="s">
        <v>122</v>
      </c>
      <c r="H407" s="3" t="s">
        <v>793</v>
      </c>
      <c r="L407" s="5">
        <f>K406+L406</f>
        <v>761.61284200000023</v>
      </c>
      <c r="R407" s="17">
        <f>(R405/10)</f>
        <v>39.076199999999993</v>
      </c>
      <c r="S407" s="9">
        <v>11</v>
      </c>
      <c r="T407" s="5" t="s">
        <v>122</v>
      </c>
      <c r="U407" s="5" t="s">
        <v>793</v>
      </c>
      <c r="AC407" s="6"/>
      <c r="AD407" s="3" t="s">
        <v>153</v>
      </c>
      <c r="AF407" s="8"/>
      <c r="AG407" s="17">
        <f>SUM(AG403:AG405)</f>
        <v>7208.3896359999999</v>
      </c>
    </row>
    <row r="408" spans="1:33" ht="24" customHeight="1">
      <c r="A408" s="26">
        <f t="shared" si="28"/>
        <v>243</v>
      </c>
      <c r="B408" s="27" t="s">
        <v>779</v>
      </c>
      <c r="C408" s="25">
        <v>15.9</v>
      </c>
      <c r="D408" s="27" t="s">
        <v>209</v>
      </c>
      <c r="H408" s="17" t="str">
        <f>H309</f>
        <v>Bricks of size 22x11x7 cm</v>
      </c>
      <c r="O408" s="3" t="s">
        <v>154</v>
      </c>
      <c r="R408" s="12" t="s">
        <v>155</v>
      </c>
      <c r="U408" s="5" t="s">
        <v>725</v>
      </c>
      <c r="AC408" s="6"/>
      <c r="AF408" s="8"/>
      <c r="AG408" s="12" t="s">
        <v>117</v>
      </c>
    </row>
    <row r="409" spans="1:33" ht="24" customHeight="1">
      <c r="A409" s="26">
        <f t="shared" si="28"/>
        <v>244</v>
      </c>
      <c r="B409" s="27" t="s">
        <v>781</v>
      </c>
      <c r="C409" s="25">
        <v>28.6</v>
      </c>
      <c r="D409" s="27" t="s">
        <v>209</v>
      </c>
      <c r="H409" s="12" t="s">
        <v>117</v>
      </c>
      <c r="U409" s="5" t="s">
        <v>117</v>
      </c>
      <c r="AC409" s="6"/>
      <c r="AD409" s="3" t="s">
        <v>154</v>
      </c>
      <c r="AF409" s="8"/>
      <c r="AG409" s="16">
        <f>(AG407/10)</f>
        <v>720.83896359999994</v>
      </c>
    </row>
    <row r="410" spans="1:33" ht="24" customHeight="1">
      <c r="A410" s="26">
        <f t="shared" si="28"/>
        <v>245</v>
      </c>
      <c r="B410" s="27" t="s">
        <v>782</v>
      </c>
      <c r="C410" s="25">
        <v>46.5</v>
      </c>
      <c r="D410" s="27" t="s">
        <v>209</v>
      </c>
      <c r="F410" s="17">
        <f>F311</f>
        <v>4800</v>
      </c>
      <c r="G410" s="15" t="s">
        <v>467</v>
      </c>
      <c r="H410" s="17" t="str">
        <f>H309</f>
        <v>Bricks of size 22x11x7 cm</v>
      </c>
      <c r="I410" s="17">
        <f>(C80)</f>
        <v>5697.65</v>
      </c>
      <c r="J410" s="3" t="s">
        <v>582</v>
      </c>
      <c r="K410" s="17">
        <f>(F410*I410)/1000</f>
        <v>27348.720000000001</v>
      </c>
      <c r="N410" s="3" t="s">
        <v>122</v>
      </c>
      <c r="O410" s="3" t="s">
        <v>794</v>
      </c>
      <c r="S410" s="9">
        <v>4600</v>
      </c>
      <c r="T410" s="5" t="s">
        <v>467</v>
      </c>
      <c r="U410" s="5" t="s">
        <v>725</v>
      </c>
      <c r="V410" s="5">
        <f t="shared" ref="V410:V415" si="30">V379</f>
        <v>6714.95</v>
      </c>
      <c r="W410" s="5" t="s">
        <v>582</v>
      </c>
      <c r="X410" s="5">
        <f>V410*S410/1000</f>
        <v>30888.77</v>
      </c>
      <c r="AC410" s="6"/>
      <c r="AF410" s="8"/>
      <c r="AG410" s="12" t="s">
        <v>155</v>
      </c>
    </row>
    <row r="411" spans="1:33" ht="24" customHeight="1">
      <c r="A411" s="26">
        <f t="shared" ref="A411:A421" si="31">(A410+1)</f>
        <v>246</v>
      </c>
      <c r="B411" s="27" t="s">
        <v>783</v>
      </c>
      <c r="C411" s="25">
        <v>58.1</v>
      </c>
      <c r="D411" s="27" t="s">
        <v>209</v>
      </c>
      <c r="F411" s="17">
        <f>F380</f>
        <v>1.59</v>
      </c>
      <c r="G411" s="15" t="s">
        <v>126</v>
      </c>
      <c r="H411" s="3" t="s">
        <v>134</v>
      </c>
      <c r="I411" s="17">
        <f>(K40)</f>
        <v>3497.8</v>
      </c>
      <c r="J411" s="3" t="s">
        <v>126</v>
      </c>
      <c r="K411" s="17">
        <f>(F411*I411)</f>
        <v>5561.5020000000004</v>
      </c>
      <c r="O411" s="3" t="s">
        <v>795</v>
      </c>
      <c r="S411" s="9">
        <v>1.59</v>
      </c>
      <c r="T411" s="5" t="s">
        <v>126</v>
      </c>
      <c r="U411" s="5" t="s">
        <v>134</v>
      </c>
      <c r="V411" s="5">
        <f t="shared" si="30"/>
        <v>3497.8</v>
      </c>
      <c r="W411" s="5" t="s">
        <v>126</v>
      </c>
      <c r="X411" s="5">
        <f t="shared" ref="X411:X416" si="32">V411*S411</f>
        <v>5561.5020000000004</v>
      </c>
      <c r="AC411" s="6"/>
      <c r="AD411" s="3" t="s">
        <v>482</v>
      </c>
      <c r="AF411" s="8">
        <f>C19*0.114</f>
        <v>6.7488000000000001</v>
      </c>
      <c r="AG411" s="16">
        <f>AG409+AF411</f>
        <v>727.5877635999999</v>
      </c>
    </row>
    <row r="412" spans="1:33" ht="24" customHeight="1">
      <c r="A412" s="26">
        <f t="shared" si="31"/>
        <v>247</v>
      </c>
      <c r="B412" s="27" t="s">
        <v>727</v>
      </c>
      <c r="C412" s="25">
        <v>69.8</v>
      </c>
      <c r="D412" s="27" t="s">
        <v>209</v>
      </c>
      <c r="F412" s="17">
        <v>7</v>
      </c>
      <c r="G412" s="15" t="s">
        <v>209</v>
      </c>
      <c r="H412" s="3" t="s">
        <v>144</v>
      </c>
      <c r="I412" s="17">
        <f>(C10)</f>
        <v>769</v>
      </c>
      <c r="J412" s="3" t="s">
        <v>209</v>
      </c>
      <c r="K412" s="17">
        <f>(F412*I412)</f>
        <v>5383</v>
      </c>
      <c r="O412" s="12" t="s">
        <v>117</v>
      </c>
      <c r="S412" s="9">
        <v>7</v>
      </c>
      <c r="T412" s="5" t="s">
        <v>209</v>
      </c>
      <c r="U412" s="5" t="s">
        <v>144</v>
      </c>
      <c r="V412" s="5">
        <f t="shared" si="30"/>
        <v>769</v>
      </c>
      <c r="W412" s="5" t="s">
        <v>209</v>
      </c>
      <c r="X412" s="5">
        <f t="shared" si="32"/>
        <v>5383</v>
      </c>
      <c r="AC412" s="6"/>
      <c r="AD412" s="3" t="s">
        <v>486</v>
      </c>
      <c r="AF412" s="8">
        <f>C20*0.114</f>
        <v>13.600200000000001</v>
      </c>
      <c r="AG412" s="16">
        <f t="shared" ref="AG412:AG420" si="33">AG411+AF412</f>
        <v>741.18796359999988</v>
      </c>
    </row>
    <row r="413" spans="1:33" ht="24" customHeight="1">
      <c r="A413" s="26">
        <f t="shared" si="31"/>
        <v>248</v>
      </c>
      <c r="B413" s="94" t="s">
        <v>796</v>
      </c>
      <c r="C413" s="95">
        <v>212</v>
      </c>
      <c r="D413" s="96" t="s">
        <v>209</v>
      </c>
      <c r="F413" s="17">
        <v>7.1</v>
      </c>
      <c r="G413" s="15" t="s">
        <v>209</v>
      </c>
      <c r="H413" s="3" t="s">
        <v>145</v>
      </c>
      <c r="I413" s="17">
        <f>(C11)</f>
        <v>718</v>
      </c>
      <c r="J413" s="3" t="s">
        <v>209</v>
      </c>
      <c r="K413" s="17">
        <f>(F413*I413)</f>
        <v>5097.8</v>
      </c>
      <c r="M413" s="17">
        <v>10</v>
      </c>
      <c r="N413" s="3" t="s">
        <v>140</v>
      </c>
      <c r="O413" s="3" t="s">
        <v>765</v>
      </c>
      <c r="P413" s="17">
        <f>(R384)</f>
        <v>17.895100000000003</v>
      </c>
      <c r="Q413" s="3" t="s">
        <v>140</v>
      </c>
      <c r="R413" s="17">
        <f>(M413*P413)</f>
        <v>178.95100000000002</v>
      </c>
      <c r="S413" s="9">
        <v>7.1</v>
      </c>
      <c r="T413" s="5" t="s">
        <v>209</v>
      </c>
      <c r="U413" s="5" t="s">
        <v>145</v>
      </c>
      <c r="V413" s="5">
        <f t="shared" si="30"/>
        <v>718</v>
      </c>
      <c r="W413" s="5" t="s">
        <v>209</v>
      </c>
      <c r="X413" s="5">
        <f t="shared" si="32"/>
        <v>5097.8</v>
      </c>
      <c r="AC413" s="6"/>
      <c r="AD413" s="3" t="s">
        <v>489</v>
      </c>
      <c r="AF413" s="8">
        <f t="shared" ref="AF413:AF422" si="34">AF412</f>
        <v>13.600200000000001</v>
      </c>
      <c r="AG413" s="16">
        <f t="shared" si="33"/>
        <v>754.78816359999985</v>
      </c>
    </row>
    <row r="414" spans="1:33" ht="24" customHeight="1">
      <c r="A414" s="26">
        <f t="shared" si="31"/>
        <v>249</v>
      </c>
      <c r="B414" s="97" t="s">
        <v>797</v>
      </c>
      <c r="C414" s="39"/>
      <c r="D414" s="27" t="s">
        <v>115</v>
      </c>
      <c r="F414" s="17">
        <v>7.1</v>
      </c>
      <c r="G414" s="15" t="s">
        <v>209</v>
      </c>
      <c r="H414" s="3" t="s">
        <v>146</v>
      </c>
      <c r="I414" s="17">
        <f>(C12)</f>
        <v>502</v>
      </c>
      <c r="J414" s="3" t="s">
        <v>209</v>
      </c>
      <c r="K414" s="17">
        <f>(F414*I414)</f>
        <v>3564.2</v>
      </c>
      <c r="M414" s="17">
        <v>10</v>
      </c>
      <c r="N414" s="3" t="s">
        <v>140</v>
      </c>
      <c r="O414" s="3" t="s">
        <v>787</v>
      </c>
      <c r="P414" s="17">
        <f>(R407)</f>
        <v>39.076199999999993</v>
      </c>
      <c r="Q414" s="3" t="s">
        <v>140</v>
      </c>
      <c r="R414" s="17">
        <f>(M414*P414)</f>
        <v>390.76199999999994</v>
      </c>
      <c r="S414" s="9">
        <v>7.1</v>
      </c>
      <c r="T414" s="5" t="s">
        <v>209</v>
      </c>
      <c r="U414" s="5" t="s">
        <v>146</v>
      </c>
      <c r="V414" s="5">
        <f t="shared" si="30"/>
        <v>502</v>
      </c>
      <c r="W414" s="5" t="s">
        <v>209</v>
      </c>
      <c r="X414" s="5">
        <f t="shared" si="32"/>
        <v>3564.2</v>
      </c>
      <c r="AC414" s="6"/>
      <c r="AD414" s="3" t="s">
        <v>491</v>
      </c>
      <c r="AF414" s="8">
        <f t="shared" si="34"/>
        <v>13.600200000000001</v>
      </c>
      <c r="AG414" s="16">
        <f t="shared" si="33"/>
        <v>768.38836359999982</v>
      </c>
    </row>
    <row r="415" spans="1:33" ht="24" customHeight="1">
      <c r="A415" s="26">
        <f t="shared" si="31"/>
        <v>250</v>
      </c>
      <c r="B415" s="27" t="s">
        <v>786</v>
      </c>
      <c r="C415" s="25">
        <v>15.9</v>
      </c>
      <c r="D415" s="27" t="s">
        <v>209</v>
      </c>
      <c r="F415" s="17">
        <v>21.2</v>
      </c>
      <c r="G415" s="15" t="s">
        <v>209</v>
      </c>
      <c r="H415" s="3" t="s">
        <v>147</v>
      </c>
      <c r="I415" s="17">
        <f>(C13)</f>
        <v>412</v>
      </c>
      <c r="J415" s="3" t="s">
        <v>209</v>
      </c>
      <c r="K415" s="17">
        <f>(F415*I415)</f>
        <v>8734.4</v>
      </c>
      <c r="O415" s="3" t="s">
        <v>115</v>
      </c>
      <c r="R415" s="12" t="s">
        <v>117</v>
      </c>
      <c r="S415" s="9">
        <v>21.2</v>
      </c>
      <c r="T415" s="5" t="s">
        <v>209</v>
      </c>
      <c r="U415" s="5" t="s">
        <v>147</v>
      </c>
      <c r="V415" s="5">
        <f t="shared" si="30"/>
        <v>412</v>
      </c>
      <c r="W415" s="5" t="s">
        <v>209</v>
      </c>
      <c r="X415" s="5">
        <f t="shared" si="32"/>
        <v>8734.4</v>
      </c>
      <c r="AC415" s="6"/>
      <c r="AD415" s="3" t="s">
        <v>576</v>
      </c>
      <c r="AF415" s="8">
        <f t="shared" si="34"/>
        <v>13.600200000000001</v>
      </c>
      <c r="AG415" s="16">
        <f t="shared" si="33"/>
        <v>781.98856359999979</v>
      </c>
    </row>
    <row r="416" spans="1:33" ht="24" customHeight="1">
      <c r="A416" s="26">
        <f t="shared" si="31"/>
        <v>251</v>
      </c>
      <c r="B416" s="27" t="s">
        <v>779</v>
      </c>
      <c r="C416" s="25">
        <v>25.4</v>
      </c>
      <c r="D416" s="27" t="s">
        <v>209</v>
      </c>
      <c r="G416" s="15" t="s">
        <v>129</v>
      </c>
      <c r="H416" s="3" t="s">
        <v>130</v>
      </c>
      <c r="I416" s="3" t="s">
        <v>115</v>
      </c>
      <c r="J416" s="3" t="s">
        <v>129</v>
      </c>
      <c r="K416" s="17">
        <v>0</v>
      </c>
      <c r="R416" s="17">
        <f>SUM(R413:R414)</f>
        <v>569.71299999999997</v>
      </c>
      <c r="T416" s="5" t="s">
        <v>129</v>
      </c>
      <c r="U416" s="5" t="s">
        <v>130</v>
      </c>
      <c r="V416" s="5" t="s">
        <v>115</v>
      </c>
      <c r="W416" s="5" t="s">
        <v>129</v>
      </c>
      <c r="X416" s="5">
        <f t="shared" si="32"/>
        <v>0</v>
      </c>
      <c r="AC416" s="6"/>
      <c r="AD416" s="3" t="s">
        <v>798</v>
      </c>
      <c r="AF416" s="8">
        <f t="shared" si="34"/>
        <v>13.600200000000001</v>
      </c>
      <c r="AG416" s="16">
        <f t="shared" si="33"/>
        <v>795.58876359999977</v>
      </c>
    </row>
    <row r="417" spans="1:35" ht="24" customHeight="1">
      <c r="A417" s="26">
        <f t="shared" si="31"/>
        <v>252</v>
      </c>
      <c r="B417" s="27" t="s">
        <v>781</v>
      </c>
      <c r="C417" s="25">
        <v>58.1</v>
      </c>
      <c r="D417" s="27" t="s">
        <v>209</v>
      </c>
      <c r="K417" s="12" t="s">
        <v>117</v>
      </c>
      <c r="O417" s="3" t="s">
        <v>153</v>
      </c>
      <c r="R417" s="12" t="s">
        <v>117</v>
      </c>
      <c r="X417" s="53" t="s">
        <v>774</v>
      </c>
      <c r="AC417" s="6"/>
      <c r="AD417" s="3" t="s">
        <v>799</v>
      </c>
      <c r="AF417" s="8">
        <f t="shared" si="34"/>
        <v>13.600200000000001</v>
      </c>
      <c r="AG417" s="16">
        <f t="shared" si="33"/>
        <v>809.18896359999974</v>
      </c>
    </row>
    <row r="418" spans="1:35" ht="24" customHeight="1">
      <c r="A418" s="26">
        <f t="shared" si="31"/>
        <v>253</v>
      </c>
      <c r="B418" s="27" t="s">
        <v>782</v>
      </c>
      <c r="C418" s="25">
        <v>87</v>
      </c>
      <c r="D418" s="27" t="s">
        <v>209</v>
      </c>
      <c r="H418" s="3" t="s">
        <v>455</v>
      </c>
      <c r="K418" s="17">
        <f>SUM(K410:K416)</f>
        <v>55689.622000000003</v>
      </c>
      <c r="R418" s="17">
        <f>(R416/10)</f>
        <v>56.971299999999999</v>
      </c>
      <c r="U418" s="5" t="s">
        <v>455</v>
      </c>
      <c r="X418" s="5">
        <f>SUM(X410:X416)</f>
        <v>59229.671999999999</v>
      </c>
      <c r="AC418" s="6"/>
      <c r="AD418" s="3" t="s">
        <v>800</v>
      </c>
      <c r="AF418" s="8">
        <f t="shared" si="34"/>
        <v>13.600200000000001</v>
      </c>
      <c r="AG418" s="16">
        <f t="shared" si="33"/>
        <v>822.78916359999971</v>
      </c>
    </row>
    <row r="419" spans="1:35" ht="24" customHeight="1">
      <c r="A419" s="26">
        <f t="shared" si="31"/>
        <v>254</v>
      </c>
      <c r="B419" s="27" t="s">
        <v>783</v>
      </c>
      <c r="C419" s="25">
        <v>98.6</v>
      </c>
      <c r="D419" s="27" t="s">
        <v>209</v>
      </c>
      <c r="K419" s="12" t="s">
        <v>117</v>
      </c>
      <c r="O419" s="3" t="s">
        <v>154</v>
      </c>
      <c r="R419" s="12" t="s">
        <v>155</v>
      </c>
      <c r="X419" s="53" t="s">
        <v>774</v>
      </c>
      <c r="AC419" s="6"/>
      <c r="AD419" s="3" t="s">
        <v>801</v>
      </c>
      <c r="AF419" s="8">
        <f t="shared" si="34"/>
        <v>13.600200000000001</v>
      </c>
      <c r="AG419" s="16">
        <f>AG418+AF419</f>
        <v>836.38936359999968</v>
      </c>
    </row>
    <row r="420" spans="1:35" ht="24" customHeight="1">
      <c r="A420" s="26">
        <f t="shared" si="31"/>
        <v>255</v>
      </c>
      <c r="B420" s="27" t="s">
        <v>727</v>
      </c>
      <c r="C420" s="25">
        <v>128</v>
      </c>
      <c r="D420" s="27" t="s">
        <v>209</v>
      </c>
      <c r="H420" s="3" t="s">
        <v>383</v>
      </c>
      <c r="K420" s="17">
        <f>(K418/10)</f>
        <v>5568.9621999999999</v>
      </c>
      <c r="U420" s="5" t="s">
        <v>383</v>
      </c>
      <c r="X420" s="5">
        <f>X418/10</f>
        <v>5922.9672</v>
      </c>
      <c r="AC420" s="6"/>
      <c r="AD420" s="3" t="s">
        <v>802</v>
      </c>
      <c r="AF420" s="8">
        <f t="shared" si="34"/>
        <v>13.600200000000001</v>
      </c>
      <c r="AG420" s="16">
        <f t="shared" si="33"/>
        <v>849.98956359999966</v>
      </c>
    </row>
    <row r="421" spans="1:35" ht="24" customHeight="1">
      <c r="A421" s="26">
        <f t="shared" si="31"/>
        <v>256</v>
      </c>
      <c r="B421" s="96" t="s">
        <v>796</v>
      </c>
      <c r="C421" s="95">
        <v>283</v>
      </c>
      <c r="D421" s="96" t="s">
        <v>209</v>
      </c>
      <c r="K421" s="12" t="s">
        <v>155</v>
      </c>
      <c r="X421" s="53" t="s">
        <v>777</v>
      </c>
      <c r="AB421" s="38">
        <v>11</v>
      </c>
      <c r="AC421" s="15" t="s">
        <v>122</v>
      </c>
      <c r="AD421" s="3" t="s">
        <v>793</v>
      </c>
      <c r="AF421" s="8">
        <f t="shared" si="34"/>
        <v>13.600200000000001</v>
      </c>
      <c r="AG421" s="16">
        <f>AG420+AF421</f>
        <v>863.58976359999963</v>
      </c>
    </row>
    <row r="422" spans="1:35" ht="24" customHeight="1">
      <c r="A422" s="39"/>
      <c r="B422" s="39"/>
      <c r="C422" s="39"/>
      <c r="D422" s="39"/>
      <c r="F422" s="3" t="s">
        <v>251</v>
      </c>
      <c r="S422" s="9" t="s">
        <v>251</v>
      </c>
      <c r="AC422" s="6"/>
      <c r="AD422" s="17">
        <f>AD307</f>
        <v>0</v>
      </c>
      <c r="AF422" s="8">
        <f t="shared" si="34"/>
        <v>13.600200000000001</v>
      </c>
      <c r="AG422" s="16">
        <f>AG421+AF422</f>
        <v>877.1899635999996</v>
      </c>
      <c r="AH422" s="5" t="s">
        <v>803</v>
      </c>
      <c r="AI422" s="5">
        <f>AG422+AF422</f>
        <v>890.79016359999957</v>
      </c>
    </row>
    <row r="423" spans="1:35" ht="24" customHeight="1">
      <c r="A423" s="26">
        <f>(A421+1)</f>
        <v>257</v>
      </c>
      <c r="B423" s="97" t="s">
        <v>804</v>
      </c>
      <c r="C423" s="39"/>
      <c r="D423" s="27" t="s">
        <v>115</v>
      </c>
      <c r="O423" s="4" t="s">
        <v>805</v>
      </c>
      <c r="AC423" s="6"/>
      <c r="AD423" s="12" t="s">
        <v>117</v>
      </c>
      <c r="AF423" s="8"/>
      <c r="AH423" s="5" t="s">
        <v>806</v>
      </c>
      <c r="AI423" s="5">
        <f>AI422+AF422</f>
        <v>904.39036359999955</v>
      </c>
    </row>
    <row r="424" spans="1:35" ht="24" customHeight="1">
      <c r="A424" s="26">
        <f t="shared" ref="A424:A487" si="35">(A423+1)</f>
        <v>258</v>
      </c>
      <c r="B424" s="27" t="s">
        <v>786</v>
      </c>
      <c r="C424" s="25">
        <v>58.1</v>
      </c>
      <c r="D424" s="27" t="s">
        <v>209</v>
      </c>
      <c r="G424" s="15" t="s">
        <v>589</v>
      </c>
      <c r="H424" s="3" t="s">
        <v>590</v>
      </c>
      <c r="O424" s="12" t="s">
        <v>117</v>
      </c>
      <c r="T424" s="5" t="s">
        <v>589</v>
      </c>
      <c r="U424" s="5" t="s">
        <v>590</v>
      </c>
      <c r="AB424" s="17">
        <f>AB311</f>
        <v>4240</v>
      </c>
      <c r="AC424" s="15" t="s">
        <v>467</v>
      </c>
      <c r="AD424" s="17" t="str">
        <f>AD311</f>
        <v>Bricks of size 23x11.4x7.5 cm</v>
      </c>
      <c r="AE424" s="17">
        <f t="shared" ref="AE424:AE429" si="36">AE388</f>
        <v>6901.95</v>
      </c>
      <c r="AF424" s="3" t="s">
        <v>582</v>
      </c>
      <c r="AG424" s="17">
        <f>(AB424*AE424)/1000</f>
        <v>29264.268</v>
      </c>
    </row>
    <row r="425" spans="1:35" ht="24" customHeight="1">
      <c r="A425" s="26">
        <f t="shared" si="35"/>
        <v>259</v>
      </c>
      <c r="B425" s="27" t="s">
        <v>779</v>
      </c>
      <c r="C425" s="25">
        <v>69.8</v>
      </c>
      <c r="D425" s="27" t="s">
        <v>209</v>
      </c>
      <c r="H425" s="12" t="s">
        <v>117</v>
      </c>
      <c r="N425" s="3" t="s">
        <v>122</v>
      </c>
      <c r="O425" s="3" t="s">
        <v>807</v>
      </c>
      <c r="U425" s="5" t="s">
        <v>117</v>
      </c>
      <c r="AB425" s="17">
        <v>1.27</v>
      </c>
      <c r="AC425" s="15" t="s">
        <v>126</v>
      </c>
      <c r="AD425" s="3" t="s">
        <v>134</v>
      </c>
      <c r="AE425" s="17">
        <f t="shared" si="36"/>
        <v>3497.8</v>
      </c>
      <c r="AF425" s="3" t="s">
        <v>126</v>
      </c>
      <c r="AG425" s="17">
        <f>(AB425*AE425)</f>
        <v>4442.2060000000001</v>
      </c>
    </row>
    <row r="426" spans="1:35" ht="24" customHeight="1">
      <c r="A426" s="26">
        <f t="shared" si="35"/>
        <v>260</v>
      </c>
      <c r="B426" s="27" t="s">
        <v>781</v>
      </c>
      <c r="C426" s="25">
        <v>98.6</v>
      </c>
      <c r="D426" s="27" t="s">
        <v>209</v>
      </c>
      <c r="F426" s="17">
        <v>0.7</v>
      </c>
      <c r="G426" s="15" t="s">
        <v>126</v>
      </c>
      <c r="H426" s="3" t="s">
        <v>591</v>
      </c>
      <c r="I426" s="17">
        <f>(K420)</f>
        <v>5568.9621999999999</v>
      </c>
      <c r="J426" s="3" t="s">
        <v>209</v>
      </c>
      <c r="K426" s="17">
        <f>(F426*I426)</f>
        <v>3898.2735399999997</v>
      </c>
      <c r="O426" s="3" t="s">
        <v>808</v>
      </c>
      <c r="S426" s="9">
        <v>0.7</v>
      </c>
      <c r="T426" s="5" t="s">
        <v>126</v>
      </c>
      <c r="U426" s="5" t="s">
        <v>591</v>
      </c>
      <c r="V426" s="5">
        <f>X420</f>
        <v>5922.9672</v>
      </c>
      <c r="W426" s="5" t="s">
        <v>209</v>
      </c>
      <c r="X426" s="5">
        <f>V426*S426</f>
        <v>4146.0770400000001</v>
      </c>
      <c r="AB426" s="17">
        <v>7</v>
      </c>
      <c r="AC426" s="15" t="s">
        <v>209</v>
      </c>
      <c r="AD426" s="3" t="s">
        <v>144</v>
      </c>
      <c r="AE426" s="17">
        <f t="shared" si="36"/>
        <v>769</v>
      </c>
      <c r="AF426" s="3" t="s">
        <v>209</v>
      </c>
      <c r="AG426" s="17">
        <f>(AB426*AE426)</f>
        <v>5383</v>
      </c>
    </row>
    <row r="427" spans="1:35" ht="24" customHeight="1">
      <c r="A427" s="26">
        <f t="shared" si="35"/>
        <v>261</v>
      </c>
      <c r="B427" s="27" t="s">
        <v>782</v>
      </c>
      <c r="C427" s="25">
        <v>127.5</v>
      </c>
      <c r="D427" s="27" t="s">
        <v>209</v>
      </c>
      <c r="F427" s="17">
        <v>1</v>
      </c>
      <c r="G427" s="15" t="s">
        <v>1</v>
      </c>
      <c r="H427" s="3" t="s">
        <v>144</v>
      </c>
      <c r="I427" s="17">
        <f>(C10)</f>
        <v>769</v>
      </c>
      <c r="J427" s="3" t="s">
        <v>209</v>
      </c>
      <c r="K427" s="17">
        <f>(F427*I427)</f>
        <v>769</v>
      </c>
      <c r="O427" s="3" t="s">
        <v>809</v>
      </c>
      <c r="S427" s="9">
        <v>1</v>
      </c>
      <c r="T427" s="5" t="s">
        <v>1</v>
      </c>
      <c r="U427" s="5" t="s">
        <v>144</v>
      </c>
      <c r="V427" s="5">
        <f>V395</f>
        <v>769</v>
      </c>
      <c r="W427" s="5" t="s">
        <v>209</v>
      </c>
      <c r="X427" s="5">
        <f>V427*S427</f>
        <v>769</v>
      </c>
      <c r="AB427" s="17">
        <v>7.1</v>
      </c>
      <c r="AC427" s="15" t="s">
        <v>209</v>
      </c>
      <c r="AD427" s="3" t="s">
        <v>145</v>
      </c>
      <c r="AE427" s="17">
        <f t="shared" si="36"/>
        <v>718</v>
      </c>
      <c r="AF427" s="3" t="s">
        <v>209</v>
      </c>
      <c r="AG427" s="17">
        <f>(AB427*AE427)</f>
        <v>5097.8</v>
      </c>
    </row>
    <row r="428" spans="1:35" ht="24" customHeight="1">
      <c r="A428" s="26">
        <f t="shared" si="35"/>
        <v>262</v>
      </c>
      <c r="B428" s="27" t="s">
        <v>783</v>
      </c>
      <c r="C428" s="25">
        <v>197.5</v>
      </c>
      <c r="D428" s="27" t="s">
        <v>209</v>
      </c>
      <c r="G428" s="15" t="s">
        <v>129</v>
      </c>
      <c r="H428" s="3" t="s">
        <v>130</v>
      </c>
      <c r="I428" s="3" t="s">
        <v>115</v>
      </c>
      <c r="J428" s="3" t="s">
        <v>129</v>
      </c>
      <c r="K428" s="17">
        <v>0</v>
      </c>
      <c r="O428" s="12" t="s">
        <v>117</v>
      </c>
      <c r="T428" s="5" t="s">
        <v>129</v>
      </c>
      <c r="U428" s="5" t="s">
        <v>130</v>
      </c>
      <c r="V428" s="5" t="s">
        <v>115</v>
      </c>
      <c r="W428" s="5" t="s">
        <v>129</v>
      </c>
      <c r="X428" s="5">
        <v>0</v>
      </c>
      <c r="AB428" s="17">
        <f>AB315</f>
        <v>7.1</v>
      </c>
      <c r="AC428" s="15" t="s">
        <v>209</v>
      </c>
      <c r="AD428" s="3" t="s">
        <v>146</v>
      </c>
      <c r="AE428" s="17">
        <f t="shared" si="36"/>
        <v>502</v>
      </c>
      <c r="AF428" s="3" t="s">
        <v>209</v>
      </c>
      <c r="AG428" s="17">
        <f>(AB428*AE428)</f>
        <v>3564.2</v>
      </c>
    </row>
    <row r="429" spans="1:35" ht="39" customHeight="1">
      <c r="A429" s="26">
        <f t="shared" si="35"/>
        <v>263</v>
      </c>
      <c r="B429" s="27" t="s">
        <v>727</v>
      </c>
      <c r="C429" s="25">
        <v>266.3</v>
      </c>
      <c r="D429" s="27" t="s">
        <v>209</v>
      </c>
      <c r="K429" s="12" t="s">
        <v>117</v>
      </c>
      <c r="N429" s="3" t="s">
        <v>810</v>
      </c>
      <c r="O429" s="4" t="s">
        <v>811</v>
      </c>
      <c r="X429" s="53" t="s">
        <v>774</v>
      </c>
      <c r="AB429" s="17">
        <f>AB316</f>
        <v>21.2</v>
      </c>
      <c r="AC429" s="15" t="s">
        <v>209</v>
      </c>
      <c r="AD429" s="3" t="s">
        <v>147</v>
      </c>
      <c r="AE429" s="17">
        <f t="shared" si="36"/>
        <v>412</v>
      </c>
      <c r="AF429" s="3" t="s">
        <v>209</v>
      </c>
      <c r="AG429" s="17">
        <f>(AB429*AE429)</f>
        <v>8734.4</v>
      </c>
    </row>
    <row r="430" spans="1:35" ht="34.5" customHeight="1">
      <c r="A430" s="26">
        <f t="shared" si="35"/>
        <v>264</v>
      </c>
      <c r="B430" s="96" t="s">
        <v>812</v>
      </c>
      <c r="C430" s="95">
        <v>558</v>
      </c>
      <c r="D430" s="96" t="s">
        <v>209</v>
      </c>
      <c r="H430" s="3" t="s">
        <v>153</v>
      </c>
      <c r="K430" s="17">
        <f>SUM(K426:K428)</f>
        <v>4667.2735400000001</v>
      </c>
      <c r="O430" s="12" t="s">
        <v>117</v>
      </c>
      <c r="U430" s="5" t="s">
        <v>153</v>
      </c>
      <c r="X430" s="5">
        <f>SUM(X426:X428)</f>
        <v>4915.0770400000001</v>
      </c>
      <c r="AB430" s="17">
        <f>AB317</f>
        <v>0</v>
      </c>
      <c r="AC430" s="15" t="s">
        <v>129</v>
      </c>
      <c r="AD430" s="3" t="s">
        <v>130</v>
      </c>
      <c r="AE430" s="3" t="s">
        <v>115</v>
      </c>
      <c r="AF430" s="3" t="s">
        <v>129</v>
      </c>
      <c r="AG430" s="17">
        <v>0</v>
      </c>
    </row>
    <row r="431" spans="1:35" ht="24" customHeight="1">
      <c r="A431" s="26">
        <f t="shared" si="35"/>
        <v>265</v>
      </c>
      <c r="B431" s="27" t="s">
        <v>813</v>
      </c>
      <c r="C431" s="39"/>
      <c r="D431" s="27" t="s">
        <v>115</v>
      </c>
      <c r="K431" s="12" t="s">
        <v>117</v>
      </c>
      <c r="M431" s="17">
        <v>8.1</v>
      </c>
      <c r="N431" s="3" t="s">
        <v>126</v>
      </c>
      <c r="O431" s="3" t="s">
        <v>814</v>
      </c>
      <c r="P431" s="17">
        <f>(C61)*2</f>
        <v>168</v>
      </c>
      <c r="Q431" s="3" t="s">
        <v>126</v>
      </c>
      <c r="R431" s="17">
        <f>(M431*P431)</f>
        <v>1360.8</v>
      </c>
      <c r="X431" s="53" t="s">
        <v>774</v>
      </c>
      <c r="AB431" s="17">
        <f>AB318</f>
        <v>0</v>
      </c>
      <c r="AC431" s="6"/>
      <c r="AF431" s="8"/>
      <c r="AG431" s="12" t="s">
        <v>117</v>
      </c>
    </row>
    <row r="432" spans="1:35" ht="30.75" customHeight="1">
      <c r="A432" s="26">
        <f t="shared" si="35"/>
        <v>266</v>
      </c>
      <c r="B432" s="27" t="s">
        <v>786</v>
      </c>
      <c r="C432" s="28">
        <v>1.8</v>
      </c>
      <c r="D432" s="27" t="s">
        <v>209</v>
      </c>
      <c r="H432" s="3" t="s">
        <v>154</v>
      </c>
      <c r="K432" s="17">
        <f>(K430/10)</f>
        <v>466.72735399999999</v>
      </c>
      <c r="M432" s="17">
        <v>8.1</v>
      </c>
      <c r="N432" s="3" t="s">
        <v>126</v>
      </c>
      <c r="O432" s="3" t="s">
        <v>815</v>
      </c>
      <c r="P432" s="17">
        <f>(C26)</f>
        <v>29.3</v>
      </c>
      <c r="Q432" s="3" t="s">
        <v>126</v>
      </c>
      <c r="R432" s="17">
        <f>(M432*P432)</f>
        <v>237.32999999999998</v>
      </c>
      <c r="U432" s="5" t="s">
        <v>154</v>
      </c>
      <c r="X432" s="5">
        <f>X430/10</f>
        <v>491.50770399999999</v>
      </c>
      <c r="AB432" s="17">
        <f>AB319</f>
        <v>0</v>
      </c>
      <c r="AC432" s="6"/>
      <c r="AD432" s="3" t="s">
        <v>455</v>
      </c>
      <c r="AF432" s="8"/>
      <c r="AG432" s="17">
        <f>SUM(AG424:AG431)</f>
        <v>56485.874000000003</v>
      </c>
    </row>
    <row r="433" spans="1:33" ht="42" customHeight="1">
      <c r="A433" s="26">
        <f t="shared" si="35"/>
        <v>267</v>
      </c>
      <c r="B433" s="27" t="s">
        <v>779</v>
      </c>
      <c r="C433" s="28">
        <v>2.9</v>
      </c>
      <c r="D433" s="27" t="s">
        <v>209</v>
      </c>
      <c r="K433" s="12" t="s">
        <v>155</v>
      </c>
      <c r="M433" s="17">
        <v>30</v>
      </c>
      <c r="N433" s="3" t="s">
        <v>203</v>
      </c>
      <c r="O433" s="3" t="s">
        <v>816</v>
      </c>
      <c r="P433" s="17">
        <f>(C42)</f>
        <v>5</v>
      </c>
      <c r="Q433" s="3" t="s">
        <v>203</v>
      </c>
      <c r="R433" s="17">
        <f>(M433*P433)</f>
        <v>150</v>
      </c>
      <c r="X433" s="53" t="s">
        <v>777</v>
      </c>
      <c r="AC433" s="6"/>
      <c r="AF433" s="8"/>
      <c r="AG433" s="12" t="s">
        <v>117</v>
      </c>
    </row>
    <row r="434" spans="1:33" ht="24" customHeight="1">
      <c r="A434" s="26">
        <f t="shared" si="35"/>
        <v>268</v>
      </c>
      <c r="B434" s="27" t="s">
        <v>781</v>
      </c>
      <c r="C434" s="28">
        <v>4</v>
      </c>
      <c r="D434" s="27" t="s">
        <v>209</v>
      </c>
      <c r="H434" s="3" t="s">
        <v>482</v>
      </c>
      <c r="K434" s="16">
        <f>(K432+C19/10*F426)</f>
        <v>470.871354</v>
      </c>
      <c r="O434" s="3" t="s">
        <v>817</v>
      </c>
      <c r="U434" s="50" t="s">
        <v>482</v>
      </c>
      <c r="W434" s="5">
        <f>0.07*C19</f>
        <v>4.144000000000001</v>
      </c>
      <c r="X434" s="50">
        <f>X432+W434</f>
        <v>495.651704</v>
      </c>
      <c r="AC434" s="6"/>
      <c r="AD434" s="3" t="s">
        <v>383</v>
      </c>
      <c r="AF434" s="8"/>
      <c r="AG434" s="17">
        <f>(AG432/10)</f>
        <v>5648.5874000000003</v>
      </c>
    </row>
    <row r="435" spans="1:33" ht="24" customHeight="1">
      <c r="A435" s="26">
        <f t="shared" si="35"/>
        <v>269</v>
      </c>
      <c r="B435" s="27" t="s">
        <v>782</v>
      </c>
      <c r="C435" s="28">
        <v>6.86</v>
      </c>
      <c r="D435" s="27" t="s">
        <v>209</v>
      </c>
      <c r="H435" s="3" t="s">
        <v>486</v>
      </c>
      <c r="K435" s="16">
        <f>(K434+C20/10*F426)</f>
        <v>479.222354</v>
      </c>
      <c r="O435" s="3" t="s">
        <v>818</v>
      </c>
      <c r="U435" s="50" t="s">
        <v>486</v>
      </c>
      <c r="W435" s="5">
        <f>0.07*C20</f>
        <v>8.3510000000000009</v>
      </c>
      <c r="X435" s="50">
        <f>X434+W435</f>
        <v>504.00270399999999</v>
      </c>
      <c r="AC435" s="6"/>
      <c r="AF435" s="8"/>
      <c r="AG435" s="12" t="s">
        <v>155</v>
      </c>
    </row>
    <row r="436" spans="1:33" ht="24" customHeight="1">
      <c r="A436" s="26">
        <f t="shared" si="35"/>
        <v>270</v>
      </c>
      <c r="B436" s="27" t="s">
        <v>783</v>
      </c>
      <c r="C436" s="28">
        <v>9.15</v>
      </c>
      <c r="D436" s="27" t="s">
        <v>209</v>
      </c>
      <c r="H436" s="3" t="s">
        <v>489</v>
      </c>
      <c r="K436" s="16">
        <f>(K435+C21/10*F426)</f>
        <v>487.57335399999999</v>
      </c>
      <c r="O436" s="3" t="s">
        <v>819</v>
      </c>
      <c r="U436" s="50" t="s">
        <v>489</v>
      </c>
      <c r="W436" s="5">
        <f>W435</f>
        <v>8.3510000000000009</v>
      </c>
      <c r="X436" s="50">
        <f>X435+W436</f>
        <v>512.35370399999999</v>
      </c>
      <c r="AB436" s="3" t="s">
        <v>251</v>
      </c>
      <c r="AC436" s="6"/>
      <c r="AF436" s="8"/>
    </row>
    <row r="437" spans="1:33" ht="24" customHeight="1">
      <c r="A437" s="26">
        <f t="shared" si="35"/>
        <v>271</v>
      </c>
      <c r="B437" s="27" t="s">
        <v>727</v>
      </c>
      <c r="C437" s="28">
        <v>14.59</v>
      </c>
      <c r="D437" s="27" t="s">
        <v>209</v>
      </c>
      <c r="H437" s="3" t="s">
        <v>491</v>
      </c>
      <c r="K437" s="16">
        <f>(K436+C21/10*F426)</f>
        <v>495.92435399999999</v>
      </c>
      <c r="O437" s="3" t="s">
        <v>820</v>
      </c>
      <c r="U437" s="50" t="s">
        <v>491</v>
      </c>
      <c r="W437" s="5">
        <f>W436</f>
        <v>8.3510000000000009</v>
      </c>
      <c r="X437" s="50">
        <f>X436+W437</f>
        <v>520.70470399999999</v>
      </c>
      <c r="AC437" s="6"/>
      <c r="AF437" s="8"/>
    </row>
    <row r="438" spans="1:33" ht="24" customHeight="1">
      <c r="A438" s="26"/>
      <c r="B438" s="27"/>
      <c r="C438" s="28"/>
      <c r="D438" s="27"/>
      <c r="H438" s="3" t="s">
        <v>595</v>
      </c>
      <c r="K438" s="16">
        <f>(K437+C20/10*F426)</f>
        <v>504.27535399999999</v>
      </c>
      <c r="O438" s="3"/>
      <c r="U438" s="50" t="s">
        <v>595</v>
      </c>
      <c r="W438" s="5">
        <f>W437</f>
        <v>8.3510000000000009</v>
      </c>
      <c r="X438" s="50">
        <f>X437+W438</f>
        <v>529.05570399999999</v>
      </c>
      <c r="AC438" s="15" t="s">
        <v>589</v>
      </c>
      <c r="AD438" s="3" t="s">
        <v>821</v>
      </c>
      <c r="AF438" s="8"/>
    </row>
    <row r="439" spans="1:33" ht="24" customHeight="1">
      <c r="A439" s="26">
        <f>(A437+1)</f>
        <v>272</v>
      </c>
      <c r="B439" s="27" t="s">
        <v>812</v>
      </c>
      <c r="C439" s="28">
        <v>21.74</v>
      </c>
      <c r="D439" s="27" t="s">
        <v>209</v>
      </c>
      <c r="H439" s="4" t="s">
        <v>822</v>
      </c>
      <c r="M439" s="17">
        <v>8</v>
      </c>
      <c r="N439" s="3" t="s">
        <v>1</v>
      </c>
      <c r="O439" s="3" t="s">
        <v>823</v>
      </c>
      <c r="P439" s="17">
        <f>(C43)</f>
        <v>7.1</v>
      </c>
      <c r="Q439" s="3" t="s">
        <v>1</v>
      </c>
      <c r="R439" s="17">
        <f>(M439*P439)</f>
        <v>56.8</v>
      </c>
      <c r="AC439" s="6"/>
      <c r="AD439" s="12" t="s">
        <v>117</v>
      </c>
      <c r="AF439" s="8"/>
    </row>
    <row r="440" spans="1:33" ht="24" customHeight="1">
      <c r="A440" s="26">
        <f t="shared" si="35"/>
        <v>273</v>
      </c>
      <c r="B440" s="97" t="s">
        <v>824</v>
      </c>
      <c r="C440" s="39"/>
      <c r="D440" s="27" t="s">
        <v>115</v>
      </c>
      <c r="H440" s="4" t="s">
        <v>825</v>
      </c>
      <c r="M440" s="17">
        <v>8</v>
      </c>
      <c r="N440" s="3" t="s">
        <v>1</v>
      </c>
      <c r="O440" s="3" t="s">
        <v>826</v>
      </c>
      <c r="P440" s="17">
        <f>(C50)</f>
        <v>10</v>
      </c>
      <c r="Q440" s="3" t="s">
        <v>1</v>
      </c>
      <c r="R440" s="17">
        <f>(M440*P440)</f>
        <v>80</v>
      </c>
      <c r="AB440" s="17">
        <v>0.75</v>
      </c>
      <c r="AC440" s="15" t="s">
        <v>126</v>
      </c>
      <c r="AD440" s="3" t="s">
        <v>591</v>
      </c>
      <c r="AE440" s="17">
        <f>AG434</f>
        <v>5648.5874000000003</v>
      </c>
      <c r="AF440" s="3" t="s">
        <v>209</v>
      </c>
      <c r="AG440" s="17">
        <f>(AB440*AE440)</f>
        <v>4236.4405500000003</v>
      </c>
    </row>
    <row r="441" spans="1:33" ht="38.25" customHeight="1">
      <c r="A441" s="26">
        <f t="shared" si="35"/>
        <v>274</v>
      </c>
      <c r="B441" s="27" t="s">
        <v>786</v>
      </c>
      <c r="C441" s="25">
        <v>28.6</v>
      </c>
      <c r="D441" s="27" t="s">
        <v>209</v>
      </c>
      <c r="F441" s="38">
        <v>12</v>
      </c>
      <c r="G441" s="15" t="s">
        <v>122</v>
      </c>
      <c r="H441" s="3" t="s">
        <v>827</v>
      </c>
      <c r="M441" s="17">
        <v>1</v>
      </c>
      <c r="N441" s="3" t="s">
        <v>129</v>
      </c>
      <c r="O441" s="3" t="s">
        <v>828</v>
      </c>
      <c r="P441" s="17">
        <f>(C56)</f>
        <v>12.1</v>
      </c>
      <c r="Q441" s="3" t="s">
        <v>129</v>
      </c>
      <c r="R441" s="17">
        <f>(M441*P441)</f>
        <v>12.1</v>
      </c>
      <c r="AB441" s="17">
        <v>1</v>
      </c>
      <c r="AC441" s="15" t="s">
        <v>1</v>
      </c>
      <c r="AD441" s="3" t="s">
        <v>144</v>
      </c>
      <c r="AE441" s="17">
        <f>AE426</f>
        <v>769</v>
      </c>
      <c r="AF441" s="3" t="s">
        <v>209</v>
      </c>
      <c r="AG441" s="17">
        <f>(AB441*AE441)</f>
        <v>769</v>
      </c>
    </row>
    <row r="442" spans="1:33" ht="24" customHeight="1">
      <c r="A442" s="26">
        <f t="shared" si="35"/>
        <v>275</v>
      </c>
      <c r="B442" s="27" t="s">
        <v>779</v>
      </c>
      <c r="C442" s="25">
        <v>34.700000000000003</v>
      </c>
      <c r="D442" s="27" t="s">
        <v>209</v>
      </c>
      <c r="H442" s="3" t="s">
        <v>494</v>
      </c>
      <c r="M442" s="17">
        <v>1</v>
      </c>
      <c r="N442" s="3" t="s">
        <v>129</v>
      </c>
      <c r="O442" s="3" t="s">
        <v>130</v>
      </c>
      <c r="Q442" s="3" t="s">
        <v>129</v>
      </c>
      <c r="R442" s="17">
        <v>0</v>
      </c>
      <c r="AC442" s="15" t="s">
        <v>129</v>
      </c>
      <c r="AD442" s="3" t="s">
        <v>130</v>
      </c>
      <c r="AE442" s="3" t="s">
        <v>115</v>
      </c>
      <c r="AF442" s="3" t="s">
        <v>129</v>
      </c>
      <c r="AG442" s="17">
        <v>0</v>
      </c>
    </row>
    <row r="443" spans="1:33" ht="24" customHeight="1">
      <c r="A443" s="26">
        <f t="shared" si="35"/>
        <v>276</v>
      </c>
      <c r="B443" s="27" t="s">
        <v>781</v>
      </c>
      <c r="C443" s="25">
        <v>81.400000000000006</v>
      </c>
      <c r="D443" s="27" t="s">
        <v>209</v>
      </c>
      <c r="H443" s="12" t="s">
        <v>117</v>
      </c>
      <c r="R443" s="12" t="s">
        <v>117</v>
      </c>
      <c r="AC443" s="6"/>
      <c r="AF443" s="8"/>
      <c r="AG443" s="12" t="s">
        <v>117</v>
      </c>
    </row>
    <row r="444" spans="1:33" ht="24" customHeight="1">
      <c r="A444" s="26">
        <f t="shared" si="35"/>
        <v>277</v>
      </c>
      <c r="B444" s="27" t="s">
        <v>782</v>
      </c>
      <c r="C444" s="25">
        <v>98.6</v>
      </c>
      <c r="D444" s="27" t="s">
        <v>209</v>
      </c>
      <c r="F444" s="17">
        <v>6570</v>
      </c>
      <c r="G444" s="15" t="s">
        <v>467</v>
      </c>
      <c r="H444" s="3" t="s">
        <v>829</v>
      </c>
      <c r="I444" s="17">
        <f>(C77)</f>
        <v>4354.6499999999996</v>
      </c>
      <c r="J444" s="3" t="s">
        <v>468</v>
      </c>
      <c r="K444" s="17">
        <f>(F444*I444)/1000</f>
        <v>28610.050499999998</v>
      </c>
      <c r="O444" s="3" t="s">
        <v>830</v>
      </c>
      <c r="R444" s="17">
        <f>SUM(R431:R442)</f>
        <v>1897.0299999999997</v>
      </c>
      <c r="AC444" s="6"/>
      <c r="AD444" s="3" t="s">
        <v>153</v>
      </c>
      <c r="AF444" s="8"/>
      <c r="AG444" s="17">
        <f>SUM(AG440:AG442)</f>
        <v>5005.4405500000003</v>
      </c>
    </row>
    <row r="445" spans="1:33" ht="24" customHeight="1">
      <c r="A445" s="26">
        <f t="shared" si="35"/>
        <v>278</v>
      </c>
      <c r="B445" s="27" t="s">
        <v>783</v>
      </c>
      <c r="C445" s="25">
        <v>110.2</v>
      </c>
      <c r="D445" s="27" t="s">
        <v>209</v>
      </c>
      <c r="F445" s="17">
        <v>1.91</v>
      </c>
      <c r="G445" s="15" t="s">
        <v>126</v>
      </c>
      <c r="H445" s="3" t="s">
        <v>134</v>
      </c>
      <c r="I445" s="17">
        <f>(K40)</f>
        <v>3497.8</v>
      </c>
      <c r="J445" s="3" t="s">
        <v>126</v>
      </c>
      <c r="K445" s="17">
        <f>(F445*I445)</f>
        <v>6680.7979999999998</v>
      </c>
      <c r="R445" s="12" t="s">
        <v>117</v>
      </c>
      <c r="AC445" s="6"/>
      <c r="AF445" s="8"/>
      <c r="AG445" s="12" t="s">
        <v>117</v>
      </c>
    </row>
    <row r="446" spans="1:33" ht="24" customHeight="1">
      <c r="A446" s="26">
        <f t="shared" si="35"/>
        <v>279</v>
      </c>
      <c r="B446" s="27" t="s">
        <v>727</v>
      </c>
      <c r="C446" s="25">
        <v>139.80000000000001</v>
      </c>
      <c r="D446" s="27" t="s">
        <v>209</v>
      </c>
      <c r="F446" s="17">
        <v>7</v>
      </c>
      <c r="G446" s="15" t="s">
        <v>209</v>
      </c>
      <c r="H446" s="3" t="s">
        <v>144</v>
      </c>
      <c r="I446" s="17">
        <f>(C10)</f>
        <v>769</v>
      </c>
      <c r="J446" s="3" t="s">
        <v>209</v>
      </c>
      <c r="K446" s="17">
        <f>(F446*I446)</f>
        <v>5383</v>
      </c>
      <c r="O446" s="3" t="s">
        <v>216</v>
      </c>
      <c r="R446" s="17">
        <f>(R444/30)</f>
        <v>63.234333333333325</v>
      </c>
      <c r="AC446" s="6"/>
      <c r="AD446" s="3" t="s">
        <v>154</v>
      </c>
      <c r="AF446" s="8"/>
      <c r="AG446" s="17">
        <f>(AG444/10)</f>
        <v>500.54405500000001</v>
      </c>
    </row>
    <row r="447" spans="1:33" ht="24" customHeight="1">
      <c r="A447" s="26">
        <f t="shared" si="35"/>
        <v>280</v>
      </c>
      <c r="B447" s="96" t="s">
        <v>831</v>
      </c>
      <c r="C447" s="95">
        <v>368</v>
      </c>
      <c r="D447" s="96" t="s">
        <v>209</v>
      </c>
      <c r="F447" s="17">
        <v>3.6</v>
      </c>
      <c r="G447" s="15" t="s">
        <v>209</v>
      </c>
      <c r="H447" s="3" t="s">
        <v>145</v>
      </c>
      <c r="I447" s="17">
        <f>(C11)</f>
        <v>718</v>
      </c>
      <c r="J447" s="3" t="s">
        <v>209</v>
      </c>
      <c r="K447" s="17">
        <f>(F447*I447)</f>
        <v>2584.8000000000002</v>
      </c>
      <c r="R447" s="12" t="s">
        <v>117</v>
      </c>
      <c r="AC447" s="6"/>
      <c r="AF447" s="8"/>
      <c r="AG447" s="12" t="s">
        <v>155</v>
      </c>
    </row>
    <row r="448" spans="1:33" ht="24" customHeight="1">
      <c r="A448" s="26">
        <f t="shared" si="35"/>
        <v>281</v>
      </c>
      <c r="B448" s="97" t="s">
        <v>832</v>
      </c>
      <c r="C448" s="39"/>
      <c r="D448" s="27" t="s">
        <v>115</v>
      </c>
      <c r="F448" s="17">
        <v>7.1</v>
      </c>
      <c r="G448" s="15" t="s">
        <v>209</v>
      </c>
      <c r="H448" s="3" t="s">
        <v>146</v>
      </c>
      <c r="I448" s="17">
        <f>(C12)</f>
        <v>502</v>
      </c>
      <c r="J448" s="3" t="s">
        <v>209</v>
      </c>
      <c r="K448" s="17">
        <f>(F448*I448)</f>
        <v>3564.2</v>
      </c>
      <c r="N448" s="3" t="s">
        <v>2</v>
      </c>
      <c r="O448" s="4" t="s">
        <v>833</v>
      </c>
      <c r="AC448" s="6"/>
      <c r="AD448" s="3" t="s">
        <v>482</v>
      </c>
      <c r="AF448" s="8">
        <f>C19*0.075</f>
        <v>4.4400000000000004</v>
      </c>
      <c r="AG448" s="16">
        <f>AG446+AF448</f>
        <v>504.98405500000001</v>
      </c>
    </row>
    <row r="449" spans="1:36" ht="24" customHeight="1">
      <c r="A449" s="26">
        <f t="shared" si="35"/>
        <v>282</v>
      </c>
      <c r="B449" s="27" t="s">
        <v>786</v>
      </c>
      <c r="C449" s="25">
        <v>23.2</v>
      </c>
      <c r="D449" s="27" t="s">
        <v>209</v>
      </c>
      <c r="F449" s="17">
        <v>14.1</v>
      </c>
      <c r="G449" s="15" t="s">
        <v>209</v>
      </c>
      <c r="H449" s="3" t="s">
        <v>147</v>
      </c>
      <c r="I449" s="17">
        <f>(C13)</f>
        <v>412</v>
      </c>
      <c r="J449" s="3" t="s">
        <v>209</v>
      </c>
      <c r="K449" s="17">
        <f>(F449*I449)</f>
        <v>5809.2</v>
      </c>
      <c r="O449" s="12" t="s">
        <v>117</v>
      </c>
      <c r="AC449" s="6"/>
      <c r="AD449" s="3" t="s">
        <v>486</v>
      </c>
      <c r="AF449" s="8">
        <f>C20*0.075</f>
        <v>8.9474999999999998</v>
      </c>
      <c r="AG449" s="16">
        <f t="shared" ref="AG449:AG458" si="37">AG448+AF449</f>
        <v>513.931555</v>
      </c>
    </row>
    <row r="450" spans="1:36" ht="39" customHeight="1">
      <c r="A450" s="26">
        <f t="shared" si="35"/>
        <v>283</v>
      </c>
      <c r="B450" s="27" t="s">
        <v>779</v>
      </c>
      <c r="C450" s="25">
        <v>34.700000000000003</v>
      </c>
      <c r="D450" s="27" t="s">
        <v>209</v>
      </c>
      <c r="G450" s="15" t="s">
        <v>129</v>
      </c>
      <c r="H450" s="3" t="s">
        <v>130</v>
      </c>
      <c r="I450" s="3" t="s">
        <v>115</v>
      </c>
      <c r="J450" s="3" t="s">
        <v>129</v>
      </c>
      <c r="K450" s="17">
        <v>0</v>
      </c>
      <c r="M450" s="17">
        <v>8.1</v>
      </c>
      <c r="N450" s="3" t="s">
        <v>126</v>
      </c>
      <c r="O450" s="3" t="s">
        <v>814</v>
      </c>
      <c r="P450" s="17">
        <f>(C61)*2</f>
        <v>168</v>
      </c>
      <c r="Q450" s="3" t="s">
        <v>126</v>
      </c>
      <c r="R450" s="17">
        <f>(M450*P450)</f>
        <v>1360.8</v>
      </c>
      <c r="AC450" s="6"/>
      <c r="AD450" s="3" t="s">
        <v>489</v>
      </c>
      <c r="AF450" s="8">
        <f>C21*0.075</f>
        <v>8.9474999999999998</v>
      </c>
      <c r="AG450" s="16">
        <f t="shared" si="37"/>
        <v>522.87905499999999</v>
      </c>
    </row>
    <row r="451" spans="1:36" ht="24" customHeight="1">
      <c r="A451" s="26">
        <f t="shared" si="35"/>
        <v>284</v>
      </c>
      <c r="B451" s="27" t="s">
        <v>781</v>
      </c>
      <c r="C451" s="25">
        <v>43.7</v>
      </c>
      <c r="D451" s="27" t="s">
        <v>209</v>
      </c>
      <c r="K451" s="12" t="s">
        <v>117</v>
      </c>
      <c r="M451" s="17">
        <v>8.1</v>
      </c>
      <c r="N451" s="3" t="s">
        <v>126</v>
      </c>
      <c r="O451" s="3" t="s">
        <v>815</v>
      </c>
      <c r="P451" s="17">
        <f>(C26)</f>
        <v>29.3</v>
      </c>
      <c r="Q451" s="3" t="s">
        <v>126</v>
      </c>
      <c r="R451" s="17">
        <f>(M451*P451)</f>
        <v>237.32999999999998</v>
      </c>
      <c r="AC451" s="6"/>
      <c r="AD451" s="3" t="s">
        <v>491</v>
      </c>
      <c r="AF451" s="8">
        <f t="shared" ref="AF451:AF458" si="38">AF450</f>
        <v>8.9474999999999998</v>
      </c>
      <c r="AG451" s="16">
        <f t="shared" si="37"/>
        <v>531.82655499999998</v>
      </c>
    </row>
    <row r="452" spans="1:36" ht="24" customHeight="1">
      <c r="A452" s="26">
        <f t="shared" si="35"/>
        <v>285</v>
      </c>
      <c r="B452" s="27" t="s">
        <v>782</v>
      </c>
      <c r="C452" s="25">
        <v>58.1</v>
      </c>
      <c r="D452" s="27" t="s">
        <v>209</v>
      </c>
      <c r="H452" s="3" t="s">
        <v>455</v>
      </c>
      <c r="K452" s="17">
        <f>SUM(K444:K450)</f>
        <v>52632.048499999997</v>
      </c>
      <c r="M452" s="17">
        <v>30</v>
      </c>
      <c r="N452" s="3" t="s">
        <v>203</v>
      </c>
      <c r="O452" s="3" t="s">
        <v>816</v>
      </c>
      <c r="P452" s="17">
        <f>(C42)</f>
        <v>5</v>
      </c>
      <c r="Q452" s="3" t="s">
        <v>203</v>
      </c>
      <c r="R452" s="17">
        <f>(M452*P452)</f>
        <v>150</v>
      </c>
      <c r="AC452" s="6"/>
      <c r="AD452" s="3" t="s">
        <v>595</v>
      </c>
      <c r="AF452" s="8">
        <f t="shared" si="38"/>
        <v>8.9474999999999998</v>
      </c>
      <c r="AG452" s="16">
        <f t="shared" si="37"/>
        <v>540.77405499999998</v>
      </c>
      <c r="AJ452" s="5">
        <f>40.81*0.075</f>
        <v>3.0607500000000001</v>
      </c>
    </row>
    <row r="453" spans="1:36" ht="24" customHeight="1">
      <c r="A453" s="26">
        <f t="shared" si="35"/>
        <v>286</v>
      </c>
      <c r="B453" s="27" t="s">
        <v>783</v>
      </c>
      <c r="C453" s="25">
        <v>69.8</v>
      </c>
      <c r="D453" s="27" t="s">
        <v>209</v>
      </c>
      <c r="K453" s="12" t="s">
        <v>117</v>
      </c>
      <c r="O453" s="3" t="s">
        <v>817</v>
      </c>
      <c r="AD453" s="3" t="s">
        <v>798</v>
      </c>
      <c r="AE453" s="23">
        <f t="shared" ref="AE453:AE458" si="39">AG453</f>
        <v>549.72155499999997</v>
      </c>
      <c r="AF453" s="8">
        <f t="shared" si="38"/>
        <v>8.9474999999999998</v>
      </c>
      <c r="AG453" s="16">
        <f t="shared" si="37"/>
        <v>549.72155499999997</v>
      </c>
    </row>
    <row r="454" spans="1:36" ht="24" customHeight="1">
      <c r="A454" s="26">
        <f t="shared" si="35"/>
        <v>287</v>
      </c>
      <c r="B454" s="27" t="s">
        <v>727</v>
      </c>
      <c r="C454" s="25">
        <v>87</v>
      </c>
      <c r="D454" s="27" t="s">
        <v>209</v>
      </c>
      <c r="H454" s="3" t="s">
        <v>383</v>
      </c>
      <c r="K454" s="17">
        <f>(K452/10)</f>
        <v>5263.2048500000001</v>
      </c>
      <c r="O454" s="3" t="s">
        <v>818</v>
      </c>
      <c r="AD454" s="3" t="s">
        <v>799</v>
      </c>
      <c r="AE454" s="23">
        <f t="shared" si="39"/>
        <v>558.66905499999996</v>
      </c>
      <c r="AF454" s="8">
        <f t="shared" si="38"/>
        <v>8.9474999999999998</v>
      </c>
      <c r="AG454" s="16">
        <f t="shared" si="37"/>
        <v>558.66905499999996</v>
      </c>
    </row>
    <row r="455" spans="1:36" ht="24" customHeight="1">
      <c r="A455" s="26">
        <f t="shared" si="35"/>
        <v>288</v>
      </c>
      <c r="B455" s="96" t="s">
        <v>831</v>
      </c>
      <c r="C455" s="95">
        <v>183</v>
      </c>
      <c r="D455" s="96" t="s">
        <v>209</v>
      </c>
      <c r="K455" s="12" t="s">
        <v>155</v>
      </c>
      <c r="O455" s="3" t="s">
        <v>819</v>
      </c>
      <c r="AD455" s="3" t="s">
        <v>800</v>
      </c>
      <c r="AE455" s="23">
        <f t="shared" si="39"/>
        <v>567.61655499999995</v>
      </c>
      <c r="AF455" s="8">
        <f t="shared" si="38"/>
        <v>8.9474999999999998</v>
      </c>
      <c r="AG455" s="16">
        <f t="shared" si="37"/>
        <v>567.61655499999995</v>
      </c>
    </row>
    <row r="456" spans="1:36" ht="24" customHeight="1">
      <c r="A456" s="26">
        <f t="shared" si="35"/>
        <v>289</v>
      </c>
      <c r="B456" s="27" t="s">
        <v>834</v>
      </c>
      <c r="C456" s="39"/>
      <c r="D456" s="27" t="s">
        <v>115</v>
      </c>
      <c r="O456" s="3" t="s">
        <v>820</v>
      </c>
      <c r="AD456" s="3" t="s">
        <v>801</v>
      </c>
      <c r="AE456" s="23">
        <f t="shared" si="39"/>
        <v>576.56405499999994</v>
      </c>
      <c r="AF456" s="8">
        <f t="shared" si="38"/>
        <v>8.9474999999999998</v>
      </c>
      <c r="AG456" s="16">
        <f t="shared" si="37"/>
        <v>576.56405499999994</v>
      </c>
    </row>
    <row r="457" spans="1:36" ht="24" customHeight="1">
      <c r="A457" s="26">
        <f t="shared" si="35"/>
        <v>290</v>
      </c>
      <c r="B457" s="27" t="s">
        <v>786</v>
      </c>
      <c r="C457" s="28">
        <v>158.91999999999999</v>
      </c>
      <c r="D457" s="27" t="s">
        <v>209</v>
      </c>
      <c r="G457" s="15" t="s">
        <v>122</v>
      </c>
      <c r="H457" s="3" t="s">
        <v>835</v>
      </c>
      <c r="M457" s="17">
        <v>8</v>
      </c>
      <c r="N457" s="3" t="s">
        <v>1</v>
      </c>
      <c r="O457" s="3" t="s">
        <v>823</v>
      </c>
      <c r="P457" s="17">
        <f>(C44)</f>
        <v>7.1</v>
      </c>
      <c r="Q457" s="3" t="s">
        <v>1</v>
      </c>
      <c r="R457" s="17">
        <f>(M457*P457)</f>
        <v>56.8</v>
      </c>
      <c r="AD457" s="3" t="s">
        <v>802</v>
      </c>
      <c r="AE457" s="23">
        <f t="shared" si="39"/>
        <v>585.51155499999993</v>
      </c>
      <c r="AF457" s="8">
        <f t="shared" si="38"/>
        <v>8.9474999999999998</v>
      </c>
      <c r="AG457" s="16">
        <f t="shared" si="37"/>
        <v>585.51155499999993</v>
      </c>
    </row>
    <row r="458" spans="1:36" ht="24" customHeight="1">
      <c r="A458" s="26">
        <f t="shared" si="35"/>
        <v>291</v>
      </c>
      <c r="B458" s="27" t="s">
        <v>779</v>
      </c>
      <c r="C458" s="28">
        <v>263.04000000000002</v>
      </c>
      <c r="D458" s="27" t="s">
        <v>209</v>
      </c>
      <c r="H458" s="12" t="s">
        <v>117</v>
      </c>
      <c r="M458" s="17">
        <v>8</v>
      </c>
      <c r="N458" s="3" t="s">
        <v>1</v>
      </c>
      <c r="O458" s="3" t="s">
        <v>826</v>
      </c>
      <c r="P458" s="17">
        <f>(C51)</f>
        <v>10.199999999999999</v>
      </c>
      <c r="Q458" s="3" t="s">
        <v>1</v>
      </c>
      <c r="R458" s="17">
        <f>(M458*P458)</f>
        <v>81.599999999999994</v>
      </c>
      <c r="AE458" s="23">
        <f t="shared" si="39"/>
        <v>594.45905499999992</v>
      </c>
      <c r="AF458" s="8">
        <f t="shared" si="38"/>
        <v>8.9474999999999998</v>
      </c>
      <c r="AG458" s="16">
        <f t="shared" si="37"/>
        <v>594.45905499999992</v>
      </c>
    </row>
    <row r="459" spans="1:36" ht="24" customHeight="1">
      <c r="A459" s="26">
        <f t="shared" si="35"/>
        <v>292</v>
      </c>
      <c r="B459" s="27" t="s">
        <v>781</v>
      </c>
      <c r="C459" s="39"/>
      <c r="D459" s="27" t="s">
        <v>115</v>
      </c>
      <c r="F459" s="17">
        <v>0.5</v>
      </c>
      <c r="G459" s="15" t="s">
        <v>126</v>
      </c>
      <c r="H459" s="3" t="s">
        <v>591</v>
      </c>
      <c r="I459" s="17">
        <f>(K454)</f>
        <v>5263.2048500000001</v>
      </c>
      <c r="J459" s="3" t="s">
        <v>209</v>
      </c>
      <c r="K459" s="17">
        <f>(F459*I459)</f>
        <v>2631.602425</v>
      </c>
      <c r="M459" s="17">
        <v>1</v>
      </c>
      <c r="N459" s="3" t="s">
        <v>129</v>
      </c>
      <c r="O459" s="3" t="s">
        <v>828</v>
      </c>
      <c r="P459" s="17">
        <f>(C56)</f>
        <v>12.1</v>
      </c>
      <c r="Q459" s="3" t="s">
        <v>129</v>
      </c>
      <c r="R459" s="17">
        <f>(M459*P459)</f>
        <v>12.1</v>
      </c>
      <c r="U459" s="98" t="s">
        <v>836</v>
      </c>
      <c r="Y459" s="9"/>
      <c r="AA459" s="98" t="s">
        <v>837</v>
      </c>
      <c r="AE459" s="23">
        <f>AG459</f>
        <v>603.40655499999991</v>
      </c>
      <c r="AF459" s="8">
        <f>AF458</f>
        <v>8.9474999999999998</v>
      </c>
      <c r="AG459" s="16">
        <f>AG458+AF459</f>
        <v>603.40655499999991</v>
      </c>
    </row>
    <row r="460" spans="1:36" ht="24" customHeight="1">
      <c r="A460" s="26">
        <f t="shared" si="35"/>
        <v>293</v>
      </c>
      <c r="B460" s="27" t="s">
        <v>838</v>
      </c>
      <c r="C460" s="23">
        <v>3.2</v>
      </c>
      <c r="D460" s="27" t="s">
        <v>209</v>
      </c>
      <c r="F460" s="17">
        <v>1</v>
      </c>
      <c r="G460" s="15" t="s">
        <v>1</v>
      </c>
      <c r="H460" s="3" t="s">
        <v>144</v>
      </c>
      <c r="I460" s="17">
        <f>(C10)</f>
        <v>769</v>
      </c>
      <c r="J460" s="3" t="s">
        <v>209</v>
      </c>
      <c r="K460" s="17">
        <f>(F460*I460)</f>
        <v>769</v>
      </c>
      <c r="M460" s="17">
        <v>1</v>
      </c>
      <c r="N460" s="3" t="s">
        <v>129</v>
      </c>
      <c r="O460" s="3" t="s">
        <v>130</v>
      </c>
      <c r="Q460" s="3" t="s">
        <v>129</v>
      </c>
      <c r="R460" s="17">
        <v>0</v>
      </c>
      <c r="S460" s="4" t="s">
        <v>839</v>
      </c>
      <c r="T460" s="15" t="s">
        <v>122</v>
      </c>
      <c r="U460" s="3" t="s">
        <v>840</v>
      </c>
      <c r="W460" s="8"/>
      <c r="Y460" s="4" t="s">
        <v>839</v>
      </c>
      <c r="Z460" s="15" t="s">
        <v>122</v>
      </c>
      <c r="AA460" s="3" t="s">
        <v>840</v>
      </c>
      <c r="AC460" s="8"/>
      <c r="AE460" s="23">
        <f>AG460</f>
        <v>612.3540549999999</v>
      </c>
      <c r="AF460" s="8">
        <f>AF459</f>
        <v>8.9474999999999998</v>
      </c>
      <c r="AG460" s="16">
        <f>AG459+AF460</f>
        <v>612.3540549999999</v>
      </c>
    </row>
    <row r="461" spans="1:36" ht="24" customHeight="1">
      <c r="A461" s="26">
        <f t="shared" si="35"/>
        <v>294</v>
      </c>
      <c r="B461" s="27" t="s">
        <v>841</v>
      </c>
      <c r="C461" s="23">
        <v>4</v>
      </c>
      <c r="D461" s="27" t="s">
        <v>209</v>
      </c>
      <c r="G461" s="15" t="s">
        <v>129</v>
      </c>
      <c r="H461" s="3" t="s">
        <v>130</v>
      </c>
      <c r="I461" s="3" t="s">
        <v>115</v>
      </c>
      <c r="J461" s="3" t="s">
        <v>129</v>
      </c>
      <c r="K461" s="17">
        <v>0</v>
      </c>
      <c r="R461" s="12" t="s">
        <v>117</v>
      </c>
      <c r="S461" s="5"/>
      <c r="T461" s="6"/>
      <c r="U461" s="3" t="s">
        <v>842</v>
      </c>
      <c r="W461" s="8"/>
      <c r="Z461" s="6"/>
      <c r="AA461" s="3" t="s">
        <v>842</v>
      </c>
      <c r="AC461" s="8"/>
      <c r="AE461" s="23">
        <f t="shared" ref="AE461:AE524" si="40">AG461</f>
        <v>621.30155499999989</v>
      </c>
      <c r="AF461" s="8">
        <f>AF460</f>
        <v>8.9474999999999998</v>
      </c>
      <c r="AG461" s="16">
        <f>AG460+AF461</f>
        <v>621.30155499999989</v>
      </c>
    </row>
    <row r="462" spans="1:36" ht="24" customHeight="1">
      <c r="A462" s="26">
        <f t="shared" si="35"/>
        <v>295</v>
      </c>
      <c r="B462" s="27" t="s">
        <v>843</v>
      </c>
      <c r="C462" s="28">
        <v>350</v>
      </c>
      <c r="D462" s="28">
        <v>375</v>
      </c>
      <c r="K462" s="12" t="s">
        <v>117</v>
      </c>
      <c r="O462" s="3" t="s">
        <v>830</v>
      </c>
      <c r="R462" s="17">
        <f>SUM(R450:R460)</f>
        <v>1898.6299999999997</v>
      </c>
      <c r="S462" s="5"/>
      <c r="T462" s="6"/>
      <c r="U462" s="3" t="s">
        <v>844</v>
      </c>
      <c r="W462" s="8"/>
      <c r="Z462" s="6"/>
      <c r="AA462" s="3" t="s">
        <v>844</v>
      </c>
      <c r="AC462" s="8"/>
      <c r="AE462" s="23">
        <f t="shared" si="40"/>
        <v>630.24905499999988</v>
      </c>
      <c r="AF462" s="8">
        <f>AF461</f>
        <v>8.9474999999999998</v>
      </c>
      <c r="AG462" s="16">
        <f>AG461+AF462</f>
        <v>630.24905499999988</v>
      </c>
    </row>
    <row r="463" spans="1:36" ht="24" customHeight="1">
      <c r="A463" s="26">
        <f t="shared" si="35"/>
        <v>296</v>
      </c>
      <c r="B463" s="27" t="s">
        <v>845</v>
      </c>
      <c r="C463" s="28">
        <v>400</v>
      </c>
      <c r="D463" s="28">
        <v>425</v>
      </c>
      <c r="H463" s="3" t="s">
        <v>153</v>
      </c>
      <c r="K463" s="17">
        <f>SUM(K459:K461)</f>
        <v>3400.602425</v>
      </c>
      <c r="R463" s="12" t="s">
        <v>117</v>
      </c>
      <c r="S463" s="5"/>
      <c r="T463" s="6"/>
      <c r="U463" s="12" t="s">
        <v>117</v>
      </c>
      <c r="W463" s="8"/>
      <c r="Z463" s="6"/>
      <c r="AA463" s="12" t="s">
        <v>117</v>
      </c>
      <c r="AC463" s="8"/>
      <c r="AE463" s="23">
        <f t="shared" si="40"/>
        <v>639.19655499999988</v>
      </c>
      <c r="AF463" s="8">
        <f>AF462</f>
        <v>8.9474999999999998</v>
      </c>
      <c r="AG463" s="16">
        <f>AG462+AF463</f>
        <v>639.19655499999988</v>
      </c>
    </row>
    <row r="464" spans="1:36" ht="60.75" customHeight="1">
      <c r="A464" s="26">
        <f t="shared" si="35"/>
        <v>297</v>
      </c>
      <c r="B464" s="27" t="s">
        <v>846</v>
      </c>
      <c r="C464" s="28">
        <v>450</v>
      </c>
      <c r="D464" s="28">
        <v>500</v>
      </c>
      <c r="K464" s="12" t="s">
        <v>117</v>
      </c>
      <c r="O464" s="3" t="s">
        <v>216</v>
      </c>
      <c r="R464" s="17">
        <f>(R462/30)</f>
        <v>63.287666666666652</v>
      </c>
      <c r="S464" s="17">
        <v>0.01</v>
      </c>
      <c r="T464" s="15" t="s">
        <v>126</v>
      </c>
      <c r="U464" s="62" t="s">
        <v>847</v>
      </c>
      <c r="V464" s="17">
        <f>Z718</f>
        <v>6673.2028140000002</v>
      </c>
      <c r="W464" s="3" t="s">
        <v>126</v>
      </c>
      <c r="X464" s="17">
        <f>(S464*V464)</f>
        <v>66.732028139999997</v>
      </c>
      <c r="Y464" s="17">
        <v>0.01</v>
      </c>
      <c r="Z464" s="15" t="s">
        <v>126</v>
      </c>
      <c r="AA464" s="62" t="s">
        <v>848</v>
      </c>
      <c r="AB464" s="17">
        <f>Y688</f>
        <v>7197.7324140000001</v>
      </c>
      <c r="AC464" s="3" t="s">
        <v>126</v>
      </c>
      <c r="AD464" s="17">
        <f>(Y464*AB464)</f>
        <v>71.977324140000007</v>
      </c>
      <c r="AE464" s="23" t="str">
        <f t="shared" si="40"/>
        <v>|</v>
      </c>
      <c r="AG464" s="3" t="s">
        <v>849</v>
      </c>
    </row>
    <row r="465" spans="1:33" ht="24" customHeight="1">
      <c r="A465" s="26">
        <f t="shared" si="35"/>
        <v>298</v>
      </c>
      <c r="B465" s="27" t="s">
        <v>850</v>
      </c>
      <c r="C465" s="28">
        <v>77.819999999999993</v>
      </c>
      <c r="D465" s="27" t="s">
        <v>209</v>
      </c>
      <c r="H465" s="3" t="s">
        <v>154</v>
      </c>
      <c r="K465" s="17">
        <f>(K463/10)</f>
        <v>340.06024250000002</v>
      </c>
      <c r="R465" s="12" t="s">
        <v>117</v>
      </c>
      <c r="S465" s="17">
        <v>0.01</v>
      </c>
      <c r="T465" s="15" t="s">
        <v>126</v>
      </c>
      <c r="U465" s="3" t="s">
        <v>851</v>
      </c>
      <c r="V465" s="17"/>
      <c r="W465" s="3" t="s">
        <v>129</v>
      </c>
      <c r="X465" s="17">
        <v>1.1499999999999999</v>
      </c>
      <c r="Y465" s="17">
        <v>0.01</v>
      </c>
      <c r="Z465" s="15" t="s">
        <v>126</v>
      </c>
      <c r="AA465" s="3" t="s">
        <v>851</v>
      </c>
      <c r="AB465" s="17"/>
      <c r="AC465" s="3" t="s">
        <v>129</v>
      </c>
      <c r="AD465" s="17">
        <v>1.1499999999999999</v>
      </c>
      <c r="AE465" s="23" t="str">
        <f t="shared" si="40"/>
        <v>|</v>
      </c>
      <c r="AG465" s="3" t="s">
        <v>849</v>
      </c>
    </row>
    <row r="466" spans="1:33" ht="24" customHeight="1">
      <c r="A466" s="26">
        <f t="shared" si="35"/>
        <v>299</v>
      </c>
      <c r="B466" s="27" t="s">
        <v>852</v>
      </c>
      <c r="C466" s="28">
        <v>99.74</v>
      </c>
      <c r="D466" s="27" t="s">
        <v>209</v>
      </c>
      <c r="K466" s="12" t="s">
        <v>155</v>
      </c>
      <c r="N466" s="3" t="s">
        <v>853</v>
      </c>
      <c r="O466" s="4" t="s">
        <v>854</v>
      </c>
      <c r="S466" s="5"/>
      <c r="T466" s="6"/>
      <c r="U466" s="3" t="s">
        <v>855</v>
      </c>
      <c r="V466" s="17"/>
      <c r="W466" s="8"/>
      <c r="Z466" s="6"/>
      <c r="AA466" s="3" t="s">
        <v>855</v>
      </c>
      <c r="AB466" s="17"/>
      <c r="AC466" s="8"/>
      <c r="AE466" s="23" t="str">
        <f t="shared" si="40"/>
        <v>|</v>
      </c>
      <c r="AG466" s="3" t="s">
        <v>849</v>
      </c>
    </row>
    <row r="467" spans="1:33" ht="24" customHeight="1">
      <c r="A467" s="26">
        <f t="shared" si="35"/>
        <v>300</v>
      </c>
      <c r="B467" s="27" t="s">
        <v>781</v>
      </c>
      <c r="C467" s="28">
        <v>165</v>
      </c>
      <c r="D467" s="27" t="s">
        <v>209</v>
      </c>
      <c r="H467" s="3" t="s">
        <v>482</v>
      </c>
      <c r="K467" s="16">
        <f>(K465+C19/10*F459)</f>
        <v>343.02024249999999</v>
      </c>
      <c r="O467" s="12" t="s">
        <v>117</v>
      </c>
      <c r="S467" s="5"/>
      <c r="T467" s="6"/>
      <c r="V467" s="17"/>
      <c r="W467" s="8"/>
      <c r="X467" s="12" t="s">
        <v>117</v>
      </c>
      <c r="Z467" s="6"/>
      <c r="AB467" s="17"/>
      <c r="AC467" s="8"/>
      <c r="AD467" s="12" t="s">
        <v>117</v>
      </c>
      <c r="AE467" s="23" t="str">
        <f t="shared" si="40"/>
        <v>|</v>
      </c>
      <c r="AG467" s="3" t="s">
        <v>849</v>
      </c>
    </row>
    <row r="468" spans="1:33" ht="24" customHeight="1">
      <c r="A468" s="26">
        <f t="shared" si="35"/>
        <v>301</v>
      </c>
      <c r="B468" s="27" t="s">
        <v>782</v>
      </c>
      <c r="C468" s="28">
        <v>258</v>
      </c>
      <c r="D468" s="27" t="s">
        <v>209</v>
      </c>
      <c r="H468" s="3" t="s">
        <v>486</v>
      </c>
      <c r="K468" s="16">
        <f>(K467+C20/10*F459)</f>
        <v>348.98524249999997</v>
      </c>
      <c r="M468" s="17">
        <v>8.1</v>
      </c>
      <c r="N468" s="3" t="s">
        <v>126</v>
      </c>
      <c r="O468" s="3" t="s">
        <v>814</v>
      </c>
      <c r="P468" s="17">
        <f>(C61)*2</f>
        <v>168</v>
      </c>
      <c r="Q468" s="3" t="s">
        <v>126</v>
      </c>
      <c r="R468" s="17">
        <f>(M468*P468)</f>
        <v>1360.8</v>
      </c>
      <c r="S468" s="5"/>
      <c r="T468" s="6"/>
      <c r="U468" s="3" t="s">
        <v>856</v>
      </c>
      <c r="V468" s="17"/>
      <c r="W468" s="8"/>
      <c r="X468" s="17">
        <f>SUM(X464:X466)</f>
        <v>67.882028140000003</v>
      </c>
      <c r="Z468" s="6"/>
      <c r="AA468" s="3" t="s">
        <v>856</v>
      </c>
      <c r="AB468" s="17"/>
      <c r="AC468" s="8"/>
      <c r="AD468" s="17">
        <f>SUM(AD464:AD466)</f>
        <v>73.127324140000013</v>
      </c>
      <c r="AE468" s="23" t="str">
        <f t="shared" si="40"/>
        <v>|</v>
      </c>
      <c r="AG468" s="3" t="s">
        <v>849</v>
      </c>
    </row>
    <row r="469" spans="1:33" ht="24" customHeight="1">
      <c r="A469" s="26">
        <f t="shared" si="35"/>
        <v>302</v>
      </c>
      <c r="B469" s="27" t="s">
        <v>783</v>
      </c>
      <c r="C469" s="28">
        <v>298</v>
      </c>
      <c r="D469" s="27" t="s">
        <v>209</v>
      </c>
      <c r="H469" s="3" t="s">
        <v>489</v>
      </c>
      <c r="K469" s="16">
        <f>(K468+C21/10*F459)</f>
        <v>354.95024249999994</v>
      </c>
      <c r="M469" s="17">
        <v>8.1</v>
      </c>
      <c r="N469" s="3" t="s">
        <v>126</v>
      </c>
      <c r="O469" s="3" t="s">
        <v>815</v>
      </c>
      <c r="P469" s="17">
        <f>(C26)</f>
        <v>29.3</v>
      </c>
      <c r="Q469" s="3" t="s">
        <v>126</v>
      </c>
      <c r="R469" s="17">
        <f>(M469*P469)</f>
        <v>237.32999999999998</v>
      </c>
      <c r="S469" s="5"/>
      <c r="T469" s="6"/>
      <c r="V469" s="17"/>
      <c r="W469" s="8"/>
      <c r="X469" s="12" t="s">
        <v>117</v>
      </c>
      <c r="Z469" s="6"/>
      <c r="AB469" s="17"/>
      <c r="AC469" s="8"/>
      <c r="AD469" s="12" t="s">
        <v>117</v>
      </c>
      <c r="AE469" s="23" t="str">
        <f t="shared" si="40"/>
        <v>|</v>
      </c>
      <c r="AG469" s="3" t="s">
        <v>849</v>
      </c>
    </row>
    <row r="470" spans="1:33" ht="24" customHeight="1">
      <c r="A470" s="26">
        <f t="shared" si="35"/>
        <v>303</v>
      </c>
      <c r="B470" s="27" t="s">
        <v>727</v>
      </c>
      <c r="C470" s="28">
        <v>398</v>
      </c>
      <c r="D470" s="27" t="s">
        <v>209</v>
      </c>
      <c r="H470" s="3" t="s">
        <v>491</v>
      </c>
      <c r="K470" s="16">
        <f>(K469+C21/10*F459)</f>
        <v>360.91524249999992</v>
      </c>
      <c r="L470" s="5">
        <f t="shared" ref="L470:L476" si="41">K470-K469</f>
        <v>5.964999999999975</v>
      </c>
      <c r="M470" s="17">
        <v>30</v>
      </c>
      <c r="N470" s="3" t="s">
        <v>203</v>
      </c>
      <c r="O470" s="3" t="s">
        <v>816</v>
      </c>
      <c r="P470" s="17">
        <f>(C42)</f>
        <v>5</v>
      </c>
      <c r="Q470" s="3" t="s">
        <v>203</v>
      </c>
      <c r="R470" s="17">
        <f>(M470*P470)</f>
        <v>150</v>
      </c>
      <c r="S470" s="5"/>
      <c r="T470" s="6"/>
      <c r="U470" s="3" t="s">
        <v>383</v>
      </c>
      <c r="V470" s="17"/>
      <c r="W470" s="8"/>
      <c r="X470" s="17">
        <f>ROUND(X468*100,0)</f>
        <v>6788</v>
      </c>
      <c r="Z470" s="6"/>
      <c r="AA470" s="3" t="s">
        <v>383</v>
      </c>
      <c r="AB470" s="17"/>
      <c r="AC470" s="8"/>
      <c r="AD470" s="17">
        <f>ROUND(AD468*100,0)</f>
        <v>7313</v>
      </c>
      <c r="AE470" s="23" t="str">
        <f t="shared" si="40"/>
        <v>|</v>
      </c>
      <c r="AG470" s="3" t="s">
        <v>849</v>
      </c>
    </row>
    <row r="471" spans="1:33" ht="15.75">
      <c r="A471" s="26">
        <f t="shared" si="35"/>
        <v>304</v>
      </c>
      <c r="B471" s="27" t="s">
        <v>812</v>
      </c>
      <c r="C471" s="39"/>
      <c r="D471" s="27" t="s">
        <v>209</v>
      </c>
      <c r="H471" s="3" t="s">
        <v>576</v>
      </c>
      <c r="K471" s="16">
        <f>(K470+C21/10*F459)</f>
        <v>366.88024249999989</v>
      </c>
      <c r="L471" s="5">
        <f t="shared" si="41"/>
        <v>5.964999999999975</v>
      </c>
      <c r="O471" s="3" t="s">
        <v>817</v>
      </c>
      <c r="S471" s="3" t="s">
        <v>115</v>
      </c>
      <c r="T471" s="6"/>
      <c r="V471" s="17"/>
      <c r="W471" s="8"/>
      <c r="Y471" s="3" t="s">
        <v>115</v>
      </c>
      <c r="Z471" s="6"/>
      <c r="AB471" s="17"/>
      <c r="AC471" s="8"/>
      <c r="AE471" s="23" t="str">
        <f t="shared" si="40"/>
        <v>|</v>
      </c>
      <c r="AG471" s="3" t="s">
        <v>849</v>
      </c>
    </row>
    <row r="472" spans="1:33" ht="15.75">
      <c r="A472" s="26"/>
      <c r="B472" s="27"/>
      <c r="C472" s="39"/>
      <c r="D472" s="27"/>
      <c r="H472" s="3">
        <v>5</v>
      </c>
      <c r="K472" s="16">
        <f>(K471+C21/10*F459)</f>
        <v>372.84524249999987</v>
      </c>
      <c r="L472" s="5">
        <f t="shared" si="41"/>
        <v>5.964999999999975</v>
      </c>
      <c r="O472" s="3"/>
      <c r="S472" s="5"/>
      <c r="T472" s="6"/>
      <c r="V472" s="17"/>
      <c r="W472" s="8"/>
      <c r="X472" s="12" t="s">
        <v>155</v>
      </c>
      <c r="Z472" s="6"/>
      <c r="AB472" s="17"/>
      <c r="AC472" s="8"/>
      <c r="AD472" s="12" t="s">
        <v>155</v>
      </c>
      <c r="AE472" s="23"/>
      <c r="AG472" s="3"/>
    </row>
    <row r="473" spans="1:33" ht="15.75">
      <c r="A473" s="26"/>
      <c r="B473" s="27"/>
      <c r="C473" s="39"/>
      <c r="D473" s="27"/>
      <c r="H473" s="3">
        <v>6</v>
      </c>
      <c r="K473" s="16">
        <f>(K472+C21/10*F459)</f>
        <v>378.81024249999984</v>
      </c>
      <c r="L473" s="5">
        <f t="shared" si="41"/>
        <v>5.964999999999975</v>
      </c>
      <c r="O473" s="3"/>
      <c r="S473" s="5"/>
      <c r="T473" s="15" t="s">
        <v>558</v>
      </c>
      <c r="U473" s="3" t="s">
        <v>857</v>
      </c>
      <c r="V473" s="17"/>
      <c r="W473" s="8"/>
      <c r="Z473" s="15" t="s">
        <v>558</v>
      </c>
      <c r="AA473" s="3" t="s">
        <v>857</v>
      </c>
      <c r="AB473" s="17"/>
      <c r="AC473" s="8"/>
      <c r="AE473" s="23"/>
      <c r="AG473" s="3"/>
    </row>
    <row r="474" spans="1:33" ht="15.75">
      <c r="A474" s="26"/>
      <c r="B474" s="27"/>
      <c r="C474" s="39"/>
      <c r="D474" s="27"/>
      <c r="H474" s="3">
        <v>7</v>
      </c>
      <c r="K474" s="16">
        <f>(K473+C21/10*F459)</f>
        <v>384.77524249999982</v>
      </c>
      <c r="L474" s="5">
        <f t="shared" si="41"/>
        <v>5.964999999999975</v>
      </c>
      <c r="O474" s="3"/>
      <c r="S474" s="5"/>
      <c r="T474" s="6"/>
      <c r="U474" s="3" t="s">
        <v>858</v>
      </c>
      <c r="V474" s="17"/>
      <c r="W474" s="8"/>
      <c r="Z474" s="6"/>
      <c r="AA474" s="3" t="s">
        <v>858</v>
      </c>
      <c r="AB474" s="17"/>
      <c r="AC474" s="8"/>
      <c r="AE474" s="23"/>
      <c r="AG474" s="3"/>
    </row>
    <row r="475" spans="1:33" ht="15.75">
      <c r="A475" s="26"/>
      <c r="B475" s="27"/>
      <c r="C475" s="39"/>
      <c r="D475" s="27"/>
      <c r="H475" s="3">
        <v>8</v>
      </c>
      <c r="K475" s="16">
        <f>(K474+C21/10*F459)</f>
        <v>390.74024249999979</v>
      </c>
      <c r="L475" s="5">
        <f t="shared" si="41"/>
        <v>5.964999999999975</v>
      </c>
      <c r="O475" s="3"/>
      <c r="S475" s="5"/>
      <c r="T475" s="6"/>
      <c r="U475" s="12" t="s">
        <v>117</v>
      </c>
      <c r="V475" s="17"/>
      <c r="W475" s="8"/>
      <c r="Z475" s="6"/>
      <c r="AA475" s="12" t="s">
        <v>117</v>
      </c>
      <c r="AB475" s="17"/>
      <c r="AC475" s="8"/>
      <c r="AE475" s="23"/>
      <c r="AG475" s="3"/>
    </row>
    <row r="476" spans="1:33" ht="15.75">
      <c r="A476" s="26"/>
      <c r="B476" s="27"/>
      <c r="C476" s="39"/>
      <c r="D476" s="27"/>
      <c r="H476" s="3">
        <v>9</v>
      </c>
      <c r="K476" s="16">
        <f>(K475+C21/10*F459)</f>
        <v>396.70524249999977</v>
      </c>
      <c r="L476" s="5">
        <f t="shared" si="41"/>
        <v>5.964999999999975</v>
      </c>
      <c r="O476" s="3"/>
      <c r="S476" s="49">
        <v>1.4E-2</v>
      </c>
      <c r="T476" s="15" t="s">
        <v>126</v>
      </c>
      <c r="U476" s="3" t="s">
        <v>859</v>
      </c>
      <c r="V476" s="17">
        <f>X470</f>
        <v>6788</v>
      </c>
      <c r="W476" s="3" t="s">
        <v>126</v>
      </c>
      <c r="X476" s="17">
        <f>(S476*V476)</f>
        <v>95.031999999999996</v>
      </c>
      <c r="Y476" s="49">
        <v>1.4E-2</v>
      </c>
      <c r="Z476" s="15" t="s">
        <v>126</v>
      </c>
      <c r="AA476" s="3" t="s">
        <v>859</v>
      </c>
      <c r="AB476" s="17">
        <f>AD470</f>
        <v>7313</v>
      </c>
      <c r="AC476" s="3" t="s">
        <v>126</v>
      </c>
      <c r="AD476" s="17">
        <f>(Y476*AB476)</f>
        <v>102.38200000000001</v>
      </c>
      <c r="AE476" s="23"/>
      <c r="AG476" s="3"/>
    </row>
    <row r="477" spans="1:33" ht="15.75">
      <c r="A477" s="26"/>
      <c r="B477" s="27"/>
      <c r="C477" s="39"/>
      <c r="D477" s="27"/>
      <c r="H477" s="3">
        <v>10</v>
      </c>
      <c r="K477" s="16">
        <f>(K476+C21/10*F459)</f>
        <v>402.67024249999974</v>
      </c>
      <c r="L477" s="5">
        <f>K477-K476</f>
        <v>5.964999999999975</v>
      </c>
      <c r="O477" s="3"/>
      <c r="S477" s="49"/>
      <c r="T477" s="6"/>
      <c r="U477" s="3" t="s">
        <v>860</v>
      </c>
      <c r="V477" s="17"/>
      <c r="W477" s="8"/>
      <c r="X477" s="3" t="s">
        <v>115</v>
      </c>
      <c r="Y477" s="49"/>
      <c r="Z477" s="6"/>
      <c r="AA477" s="3" t="s">
        <v>860</v>
      </c>
      <c r="AB477" s="17"/>
      <c r="AC477" s="8"/>
      <c r="AD477" s="3" t="s">
        <v>115</v>
      </c>
      <c r="AE477" s="23"/>
      <c r="AG477" s="3"/>
    </row>
    <row r="478" spans="1:33" ht="15.75">
      <c r="A478" s="26"/>
      <c r="B478" s="27"/>
      <c r="C478" s="39"/>
      <c r="D478" s="27"/>
      <c r="H478" s="3"/>
      <c r="K478" s="16">
        <f>(K477+C21/10*F459)</f>
        <v>408.63524249999972</v>
      </c>
      <c r="L478" s="5">
        <f>K478-K477</f>
        <v>5.964999999999975</v>
      </c>
      <c r="O478" s="3"/>
      <c r="S478" s="17">
        <v>0.5</v>
      </c>
      <c r="T478" s="15" t="s">
        <v>1</v>
      </c>
      <c r="U478" s="3" t="s">
        <v>144</v>
      </c>
      <c r="V478" s="17">
        <f>C10</f>
        <v>769</v>
      </c>
      <c r="W478" s="3" t="s">
        <v>1</v>
      </c>
      <c r="X478" s="17">
        <f>(S478*V478)</f>
        <v>384.5</v>
      </c>
      <c r="Y478" s="17">
        <v>0.5</v>
      </c>
      <c r="Z478" s="15" t="s">
        <v>1</v>
      </c>
      <c r="AA478" s="3" t="s">
        <v>144</v>
      </c>
      <c r="AB478" s="17">
        <f>V478</f>
        <v>769</v>
      </c>
      <c r="AC478" s="3" t="s">
        <v>1</v>
      </c>
      <c r="AD478" s="17">
        <f>(Y478*AB478)</f>
        <v>384.5</v>
      </c>
      <c r="AE478" s="23"/>
      <c r="AG478" s="3"/>
    </row>
    <row r="479" spans="1:33" ht="15.75">
      <c r="A479" s="26">
        <f>(A471+1)</f>
        <v>305</v>
      </c>
      <c r="B479" s="97" t="s">
        <v>861</v>
      </c>
      <c r="C479" s="39"/>
      <c r="D479" s="27" t="s">
        <v>209</v>
      </c>
      <c r="F479" s="4" t="s">
        <v>862</v>
      </c>
      <c r="G479" s="15" t="s">
        <v>122</v>
      </c>
      <c r="H479" s="3" t="s">
        <v>863</v>
      </c>
      <c r="K479" s="16">
        <f>(K478+C21/10*F459)</f>
        <v>414.60024249999969</v>
      </c>
      <c r="L479" s="5">
        <f>K479-K478</f>
        <v>5.964999999999975</v>
      </c>
      <c r="O479" s="3" t="s">
        <v>818</v>
      </c>
      <c r="S479" s="17">
        <v>0.75</v>
      </c>
      <c r="T479" s="15" t="s">
        <v>1</v>
      </c>
      <c r="U479" s="3" t="s">
        <v>146</v>
      </c>
      <c r="V479" s="17">
        <f>C12</f>
        <v>502</v>
      </c>
      <c r="W479" s="3" t="s">
        <v>1</v>
      </c>
      <c r="X479" s="17">
        <f>(S479*V479)</f>
        <v>376.5</v>
      </c>
      <c r="Y479" s="17">
        <v>0.75</v>
      </c>
      <c r="Z479" s="15" t="s">
        <v>1</v>
      </c>
      <c r="AA479" s="3" t="s">
        <v>146</v>
      </c>
      <c r="AB479" s="17">
        <f>V479</f>
        <v>502</v>
      </c>
      <c r="AC479" s="3" t="s">
        <v>1</v>
      </c>
      <c r="AD479" s="17">
        <f>(Y479*AB479)</f>
        <v>376.5</v>
      </c>
      <c r="AE479" s="23" t="str">
        <f t="shared" si="40"/>
        <v>|</v>
      </c>
      <c r="AG479" s="3" t="s">
        <v>849</v>
      </c>
    </row>
    <row r="480" spans="1:33" ht="50.25" customHeight="1">
      <c r="A480" s="26">
        <f t="shared" si="35"/>
        <v>306</v>
      </c>
      <c r="B480" s="27" t="s">
        <v>786</v>
      </c>
      <c r="C480" s="28">
        <v>130</v>
      </c>
      <c r="D480" s="27" t="s">
        <v>209</v>
      </c>
      <c r="H480" s="3" t="s">
        <v>864</v>
      </c>
      <c r="O480" s="3" t="s">
        <v>819</v>
      </c>
      <c r="S480" s="5"/>
      <c r="T480" s="15" t="s">
        <v>129</v>
      </c>
      <c r="U480" s="3" t="s">
        <v>130</v>
      </c>
      <c r="V480" s="17"/>
      <c r="W480" s="3" t="s">
        <v>129</v>
      </c>
      <c r="X480" s="17">
        <v>0</v>
      </c>
      <c r="Z480" s="15" t="s">
        <v>129</v>
      </c>
      <c r="AA480" s="3" t="s">
        <v>130</v>
      </c>
      <c r="AB480" s="17">
        <f>V480</f>
        <v>0</v>
      </c>
      <c r="AC480" s="3" t="s">
        <v>129</v>
      </c>
      <c r="AD480" s="17">
        <v>0</v>
      </c>
      <c r="AE480" s="23" t="str">
        <f t="shared" si="40"/>
        <v>|</v>
      </c>
      <c r="AG480" s="3" t="s">
        <v>849</v>
      </c>
    </row>
    <row r="481" spans="1:33" ht="30.75" customHeight="1">
      <c r="A481" s="26">
        <f t="shared" si="35"/>
        <v>307</v>
      </c>
      <c r="B481" s="27" t="s">
        <v>779</v>
      </c>
      <c r="C481" s="25">
        <v>344</v>
      </c>
      <c r="D481" s="27" t="s">
        <v>209</v>
      </c>
      <c r="H481" s="12" t="s">
        <v>117</v>
      </c>
      <c r="O481" s="3" t="s">
        <v>820</v>
      </c>
      <c r="S481" s="5"/>
      <c r="T481" s="6"/>
      <c r="V481" s="17"/>
      <c r="W481" s="8"/>
      <c r="X481" s="12" t="s">
        <v>117</v>
      </c>
      <c r="Z481" s="6"/>
      <c r="AB481" s="17"/>
      <c r="AC481" s="8"/>
      <c r="AD481" s="12" t="s">
        <v>117</v>
      </c>
      <c r="AE481" s="23" t="str">
        <f t="shared" si="40"/>
        <v>|</v>
      </c>
      <c r="AG481" s="3" t="s">
        <v>849</v>
      </c>
    </row>
    <row r="482" spans="1:33" ht="24" customHeight="1">
      <c r="A482" s="26">
        <f t="shared" si="35"/>
        <v>308</v>
      </c>
      <c r="B482" s="27" t="s">
        <v>781</v>
      </c>
      <c r="C482" s="25">
        <v>582</v>
      </c>
      <c r="D482" s="27" t="s">
        <v>209</v>
      </c>
      <c r="F482" s="17">
        <v>1</v>
      </c>
      <c r="G482" s="15" t="s">
        <v>126</v>
      </c>
      <c r="H482" s="3" t="s">
        <v>865</v>
      </c>
      <c r="I482" s="17">
        <f>(C26)</f>
        <v>29.3</v>
      </c>
      <c r="J482" s="3" t="s">
        <v>126</v>
      </c>
      <c r="K482" s="16">
        <f>(F482*I482)</f>
        <v>29.3</v>
      </c>
      <c r="M482" s="17">
        <v>8</v>
      </c>
      <c r="N482" s="3" t="s">
        <v>1</v>
      </c>
      <c r="O482" s="3" t="s">
        <v>823</v>
      </c>
      <c r="P482" s="17">
        <f>(C45)</f>
        <v>8.5</v>
      </c>
      <c r="Q482" s="3" t="s">
        <v>1</v>
      </c>
      <c r="R482" s="17">
        <f>(M482*P482)</f>
        <v>68</v>
      </c>
      <c r="S482" s="5"/>
      <c r="T482" s="6"/>
      <c r="U482" s="3" t="s">
        <v>866</v>
      </c>
      <c r="V482" s="17"/>
      <c r="W482" s="8"/>
      <c r="X482" s="17">
        <f>SUM(X476:X480)</f>
        <v>856.03199999999993</v>
      </c>
      <c r="Z482" s="6"/>
      <c r="AA482" s="3" t="s">
        <v>866</v>
      </c>
      <c r="AB482" s="17"/>
      <c r="AC482" s="8"/>
      <c r="AD482" s="17">
        <f>SUM(AD476:AD480)</f>
        <v>863.38200000000006</v>
      </c>
      <c r="AE482" s="23" t="str">
        <f t="shared" si="40"/>
        <v>|</v>
      </c>
      <c r="AG482" s="3" t="s">
        <v>849</v>
      </c>
    </row>
    <row r="483" spans="1:33" ht="24" customHeight="1">
      <c r="A483" s="26">
        <f t="shared" si="35"/>
        <v>309</v>
      </c>
      <c r="B483" s="27" t="s">
        <v>782</v>
      </c>
      <c r="C483" s="25">
        <v>746</v>
      </c>
      <c r="D483" s="27" t="s">
        <v>209</v>
      </c>
      <c r="K483" s="12" t="s">
        <v>155</v>
      </c>
      <c r="M483" s="17">
        <v>8</v>
      </c>
      <c r="N483" s="3" t="s">
        <v>1</v>
      </c>
      <c r="O483" s="3" t="s">
        <v>826</v>
      </c>
      <c r="P483" s="17">
        <f>(C52)</f>
        <v>21.1</v>
      </c>
      <c r="Q483" s="3" t="s">
        <v>1</v>
      </c>
      <c r="R483" s="17">
        <f>(M483*P483)</f>
        <v>168.8</v>
      </c>
      <c r="S483" s="5"/>
      <c r="T483" s="6"/>
      <c r="V483" s="17"/>
      <c r="W483" s="8"/>
      <c r="X483" s="12" t="s">
        <v>117</v>
      </c>
      <c r="Z483" s="6"/>
      <c r="AB483" s="17"/>
      <c r="AC483" s="8"/>
      <c r="AD483" s="12" t="s">
        <v>117</v>
      </c>
      <c r="AE483" s="23" t="str">
        <f t="shared" si="40"/>
        <v>|</v>
      </c>
      <c r="AG483" s="3" t="s">
        <v>849</v>
      </c>
    </row>
    <row r="484" spans="1:33" ht="24" customHeight="1">
      <c r="A484" s="26">
        <f t="shared" si="35"/>
        <v>310</v>
      </c>
      <c r="B484" s="27" t="s">
        <v>783</v>
      </c>
      <c r="C484" s="25">
        <v>959</v>
      </c>
      <c r="D484" s="27" t="s">
        <v>209</v>
      </c>
      <c r="F484" s="51">
        <v>7.3</v>
      </c>
      <c r="G484" s="15" t="s">
        <v>122</v>
      </c>
      <c r="H484" s="3" t="s">
        <v>867</v>
      </c>
      <c r="M484" s="17">
        <v>1</v>
      </c>
      <c r="N484" s="3" t="s">
        <v>129</v>
      </c>
      <c r="O484" s="3" t="s">
        <v>828</v>
      </c>
      <c r="P484" s="17">
        <f>(C56)</f>
        <v>12.1</v>
      </c>
      <c r="Q484" s="3" t="s">
        <v>129</v>
      </c>
      <c r="R484" s="17">
        <f>(M484*P484)</f>
        <v>12.1</v>
      </c>
      <c r="S484" s="5"/>
      <c r="T484" s="6"/>
      <c r="U484" s="3" t="s">
        <v>154</v>
      </c>
      <c r="W484" s="8"/>
      <c r="X484" s="17">
        <f>(X482/0.372)</f>
        <v>2301.1612903225805</v>
      </c>
      <c r="Z484" s="6"/>
      <c r="AA484" s="3" t="s">
        <v>154</v>
      </c>
      <c r="AC484" s="8"/>
      <c r="AD484" s="17">
        <f>(AD482/0.372)</f>
        <v>2320.9193548387098</v>
      </c>
      <c r="AE484" s="23" t="str">
        <f t="shared" si="40"/>
        <v>|</v>
      </c>
      <c r="AG484" s="3" t="s">
        <v>849</v>
      </c>
    </row>
    <row r="485" spans="1:33" ht="24" customHeight="1">
      <c r="A485" s="26">
        <f t="shared" si="35"/>
        <v>311</v>
      </c>
      <c r="B485" s="27" t="s">
        <v>727</v>
      </c>
      <c r="C485" s="25">
        <v>1217</v>
      </c>
      <c r="D485" s="27" t="s">
        <v>209</v>
      </c>
      <c r="F485" s="3" t="s">
        <v>115</v>
      </c>
      <c r="H485" s="3" t="s">
        <v>868</v>
      </c>
      <c r="M485" s="17">
        <v>1</v>
      </c>
      <c r="N485" s="3" t="s">
        <v>129</v>
      </c>
      <c r="O485" s="3" t="s">
        <v>130</v>
      </c>
      <c r="Q485" s="3" t="s">
        <v>129</v>
      </c>
      <c r="R485" s="17">
        <v>0</v>
      </c>
      <c r="S485" s="5"/>
      <c r="T485" s="6"/>
      <c r="W485" s="8"/>
      <c r="X485" s="12" t="s">
        <v>155</v>
      </c>
      <c r="Z485" s="6"/>
      <c r="AC485" s="8"/>
      <c r="AD485" s="12" t="s">
        <v>155</v>
      </c>
      <c r="AE485" s="23" t="str">
        <f t="shared" si="40"/>
        <v>|</v>
      </c>
      <c r="AG485" s="3" t="s">
        <v>849</v>
      </c>
    </row>
    <row r="486" spans="1:33" ht="24" customHeight="1">
      <c r="A486" s="26">
        <f t="shared" si="35"/>
        <v>312</v>
      </c>
      <c r="B486" s="27" t="s">
        <v>812</v>
      </c>
      <c r="C486" s="79">
        <v>1494</v>
      </c>
      <c r="D486" s="27" t="s">
        <v>209</v>
      </c>
      <c r="F486" s="3" t="s">
        <v>115</v>
      </c>
      <c r="H486" s="12" t="s">
        <v>869</v>
      </c>
      <c r="R486" s="12" t="s">
        <v>117</v>
      </c>
      <c r="S486" s="5"/>
      <c r="T486" s="6"/>
      <c r="U486" s="3" t="s">
        <v>482</v>
      </c>
      <c r="V486" s="5">
        <f>X484</f>
        <v>2301.1612903225805</v>
      </c>
      <c r="W486" s="8">
        <f>J659</f>
        <v>3.3833333333333337</v>
      </c>
      <c r="X486" s="16">
        <f>V486+W486</f>
        <v>2304.5446236559137</v>
      </c>
      <c r="Z486" s="6"/>
      <c r="AA486" s="3" t="s">
        <v>482</v>
      </c>
      <c r="AB486" s="5">
        <f>AD484</f>
        <v>2320.9193548387098</v>
      </c>
      <c r="AC486" s="8">
        <f t="shared" ref="AC486:AC491" si="42">W486</f>
        <v>3.3833333333333337</v>
      </c>
      <c r="AD486" s="16">
        <f>AB486+AC486</f>
        <v>2324.302688172043</v>
      </c>
      <c r="AE486" s="23" t="str">
        <f t="shared" si="40"/>
        <v>|</v>
      </c>
      <c r="AG486" s="3" t="s">
        <v>849</v>
      </c>
    </row>
    <row r="487" spans="1:33" ht="24" customHeight="1">
      <c r="A487" s="26">
        <f t="shared" si="35"/>
        <v>313</v>
      </c>
      <c r="B487" s="97" t="s">
        <v>870</v>
      </c>
      <c r="C487" s="39"/>
      <c r="D487" s="27"/>
      <c r="F487" s="17">
        <v>0.13</v>
      </c>
      <c r="G487" s="15" t="s">
        <v>126</v>
      </c>
      <c r="H487" s="3" t="s">
        <v>134</v>
      </c>
      <c r="I487" s="17">
        <f>(K40)</f>
        <v>3497.8</v>
      </c>
      <c r="J487" s="3" t="s">
        <v>126</v>
      </c>
      <c r="K487" s="17">
        <f t="shared" ref="K487:K492" si="43">(F487*I487)</f>
        <v>454.71400000000006</v>
      </c>
      <c r="O487" s="3" t="s">
        <v>830</v>
      </c>
      <c r="R487" s="17">
        <f>SUM(R468:R485)</f>
        <v>1997.0299999999997</v>
      </c>
      <c r="S487" s="5"/>
      <c r="T487" s="6"/>
      <c r="U487" s="3" t="s">
        <v>486</v>
      </c>
      <c r="V487" s="5">
        <f>X486</f>
        <v>2304.5446236559137</v>
      </c>
      <c r="W487" s="8">
        <f>J662</f>
        <v>6.6612903225806459</v>
      </c>
      <c r="X487" s="16">
        <f>V487+W487</f>
        <v>2311.2059139784942</v>
      </c>
      <c r="Z487" s="6"/>
      <c r="AA487" s="3" t="s">
        <v>486</v>
      </c>
      <c r="AB487" s="5">
        <f>AD486</f>
        <v>2324.302688172043</v>
      </c>
      <c r="AC487" s="8">
        <f t="shared" si="42"/>
        <v>6.6612903225806459</v>
      </c>
      <c r="AD487" s="16">
        <f>AB487+AC487</f>
        <v>2330.9639784946235</v>
      </c>
      <c r="AE487" s="23" t="str">
        <f t="shared" si="40"/>
        <v>|</v>
      </c>
      <c r="AG487" s="3" t="s">
        <v>849</v>
      </c>
    </row>
    <row r="488" spans="1:33" ht="24" customHeight="1">
      <c r="A488" s="26">
        <f t="shared" ref="A488:A494" si="44">(A487+1)</f>
        <v>314</v>
      </c>
      <c r="B488" s="27" t="s">
        <v>786</v>
      </c>
      <c r="C488" s="25">
        <v>167</v>
      </c>
      <c r="D488" s="27" t="s">
        <v>209</v>
      </c>
      <c r="F488" s="17">
        <v>0.7</v>
      </c>
      <c r="G488" s="15" t="s">
        <v>1</v>
      </c>
      <c r="H488" s="3" t="s">
        <v>144</v>
      </c>
      <c r="I488" s="17">
        <f>(C10)</f>
        <v>769</v>
      </c>
      <c r="J488" s="3" t="s">
        <v>1</v>
      </c>
      <c r="K488" s="17">
        <f t="shared" si="43"/>
        <v>538.29999999999995</v>
      </c>
      <c r="R488" s="12" t="s">
        <v>117</v>
      </c>
      <c r="S488" s="5"/>
      <c r="T488" s="6"/>
      <c r="U488" s="3" t="s">
        <v>489</v>
      </c>
      <c r="V488" s="5">
        <f>X487</f>
        <v>2311.2059139784942</v>
      </c>
      <c r="W488" s="8">
        <f>J663</f>
        <v>6.6612903225806459</v>
      </c>
      <c r="X488" s="16">
        <f>V488+W488</f>
        <v>2317.8672043010747</v>
      </c>
      <c r="Z488" s="6"/>
      <c r="AA488" s="3" t="s">
        <v>489</v>
      </c>
      <c r="AB488" s="5">
        <f>AD487</f>
        <v>2330.9639784946235</v>
      </c>
      <c r="AC488" s="8">
        <f t="shared" si="42"/>
        <v>6.6612903225806459</v>
      </c>
      <c r="AD488" s="16">
        <f>AB488+AC488</f>
        <v>2337.625268817204</v>
      </c>
      <c r="AE488" s="23" t="str">
        <f t="shared" si="40"/>
        <v>|</v>
      </c>
      <c r="AG488" s="3" t="s">
        <v>849</v>
      </c>
    </row>
    <row r="489" spans="1:33" ht="33.75" customHeight="1">
      <c r="A489" s="26">
        <f t="shared" si="44"/>
        <v>315</v>
      </c>
      <c r="B489" s="27" t="s">
        <v>779</v>
      </c>
      <c r="C489" s="25">
        <v>137</v>
      </c>
      <c r="D489" s="27" t="s">
        <v>209</v>
      </c>
      <c r="F489" s="17">
        <v>0.7</v>
      </c>
      <c r="G489" s="15" t="s">
        <v>1</v>
      </c>
      <c r="H489" s="3" t="s">
        <v>145</v>
      </c>
      <c r="I489" s="17">
        <f>(C11)</f>
        <v>718</v>
      </c>
      <c r="J489" s="3" t="s">
        <v>1</v>
      </c>
      <c r="K489" s="17">
        <f t="shared" si="43"/>
        <v>502.59999999999997</v>
      </c>
      <c r="O489" s="3" t="s">
        <v>216</v>
      </c>
      <c r="R489" s="17">
        <f>(R487/30)</f>
        <v>66.567666666666653</v>
      </c>
      <c r="S489" s="5"/>
      <c r="T489" s="6"/>
      <c r="U489" s="3" t="s">
        <v>491</v>
      </c>
      <c r="V489" s="5">
        <f>X488</f>
        <v>2317.8672043010747</v>
      </c>
      <c r="W489" s="8">
        <f>J664</f>
        <v>6.6612903225806459</v>
      </c>
      <c r="X489" s="16">
        <f>V489+W489</f>
        <v>2324.5284946236552</v>
      </c>
      <c r="Z489" s="6"/>
      <c r="AA489" s="3" t="s">
        <v>491</v>
      </c>
      <c r="AB489" s="5">
        <f>AD488</f>
        <v>2337.625268817204</v>
      </c>
      <c r="AC489" s="8">
        <f t="shared" si="42"/>
        <v>6.6612903225806459</v>
      </c>
      <c r="AD489" s="16">
        <f>AB489+AC489</f>
        <v>2344.2865591397845</v>
      </c>
      <c r="AE489" s="23" t="str">
        <f t="shared" si="40"/>
        <v>|</v>
      </c>
      <c r="AG489" s="3" t="s">
        <v>849</v>
      </c>
    </row>
    <row r="490" spans="1:33" ht="24" customHeight="1">
      <c r="A490" s="26">
        <f t="shared" si="44"/>
        <v>316</v>
      </c>
      <c r="B490" s="27" t="s">
        <v>781</v>
      </c>
      <c r="C490" s="25">
        <v>345</v>
      </c>
      <c r="D490" s="27" t="s">
        <v>209</v>
      </c>
      <c r="F490" s="17">
        <v>1.5</v>
      </c>
      <c r="G490" s="15" t="s">
        <v>1</v>
      </c>
      <c r="H490" s="3" t="s">
        <v>146</v>
      </c>
      <c r="I490" s="17">
        <f>(C12)</f>
        <v>502</v>
      </c>
      <c r="J490" s="3" t="s">
        <v>1</v>
      </c>
      <c r="K490" s="17">
        <f t="shared" si="43"/>
        <v>753</v>
      </c>
      <c r="R490" s="12" t="s">
        <v>117</v>
      </c>
      <c r="S490" s="5"/>
      <c r="T490" s="6"/>
      <c r="U490" s="3" t="s">
        <v>871</v>
      </c>
      <c r="V490" s="5">
        <f>X489</f>
        <v>2324.5284946236552</v>
      </c>
      <c r="W490" s="8">
        <f>J665</f>
        <v>6.6612903225806459</v>
      </c>
      <c r="X490" s="16">
        <f>V490+W490</f>
        <v>2331.1897849462357</v>
      </c>
      <c r="Z490" s="6"/>
      <c r="AA490" s="3" t="s">
        <v>871</v>
      </c>
      <c r="AB490" s="5">
        <f>AD489</f>
        <v>2344.2865591397845</v>
      </c>
      <c r="AC490" s="8">
        <f t="shared" si="42"/>
        <v>6.6612903225806459</v>
      </c>
      <c r="AD490" s="16">
        <f>AB490+AC490</f>
        <v>2350.947849462365</v>
      </c>
      <c r="AE490" s="23" t="str">
        <f t="shared" si="40"/>
        <v>|</v>
      </c>
      <c r="AG490" s="3" t="s">
        <v>849</v>
      </c>
    </row>
    <row r="491" spans="1:33" ht="24" customHeight="1">
      <c r="A491" s="26">
        <f t="shared" si="44"/>
        <v>317</v>
      </c>
      <c r="B491" s="27" t="s">
        <v>782</v>
      </c>
      <c r="C491" s="25">
        <v>503</v>
      </c>
      <c r="D491" s="27" t="s">
        <v>209</v>
      </c>
      <c r="F491" s="17">
        <v>0.5</v>
      </c>
      <c r="G491" s="15" t="s">
        <v>1</v>
      </c>
      <c r="H491" s="3" t="s">
        <v>147</v>
      </c>
      <c r="I491" s="17">
        <f>(C13)</f>
        <v>412</v>
      </c>
      <c r="J491" s="3" t="s">
        <v>1</v>
      </c>
      <c r="K491" s="17">
        <f t="shared" si="43"/>
        <v>206</v>
      </c>
      <c r="M491" s="3" t="s">
        <v>115</v>
      </c>
      <c r="Y491" s="9"/>
      <c r="AC491" s="8">
        <f t="shared" si="42"/>
        <v>0</v>
      </c>
      <c r="AE491" s="23" t="str">
        <f t="shared" si="40"/>
        <v>|</v>
      </c>
      <c r="AG491" s="3" t="s">
        <v>849</v>
      </c>
    </row>
    <row r="492" spans="1:33" ht="24" customHeight="1">
      <c r="A492" s="26">
        <f t="shared" si="44"/>
        <v>318</v>
      </c>
      <c r="B492" s="27" t="s">
        <v>783</v>
      </c>
      <c r="C492" s="25">
        <v>640</v>
      </c>
      <c r="D492" s="27" t="s">
        <v>209</v>
      </c>
      <c r="F492" s="17">
        <v>0.94</v>
      </c>
      <c r="G492" s="15" t="s">
        <v>148</v>
      </c>
      <c r="H492" s="3" t="s">
        <v>872</v>
      </c>
      <c r="I492" s="17">
        <f>C653</f>
        <v>41.9</v>
      </c>
      <c r="J492" s="3" t="s">
        <v>148</v>
      </c>
      <c r="K492" s="17">
        <f t="shared" si="43"/>
        <v>39.385999999999996</v>
      </c>
      <c r="N492" s="3" t="s">
        <v>122</v>
      </c>
      <c r="O492" s="3" t="s">
        <v>807</v>
      </c>
      <c r="Y492" s="9"/>
      <c r="AE492" s="23" t="str">
        <f t="shared" si="40"/>
        <v>|</v>
      </c>
      <c r="AG492" s="3" t="s">
        <v>849</v>
      </c>
    </row>
    <row r="493" spans="1:33" ht="24" customHeight="1">
      <c r="A493" s="26">
        <f t="shared" si="44"/>
        <v>319</v>
      </c>
      <c r="B493" s="27" t="s">
        <v>727</v>
      </c>
      <c r="C493" s="28">
        <v>584</v>
      </c>
      <c r="D493" s="27" t="s">
        <v>209</v>
      </c>
      <c r="H493" s="3" t="s">
        <v>130</v>
      </c>
      <c r="I493" s="3" t="s">
        <v>115</v>
      </c>
      <c r="J493" s="3" t="s">
        <v>129</v>
      </c>
      <c r="K493" s="17">
        <v>0</v>
      </c>
      <c r="O493" s="3" t="s">
        <v>808</v>
      </c>
      <c r="Y493" s="9"/>
      <c r="AE493" s="23" t="str">
        <f t="shared" si="40"/>
        <v>|</v>
      </c>
      <c r="AG493" s="3" t="s">
        <v>849</v>
      </c>
    </row>
    <row r="494" spans="1:33" ht="24" customHeight="1">
      <c r="A494" s="26">
        <f t="shared" si="44"/>
        <v>320</v>
      </c>
      <c r="B494" s="27" t="s">
        <v>812</v>
      </c>
      <c r="C494" s="39"/>
      <c r="D494" s="27" t="s">
        <v>209</v>
      </c>
      <c r="K494" s="12" t="s">
        <v>117</v>
      </c>
      <c r="O494" s="3" t="s">
        <v>873</v>
      </c>
      <c r="Y494" s="9"/>
      <c r="AE494" s="23" t="str">
        <f t="shared" si="40"/>
        <v>|</v>
      </c>
      <c r="AG494" s="3" t="s">
        <v>849</v>
      </c>
    </row>
    <row r="495" spans="1:33" ht="24" customHeight="1">
      <c r="A495" s="26">
        <f>(A494+1)</f>
        <v>321</v>
      </c>
      <c r="B495" s="97" t="s">
        <v>874</v>
      </c>
      <c r="C495" s="39"/>
      <c r="D495" s="27" t="s">
        <v>209</v>
      </c>
      <c r="H495" s="3" t="s">
        <v>153</v>
      </c>
      <c r="K495" s="17">
        <f>SUM(K486:K493)</f>
        <v>2494</v>
      </c>
      <c r="O495" s="12" t="s">
        <v>117</v>
      </c>
      <c r="Y495" s="9"/>
      <c r="AE495" s="23" t="str">
        <f t="shared" si="40"/>
        <v>|</v>
      </c>
      <c r="AG495" s="3" t="s">
        <v>849</v>
      </c>
    </row>
    <row r="496" spans="1:33" ht="24" customHeight="1">
      <c r="A496" s="26">
        <f>(A495+1)</f>
        <v>322</v>
      </c>
      <c r="B496" s="27" t="s">
        <v>875</v>
      </c>
      <c r="C496" s="25">
        <v>20.3</v>
      </c>
      <c r="D496" s="27" t="s">
        <v>209</v>
      </c>
      <c r="K496" s="12" t="s">
        <v>117</v>
      </c>
      <c r="N496" s="3" t="s">
        <v>810</v>
      </c>
      <c r="O496" s="4" t="s">
        <v>876</v>
      </c>
      <c r="Y496" s="9"/>
      <c r="AE496" s="23" t="str">
        <f t="shared" si="40"/>
        <v>|</v>
      </c>
      <c r="AG496" s="3" t="s">
        <v>849</v>
      </c>
    </row>
    <row r="497" spans="1:33" ht="33.75" customHeight="1">
      <c r="A497" s="26">
        <f>(A496+1)</f>
        <v>323</v>
      </c>
      <c r="B497" s="27" t="s">
        <v>877</v>
      </c>
      <c r="C497" s="28">
        <v>11.5</v>
      </c>
      <c r="D497" s="27" t="s">
        <v>209</v>
      </c>
      <c r="H497" s="19" t="s">
        <v>154</v>
      </c>
      <c r="K497" s="16">
        <f>(K495/10)</f>
        <v>249.4</v>
      </c>
      <c r="O497" s="12" t="s">
        <v>117</v>
      </c>
      <c r="Y497" s="9"/>
      <c r="AE497" s="23" t="str">
        <f t="shared" si="40"/>
        <v>|</v>
      </c>
      <c r="AG497" s="3" t="s">
        <v>849</v>
      </c>
    </row>
    <row r="498" spans="1:33" ht="36" customHeight="1">
      <c r="A498" s="39"/>
      <c r="B498" s="39"/>
      <c r="C498" s="39"/>
      <c r="D498" s="39"/>
      <c r="F498" s="3" t="s">
        <v>115</v>
      </c>
      <c r="AE498" s="23" t="str">
        <f t="shared" si="40"/>
        <v>|</v>
      </c>
      <c r="AG498" s="3" t="s">
        <v>849</v>
      </c>
    </row>
    <row r="499" spans="1:33" ht="24" customHeight="1">
      <c r="A499" s="26">
        <f>(A497+1)</f>
        <v>324</v>
      </c>
      <c r="B499" s="27" t="s">
        <v>878</v>
      </c>
      <c r="C499" s="25">
        <v>28.6</v>
      </c>
      <c r="D499" s="27" t="s">
        <v>209</v>
      </c>
      <c r="K499" s="12" t="s">
        <v>155</v>
      </c>
      <c r="M499" s="17">
        <v>30</v>
      </c>
      <c r="N499" s="3" t="s">
        <v>203</v>
      </c>
      <c r="O499" s="3" t="s">
        <v>879</v>
      </c>
      <c r="P499" s="17">
        <f>(C42)</f>
        <v>5</v>
      </c>
      <c r="Q499" s="3" t="s">
        <v>203</v>
      </c>
      <c r="R499" s="17">
        <f>(M499*P499)</f>
        <v>150</v>
      </c>
      <c r="AE499" s="23" t="str">
        <f t="shared" si="40"/>
        <v>|</v>
      </c>
      <c r="AG499" s="3" t="s">
        <v>849</v>
      </c>
    </row>
    <row r="500" spans="1:33" ht="24" customHeight="1">
      <c r="A500" s="26">
        <f t="shared" ref="A500:A562" si="45">(A499+1)</f>
        <v>325</v>
      </c>
      <c r="B500" s="27" t="s">
        <v>880</v>
      </c>
      <c r="C500" s="28">
        <v>56.74</v>
      </c>
      <c r="D500" s="27" t="s">
        <v>209</v>
      </c>
      <c r="F500" s="4"/>
      <c r="G500" s="15" t="s">
        <v>122</v>
      </c>
      <c r="H500" s="3" t="s">
        <v>881</v>
      </c>
      <c r="M500" s="3" t="s">
        <v>115</v>
      </c>
      <c r="O500" s="3" t="s">
        <v>882</v>
      </c>
      <c r="P500" s="3" t="s">
        <v>115</v>
      </c>
      <c r="R500" s="3" t="s">
        <v>115</v>
      </c>
      <c r="AE500" s="23" t="str">
        <f t="shared" si="40"/>
        <v>|</v>
      </c>
      <c r="AG500" s="3" t="s">
        <v>849</v>
      </c>
    </row>
    <row r="501" spans="1:33" ht="24" customHeight="1">
      <c r="A501" s="26">
        <f t="shared" si="45"/>
        <v>326</v>
      </c>
      <c r="B501" s="27" t="s">
        <v>883</v>
      </c>
      <c r="C501" s="28">
        <v>56.74</v>
      </c>
      <c r="D501" s="27" t="s">
        <v>209</v>
      </c>
      <c r="H501" s="3" t="s">
        <v>666</v>
      </c>
      <c r="M501" s="17">
        <v>8</v>
      </c>
      <c r="N501" s="3" t="s">
        <v>209</v>
      </c>
      <c r="O501" s="3" t="s">
        <v>823</v>
      </c>
      <c r="P501" s="17">
        <f>(C43)</f>
        <v>7.1</v>
      </c>
      <c r="Q501" s="3" t="s">
        <v>209</v>
      </c>
      <c r="R501" s="17">
        <f t="shared" ref="R501:R506" si="46">(M501*P501)</f>
        <v>56.8</v>
      </c>
      <c r="AE501" s="23" t="str">
        <f t="shared" si="40"/>
        <v>|</v>
      </c>
      <c r="AG501" s="3" t="s">
        <v>849</v>
      </c>
    </row>
    <row r="502" spans="1:33" ht="45.75" customHeight="1">
      <c r="A502" s="26">
        <f t="shared" si="45"/>
        <v>327</v>
      </c>
      <c r="B502" s="97" t="s">
        <v>884</v>
      </c>
      <c r="C502" s="39"/>
      <c r="D502" s="27" t="s">
        <v>115</v>
      </c>
      <c r="H502" s="12" t="s">
        <v>117</v>
      </c>
      <c r="M502" s="17">
        <v>8</v>
      </c>
      <c r="N502" s="3" t="s">
        <v>209</v>
      </c>
      <c r="O502" s="3" t="s">
        <v>826</v>
      </c>
      <c r="P502" s="17">
        <f>(C50)</f>
        <v>10</v>
      </c>
      <c r="Q502" s="3" t="s">
        <v>209</v>
      </c>
      <c r="R502" s="17">
        <f t="shared" si="46"/>
        <v>80</v>
      </c>
      <c r="AE502" s="23" t="str">
        <f t="shared" si="40"/>
        <v>|</v>
      </c>
      <c r="AG502" s="3" t="s">
        <v>849</v>
      </c>
    </row>
    <row r="503" spans="1:33" ht="24" customHeight="1">
      <c r="A503" s="26">
        <f t="shared" si="45"/>
        <v>328</v>
      </c>
      <c r="B503" s="27" t="s">
        <v>885</v>
      </c>
      <c r="C503" s="25">
        <v>69.8</v>
      </c>
      <c r="D503" s="27" t="s">
        <v>209</v>
      </c>
      <c r="F503" s="17">
        <v>9</v>
      </c>
      <c r="G503" s="15" t="s">
        <v>126</v>
      </c>
      <c r="H503" s="3" t="s">
        <v>886</v>
      </c>
      <c r="I503" s="17">
        <f>(C70)</f>
        <v>965.68999999999994</v>
      </c>
      <c r="J503" s="3" t="s">
        <v>126</v>
      </c>
      <c r="K503" s="17">
        <f t="shared" ref="K503:K508" si="47">(F503*I503)</f>
        <v>8691.2099999999991</v>
      </c>
      <c r="M503" s="17">
        <v>3</v>
      </c>
      <c r="N503" s="3" t="s">
        <v>209</v>
      </c>
      <c r="O503" s="3" t="s">
        <v>887</v>
      </c>
      <c r="P503" s="17">
        <f>(C41)</f>
        <v>569</v>
      </c>
      <c r="Q503" s="3" t="s">
        <v>209</v>
      </c>
      <c r="R503" s="17">
        <f t="shared" si="46"/>
        <v>1707</v>
      </c>
      <c r="AE503" s="23" t="str">
        <f t="shared" si="40"/>
        <v>|</v>
      </c>
      <c r="AG503" s="3" t="s">
        <v>849</v>
      </c>
    </row>
    <row r="504" spans="1:33" ht="24" customHeight="1">
      <c r="A504" s="26">
        <f t="shared" si="45"/>
        <v>329</v>
      </c>
      <c r="B504" s="27" t="s">
        <v>877</v>
      </c>
      <c r="C504" s="28">
        <v>15.6</v>
      </c>
      <c r="D504" s="27" t="s">
        <v>209</v>
      </c>
      <c r="F504" s="49">
        <v>3.2309999999999999</v>
      </c>
      <c r="G504" s="15" t="s">
        <v>124</v>
      </c>
      <c r="H504" s="3" t="s">
        <v>125</v>
      </c>
      <c r="I504" s="17">
        <f>(C67)</f>
        <v>5800</v>
      </c>
      <c r="J504" s="3" t="s">
        <v>124</v>
      </c>
      <c r="K504" s="17">
        <f t="shared" si="47"/>
        <v>18739.8</v>
      </c>
      <c r="M504" s="17">
        <v>1</v>
      </c>
      <c r="N504" s="3" t="s">
        <v>209</v>
      </c>
      <c r="O504" s="3" t="s">
        <v>888</v>
      </c>
      <c r="P504" s="17">
        <f>(C10)</f>
        <v>769</v>
      </c>
      <c r="Q504" s="3" t="s">
        <v>209</v>
      </c>
      <c r="R504" s="17">
        <f t="shared" si="46"/>
        <v>769</v>
      </c>
      <c r="AE504" s="23" t="str">
        <f t="shared" si="40"/>
        <v>|</v>
      </c>
      <c r="AG504" s="3" t="s">
        <v>849</v>
      </c>
    </row>
    <row r="505" spans="1:33" ht="24" customHeight="1">
      <c r="A505" s="26">
        <f t="shared" si="45"/>
        <v>330</v>
      </c>
      <c r="B505" s="27" t="s">
        <v>889</v>
      </c>
      <c r="C505" s="25">
        <v>75.3</v>
      </c>
      <c r="D505" s="27" t="s">
        <v>209</v>
      </c>
      <c r="F505" s="17">
        <v>4.5</v>
      </c>
      <c r="G505" s="15" t="s">
        <v>126</v>
      </c>
      <c r="H505" s="3" t="s">
        <v>127</v>
      </c>
      <c r="I505" s="17">
        <f>(C78)</f>
        <v>1322.8</v>
      </c>
      <c r="J505" s="3" t="s">
        <v>126</v>
      </c>
      <c r="K505" s="17">
        <f t="shared" si="47"/>
        <v>5952.5999999999995</v>
      </c>
      <c r="M505" s="17">
        <v>2</v>
      </c>
      <c r="N505" s="3" t="s">
        <v>209</v>
      </c>
      <c r="O505" s="3" t="s">
        <v>146</v>
      </c>
      <c r="P505" s="17">
        <f>(C12)</f>
        <v>502</v>
      </c>
      <c r="Q505" s="3" t="s">
        <v>209</v>
      </c>
      <c r="R505" s="17">
        <f t="shared" si="46"/>
        <v>1004</v>
      </c>
      <c r="AE505" s="23" t="str">
        <f t="shared" si="40"/>
        <v>|</v>
      </c>
      <c r="AG505" s="3" t="s">
        <v>849</v>
      </c>
    </row>
    <row r="506" spans="1:33" ht="24" customHeight="1">
      <c r="A506" s="26">
        <f t="shared" si="45"/>
        <v>331</v>
      </c>
      <c r="B506" s="27" t="s">
        <v>880</v>
      </c>
      <c r="C506" s="28">
        <v>100.3</v>
      </c>
      <c r="D506" s="27" t="s">
        <v>209</v>
      </c>
      <c r="F506" s="17">
        <v>3.5</v>
      </c>
      <c r="G506" s="15" t="s">
        <v>209</v>
      </c>
      <c r="H506" s="3" t="s">
        <v>145</v>
      </c>
      <c r="I506" s="17">
        <f>(C11)</f>
        <v>718</v>
      </c>
      <c r="J506" s="3" t="s">
        <v>209</v>
      </c>
      <c r="K506" s="17">
        <f t="shared" si="47"/>
        <v>2513</v>
      </c>
      <c r="M506" s="17">
        <v>1</v>
      </c>
      <c r="N506" s="3" t="s">
        <v>209</v>
      </c>
      <c r="O506" s="3" t="s">
        <v>147</v>
      </c>
      <c r="P506" s="17">
        <f>(C13)</f>
        <v>412</v>
      </c>
      <c r="Q506" s="3" t="s">
        <v>209</v>
      </c>
      <c r="R506" s="17">
        <f t="shared" si="46"/>
        <v>412</v>
      </c>
      <c r="AE506" s="23" t="str">
        <f t="shared" si="40"/>
        <v>|</v>
      </c>
      <c r="AG506" s="3" t="s">
        <v>849</v>
      </c>
    </row>
    <row r="507" spans="1:33" ht="24" customHeight="1">
      <c r="A507" s="26">
        <f t="shared" si="45"/>
        <v>332</v>
      </c>
      <c r="B507" s="27" t="s">
        <v>883</v>
      </c>
      <c r="C507" s="28">
        <v>100.3</v>
      </c>
      <c r="D507" s="27" t="s">
        <v>209</v>
      </c>
      <c r="F507" s="17">
        <v>21.2</v>
      </c>
      <c r="G507" s="15" t="s">
        <v>209</v>
      </c>
      <c r="H507" s="3" t="s">
        <v>146</v>
      </c>
      <c r="I507" s="17">
        <f>(C12)</f>
        <v>502</v>
      </c>
      <c r="J507" s="3" t="s">
        <v>209</v>
      </c>
      <c r="K507" s="17">
        <f t="shared" si="47"/>
        <v>10642.4</v>
      </c>
      <c r="N507" s="3" t="s">
        <v>129</v>
      </c>
      <c r="O507" s="3" t="s">
        <v>890</v>
      </c>
      <c r="P507" s="3" t="s">
        <v>115</v>
      </c>
      <c r="Q507" s="3" t="s">
        <v>129</v>
      </c>
      <c r="R507" s="17">
        <f>(C56)</f>
        <v>12.1</v>
      </c>
      <c r="AE507" s="23" t="str">
        <f t="shared" si="40"/>
        <v>|</v>
      </c>
      <c r="AG507" s="3" t="s">
        <v>849</v>
      </c>
    </row>
    <row r="508" spans="1:33" ht="24" customHeight="1">
      <c r="A508" s="26">
        <f t="shared" si="45"/>
        <v>333</v>
      </c>
      <c r="B508" s="97" t="s">
        <v>891</v>
      </c>
      <c r="C508" s="39"/>
      <c r="D508" s="27" t="s">
        <v>115</v>
      </c>
      <c r="F508" s="17">
        <v>35.299999999999997</v>
      </c>
      <c r="G508" s="15" t="s">
        <v>209</v>
      </c>
      <c r="H508" s="3" t="s">
        <v>147</v>
      </c>
      <c r="I508" s="17">
        <f>(C13)</f>
        <v>412</v>
      </c>
      <c r="J508" s="3" t="s">
        <v>209</v>
      </c>
      <c r="K508" s="17">
        <f t="shared" si="47"/>
        <v>14543.599999999999</v>
      </c>
      <c r="O508" s="3" t="s">
        <v>892</v>
      </c>
      <c r="P508" s="3" t="s">
        <v>115</v>
      </c>
      <c r="R508" s="3" t="s">
        <v>115</v>
      </c>
      <c r="AE508" s="23" t="str">
        <f t="shared" si="40"/>
        <v>|</v>
      </c>
      <c r="AG508" s="3" t="s">
        <v>849</v>
      </c>
    </row>
    <row r="509" spans="1:33" ht="24" customHeight="1">
      <c r="A509" s="26">
        <f t="shared" si="45"/>
        <v>334</v>
      </c>
      <c r="B509" s="27" t="s">
        <v>885</v>
      </c>
      <c r="C509" s="25">
        <v>40.4</v>
      </c>
      <c r="D509" s="27" t="s">
        <v>209</v>
      </c>
      <c r="G509" s="15" t="s">
        <v>129</v>
      </c>
      <c r="H509" s="3" t="s">
        <v>130</v>
      </c>
      <c r="I509" s="3" t="s">
        <v>115</v>
      </c>
      <c r="J509" s="3" t="s">
        <v>129</v>
      </c>
      <c r="K509" s="17">
        <v>0</v>
      </c>
      <c r="N509" s="3" t="s">
        <v>129</v>
      </c>
      <c r="O509" s="3" t="s">
        <v>130</v>
      </c>
      <c r="Q509" s="3" t="s">
        <v>129</v>
      </c>
      <c r="R509" s="17">
        <v>0</v>
      </c>
      <c r="AE509" s="23" t="str">
        <f t="shared" si="40"/>
        <v>|</v>
      </c>
      <c r="AG509" s="3" t="s">
        <v>849</v>
      </c>
    </row>
    <row r="510" spans="1:33" ht="24" customHeight="1">
      <c r="A510" s="26">
        <f t="shared" si="45"/>
        <v>335</v>
      </c>
      <c r="B510" s="27" t="s">
        <v>877</v>
      </c>
      <c r="C510" s="99">
        <v>47</v>
      </c>
      <c r="D510" s="27" t="s">
        <v>209</v>
      </c>
      <c r="K510" s="12" t="s">
        <v>117</v>
      </c>
      <c r="R510" s="12" t="s">
        <v>117</v>
      </c>
      <c r="AE510" s="23" t="str">
        <f t="shared" si="40"/>
        <v>|</v>
      </c>
      <c r="AG510" s="3" t="s">
        <v>849</v>
      </c>
    </row>
    <row r="511" spans="1:33" ht="24" customHeight="1">
      <c r="A511" s="26">
        <f t="shared" si="45"/>
        <v>336</v>
      </c>
      <c r="B511" s="27" t="s">
        <v>889</v>
      </c>
      <c r="C511" s="25">
        <v>52</v>
      </c>
      <c r="D511" s="27" t="s">
        <v>209</v>
      </c>
      <c r="H511" s="3" t="s">
        <v>681</v>
      </c>
      <c r="K511" s="17">
        <f>SUM(K503:K509)</f>
        <v>61082.61</v>
      </c>
      <c r="O511" s="3" t="s">
        <v>893</v>
      </c>
      <c r="R511" s="17">
        <f>SUM(R499:R509)</f>
        <v>4190.9000000000005</v>
      </c>
      <c r="AE511" s="23" t="str">
        <f t="shared" si="40"/>
        <v>|</v>
      </c>
      <c r="AG511" s="3" t="s">
        <v>849</v>
      </c>
    </row>
    <row r="512" spans="1:33" ht="24" customHeight="1">
      <c r="A512" s="26">
        <f t="shared" si="45"/>
        <v>337</v>
      </c>
      <c r="B512" s="27" t="s">
        <v>894</v>
      </c>
      <c r="C512" s="28">
        <v>36.61</v>
      </c>
      <c r="D512" s="27" t="s">
        <v>209</v>
      </c>
      <c r="K512" s="12" t="s">
        <v>117</v>
      </c>
      <c r="R512" s="12" t="s">
        <v>117</v>
      </c>
      <c r="AE512" s="23" t="str">
        <f t="shared" si="40"/>
        <v>|</v>
      </c>
      <c r="AG512" s="3" t="s">
        <v>849</v>
      </c>
    </row>
    <row r="513" spans="1:33" ht="24" customHeight="1">
      <c r="A513" s="26">
        <f t="shared" si="45"/>
        <v>338</v>
      </c>
      <c r="B513" s="27" t="s">
        <v>880</v>
      </c>
      <c r="C513" s="28">
        <v>78.709999999999994</v>
      </c>
      <c r="D513" s="27" t="s">
        <v>209</v>
      </c>
      <c r="H513" s="3" t="s">
        <v>383</v>
      </c>
      <c r="K513" s="17">
        <f>(K511/10)+0.01</f>
        <v>6108.2710000000006</v>
      </c>
      <c r="O513" s="3" t="s">
        <v>216</v>
      </c>
      <c r="R513" s="17">
        <f>(R511/30)</f>
        <v>139.69666666666669</v>
      </c>
      <c r="AE513" s="23" t="str">
        <f t="shared" si="40"/>
        <v>|</v>
      </c>
      <c r="AG513" s="3" t="s">
        <v>849</v>
      </c>
    </row>
    <row r="514" spans="1:33" ht="24" customHeight="1">
      <c r="A514" s="26">
        <f t="shared" si="45"/>
        <v>339</v>
      </c>
      <c r="B514" s="27" t="s">
        <v>883</v>
      </c>
      <c r="C514" s="28">
        <v>78.709999999999994</v>
      </c>
      <c r="D514" s="27" t="s">
        <v>209</v>
      </c>
      <c r="R514" s="12" t="s">
        <v>117</v>
      </c>
      <c r="AE514" s="23">
        <f t="shared" si="40"/>
        <v>0</v>
      </c>
    </row>
    <row r="515" spans="1:33" ht="24" customHeight="1">
      <c r="A515" s="26">
        <f t="shared" si="45"/>
        <v>340</v>
      </c>
      <c r="B515" s="27" t="s">
        <v>895</v>
      </c>
      <c r="C515" s="39"/>
      <c r="D515" s="27" t="s">
        <v>896</v>
      </c>
      <c r="F515" s="17">
        <v>1</v>
      </c>
      <c r="G515" s="15" t="s">
        <v>126</v>
      </c>
      <c r="H515" s="3" t="s">
        <v>689</v>
      </c>
      <c r="K515" s="17">
        <f>C25</f>
        <v>70.7</v>
      </c>
      <c r="N515" s="3" t="s">
        <v>2</v>
      </c>
      <c r="O515" s="4" t="s">
        <v>897</v>
      </c>
      <c r="AE515" s="23" t="str">
        <f t="shared" si="40"/>
        <v>|</v>
      </c>
      <c r="AG515" s="3" t="s">
        <v>849</v>
      </c>
    </row>
    <row r="516" spans="1:33" ht="24" customHeight="1">
      <c r="A516" s="26">
        <f t="shared" si="45"/>
        <v>341</v>
      </c>
      <c r="B516" s="27" t="s">
        <v>898</v>
      </c>
      <c r="C516" s="45">
        <v>20.55</v>
      </c>
      <c r="D516" s="27" t="s">
        <v>203</v>
      </c>
      <c r="K516" s="12" t="s">
        <v>117</v>
      </c>
      <c r="O516" s="12" t="s">
        <v>117</v>
      </c>
      <c r="AE516" s="23" t="str">
        <f t="shared" si="40"/>
        <v>|</v>
      </c>
      <c r="AG516" s="3" t="s">
        <v>849</v>
      </c>
    </row>
    <row r="517" spans="1:33" ht="24" customHeight="1">
      <c r="A517" s="26">
        <f t="shared" si="45"/>
        <v>342</v>
      </c>
      <c r="B517" s="27" t="s">
        <v>899</v>
      </c>
      <c r="C517" s="45">
        <v>26</v>
      </c>
      <c r="D517" s="27" t="s">
        <v>203</v>
      </c>
      <c r="E517" s="79">
        <v>97.7</v>
      </c>
      <c r="H517" s="3" t="s">
        <v>900</v>
      </c>
      <c r="K517" s="17">
        <f>SUM(K513:K515)</f>
        <v>6178.9710000000005</v>
      </c>
      <c r="M517" s="17">
        <v>30</v>
      </c>
      <c r="N517" s="3" t="s">
        <v>203</v>
      </c>
      <c r="O517" s="3" t="s">
        <v>879</v>
      </c>
      <c r="P517" s="17">
        <f>(C42)</f>
        <v>5</v>
      </c>
      <c r="Q517" s="3" t="s">
        <v>203</v>
      </c>
      <c r="R517" s="17">
        <f>(M517*P517)</f>
        <v>150</v>
      </c>
      <c r="AE517" s="23" t="str">
        <f t="shared" si="40"/>
        <v>|</v>
      </c>
      <c r="AG517" s="3" t="s">
        <v>849</v>
      </c>
    </row>
    <row r="518" spans="1:33" ht="24" customHeight="1">
      <c r="A518" s="26">
        <f t="shared" si="45"/>
        <v>343</v>
      </c>
      <c r="B518" s="27" t="s">
        <v>901</v>
      </c>
      <c r="C518" s="45">
        <v>35</v>
      </c>
      <c r="D518" s="27" t="s">
        <v>203</v>
      </c>
      <c r="K518" s="12" t="s">
        <v>117</v>
      </c>
      <c r="M518" s="3" t="s">
        <v>115</v>
      </c>
      <c r="O518" s="3" t="s">
        <v>882</v>
      </c>
      <c r="P518" s="3" t="s">
        <v>115</v>
      </c>
      <c r="R518" s="3" t="s">
        <v>115</v>
      </c>
      <c r="AE518" s="23" t="str">
        <f t="shared" si="40"/>
        <v>|</v>
      </c>
      <c r="AG518" s="3" t="s">
        <v>849</v>
      </c>
    </row>
    <row r="519" spans="1:33" ht="24" customHeight="1">
      <c r="A519" s="26">
        <f t="shared" si="45"/>
        <v>344</v>
      </c>
      <c r="B519" s="27" t="s">
        <v>902</v>
      </c>
      <c r="C519" s="45">
        <v>52</v>
      </c>
      <c r="D519" s="27" t="s">
        <v>203</v>
      </c>
      <c r="G519" s="15" t="s">
        <v>903</v>
      </c>
      <c r="H519" s="3" t="s">
        <v>482</v>
      </c>
      <c r="K519" s="17">
        <f>(K517+C22)</f>
        <v>6268.8710000000001</v>
      </c>
      <c r="L519" s="5">
        <f>K519-K517</f>
        <v>89.899999999999636</v>
      </c>
      <c r="M519" s="17">
        <v>8</v>
      </c>
      <c r="N519" s="3" t="s">
        <v>209</v>
      </c>
      <c r="O519" s="3" t="s">
        <v>823</v>
      </c>
      <c r="P519" s="17">
        <f>(C44)</f>
        <v>7.1</v>
      </c>
      <c r="Q519" s="3" t="s">
        <v>209</v>
      </c>
      <c r="R519" s="17">
        <f t="shared" ref="R519:R524" si="48">(M519*P519)</f>
        <v>56.8</v>
      </c>
      <c r="AE519" s="23" t="str">
        <f t="shared" si="40"/>
        <v>|</v>
      </c>
      <c r="AG519" s="3" t="s">
        <v>849</v>
      </c>
    </row>
    <row r="520" spans="1:33" ht="24" customHeight="1">
      <c r="A520" s="26">
        <f t="shared" si="45"/>
        <v>345</v>
      </c>
      <c r="B520" s="27" t="s">
        <v>904</v>
      </c>
      <c r="C520" s="45">
        <v>65</v>
      </c>
      <c r="D520" s="28">
        <v>21</v>
      </c>
      <c r="G520" s="15" t="s">
        <v>905</v>
      </c>
      <c r="H520" s="3" t="s">
        <v>486</v>
      </c>
      <c r="K520" s="17">
        <f>(K519+C23)</f>
        <v>6445.8710000000001</v>
      </c>
      <c r="M520" s="17">
        <v>8</v>
      </c>
      <c r="N520" s="3" t="s">
        <v>209</v>
      </c>
      <c r="O520" s="3" t="s">
        <v>826</v>
      </c>
      <c r="P520" s="17">
        <f>(C51)</f>
        <v>10.199999999999999</v>
      </c>
      <c r="Q520" s="3" t="s">
        <v>209</v>
      </c>
      <c r="R520" s="17">
        <f t="shared" si="48"/>
        <v>81.599999999999994</v>
      </c>
      <c r="AE520" s="23" t="str">
        <f t="shared" si="40"/>
        <v>|</v>
      </c>
      <c r="AG520" s="3" t="s">
        <v>849</v>
      </c>
    </row>
    <row r="521" spans="1:33" ht="24" customHeight="1">
      <c r="A521" s="26">
        <f t="shared" si="45"/>
        <v>346</v>
      </c>
      <c r="B521" s="27" t="s">
        <v>906</v>
      </c>
      <c r="C521" s="45">
        <v>82</v>
      </c>
      <c r="D521" s="28">
        <v>37.15</v>
      </c>
      <c r="G521" s="15" t="s">
        <v>907</v>
      </c>
      <c r="H521" s="3" t="s">
        <v>489</v>
      </c>
      <c r="K521" s="17">
        <f>(K520+C24)</f>
        <v>6622.8710000000001</v>
      </c>
      <c r="M521" s="17">
        <v>3</v>
      </c>
      <c r="N521" s="3" t="s">
        <v>209</v>
      </c>
      <c r="O521" s="3" t="s">
        <v>887</v>
      </c>
      <c r="P521" s="17">
        <f>(C41)</f>
        <v>569</v>
      </c>
      <c r="Q521" s="3" t="s">
        <v>209</v>
      </c>
      <c r="R521" s="17">
        <f t="shared" si="48"/>
        <v>1707</v>
      </c>
      <c r="AE521" s="23" t="str">
        <f t="shared" si="40"/>
        <v>|</v>
      </c>
      <c r="AG521" s="3" t="s">
        <v>849</v>
      </c>
    </row>
    <row r="522" spans="1:33" ht="24" customHeight="1">
      <c r="A522" s="26">
        <f t="shared" si="45"/>
        <v>347</v>
      </c>
      <c r="B522" s="27" t="s">
        <v>908</v>
      </c>
      <c r="C522" s="39"/>
      <c r="D522" s="27" t="s">
        <v>115</v>
      </c>
      <c r="G522" s="15" t="s">
        <v>909</v>
      </c>
      <c r="H522" s="3" t="s">
        <v>491</v>
      </c>
      <c r="K522" s="17">
        <f>(K521+C24)</f>
        <v>6799.8710000000001</v>
      </c>
      <c r="M522" s="17">
        <v>1</v>
      </c>
      <c r="N522" s="3" t="s">
        <v>209</v>
      </c>
      <c r="O522" s="3" t="s">
        <v>888</v>
      </c>
      <c r="P522" s="17">
        <f>(C10)</f>
        <v>769</v>
      </c>
      <c r="Q522" s="3" t="s">
        <v>209</v>
      </c>
      <c r="R522" s="17">
        <f t="shared" si="48"/>
        <v>769</v>
      </c>
      <c r="AE522" s="23" t="str">
        <f t="shared" si="40"/>
        <v>|::</v>
      </c>
      <c r="AG522" s="3" t="s">
        <v>636</v>
      </c>
    </row>
    <row r="523" spans="1:33" ht="24" customHeight="1">
      <c r="A523" s="26">
        <f t="shared" si="45"/>
        <v>348</v>
      </c>
      <c r="B523" s="27" t="s">
        <v>786</v>
      </c>
      <c r="C523" s="28">
        <v>4.1900000000000004</v>
      </c>
      <c r="D523" s="27" t="s">
        <v>209</v>
      </c>
      <c r="M523" s="17">
        <v>2</v>
      </c>
      <c r="N523" s="3" t="s">
        <v>209</v>
      </c>
      <c r="O523" s="3" t="s">
        <v>146</v>
      </c>
      <c r="P523" s="17">
        <f>(C12)</f>
        <v>502</v>
      </c>
      <c r="Q523" s="3" t="s">
        <v>209</v>
      </c>
      <c r="R523" s="17">
        <f t="shared" si="48"/>
        <v>1004</v>
      </c>
      <c r="AE523" s="23">
        <f t="shared" si="40"/>
        <v>0</v>
      </c>
    </row>
    <row r="524" spans="1:33" ht="24" customHeight="1">
      <c r="A524" s="26">
        <f t="shared" si="45"/>
        <v>349</v>
      </c>
      <c r="B524" s="27" t="s">
        <v>779</v>
      </c>
      <c r="C524" s="28">
        <v>5</v>
      </c>
      <c r="D524" s="27" t="s">
        <v>209</v>
      </c>
      <c r="F524" s="4" t="s">
        <v>910</v>
      </c>
      <c r="G524" s="15" t="s">
        <v>122</v>
      </c>
      <c r="H524" s="3" t="s">
        <v>911</v>
      </c>
      <c r="M524" s="17">
        <v>1</v>
      </c>
      <c r="N524" s="3" t="s">
        <v>209</v>
      </c>
      <c r="O524" s="3" t="s">
        <v>147</v>
      </c>
      <c r="P524" s="17">
        <f>(C13)</f>
        <v>412</v>
      </c>
      <c r="Q524" s="3" t="s">
        <v>209</v>
      </c>
      <c r="R524" s="17">
        <f t="shared" si="48"/>
        <v>412</v>
      </c>
      <c r="AE524" s="23">
        <f t="shared" si="40"/>
        <v>0</v>
      </c>
    </row>
    <row r="525" spans="1:33" ht="24" customHeight="1">
      <c r="A525" s="26">
        <f t="shared" si="45"/>
        <v>350</v>
      </c>
      <c r="B525" s="27" t="s">
        <v>781</v>
      </c>
      <c r="C525" s="28">
        <v>8.06</v>
      </c>
      <c r="D525" s="27" t="s">
        <v>209</v>
      </c>
      <c r="H525" s="12" t="s">
        <v>117</v>
      </c>
      <c r="N525" s="3" t="s">
        <v>129</v>
      </c>
      <c r="O525" s="3" t="s">
        <v>890</v>
      </c>
      <c r="P525" s="3" t="s">
        <v>115</v>
      </c>
      <c r="Q525" s="3" t="s">
        <v>129</v>
      </c>
      <c r="R525" s="17">
        <f>(C56)</f>
        <v>12.1</v>
      </c>
      <c r="U525" s="100" t="s">
        <v>912</v>
      </c>
      <c r="AA525" s="100" t="s">
        <v>913</v>
      </c>
      <c r="AE525" s="23" t="str">
        <f t="shared" ref="AE525:AE596" si="49">AG525</f>
        <v>|</v>
      </c>
      <c r="AG525" s="3" t="s">
        <v>849</v>
      </c>
    </row>
    <row r="526" spans="1:33" ht="24" customHeight="1">
      <c r="A526" s="26">
        <f t="shared" si="45"/>
        <v>351</v>
      </c>
      <c r="B526" s="27" t="s">
        <v>782</v>
      </c>
      <c r="C526" s="28">
        <v>11.86</v>
      </c>
      <c r="D526" s="27" t="s">
        <v>209</v>
      </c>
      <c r="F526" s="49">
        <v>1.4999999999999999E-2</v>
      </c>
      <c r="G526" s="15" t="s">
        <v>126</v>
      </c>
      <c r="H526" s="3" t="s">
        <v>914</v>
      </c>
      <c r="I526" s="17">
        <f>(K513)</f>
        <v>6108.2710000000006</v>
      </c>
      <c r="J526" s="3" t="s">
        <v>126</v>
      </c>
      <c r="K526" s="17">
        <f>(F526*I526)</f>
        <v>91.624065000000002</v>
      </c>
      <c r="O526" s="3" t="s">
        <v>892</v>
      </c>
      <c r="P526" s="3" t="s">
        <v>115</v>
      </c>
      <c r="R526" s="3" t="s">
        <v>115</v>
      </c>
      <c r="S526" s="4" t="s">
        <v>910</v>
      </c>
      <c r="T526" s="15" t="s">
        <v>122</v>
      </c>
      <c r="U526" s="3" t="s">
        <v>915</v>
      </c>
      <c r="W526" s="8"/>
      <c r="Y526" s="4" t="s">
        <v>910</v>
      </c>
      <c r="Z526" s="15" t="s">
        <v>122</v>
      </c>
      <c r="AA526" s="3" t="s">
        <v>916</v>
      </c>
      <c r="AC526" s="8"/>
      <c r="AE526" s="23" t="str">
        <f t="shared" si="49"/>
        <v>|</v>
      </c>
      <c r="AG526" s="3" t="s">
        <v>849</v>
      </c>
    </row>
    <row r="527" spans="1:33" ht="24" customHeight="1">
      <c r="A527" s="26">
        <f t="shared" si="45"/>
        <v>352</v>
      </c>
      <c r="B527" s="27" t="s">
        <v>783</v>
      </c>
      <c r="C527" s="28">
        <v>18.88</v>
      </c>
      <c r="D527" s="27" t="s">
        <v>209</v>
      </c>
      <c r="F527" s="17">
        <v>0.5</v>
      </c>
      <c r="G527" s="15" t="s">
        <v>1</v>
      </c>
      <c r="H527" s="3" t="s">
        <v>144</v>
      </c>
      <c r="I527" s="17">
        <f>(C10)</f>
        <v>769</v>
      </c>
      <c r="J527" s="3" t="s">
        <v>1</v>
      </c>
      <c r="K527" s="17">
        <f>(F527*I527)</f>
        <v>384.5</v>
      </c>
      <c r="N527" s="3" t="s">
        <v>129</v>
      </c>
      <c r="O527" s="3" t="s">
        <v>130</v>
      </c>
      <c r="Q527" s="3" t="s">
        <v>129</v>
      </c>
      <c r="R527" s="17">
        <v>0</v>
      </c>
      <c r="S527" s="5"/>
      <c r="T527" s="6"/>
      <c r="U527" s="12" t="s">
        <v>117</v>
      </c>
      <c r="W527" s="8"/>
      <c r="Z527" s="6"/>
      <c r="AA527" s="12" t="s">
        <v>117</v>
      </c>
      <c r="AC527" s="8"/>
      <c r="AE527" s="23" t="str">
        <f t="shared" si="49"/>
        <v>|</v>
      </c>
      <c r="AG527" s="3" t="s">
        <v>849</v>
      </c>
    </row>
    <row r="528" spans="1:33" ht="24" customHeight="1">
      <c r="A528" s="26">
        <f t="shared" si="45"/>
        <v>353</v>
      </c>
      <c r="B528" s="27" t="s">
        <v>727</v>
      </c>
      <c r="C528" s="28">
        <v>26</v>
      </c>
      <c r="D528" s="27" t="s">
        <v>209</v>
      </c>
      <c r="F528" s="17">
        <v>0.75</v>
      </c>
      <c r="G528" s="15" t="s">
        <v>1</v>
      </c>
      <c r="H528" s="3" t="s">
        <v>146</v>
      </c>
      <c r="I528" s="17">
        <f>(C12)</f>
        <v>502</v>
      </c>
      <c r="J528" s="3" t="s">
        <v>1</v>
      </c>
      <c r="K528" s="17">
        <f>(F528*I528)</f>
        <v>376.5</v>
      </c>
      <c r="R528" s="12" t="s">
        <v>117</v>
      </c>
      <c r="S528" s="49">
        <v>1.4999999999999999E-2</v>
      </c>
      <c r="T528" s="15" t="s">
        <v>126</v>
      </c>
      <c r="U528" s="3" t="s">
        <v>914</v>
      </c>
      <c r="V528" s="17">
        <f>X657</f>
        <v>6203.5875194999999</v>
      </c>
      <c r="W528" s="3" t="s">
        <v>126</v>
      </c>
      <c r="X528" s="17">
        <f>(S528*V528)</f>
        <v>93.053812792499997</v>
      </c>
      <c r="Y528" s="49">
        <v>1.4999999999999999E-2</v>
      </c>
      <c r="Z528" s="15" t="s">
        <v>126</v>
      </c>
      <c r="AA528" s="3" t="s">
        <v>914</v>
      </c>
      <c r="AB528" s="17">
        <f>AF657</f>
        <v>6728.1171194999997</v>
      </c>
      <c r="AC528" s="3" t="s">
        <v>126</v>
      </c>
      <c r="AD528" s="17">
        <f>(Y528*AB528)</f>
        <v>100.92175679249999</v>
      </c>
      <c r="AE528" s="23" t="str">
        <f t="shared" si="49"/>
        <v>|</v>
      </c>
      <c r="AG528" s="3" t="s">
        <v>849</v>
      </c>
    </row>
    <row r="529" spans="1:33" ht="24" customHeight="1">
      <c r="A529" s="26">
        <f t="shared" si="45"/>
        <v>354</v>
      </c>
      <c r="B529" s="27" t="s">
        <v>917</v>
      </c>
      <c r="C529" s="39"/>
      <c r="D529" s="27" t="s">
        <v>115</v>
      </c>
      <c r="G529" s="15" t="s">
        <v>129</v>
      </c>
      <c r="H529" s="3" t="s">
        <v>130</v>
      </c>
      <c r="J529" s="3" t="s">
        <v>129</v>
      </c>
      <c r="K529" s="17">
        <v>0</v>
      </c>
      <c r="O529" s="3" t="s">
        <v>893</v>
      </c>
      <c r="R529" s="17">
        <f>SUM(R517:R527)</f>
        <v>4192.5</v>
      </c>
      <c r="S529" s="17">
        <v>0.5</v>
      </c>
      <c r="T529" s="15" t="s">
        <v>1</v>
      </c>
      <c r="U529" s="3" t="s">
        <v>144</v>
      </c>
      <c r="V529" s="17">
        <f>C10</f>
        <v>769</v>
      </c>
      <c r="W529" s="3" t="s">
        <v>1</v>
      </c>
      <c r="X529" s="17">
        <f>(S529*V529)</f>
        <v>384.5</v>
      </c>
      <c r="Y529" s="17">
        <v>0.5</v>
      </c>
      <c r="Z529" s="15" t="s">
        <v>1</v>
      </c>
      <c r="AA529" s="3" t="s">
        <v>144</v>
      </c>
      <c r="AB529" s="17">
        <f>V529</f>
        <v>769</v>
      </c>
      <c r="AC529" s="3" t="s">
        <v>1</v>
      </c>
      <c r="AD529" s="17">
        <f>(Y529*AB529)</f>
        <v>384.5</v>
      </c>
      <c r="AE529" s="23" t="str">
        <f t="shared" si="49"/>
        <v>|</v>
      </c>
      <c r="AG529" s="3" t="s">
        <v>849</v>
      </c>
    </row>
    <row r="530" spans="1:33" ht="24" customHeight="1">
      <c r="A530" s="26">
        <f t="shared" si="45"/>
        <v>355</v>
      </c>
      <c r="B530" s="27" t="s">
        <v>786</v>
      </c>
      <c r="C530" s="25">
        <v>5.3</v>
      </c>
      <c r="D530" s="27" t="s">
        <v>209</v>
      </c>
      <c r="K530" s="12" t="s">
        <v>117</v>
      </c>
      <c r="R530" s="12" t="s">
        <v>117</v>
      </c>
      <c r="S530" s="17">
        <v>0.75</v>
      </c>
      <c r="T530" s="15" t="s">
        <v>1</v>
      </c>
      <c r="U530" s="3" t="s">
        <v>146</v>
      </c>
      <c r="V530" s="17">
        <f>C12</f>
        <v>502</v>
      </c>
      <c r="W530" s="3" t="s">
        <v>1</v>
      </c>
      <c r="X530" s="17">
        <f>(S530*V530)</f>
        <v>376.5</v>
      </c>
      <c r="Y530" s="17">
        <v>0.75</v>
      </c>
      <c r="Z530" s="15" t="s">
        <v>1</v>
      </c>
      <c r="AA530" s="3" t="s">
        <v>146</v>
      </c>
      <c r="AB530" s="17">
        <f>V530</f>
        <v>502</v>
      </c>
      <c r="AC530" s="3" t="s">
        <v>1</v>
      </c>
      <c r="AD530" s="17">
        <f>(Y530*AB530)</f>
        <v>376.5</v>
      </c>
      <c r="AE530" s="23" t="str">
        <f t="shared" si="49"/>
        <v>|</v>
      </c>
      <c r="AG530" s="3" t="s">
        <v>849</v>
      </c>
    </row>
    <row r="531" spans="1:33" ht="24" customHeight="1">
      <c r="A531" s="26">
        <f t="shared" si="45"/>
        <v>356</v>
      </c>
      <c r="B531" s="27" t="s">
        <v>779</v>
      </c>
      <c r="C531" s="25">
        <v>6</v>
      </c>
      <c r="D531" s="27" t="s">
        <v>209</v>
      </c>
      <c r="H531" s="3" t="s">
        <v>918</v>
      </c>
      <c r="K531" s="17">
        <f>SUM(K526:K529)</f>
        <v>852.62406499999997</v>
      </c>
      <c r="O531" s="3" t="s">
        <v>216</v>
      </c>
      <c r="R531" s="17">
        <f>(R529/30)</f>
        <v>139.75</v>
      </c>
      <c r="S531" s="5"/>
      <c r="T531" s="15" t="s">
        <v>129</v>
      </c>
      <c r="U531" s="3" t="s">
        <v>130</v>
      </c>
      <c r="W531" s="3" t="s">
        <v>129</v>
      </c>
      <c r="X531" s="17">
        <v>0</v>
      </c>
      <c r="Z531" s="15" t="s">
        <v>129</v>
      </c>
      <c r="AA531" s="3" t="s">
        <v>130</v>
      </c>
      <c r="AB531" s="17">
        <f>V531</f>
        <v>0</v>
      </c>
      <c r="AC531" s="3" t="s">
        <v>129</v>
      </c>
      <c r="AD531" s="17">
        <v>0</v>
      </c>
      <c r="AE531" s="23" t="str">
        <f t="shared" si="49"/>
        <v>|</v>
      </c>
      <c r="AG531" s="3" t="s">
        <v>849</v>
      </c>
    </row>
    <row r="532" spans="1:33" ht="24" customHeight="1">
      <c r="A532" s="26">
        <f t="shared" si="45"/>
        <v>357</v>
      </c>
      <c r="B532" s="27" t="s">
        <v>781</v>
      </c>
      <c r="C532" s="25">
        <v>8.5</v>
      </c>
      <c r="D532" s="27" t="s">
        <v>209</v>
      </c>
      <c r="K532" s="12" t="s">
        <v>117</v>
      </c>
      <c r="R532" s="12" t="s">
        <v>117</v>
      </c>
      <c r="S532" s="5"/>
      <c r="T532" s="6"/>
      <c r="W532" s="8"/>
      <c r="X532" s="12" t="s">
        <v>117</v>
      </c>
      <c r="Z532" s="6"/>
      <c r="AC532" s="8"/>
      <c r="AD532" s="12" t="s">
        <v>117</v>
      </c>
      <c r="AE532" s="23" t="str">
        <f t="shared" si="49"/>
        <v>|</v>
      </c>
      <c r="AG532" s="3" t="s">
        <v>849</v>
      </c>
    </row>
    <row r="533" spans="1:33" ht="24" customHeight="1">
      <c r="A533" s="26">
        <f t="shared" si="45"/>
        <v>358</v>
      </c>
      <c r="B533" s="27" t="s">
        <v>782</v>
      </c>
      <c r="C533" s="25">
        <v>12.2</v>
      </c>
      <c r="D533" s="27" t="s">
        <v>209</v>
      </c>
      <c r="H533" s="3" t="s">
        <v>154</v>
      </c>
      <c r="K533" s="17">
        <f>(K531/0.743)</f>
        <v>1147.5424831763123</v>
      </c>
      <c r="S533" s="5"/>
      <c r="T533" s="6"/>
      <c r="U533" s="3" t="s">
        <v>918</v>
      </c>
      <c r="W533" s="8"/>
      <c r="X533" s="17">
        <f>SUM(X528:X531)</f>
        <v>854.05381279250003</v>
      </c>
      <c r="Z533" s="6"/>
      <c r="AA533" s="3" t="s">
        <v>918</v>
      </c>
      <c r="AC533" s="8"/>
      <c r="AD533" s="17">
        <f>SUM(AD528:AD531)</f>
        <v>861.92175679249999</v>
      </c>
      <c r="AE533" s="23" t="str">
        <f t="shared" si="49"/>
        <v>|</v>
      </c>
      <c r="AG533" s="3" t="s">
        <v>849</v>
      </c>
    </row>
    <row r="534" spans="1:33" ht="24" customHeight="1">
      <c r="A534" s="26">
        <f t="shared" si="45"/>
        <v>359</v>
      </c>
      <c r="B534" s="27" t="s">
        <v>783</v>
      </c>
      <c r="C534" s="25">
        <v>17.2</v>
      </c>
      <c r="D534" s="27" t="s">
        <v>209</v>
      </c>
      <c r="K534" s="12" t="s">
        <v>155</v>
      </c>
      <c r="S534" s="5"/>
      <c r="T534" s="6"/>
      <c r="W534" s="8"/>
      <c r="X534" s="12" t="s">
        <v>117</v>
      </c>
      <c r="Z534" s="6"/>
      <c r="AC534" s="8"/>
      <c r="AD534" s="12" t="s">
        <v>117</v>
      </c>
      <c r="AE534" s="23" t="str">
        <f t="shared" si="49"/>
        <v>|</v>
      </c>
      <c r="AG534" s="3" t="s">
        <v>849</v>
      </c>
    </row>
    <row r="535" spans="1:33" ht="24" customHeight="1">
      <c r="A535" s="26">
        <f t="shared" si="45"/>
        <v>360</v>
      </c>
      <c r="B535" s="27" t="s">
        <v>727</v>
      </c>
      <c r="C535" s="25">
        <v>24.5</v>
      </c>
      <c r="D535" s="27" t="s">
        <v>209</v>
      </c>
      <c r="H535" s="3" t="s">
        <v>482</v>
      </c>
      <c r="I535" s="17">
        <f>K533</f>
        <v>1147.5424831763123</v>
      </c>
      <c r="J535" s="3">
        <f>C22*0.015/0.743</f>
        <v>1.8149394347240915</v>
      </c>
      <c r="K535" s="16">
        <f>I535+J535</f>
        <v>1149.3574226110363</v>
      </c>
      <c r="N535" s="3" t="s">
        <v>853</v>
      </c>
      <c r="O535" s="4" t="s">
        <v>919</v>
      </c>
      <c r="S535" s="5"/>
      <c r="T535" s="6"/>
      <c r="U535" s="3" t="s">
        <v>154</v>
      </c>
      <c r="W535" s="8"/>
      <c r="X535" s="17">
        <f>(X533/0.743)</f>
        <v>1149.4667736103634</v>
      </c>
      <c r="Z535" s="6"/>
      <c r="AA535" s="3" t="s">
        <v>154</v>
      </c>
      <c r="AC535" s="8"/>
      <c r="AD535" s="17">
        <f>(AD533/0.743)</f>
        <v>1160.0562002590848</v>
      </c>
      <c r="AE535" s="23" t="str">
        <f t="shared" si="49"/>
        <v>|</v>
      </c>
      <c r="AG535" s="3" t="s">
        <v>849</v>
      </c>
    </row>
    <row r="536" spans="1:33" ht="24" customHeight="1">
      <c r="A536" s="26">
        <f t="shared" si="45"/>
        <v>361</v>
      </c>
      <c r="B536" s="27" t="s">
        <v>920</v>
      </c>
      <c r="C536" s="39"/>
      <c r="D536" s="27" t="s">
        <v>115</v>
      </c>
      <c r="H536" s="3" t="s">
        <v>486</v>
      </c>
      <c r="I536" s="17">
        <f>K535</f>
        <v>1149.3574226110363</v>
      </c>
      <c r="J536" s="3">
        <f>C23*0.015/0.743</f>
        <v>3.5733512786002688</v>
      </c>
      <c r="K536" s="16">
        <f>I536+J536</f>
        <v>1152.9307738896366</v>
      </c>
      <c r="O536" s="12" t="s">
        <v>117</v>
      </c>
      <c r="S536" s="5"/>
      <c r="T536" s="6"/>
      <c r="W536" s="8"/>
      <c r="X536" s="12" t="s">
        <v>155</v>
      </c>
      <c r="Z536" s="6"/>
      <c r="AC536" s="8"/>
      <c r="AD536" s="12" t="s">
        <v>155</v>
      </c>
      <c r="AE536" s="23" t="str">
        <f t="shared" si="49"/>
        <v>|</v>
      </c>
      <c r="AG536" s="3" t="s">
        <v>849</v>
      </c>
    </row>
    <row r="537" spans="1:33" ht="24" customHeight="1">
      <c r="A537" s="26">
        <f t="shared" si="45"/>
        <v>362</v>
      </c>
      <c r="B537" s="27" t="s">
        <v>786</v>
      </c>
      <c r="C537" s="25">
        <v>7.3</v>
      </c>
      <c r="D537" s="27" t="s">
        <v>209</v>
      </c>
      <c r="H537" s="3" t="s">
        <v>489</v>
      </c>
      <c r="I537" s="17">
        <f>K536</f>
        <v>1152.9307738896366</v>
      </c>
      <c r="J537" s="3">
        <f>J536</f>
        <v>3.5733512786002688</v>
      </c>
      <c r="K537" s="16">
        <f>I537+J537</f>
        <v>1156.5041251682369</v>
      </c>
      <c r="M537" s="17">
        <v>30</v>
      </c>
      <c r="N537" s="3" t="s">
        <v>203</v>
      </c>
      <c r="O537" s="3" t="s">
        <v>879</v>
      </c>
      <c r="P537" s="17">
        <f>(C42)</f>
        <v>5</v>
      </c>
      <c r="Q537" s="3" t="s">
        <v>203</v>
      </c>
      <c r="R537" s="17">
        <f>(M537*P537)</f>
        <v>150</v>
      </c>
      <c r="S537" s="5"/>
      <c r="T537" s="6"/>
      <c r="U537" s="3" t="s">
        <v>482</v>
      </c>
      <c r="V537" s="17">
        <f>X535</f>
        <v>1149.4667736103634</v>
      </c>
      <c r="W537" s="3">
        <f>J535</f>
        <v>1.8149394347240915</v>
      </c>
      <c r="X537" s="16">
        <f>V537+W537</f>
        <v>1151.2817130450874</v>
      </c>
      <c r="Z537" s="6"/>
      <c r="AA537" s="3" t="s">
        <v>482</v>
      </c>
      <c r="AB537" s="17">
        <f>AD535</f>
        <v>1160.0562002590848</v>
      </c>
      <c r="AC537" s="3">
        <f>W537</f>
        <v>1.8149394347240915</v>
      </c>
      <c r="AD537" s="16">
        <f>AB537+AC537</f>
        <v>1161.8711396938088</v>
      </c>
      <c r="AE537" s="23" t="str">
        <f t="shared" si="49"/>
        <v>|</v>
      </c>
      <c r="AG537" s="3" t="s">
        <v>849</v>
      </c>
    </row>
    <row r="538" spans="1:33" ht="24" customHeight="1">
      <c r="A538" s="26">
        <f t="shared" si="45"/>
        <v>363</v>
      </c>
      <c r="B538" s="27" t="s">
        <v>779</v>
      </c>
      <c r="C538" s="25">
        <v>8.5</v>
      </c>
      <c r="D538" s="27" t="s">
        <v>209</v>
      </c>
      <c r="H538" s="3" t="s">
        <v>491</v>
      </c>
      <c r="I538" s="17">
        <f>K537</f>
        <v>1156.5041251682369</v>
      </c>
      <c r="J538" s="3">
        <f>J537</f>
        <v>3.5733512786002688</v>
      </c>
      <c r="K538" s="16">
        <f>I538+J538</f>
        <v>1160.0774764468372</v>
      </c>
      <c r="M538" s="3" t="s">
        <v>115</v>
      </c>
      <c r="O538" s="3" t="s">
        <v>882</v>
      </c>
      <c r="P538" s="3" t="s">
        <v>115</v>
      </c>
      <c r="R538" s="3" t="s">
        <v>115</v>
      </c>
      <c r="S538" s="5"/>
      <c r="T538" s="6"/>
      <c r="U538" s="3" t="s">
        <v>486</v>
      </c>
      <c r="V538" s="17">
        <f>X537</f>
        <v>1151.2817130450874</v>
      </c>
      <c r="W538" s="3">
        <f t="shared" ref="W538:W549" si="50">J538</f>
        <v>3.5733512786002688</v>
      </c>
      <c r="X538" s="16">
        <f>V538+W538</f>
        <v>1154.8550643236877</v>
      </c>
      <c r="Z538" s="6"/>
      <c r="AA538" s="3" t="s">
        <v>486</v>
      </c>
      <c r="AB538" s="17">
        <f>AD537</f>
        <v>1161.8711396938088</v>
      </c>
      <c r="AC538" s="3">
        <f t="shared" ref="AC538:AC549" si="51">W538</f>
        <v>3.5733512786002688</v>
      </c>
      <c r="AD538" s="16">
        <f>AB538+AC538</f>
        <v>1165.4444909724091</v>
      </c>
      <c r="AE538" s="23" t="str">
        <f t="shared" si="49"/>
        <v>|</v>
      </c>
      <c r="AG538" s="3" t="s">
        <v>849</v>
      </c>
    </row>
    <row r="539" spans="1:33" ht="24" customHeight="1">
      <c r="A539" s="26">
        <f t="shared" si="45"/>
        <v>364</v>
      </c>
      <c r="B539" s="27" t="s">
        <v>781</v>
      </c>
      <c r="C539" s="25">
        <v>12.2</v>
      </c>
      <c r="D539" s="27" t="s">
        <v>209</v>
      </c>
      <c r="H539" s="3" t="s">
        <v>486</v>
      </c>
      <c r="I539" s="17">
        <f>K538</f>
        <v>1160.0774764468372</v>
      </c>
      <c r="J539" s="3">
        <f>J538</f>
        <v>3.5733512786002688</v>
      </c>
      <c r="K539" s="16">
        <f>I539+J539</f>
        <v>1163.6508277254375</v>
      </c>
      <c r="M539" s="17">
        <v>8</v>
      </c>
      <c r="N539" s="3" t="s">
        <v>209</v>
      </c>
      <c r="O539" s="3" t="s">
        <v>823</v>
      </c>
      <c r="P539" s="17">
        <f>(C45)</f>
        <v>8.5</v>
      </c>
      <c r="Q539" s="3" t="s">
        <v>209</v>
      </c>
      <c r="R539" s="17">
        <f>(M539*P539)</f>
        <v>68</v>
      </c>
      <c r="S539" s="5"/>
      <c r="T539" s="6"/>
      <c r="U539" s="3" t="s">
        <v>489</v>
      </c>
      <c r="V539" s="17">
        <f>X538</f>
        <v>1154.8550643236877</v>
      </c>
      <c r="W539" s="3">
        <f t="shared" si="50"/>
        <v>3.5733512786002688</v>
      </c>
      <c r="X539" s="16">
        <f>V539+W539</f>
        <v>1158.4284156022879</v>
      </c>
      <c r="Z539" s="6"/>
      <c r="AA539" s="3" t="s">
        <v>489</v>
      </c>
      <c r="AB539" s="17">
        <f>AD538</f>
        <v>1165.4444909724091</v>
      </c>
      <c r="AC539" s="3">
        <f t="shared" si="51"/>
        <v>3.5733512786002688</v>
      </c>
      <c r="AD539" s="16">
        <f>AB539+AC539</f>
        <v>1169.0178422510094</v>
      </c>
      <c r="AE539" s="23" t="str">
        <f t="shared" si="49"/>
        <v>|</v>
      </c>
      <c r="AG539" s="3" t="s">
        <v>849</v>
      </c>
    </row>
    <row r="540" spans="1:33" ht="24" hidden="1" customHeight="1">
      <c r="A540" s="26"/>
      <c r="B540" s="27"/>
      <c r="C540" s="25"/>
      <c r="D540" s="27"/>
      <c r="H540" s="3">
        <v>5</v>
      </c>
      <c r="I540" s="17">
        <f t="shared" ref="I540:I545" si="52">K539</f>
        <v>1163.6508277254375</v>
      </c>
      <c r="J540" s="3">
        <f t="shared" ref="J540:J547" si="53">J539</f>
        <v>3.5733512786002688</v>
      </c>
      <c r="K540" s="16">
        <f t="shared" ref="K540:K545" si="54">I540+J540</f>
        <v>1167.2241790040378</v>
      </c>
      <c r="M540" s="17"/>
      <c r="N540" s="3"/>
      <c r="O540" s="3"/>
      <c r="P540" s="17"/>
      <c r="Q540" s="3"/>
      <c r="R540" s="17"/>
      <c r="S540" s="5"/>
      <c r="T540" s="6"/>
      <c r="U540" s="3" t="s">
        <v>491</v>
      </c>
      <c r="V540" s="17">
        <f>X539</f>
        <v>1158.4284156022879</v>
      </c>
      <c r="W540" s="3">
        <f t="shared" si="50"/>
        <v>3.5733512786002688</v>
      </c>
      <c r="X540" s="16">
        <f>V540+W540</f>
        <v>1162.0017668808882</v>
      </c>
      <c r="Z540" s="6"/>
      <c r="AA540" s="3" t="s">
        <v>491</v>
      </c>
      <c r="AB540" s="17">
        <f>AD539</f>
        <v>1169.0178422510094</v>
      </c>
      <c r="AC540" s="3">
        <f t="shared" si="51"/>
        <v>3.5733512786002688</v>
      </c>
      <c r="AD540" s="16">
        <f>AB540+AC540</f>
        <v>1172.5911935296097</v>
      </c>
      <c r="AE540" s="23"/>
      <c r="AG540" s="3"/>
    </row>
    <row r="541" spans="1:33" ht="24" hidden="1" customHeight="1">
      <c r="A541" s="26"/>
      <c r="B541" s="27"/>
      <c r="C541" s="25"/>
      <c r="D541" s="27"/>
      <c r="H541" s="3">
        <v>6</v>
      </c>
      <c r="I541" s="17">
        <f t="shared" si="52"/>
        <v>1167.2241790040378</v>
      </c>
      <c r="J541" s="3">
        <f t="shared" si="53"/>
        <v>3.5733512786002688</v>
      </c>
      <c r="K541" s="16">
        <f t="shared" si="54"/>
        <v>1170.797530282638</v>
      </c>
      <c r="M541" s="17"/>
      <c r="N541" s="3"/>
      <c r="O541" s="3"/>
      <c r="P541" s="17"/>
      <c r="Q541" s="3"/>
      <c r="R541" s="17"/>
      <c r="S541" s="5"/>
      <c r="T541" s="6"/>
      <c r="U541" s="3" t="s">
        <v>486</v>
      </c>
      <c r="V541" s="17">
        <f>X540</f>
        <v>1162.0017668808882</v>
      </c>
      <c r="W541" s="3">
        <f t="shared" si="50"/>
        <v>3.5733512786002688</v>
      </c>
      <c r="X541" s="16">
        <f>V541+W541</f>
        <v>1165.5751181594885</v>
      </c>
      <c r="Z541" s="6"/>
      <c r="AA541" s="3" t="s">
        <v>486</v>
      </c>
      <c r="AB541" s="17">
        <f>AD540</f>
        <v>1172.5911935296097</v>
      </c>
      <c r="AC541" s="3">
        <f t="shared" si="51"/>
        <v>3.5733512786002688</v>
      </c>
      <c r="AD541" s="16">
        <f>AB541+AC541</f>
        <v>1176.1645448082099</v>
      </c>
      <c r="AE541" s="23"/>
      <c r="AG541" s="3"/>
    </row>
    <row r="542" spans="1:33" ht="24" hidden="1" customHeight="1">
      <c r="A542" s="26"/>
      <c r="B542" s="27"/>
      <c r="C542" s="25"/>
      <c r="D542" s="27"/>
      <c r="H542" s="3">
        <v>7</v>
      </c>
      <c r="I542" s="17">
        <f t="shared" si="52"/>
        <v>1170.797530282638</v>
      </c>
      <c r="J542" s="3">
        <f t="shared" si="53"/>
        <v>3.5733512786002688</v>
      </c>
      <c r="K542" s="16">
        <f t="shared" si="54"/>
        <v>1174.3708815612383</v>
      </c>
      <c r="M542" s="17"/>
      <c r="N542" s="3"/>
      <c r="O542" s="3"/>
      <c r="P542" s="17"/>
      <c r="Q542" s="3"/>
      <c r="R542" s="17"/>
      <c r="S542" s="5"/>
      <c r="T542" s="6"/>
      <c r="U542" s="3">
        <v>5</v>
      </c>
      <c r="V542" s="17">
        <f t="shared" ref="V542:V547" si="55">X541</f>
        <v>1165.5751181594885</v>
      </c>
      <c r="W542" s="3">
        <f t="shared" si="50"/>
        <v>3.5733512786002688</v>
      </c>
      <c r="X542" s="16">
        <f t="shared" ref="X542:X547" si="56">V542+W542</f>
        <v>1169.1484694380888</v>
      </c>
      <c r="Z542" s="6"/>
      <c r="AA542" s="3">
        <v>5</v>
      </c>
      <c r="AB542" s="17">
        <f t="shared" ref="AB542:AB547" si="57">AD541</f>
        <v>1176.1645448082099</v>
      </c>
      <c r="AC542" s="3">
        <f t="shared" si="51"/>
        <v>3.5733512786002688</v>
      </c>
      <c r="AD542" s="16">
        <f t="shared" ref="AD542:AD547" si="58">AB542+AC542</f>
        <v>1179.7378960868102</v>
      </c>
      <c r="AE542" s="23"/>
      <c r="AG542" s="3"/>
    </row>
    <row r="543" spans="1:33" ht="24" hidden="1" customHeight="1">
      <c r="A543" s="26"/>
      <c r="B543" s="27"/>
      <c r="C543" s="25"/>
      <c r="D543" s="27"/>
      <c r="H543" s="3">
        <v>8</v>
      </c>
      <c r="I543" s="17">
        <f t="shared" si="52"/>
        <v>1174.3708815612383</v>
      </c>
      <c r="J543" s="3">
        <f t="shared" si="53"/>
        <v>3.5733512786002688</v>
      </c>
      <c r="K543" s="16">
        <f t="shared" si="54"/>
        <v>1177.9442328398386</v>
      </c>
      <c r="M543" s="17"/>
      <c r="N543" s="3"/>
      <c r="O543" s="3"/>
      <c r="P543" s="17"/>
      <c r="Q543" s="3"/>
      <c r="R543" s="17"/>
      <c r="S543" s="5"/>
      <c r="T543" s="6"/>
      <c r="U543" s="3">
        <v>6</v>
      </c>
      <c r="V543" s="17">
        <f t="shared" si="55"/>
        <v>1169.1484694380888</v>
      </c>
      <c r="W543" s="3">
        <f t="shared" si="50"/>
        <v>3.5733512786002688</v>
      </c>
      <c r="X543" s="16">
        <f t="shared" si="56"/>
        <v>1172.7218207166891</v>
      </c>
      <c r="Z543" s="6"/>
      <c r="AA543" s="3">
        <v>6</v>
      </c>
      <c r="AB543" s="17">
        <f t="shared" si="57"/>
        <v>1179.7378960868102</v>
      </c>
      <c r="AC543" s="3">
        <f t="shared" si="51"/>
        <v>3.5733512786002688</v>
      </c>
      <c r="AD543" s="16">
        <f t="shared" si="58"/>
        <v>1183.3112473654105</v>
      </c>
      <c r="AE543" s="23"/>
      <c r="AG543" s="3"/>
    </row>
    <row r="544" spans="1:33" ht="24" hidden="1" customHeight="1">
      <c r="A544" s="26"/>
      <c r="B544" s="27"/>
      <c r="C544" s="25"/>
      <c r="D544" s="27"/>
      <c r="H544" s="3">
        <v>9</v>
      </c>
      <c r="I544" s="17">
        <f t="shared" si="52"/>
        <v>1177.9442328398386</v>
      </c>
      <c r="J544" s="3">
        <f t="shared" si="53"/>
        <v>3.5733512786002688</v>
      </c>
      <c r="K544" s="16">
        <f t="shared" si="54"/>
        <v>1181.5175841184389</v>
      </c>
      <c r="M544" s="17"/>
      <c r="N544" s="3"/>
      <c r="O544" s="3"/>
      <c r="P544" s="17"/>
      <c r="Q544" s="3"/>
      <c r="R544" s="17"/>
      <c r="S544" s="5"/>
      <c r="T544" s="6"/>
      <c r="U544" s="3">
        <v>7</v>
      </c>
      <c r="V544" s="17">
        <f t="shared" si="55"/>
        <v>1172.7218207166891</v>
      </c>
      <c r="W544" s="3">
        <f t="shared" si="50"/>
        <v>3.5733512786002688</v>
      </c>
      <c r="X544" s="16">
        <f t="shared" si="56"/>
        <v>1176.2951719952894</v>
      </c>
      <c r="Z544" s="6"/>
      <c r="AA544" s="3">
        <v>7</v>
      </c>
      <c r="AB544" s="17">
        <f t="shared" si="57"/>
        <v>1183.3112473654105</v>
      </c>
      <c r="AC544" s="3">
        <f t="shared" si="51"/>
        <v>3.5733512786002688</v>
      </c>
      <c r="AD544" s="16">
        <f t="shared" si="58"/>
        <v>1186.8845986440108</v>
      </c>
      <c r="AE544" s="23"/>
      <c r="AG544" s="3"/>
    </row>
    <row r="545" spans="1:33" ht="24" hidden="1" customHeight="1">
      <c r="A545" s="26"/>
      <c r="B545" s="27"/>
      <c r="C545" s="25"/>
      <c r="D545" s="27"/>
      <c r="H545" s="3">
        <v>10</v>
      </c>
      <c r="I545" s="17">
        <f t="shared" si="52"/>
        <v>1181.5175841184389</v>
      </c>
      <c r="J545" s="3">
        <f t="shared" si="53"/>
        <v>3.5733512786002688</v>
      </c>
      <c r="K545" s="16">
        <f t="shared" si="54"/>
        <v>1185.0909353970392</v>
      </c>
      <c r="M545" s="17"/>
      <c r="N545" s="3"/>
      <c r="O545" s="3"/>
      <c r="P545" s="17"/>
      <c r="Q545" s="3"/>
      <c r="R545" s="17"/>
      <c r="S545" s="5"/>
      <c r="T545" s="6"/>
      <c r="U545" s="3">
        <v>8</v>
      </c>
      <c r="V545" s="17">
        <f t="shared" si="55"/>
        <v>1176.2951719952894</v>
      </c>
      <c r="W545" s="3">
        <f t="shared" si="50"/>
        <v>3.5733512786002688</v>
      </c>
      <c r="X545" s="16">
        <f t="shared" si="56"/>
        <v>1179.8685232738897</v>
      </c>
      <c r="Z545" s="6"/>
      <c r="AA545" s="3">
        <v>8</v>
      </c>
      <c r="AB545" s="17">
        <f t="shared" si="57"/>
        <v>1186.8845986440108</v>
      </c>
      <c r="AC545" s="3">
        <f t="shared" si="51"/>
        <v>3.5733512786002688</v>
      </c>
      <c r="AD545" s="16">
        <f t="shared" si="58"/>
        <v>1190.4579499226111</v>
      </c>
      <c r="AE545" s="23"/>
      <c r="AG545" s="3"/>
    </row>
    <row r="546" spans="1:33" ht="24" hidden="1" customHeight="1">
      <c r="A546" s="26"/>
      <c r="B546" s="27"/>
      <c r="C546" s="25"/>
      <c r="D546" s="27"/>
      <c r="H546" s="3">
        <v>11</v>
      </c>
      <c r="I546" s="17">
        <f>K545</f>
        <v>1185.0909353970392</v>
      </c>
      <c r="J546" s="3">
        <f t="shared" si="53"/>
        <v>3.5733512786002688</v>
      </c>
      <c r="K546" s="16">
        <f>I546+J546</f>
        <v>1188.6642866756395</v>
      </c>
      <c r="M546" s="17"/>
      <c r="N546" s="3"/>
      <c r="O546" s="3"/>
      <c r="P546" s="17"/>
      <c r="Q546" s="3"/>
      <c r="R546" s="17"/>
      <c r="S546" s="5"/>
      <c r="T546" s="6"/>
      <c r="U546" s="3">
        <v>9</v>
      </c>
      <c r="V546" s="17">
        <f t="shared" si="55"/>
        <v>1179.8685232738897</v>
      </c>
      <c r="W546" s="3">
        <f t="shared" si="50"/>
        <v>3.5733512786002688</v>
      </c>
      <c r="X546" s="16">
        <f t="shared" si="56"/>
        <v>1183.4418745524899</v>
      </c>
      <c r="Z546" s="6"/>
      <c r="AA546" s="3">
        <v>9</v>
      </c>
      <c r="AB546" s="17">
        <f t="shared" si="57"/>
        <v>1190.4579499226111</v>
      </c>
      <c r="AC546" s="3">
        <f t="shared" si="51"/>
        <v>3.5733512786002688</v>
      </c>
      <c r="AD546" s="16">
        <f t="shared" si="58"/>
        <v>1194.0313012012114</v>
      </c>
      <c r="AE546" s="23"/>
      <c r="AG546" s="3"/>
    </row>
    <row r="547" spans="1:33" ht="24" hidden="1" customHeight="1">
      <c r="A547" s="26"/>
      <c r="B547" s="27"/>
      <c r="C547" s="25"/>
      <c r="D547" s="27"/>
      <c r="H547" s="3">
        <v>12</v>
      </c>
      <c r="I547" s="17">
        <f>K546</f>
        <v>1188.6642866756395</v>
      </c>
      <c r="J547" s="3">
        <f t="shared" si="53"/>
        <v>3.5733512786002688</v>
      </c>
      <c r="K547" s="16">
        <f>I547+J547</f>
        <v>1192.2376379542397</v>
      </c>
      <c r="M547" s="17"/>
      <c r="N547" s="3"/>
      <c r="O547" s="3"/>
      <c r="P547" s="17"/>
      <c r="Q547" s="3"/>
      <c r="R547" s="17"/>
      <c r="S547" s="5"/>
      <c r="T547" s="6"/>
      <c r="U547" s="3">
        <v>10</v>
      </c>
      <c r="V547" s="17">
        <f t="shared" si="55"/>
        <v>1183.4418745524899</v>
      </c>
      <c r="W547" s="3">
        <f t="shared" si="50"/>
        <v>3.5733512786002688</v>
      </c>
      <c r="X547" s="16">
        <f t="shared" si="56"/>
        <v>1187.0152258310902</v>
      </c>
      <c r="Z547" s="6"/>
      <c r="AA547" s="3">
        <v>10</v>
      </c>
      <c r="AB547" s="17">
        <f t="shared" si="57"/>
        <v>1194.0313012012114</v>
      </c>
      <c r="AC547" s="3">
        <f t="shared" si="51"/>
        <v>3.5733512786002688</v>
      </c>
      <c r="AD547" s="16">
        <f t="shared" si="58"/>
        <v>1197.6046524798116</v>
      </c>
      <c r="AE547" s="23"/>
      <c r="AG547" s="3"/>
    </row>
    <row r="548" spans="1:33" ht="24" customHeight="1">
      <c r="A548" s="26">
        <f>(A539+1)</f>
        <v>365</v>
      </c>
      <c r="B548" s="27" t="s">
        <v>782</v>
      </c>
      <c r="C548" s="25">
        <v>14.7</v>
      </c>
      <c r="D548" s="27" t="s">
        <v>209</v>
      </c>
      <c r="F548" s="4" t="s">
        <v>921</v>
      </c>
      <c r="G548" s="15" t="s">
        <v>122</v>
      </c>
      <c r="H548" s="3" t="s">
        <v>922</v>
      </c>
      <c r="M548" s="17">
        <v>8</v>
      </c>
      <c r="N548" s="3" t="s">
        <v>209</v>
      </c>
      <c r="O548" s="3" t="s">
        <v>826</v>
      </c>
      <c r="P548" s="17">
        <f>(C52)</f>
        <v>21.1</v>
      </c>
      <c r="Q548" s="3" t="s">
        <v>209</v>
      </c>
      <c r="R548" s="17">
        <f>(M548*P548)</f>
        <v>168.8</v>
      </c>
      <c r="S548" s="5"/>
      <c r="T548" s="6"/>
      <c r="U548" s="3">
        <v>11</v>
      </c>
      <c r="V548" s="17">
        <f>X547</f>
        <v>1187.0152258310902</v>
      </c>
      <c r="W548" s="3">
        <f t="shared" si="50"/>
        <v>0</v>
      </c>
      <c r="X548" s="16">
        <f>V548+W548</f>
        <v>1187.0152258310902</v>
      </c>
      <c r="Z548" s="6"/>
      <c r="AA548" s="3">
        <v>11</v>
      </c>
      <c r="AB548" s="17">
        <f>AD547</f>
        <v>1197.6046524798116</v>
      </c>
      <c r="AC548" s="3">
        <f t="shared" si="51"/>
        <v>0</v>
      </c>
      <c r="AD548" s="16">
        <f>AB548+AC548</f>
        <v>1197.6046524798116</v>
      </c>
      <c r="AE548" s="23" t="str">
        <f t="shared" si="49"/>
        <v>|</v>
      </c>
      <c r="AG548" s="3" t="s">
        <v>849</v>
      </c>
    </row>
    <row r="549" spans="1:33" ht="45.75" customHeight="1">
      <c r="A549" s="26">
        <f t="shared" si="45"/>
        <v>366</v>
      </c>
      <c r="B549" s="27" t="s">
        <v>783</v>
      </c>
      <c r="C549" s="25">
        <v>24.5</v>
      </c>
      <c r="D549" s="27" t="s">
        <v>209</v>
      </c>
      <c r="H549" s="12" t="s">
        <v>117</v>
      </c>
      <c r="M549" s="17">
        <v>3</v>
      </c>
      <c r="N549" s="3" t="s">
        <v>209</v>
      </c>
      <c r="O549" s="3" t="s">
        <v>887</v>
      </c>
      <c r="P549" s="17">
        <f>(C41)</f>
        <v>569</v>
      </c>
      <c r="Q549" s="3" t="s">
        <v>209</v>
      </c>
      <c r="R549" s="17">
        <f>(M549*P549)</f>
        <v>1707</v>
      </c>
      <c r="S549" s="5"/>
      <c r="T549" s="6"/>
      <c r="U549" s="3">
        <v>12</v>
      </c>
      <c r="V549" s="17">
        <f>X548</f>
        <v>1187.0152258310902</v>
      </c>
      <c r="W549" s="3">
        <f t="shared" si="50"/>
        <v>0</v>
      </c>
      <c r="X549" s="16">
        <f>V549+W549</f>
        <v>1187.0152258310902</v>
      </c>
      <c r="Z549" s="6"/>
      <c r="AA549" s="3">
        <v>12</v>
      </c>
      <c r="AB549" s="17">
        <f>AD548</f>
        <v>1197.6046524798116</v>
      </c>
      <c r="AC549" s="3">
        <f t="shared" si="51"/>
        <v>0</v>
      </c>
      <c r="AD549" s="16">
        <f>AB549+AC549</f>
        <v>1197.6046524798116</v>
      </c>
      <c r="AE549" s="23" t="str">
        <f t="shared" si="49"/>
        <v>|</v>
      </c>
      <c r="AG549" s="3" t="s">
        <v>849</v>
      </c>
    </row>
    <row r="550" spans="1:33" ht="52.5" customHeight="1">
      <c r="A550" s="26">
        <f t="shared" si="45"/>
        <v>367</v>
      </c>
      <c r="B550" s="27" t="s">
        <v>727</v>
      </c>
      <c r="C550" s="25">
        <v>36.799999999999997</v>
      </c>
      <c r="D550" s="27" t="s">
        <v>209</v>
      </c>
      <c r="F550" s="17">
        <v>0.03</v>
      </c>
      <c r="G550" s="15" t="s">
        <v>126</v>
      </c>
      <c r="H550" s="3" t="s">
        <v>914</v>
      </c>
      <c r="I550" s="17">
        <f>(K513)</f>
        <v>6108.2710000000006</v>
      </c>
      <c r="J550" s="3" t="s">
        <v>126</v>
      </c>
      <c r="K550" s="17">
        <f>(F550*I550)</f>
        <v>183.24813</v>
      </c>
      <c r="M550" s="17">
        <v>1</v>
      </c>
      <c r="N550" s="3" t="s">
        <v>209</v>
      </c>
      <c r="O550" s="3" t="s">
        <v>888</v>
      </c>
      <c r="P550" s="17">
        <f>(C10)</f>
        <v>769</v>
      </c>
      <c r="Q550" s="3" t="s">
        <v>209</v>
      </c>
      <c r="R550" s="17">
        <f>(M550*P550)</f>
        <v>769</v>
      </c>
      <c r="S550" s="4" t="s">
        <v>921</v>
      </c>
      <c r="T550" s="15" t="s">
        <v>122</v>
      </c>
      <c r="U550" s="62" t="s">
        <v>923</v>
      </c>
      <c r="W550" s="3"/>
      <c r="Y550" s="4" t="s">
        <v>921</v>
      </c>
      <c r="Z550" s="15" t="s">
        <v>122</v>
      </c>
      <c r="AA550" s="1498" t="s">
        <v>923</v>
      </c>
      <c r="AB550" s="1498"/>
      <c r="AC550" s="3"/>
      <c r="AE550" s="23" t="str">
        <f t="shared" si="49"/>
        <v>|</v>
      </c>
      <c r="AG550" s="3" t="s">
        <v>849</v>
      </c>
    </row>
    <row r="551" spans="1:33" ht="24" customHeight="1">
      <c r="A551" s="26">
        <f t="shared" si="45"/>
        <v>368</v>
      </c>
      <c r="B551" s="27" t="s">
        <v>924</v>
      </c>
      <c r="C551" s="39"/>
      <c r="D551" s="27" t="s">
        <v>115</v>
      </c>
      <c r="F551" s="17">
        <v>0.5</v>
      </c>
      <c r="G551" s="15" t="s">
        <v>1</v>
      </c>
      <c r="H551" s="3" t="s">
        <v>144</v>
      </c>
      <c r="I551" s="17">
        <f>(C10)</f>
        <v>769</v>
      </c>
      <c r="J551" s="3" t="s">
        <v>1</v>
      </c>
      <c r="K551" s="17">
        <f>(F551*I551)</f>
        <v>384.5</v>
      </c>
      <c r="M551" s="17">
        <v>2</v>
      </c>
      <c r="N551" s="3" t="s">
        <v>209</v>
      </c>
      <c r="O551" s="3" t="s">
        <v>146</v>
      </c>
      <c r="P551" s="17">
        <f>(C12)</f>
        <v>502</v>
      </c>
      <c r="Q551" s="3" t="s">
        <v>209</v>
      </c>
      <c r="R551" s="17">
        <f>(M551*P551)</f>
        <v>1004</v>
      </c>
      <c r="S551" s="5"/>
      <c r="T551" s="6"/>
      <c r="U551" s="12" t="s">
        <v>117</v>
      </c>
      <c r="W551" s="8"/>
      <c r="Z551" s="6"/>
      <c r="AA551" s="12" t="s">
        <v>117</v>
      </c>
      <c r="AC551" s="8"/>
      <c r="AE551" s="23" t="str">
        <f t="shared" si="49"/>
        <v>|</v>
      </c>
      <c r="AG551" s="3" t="s">
        <v>849</v>
      </c>
    </row>
    <row r="552" spans="1:33" ht="24" customHeight="1">
      <c r="A552" s="26">
        <f t="shared" si="45"/>
        <v>369</v>
      </c>
      <c r="B552" s="27" t="s">
        <v>885</v>
      </c>
      <c r="C552" s="28">
        <v>4.75</v>
      </c>
      <c r="D552" s="27" t="s">
        <v>209</v>
      </c>
      <c r="F552" s="17">
        <v>0.75</v>
      </c>
      <c r="G552" s="15" t="s">
        <v>1</v>
      </c>
      <c r="H552" s="3" t="s">
        <v>146</v>
      </c>
      <c r="I552" s="17">
        <f>(C12)</f>
        <v>502</v>
      </c>
      <c r="J552" s="3" t="s">
        <v>1</v>
      </c>
      <c r="K552" s="17">
        <f>(F552*I552)</f>
        <v>376.5</v>
      </c>
      <c r="M552" s="17">
        <v>1</v>
      </c>
      <c r="N552" s="3" t="s">
        <v>209</v>
      </c>
      <c r="O552" s="3" t="s">
        <v>147</v>
      </c>
      <c r="P552" s="17">
        <f>(C13)</f>
        <v>412</v>
      </c>
      <c r="Q552" s="3" t="s">
        <v>209</v>
      </c>
      <c r="R552" s="17">
        <f>(M552*P552)</f>
        <v>412</v>
      </c>
      <c r="S552" s="17">
        <v>0.03</v>
      </c>
      <c r="T552" s="15" t="s">
        <v>126</v>
      </c>
      <c r="U552" s="3" t="s">
        <v>925</v>
      </c>
      <c r="V552" s="17">
        <f>V528</f>
        <v>6203.5875194999999</v>
      </c>
      <c r="W552" s="3" t="s">
        <v>126</v>
      </c>
      <c r="X552" s="17">
        <f>(S552*V552)</f>
        <v>186.10762558499999</v>
      </c>
      <c r="Y552" s="17">
        <v>0.03</v>
      </c>
      <c r="Z552" s="15" t="s">
        <v>126</v>
      </c>
      <c r="AA552" s="3" t="s">
        <v>925</v>
      </c>
      <c r="AB552" s="17">
        <f>AB528</f>
        <v>6728.1171194999997</v>
      </c>
      <c r="AC552" s="3" t="s">
        <v>126</v>
      </c>
      <c r="AD552" s="17">
        <f>(Y552*AB552)</f>
        <v>201.84351358499998</v>
      </c>
      <c r="AE552" s="23" t="str">
        <f t="shared" si="49"/>
        <v>|</v>
      </c>
      <c r="AG552" s="3" t="s">
        <v>849</v>
      </c>
    </row>
    <row r="553" spans="1:33" ht="24" customHeight="1">
      <c r="A553" s="26">
        <f t="shared" si="45"/>
        <v>370</v>
      </c>
      <c r="B553" s="27" t="s">
        <v>877</v>
      </c>
      <c r="C553" s="28">
        <v>6.89</v>
      </c>
      <c r="D553" s="27" t="s">
        <v>209</v>
      </c>
      <c r="E553" s="101">
        <f>0.03/40*75</f>
        <v>5.6250000000000001E-2</v>
      </c>
      <c r="G553" s="15" t="s">
        <v>129</v>
      </c>
      <c r="H553" s="3" t="s">
        <v>130</v>
      </c>
      <c r="J553" s="3" t="s">
        <v>129</v>
      </c>
      <c r="K553" s="17">
        <v>0</v>
      </c>
      <c r="N553" s="3" t="s">
        <v>129</v>
      </c>
      <c r="O553" s="3" t="s">
        <v>890</v>
      </c>
      <c r="P553" s="3" t="s">
        <v>115</v>
      </c>
      <c r="Q553" s="3" t="s">
        <v>129</v>
      </c>
      <c r="R553" s="17">
        <f>(C56)</f>
        <v>12.1</v>
      </c>
      <c r="S553" s="17">
        <v>0.5</v>
      </c>
      <c r="T553" s="15" t="s">
        <v>1</v>
      </c>
      <c r="U553" s="3" t="s">
        <v>144</v>
      </c>
      <c r="V553" s="17">
        <f>V529</f>
        <v>769</v>
      </c>
      <c r="W553" s="3" t="s">
        <v>1</v>
      </c>
      <c r="X553" s="17">
        <f>(S553*V553)</f>
        <v>384.5</v>
      </c>
      <c r="Y553" s="17">
        <v>0.5</v>
      </c>
      <c r="Z553" s="15" t="s">
        <v>1</v>
      </c>
      <c r="AA553" s="3" t="s">
        <v>144</v>
      </c>
      <c r="AB553" s="17">
        <f>AB529</f>
        <v>769</v>
      </c>
      <c r="AC553" s="3" t="s">
        <v>1</v>
      </c>
      <c r="AD553" s="17">
        <f>(Y553*AB553)</f>
        <v>384.5</v>
      </c>
      <c r="AE553" s="23" t="str">
        <f t="shared" si="49"/>
        <v>|</v>
      </c>
      <c r="AG553" s="3" t="s">
        <v>849</v>
      </c>
    </row>
    <row r="554" spans="1:33" ht="24" customHeight="1">
      <c r="A554" s="26">
        <f t="shared" si="45"/>
        <v>371</v>
      </c>
      <c r="B554" s="27" t="s">
        <v>889</v>
      </c>
      <c r="C554" s="28">
        <v>6.18</v>
      </c>
      <c r="D554" s="27" t="s">
        <v>209</v>
      </c>
      <c r="K554" s="12" t="s">
        <v>117</v>
      </c>
      <c r="O554" s="3" t="s">
        <v>892</v>
      </c>
      <c r="P554" s="3" t="s">
        <v>115</v>
      </c>
      <c r="R554" s="3" t="s">
        <v>115</v>
      </c>
      <c r="S554" s="17">
        <v>0.75</v>
      </c>
      <c r="T554" s="15" t="s">
        <v>1</v>
      </c>
      <c r="U554" s="3" t="s">
        <v>146</v>
      </c>
      <c r="V554" s="17">
        <f>V530</f>
        <v>502</v>
      </c>
      <c r="W554" s="3" t="s">
        <v>1</v>
      </c>
      <c r="X554" s="17">
        <f>(S554*V554)</f>
        <v>376.5</v>
      </c>
      <c r="Y554" s="17">
        <v>0.75</v>
      </c>
      <c r="Z554" s="15" t="s">
        <v>1</v>
      </c>
      <c r="AA554" s="3" t="s">
        <v>146</v>
      </c>
      <c r="AB554" s="17">
        <f>AB530</f>
        <v>502</v>
      </c>
      <c r="AC554" s="3" t="s">
        <v>1</v>
      </c>
      <c r="AD554" s="17">
        <f>(Y554*AB554)</f>
        <v>376.5</v>
      </c>
      <c r="AE554" s="23" t="str">
        <f t="shared" si="49"/>
        <v>|</v>
      </c>
      <c r="AG554" s="3" t="s">
        <v>849</v>
      </c>
    </row>
    <row r="555" spans="1:33" ht="24" customHeight="1">
      <c r="A555" s="26">
        <f t="shared" si="45"/>
        <v>372</v>
      </c>
      <c r="B555" s="27" t="s">
        <v>926</v>
      </c>
      <c r="C555" s="28">
        <v>13.29</v>
      </c>
      <c r="D555" s="27" t="s">
        <v>209</v>
      </c>
      <c r="H555" s="3" t="s">
        <v>918</v>
      </c>
      <c r="K555" s="17">
        <f>SUM(K550:K553)</f>
        <v>944.24812999999995</v>
      </c>
      <c r="N555" s="3" t="s">
        <v>129</v>
      </c>
      <c r="O555" s="3" t="s">
        <v>130</v>
      </c>
      <c r="Q555" s="3" t="s">
        <v>129</v>
      </c>
      <c r="R555" s="17">
        <v>0</v>
      </c>
      <c r="S555" s="5"/>
      <c r="T555" s="15" t="s">
        <v>129</v>
      </c>
      <c r="U555" s="3" t="s">
        <v>130</v>
      </c>
      <c r="V555" s="17">
        <f>V531</f>
        <v>0</v>
      </c>
      <c r="W555" s="3" t="s">
        <v>129</v>
      </c>
      <c r="X555" s="17">
        <v>0</v>
      </c>
      <c r="Z555" s="15" t="s">
        <v>129</v>
      </c>
      <c r="AA555" s="3" t="s">
        <v>130</v>
      </c>
      <c r="AB555" s="17">
        <f>AB531</f>
        <v>0</v>
      </c>
      <c r="AC555" s="3" t="s">
        <v>129</v>
      </c>
      <c r="AD555" s="17">
        <v>0</v>
      </c>
      <c r="AE555" s="23" t="str">
        <f t="shared" si="49"/>
        <v>|</v>
      </c>
      <c r="AG555" s="3" t="s">
        <v>849</v>
      </c>
    </row>
    <row r="556" spans="1:33" ht="24" customHeight="1">
      <c r="A556" s="26">
        <f t="shared" si="45"/>
        <v>373</v>
      </c>
      <c r="B556" s="27" t="s">
        <v>927</v>
      </c>
      <c r="C556" s="28">
        <v>14.11</v>
      </c>
      <c r="D556" s="27" t="s">
        <v>209</v>
      </c>
      <c r="K556" s="12" t="s">
        <v>117</v>
      </c>
      <c r="R556" s="12" t="s">
        <v>117</v>
      </c>
      <c r="S556" s="5"/>
      <c r="T556" s="6"/>
      <c r="W556" s="8"/>
      <c r="X556" s="12" t="s">
        <v>117</v>
      </c>
      <c r="Z556" s="6"/>
      <c r="AC556" s="8"/>
      <c r="AD556" s="12" t="s">
        <v>117</v>
      </c>
      <c r="AE556" s="23" t="str">
        <f t="shared" si="49"/>
        <v>|</v>
      </c>
      <c r="AG556" s="3" t="s">
        <v>849</v>
      </c>
    </row>
    <row r="557" spans="1:33" ht="24" customHeight="1">
      <c r="A557" s="26">
        <f t="shared" si="45"/>
        <v>374</v>
      </c>
      <c r="B557" s="27" t="s">
        <v>928</v>
      </c>
      <c r="C557" s="28">
        <v>14.69</v>
      </c>
      <c r="D557" s="27" t="s">
        <v>209</v>
      </c>
      <c r="H557" s="3" t="s">
        <v>154</v>
      </c>
      <c r="K557" s="17">
        <f>(K555/0.743)</f>
        <v>1270.8588559892328</v>
      </c>
      <c r="O557" s="3" t="s">
        <v>893</v>
      </c>
      <c r="R557" s="17">
        <f>SUM(R537:R555)</f>
        <v>4290.9000000000005</v>
      </c>
      <c r="S557" s="5"/>
      <c r="T557" s="6"/>
      <c r="U557" s="3" t="s">
        <v>918</v>
      </c>
      <c r="W557" s="8"/>
      <c r="X557" s="17">
        <f>SUM(X552:X555)</f>
        <v>947.10762558500005</v>
      </c>
      <c r="Z557" s="6"/>
      <c r="AA557" s="3" t="s">
        <v>918</v>
      </c>
      <c r="AC557" s="8"/>
      <c r="AD557" s="17">
        <f>SUM(AD552:AD555)</f>
        <v>962.84351358499998</v>
      </c>
      <c r="AE557" s="23" t="str">
        <f t="shared" si="49"/>
        <v>|</v>
      </c>
      <c r="AG557" s="3" t="s">
        <v>849</v>
      </c>
    </row>
    <row r="558" spans="1:33" ht="24" customHeight="1">
      <c r="A558" s="26">
        <f t="shared" si="45"/>
        <v>375</v>
      </c>
      <c r="B558" s="27" t="s">
        <v>929</v>
      </c>
      <c r="C558" s="39"/>
      <c r="D558" s="27" t="s">
        <v>115</v>
      </c>
      <c r="K558" s="12" t="s">
        <v>155</v>
      </c>
      <c r="R558" s="12" t="s">
        <v>117</v>
      </c>
      <c r="S558" s="5"/>
      <c r="T558" s="6"/>
      <c r="W558" s="8"/>
      <c r="X558" s="12" t="s">
        <v>117</v>
      </c>
      <c r="Z558" s="6"/>
      <c r="AC558" s="8"/>
      <c r="AD558" s="12" t="s">
        <v>117</v>
      </c>
      <c r="AE558" s="23" t="str">
        <f t="shared" si="49"/>
        <v>|</v>
      </c>
      <c r="AG558" s="3" t="s">
        <v>849</v>
      </c>
    </row>
    <row r="559" spans="1:33" ht="24" customHeight="1">
      <c r="A559" s="26">
        <f t="shared" si="45"/>
        <v>376</v>
      </c>
      <c r="B559" s="27" t="s">
        <v>885</v>
      </c>
      <c r="C559" s="28">
        <v>7.3</v>
      </c>
      <c r="D559" s="27" t="s">
        <v>209</v>
      </c>
      <c r="H559" s="3" t="s">
        <v>482</v>
      </c>
      <c r="I559" s="17">
        <f>K557</f>
        <v>1270.8588559892328</v>
      </c>
      <c r="J559" s="3">
        <f>C22*0.03/0.743</f>
        <v>3.6298788694481829</v>
      </c>
      <c r="K559" s="16">
        <f>I559+J559</f>
        <v>1274.488734858681</v>
      </c>
      <c r="M559" s="5">
        <f>0.47*38.5</f>
        <v>18.094999999999999</v>
      </c>
      <c r="O559" s="3" t="s">
        <v>216</v>
      </c>
      <c r="R559" s="17">
        <f>(R557/30)</f>
        <v>143.03000000000003</v>
      </c>
      <c r="S559" s="5"/>
      <c r="T559" s="6"/>
      <c r="U559" s="3" t="s">
        <v>930</v>
      </c>
      <c r="W559" s="8"/>
      <c r="X559" s="16">
        <f>(X557/0.743)</f>
        <v>1274.7074368573351</v>
      </c>
      <c r="Z559" s="6"/>
      <c r="AA559" s="3" t="s">
        <v>930</v>
      </c>
      <c r="AC559" s="8"/>
      <c r="AD559" s="16">
        <f>(AD557/0.743)</f>
        <v>1295.886290154778</v>
      </c>
      <c r="AE559" s="23" t="str">
        <f t="shared" si="49"/>
        <v>|</v>
      </c>
      <c r="AG559" s="3" t="s">
        <v>849</v>
      </c>
    </row>
    <row r="560" spans="1:33" ht="24" customHeight="1">
      <c r="A560" s="26">
        <f t="shared" si="45"/>
        <v>377</v>
      </c>
      <c r="B560" s="27" t="s">
        <v>877</v>
      </c>
      <c r="C560" s="28">
        <v>19.05</v>
      </c>
      <c r="D560" s="27" t="s">
        <v>209</v>
      </c>
      <c r="H560" s="3" t="s">
        <v>486</v>
      </c>
      <c r="I560" s="17">
        <f>K559</f>
        <v>1274.488734858681</v>
      </c>
      <c r="J560" s="3">
        <f>C23*0.03/0.743</f>
        <v>7.1467025572005376</v>
      </c>
      <c r="K560" s="16">
        <f>I560+J560</f>
        <v>1281.6354374158816</v>
      </c>
      <c r="M560" s="5">
        <f>0.24*546</f>
        <v>131.04</v>
      </c>
      <c r="R560" s="12" t="s">
        <v>117</v>
      </c>
      <c r="S560" s="5"/>
      <c r="T560" s="6"/>
      <c r="W560" s="8"/>
      <c r="X560" s="12" t="s">
        <v>155</v>
      </c>
      <c r="Z560" s="6"/>
      <c r="AC560" s="8"/>
      <c r="AD560" s="12" t="s">
        <v>155</v>
      </c>
      <c r="AE560" s="23" t="str">
        <f t="shared" si="49"/>
        <v>|</v>
      </c>
      <c r="AG560" s="3" t="s">
        <v>849</v>
      </c>
    </row>
    <row r="561" spans="1:33" ht="24" customHeight="1">
      <c r="A561" s="26">
        <f t="shared" si="45"/>
        <v>378</v>
      </c>
      <c r="B561" s="27" t="s">
        <v>889</v>
      </c>
      <c r="C561" s="28">
        <v>8.5</v>
      </c>
      <c r="D561" s="27" t="s">
        <v>209</v>
      </c>
      <c r="H561" s="3" t="s">
        <v>489</v>
      </c>
      <c r="I561" s="17">
        <f>K560</f>
        <v>1281.6354374158816</v>
      </c>
      <c r="J561" s="3">
        <f>J560</f>
        <v>7.1467025572005376</v>
      </c>
      <c r="K561" s="16">
        <f>I561+J561</f>
        <v>1288.7821399730822</v>
      </c>
      <c r="M561" s="5">
        <f>0.24*143.6</f>
        <v>34.463999999999999</v>
      </c>
      <c r="N561" s="3" t="s">
        <v>122</v>
      </c>
      <c r="O561" s="3" t="s">
        <v>807</v>
      </c>
      <c r="S561" s="5"/>
      <c r="T561" s="6"/>
      <c r="U561" s="3" t="s">
        <v>482</v>
      </c>
      <c r="V561" s="17">
        <f>X559</f>
        <v>1274.7074368573351</v>
      </c>
      <c r="W561" s="3">
        <f>J559</f>
        <v>3.6298788694481829</v>
      </c>
      <c r="X561" s="16">
        <f>V561+W561</f>
        <v>1278.3373157267833</v>
      </c>
      <c r="Z561" s="6"/>
      <c r="AA561" s="3" t="s">
        <v>482</v>
      </c>
      <c r="AB561" s="17">
        <f>AD559</f>
        <v>1295.886290154778</v>
      </c>
      <c r="AC561" s="3">
        <f t="shared" ref="AC561:AC566" si="59">W561</f>
        <v>3.6298788694481829</v>
      </c>
      <c r="AD561" s="16">
        <f t="shared" ref="AD561:AD566" si="60">AB561+AC561</f>
        <v>1299.5161690242262</v>
      </c>
      <c r="AE561" s="23" t="str">
        <f t="shared" si="49"/>
        <v>|</v>
      </c>
      <c r="AG561" s="3" t="s">
        <v>849</v>
      </c>
    </row>
    <row r="562" spans="1:33" ht="24" customHeight="1">
      <c r="A562" s="26">
        <f t="shared" si="45"/>
        <v>379</v>
      </c>
      <c r="B562" s="27" t="s">
        <v>931</v>
      </c>
      <c r="C562" s="28">
        <v>12.2</v>
      </c>
      <c r="D562" s="27" t="s">
        <v>209</v>
      </c>
      <c r="H562" s="3" t="s">
        <v>491</v>
      </c>
      <c r="I562" s="17">
        <f>K561</f>
        <v>1288.7821399730822</v>
      </c>
      <c r="J562" s="3">
        <f>J561</f>
        <v>7.1467025572005376</v>
      </c>
      <c r="K562" s="16">
        <f>I562+J562</f>
        <v>1295.9288425302827</v>
      </c>
      <c r="M562" s="5">
        <f>0.79*328.9</f>
        <v>259.83100000000002</v>
      </c>
      <c r="O562" s="3" t="s">
        <v>932</v>
      </c>
      <c r="S562" s="5"/>
      <c r="T562" s="6"/>
      <c r="U562" s="3" t="s">
        <v>486</v>
      </c>
      <c r="V562" s="17">
        <f>X561</f>
        <v>1278.3373157267833</v>
      </c>
      <c r="W562" s="3">
        <f>J560</f>
        <v>7.1467025572005376</v>
      </c>
      <c r="X562" s="16">
        <f>V562+W562</f>
        <v>1285.4840182839839</v>
      </c>
      <c r="Z562" s="6"/>
      <c r="AA562" s="3" t="s">
        <v>486</v>
      </c>
      <c r="AB562" s="17">
        <f>AD561</f>
        <v>1299.5161690242262</v>
      </c>
      <c r="AC562" s="3">
        <f t="shared" si="59"/>
        <v>7.1467025572005376</v>
      </c>
      <c r="AD562" s="16">
        <f t="shared" si="60"/>
        <v>1306.6628715814268</v>
      </c>
      <c r="AE562" s="23" t="str">
        <f t="shared" si="49"/>
        <v>|</v>
      </c>
      <c r="AG562" s="3" t="s">
        <v>849</v>
      </c>
    </row>
    <row r="563" spans="1:33" ht="24" customHeight="1">
      <c r="A563" s="39"/>
      <c r="B563" s="39"/>
      <c r="C563" s="39"/>
      <c r="D563" s="39"/>
      <c r="F563" s="3" t="s">
        <v>115</v>
      </c>
      <c r="H563" s="3" t="s">
        <v>486</v>
      </c>
      <c r="I563" s="17">
        <f>K562</f>
        <v>1295.9288425302827</v>
      </c>
      <c r="J563" s="3">
        <f>J562</f>
        <v>7.1467025572005376</v>
      </c>
      <c r="K563" s="16">
        <f>I563+J563</f>
        <v>1303.0755450874833</v>
      </c>
      <c r="M563" s="5">
        <f>SUM(M559:M562)</f>
        <v>443.43</v>
      </c>
      <c r="S563" s="5"/>
      <c r="T563" s="6"/>
      <c r="U563" s="3" t="s">
        <v>489</v>
      </c>
      <c r="V563" s="17">
        <f>X562</f>
        <v>1285.4840182839839</v>
      </c>
      <c r="W563" s="3">
        <f>J561</f>
        <v>7.1467025572005376</v>
      </c>
      <c r="X563" s="16">
        <f>V563+W563</f>
        <v>1292.6307208411845</v>
      </c>
      <c r="Z563" s="6"/>
      <c r="AA563" s="3" t="s">
        <v>489</v>
      </c>
      <c r="AB563" s="17">
        <f>AD562</f>
        <v>1306.6628715814268</v>
      </c>
      <c r="AC563" s="3">
        <f t="shared" si="59"/>
        <v>7.1467025572005376</v>
      </c>
      <c r="AD563" s="16">
        <f t="shared" si="60"/>
        <v>1313.8095741386273</v>
      </c>
      <c r="AE563" s="23" t="str">
        <f t="shared" si="49"/>
        <v>|</v>
      </c>
      <c r="AG563" s="3" t="s">
        <v>849</v>
      </c>
    </row>
    <row r="564" spans="1:33" ht="15.75">
      <c r="A564" s="26">
        <f>(A562+1)</f>
        <v>380</v>
      </c>
      <c r="B564" s="27" t="s">
        <v>927</v>
      </c>
      <c r="C564" s="28">
        <v>38.35</v>
      </c>
      <c r="D564" s="27" t="s">
        <v>209</v>
      </c>
      <c r="H564" s="3">
        <v>5</v>
      </c>
      <c r="I564" s="17">
        <f t="shared" ref="I564:I569" si="61">K563</f>
        <v>1303.0755450874833</v>
      </c>
      <c r="J564" s="3">
        <f t="shared" ref="J564:J571" si="62">J563</f>
        <v>7.1467025572005376</v>
      </c>
      <c r="K564" s="16">
        <f t="shared" ref="K564:K569" si="63">I564+J564</f>
        <v>1310.2222476446839</v>
      </c>
      <c r="O564" s="3" t="s">
        <v>809</v>
      </c>
      <c r="S564" s="5"/>
      <c r="T564" s="6"/>
      <c r="U564" s="3" t="s">
        <v>491</v>
      </c>
      <c r="V564" s="17">
        <f>X563</f>
        <v>1292.6307208411845</v>
      </c>
      <c r="W564" s="3">
        <f>J562</f>
        <v>7.1467025572005376</v>
      </c>
      <c r="X564" s="16">
        <f>V564+W564</f>
        <v>1299.7774233983851</v>
      </c>
      <c r="Z564" s="6"/>
      <c r="AA564" s="3" t="s">
        <v>491</v>
      </c>
      <c r="AB564" s="17">
        <f>AD563</f>
        <v>1313.8095741386273</v>
      </c>
      <c r="AC564" s="3">
        <f t="shared" si="59"/>
        <v>7.1467025572005376</v>
      </c>
      <c r="AD564" s="16">
        <f t="shared" si="60"/>
        <v>1320.9562766958279</v>
      </c>
      <c r="AE564" s="23" t="str">
        <f t="shared" si="49"/>
        <v>|</v>
      </c>
      <c r="AG564" s="3" t="s">
        <v>849</v>
      </c>
    </row>
    <row r="565" spans="1:33" ht="15.75">
      <c r="A565" s="26"/>
      <c r="B565" s="27"/>
      <c r="C565" s="28"/>
      <c r="D565" s="27"/>
      <c r="H565" s="3">
        <v>6</v>
      </c>
      <c r="I565" s="17">
        <f t="shared" si="61"/>
        <v>1310.2222476446839</v>
      </c>
      <c r="J565" s="3">
        <f t="shared" si="62"/>
        <v>7.1467025572005376</v>
      </c>
      <c r="K565" s="16">
        <f t="shared" si="63"/>
        <v>1317.3689502018844</v>
      </c>
      <c r="O565" s="3"/>
      <c r="S565" s="3" t="s">
        <v>115</v>
      </c>
      <c r="T565" s="6"/>
      <c r="U565" s="3" t="s">
        <v>933</v>
      </c>
      <c r="V565" s="17">
        <f>X564</f>
        <v>1299.7774233983851</v>
      </c>
      <c r="W565" s="3">
        <f>J563</f>
        <v>7.1467025572005376</v>
      </c>
      <c r="X565" s="16">
        <f>V565+W565</f>
        <v>1306.9241259555856</v>
      </c>
      <c r="AA565" s="3" t="s">
        <v>486</v>
      </c>
      <c r="AB565" s="17">
        <f>AD564</f>
        <v>1320.9562766958279</v>
      </c>
      <c r="AC565" s="3">
        <f t="shared" si="59"/>
        <v>7.1467025572005376</v>
      </c>
      <c r="AD565" s="16">
        <f t="shared" si="60"/>
        <v>1328.1029792530285</v>
      </c>
      <c r="AE565" s="23"/>
      <c r="AG565" s="3"/>
    </row>
    <row r="566" spans="1:33" ht="15.75">
      <c r="A566" s="26"/>
      <c r="B566" s="27"/>
      <c r="C566" s="28"/>
      <c r="D566" s="27"/>
      <c r="H566" s="3">
        <v>7</v>
      </c>
      <c r="I566" s="17">
        <f t="shared" si="61"/>
        <v>1317.3689502018844</v>
      </c>
      <c r="J566" s="3">
        <f t="shared" si="62"/>
        <v>7.1467025572005376</v>
      </c>
      <c r="K566" s="16">
        <f t="shared" si="63"/>
        <v>1324.515652759085</v>
      </c>
      <c r="O566" s="3"/>
      <c r="AA566" s="3" t="s">
        <v>489</v>
      </c>
      <c r="AB566" s="17">
        <f>AD565</f>
        <v>1328.1029792530285</v>
      </c>
      <c r="AC566" s="3">
        <f t="shared" si="59"/>
        <v>0</v>
      </c>
      <c r="AD566" s="16">
        <f t="shared" si="60"/>
        <v>1328.1029792530285</v>
      </c>
      <c r="AE566" s="23"/>
      <c r="AG566" s="3"/>
    </row>
    <row r="567" spans="1:33" ht="15.75">
      <c r="A567" s="26"/>
      <c r="B567" s="27"/>
      <c r="C567" s="28"/>
      <c r="D567" s="27"/>
      <c r="H567" s="3">
        <v>8</v>
      </c>
      <c r="I567" s="17">
        <f t="shared" si="61"/>
        <v>1324.515652759085</v>
      </c>
      <c r="J567" s="3">
        <f t="shared" si="62"/>
        <v>7.1467025572005376</v>
      </c>
      <c r="K567" s="16">
        <f t="shared" si="63"/>
        <v>1331.6623553162856</v>
      </c>
      <c r="O567" s="3"/>
      <c r="AE567" s="23"/>
      <c r="AG567" s="3"/>
    </row>
    <row r="568" spans="1:33" ht="15.75">
      <c r="A568" s="26"/>
      <c r="B568" s="27"/>
      <c r="C568" s="28"/>
      <c r="D568" s="27"/>
      <c r="H568" s="3">
        <v>9</v>
      </c>
      <c r="I568" s="17">
        <f t="shared" si="61"/>
        <v>1331.6623553162856</v>
      </c>
      <c r="J568" s="3">
        <f t="shared" si="62"/>
        <v>7.1467025572005376</v>
      </c>
      <c r="K568" s="16">
        <f t="shared" si="63"/>
        <v>1338.8090578734862</v>
      </c>
      <c r="O568" s="3"/>
      <c r="AE568" s="23"/>
      <c r="AG568" s="3"/>
    </row>
    <row r="569" spans="1:33" ht="15.75">
      <c r="A569" s="26"/>
      <c r="B569" s="27"/>
      <c r="C569" s="28"/>
      <c r="D569" s="27"/>
      <c r="H569" s="3">
        <v>10</v>
      </c>
      <c r="I569" s="17">
        <f t="shared" si="61"/>
        <v>1338.8090578734862</v>
      </c>
      <c r="J569" s="3">
        <f t="shared" si="62"/>
        <v>7.1467025572005376</v>
      </c>
      <c r="K569" s="16">
        <f t="shared" si="63"/>
        <v>1345.9557604306867</v>
      </c>
      <c r="O569" s="3"/>
      <c r="AE569" s="23"/>
      <c r="AG569" s="3"/>
    </row>
    <row r="570" spans="1:33" ht="15.75">
      <c r="A570" s="26"/>
      <c r="B570" s="27"/>
      <c r="C570" s="28"/>
      <c r="D570" s="27"/>
      <c r="H570" s="3">
        <v>11</v>
      </c>
      <c r="I570" s="17">
        <f>K569</f>
        <v>1345.9557604306867</v>
      </c>
      <c r="J570" s="3">
        <f t="shared" si="62"/>
        <v>7.1467025572005376</v>
      </c>
      <c r="K570" s="16">
        <f>I570+J570</f>
        <v>1353.1024629878873</v>
      </c>
      <c r="O570" s="3"/>
      <c r="AE570" s="23"/>
      <c r="AG570" s="3"/>
    </row>
    <row r="571" spans="1:33" ht="15.75">
      <c r="A571" s="26"/>
      <c r="B571" s="27"/>
      <c r="C571" s="28"/>
      <c r="D571" s="27"/>
      <c r="H571" s="3">
        <v>12</v>
      </c>
      <c r="I571" s="17">
        <f>K570</f>
        <v>1353.1024629878873</v>
      </c>
      <c r="J571" s="3">
        <f t="shared" si="62"/>
        <v>7.1467025572005376</v>
      </c>
      <c r="K571" s="16">
        <f>I571+J571</f>
        <v>1360.2491655450879</v>
      </c>
      <c r="O571" s="3"/>
      <c r="AE571" s="23"/>
      <c r="AG571" s="3"/>
    </row>
    <row r="572" spans="1:33" ht="15.75">
      <c r="A572" s="26">
        <f>(A564+1)</f>
        <v>381</v>
      </c>
      <c r="B572" s="27" t="s">
        <v>928</v>
      </c>
      <c r="C572" s="28">
        <v>14.7</v>
      </c>
      <c r="D572" s="27" t="s">
        <v>209</v>
      </c>
      <c r="F572" s="51"/>
      <c r="G572" s="15" t="s">
        <v>115</v>
      </c>
      <c r="H572" s="3" t="s">
        <v>934</v>
      </c>
      <c r="O572" s="12" t="s">
        <v>117</v>
      </c>
      <c r="S572" s="56"/>
      <c r="T572" s="15" t="s">
        <v>115</v>
      </c>
      <c r="U572" s="3" t="s">
        <v>934</v>
      </c>
      <c r="W572" s="8"/>
      <c r="AA572" s="3" t="s">
        <v>491</v>
      </c>
      <c r="AB572" s="17">
        <f>AD571</f>
        <v>0</v>
      </c>
      <c r="AC572" s="3">
        <f>W572</f>
        <v>0</v>
      </c>
      <c r="AD572" s="16">
        <f>AB572+AC572</f>
        <v>0</v>
      </c>
      <c r="AE572" s="23" t="str">
        <f t="shared" si="49"/>
        <v>|</v>
      </c>
      <c r="AG572" s="3" t="s">
        <v>849</v>
      </c>
    </row>
    <row r="573" spans="1:33" ht="24" customHeight="1">
      <c r="A573" s="26">
        <f t="shared" ref="A573:A587" si="64">(A572+1)</f>
        <v>382</v>
      </c>
      <c r="B573" s="27" t="s">
        <v>935</v>
      </c>
      <c r="C573" s="39"/>
      <c r="D573" s="27" t="s">
        <v>115</v>
      </c>
      <c r="H573" s="3" t="s">
        <v>936</v>
      </c>
      <c r="T573" s="6"/>
      <c r="U573" s="3" t="s">
        <v>936</v>
      </c>
      <c r="W573" s="8"/>
      <c r="AE573" s="23" t="str">
        <f t="shared" si="49"/>
        <v>|</v>
      </c>
      <c r="AG573" s="3" t="s">
        <v>849</v>
      </c>
    </row>
    <row r="574" spans="1:33" ht="24" customHeight="1">
      <c r="A574" s="26">
        <f t="shared" si="64"/>
        <v>383</v>
      </c>
      <c r="B574" s="27" t="s">
        <v>885</v>
      </c>
      <c r="C574" s="28">
        <v>6</v>
      </c>
      <c r="D574" s="27" t="s">
        <v>209</v>
      </c>
      <c r="H574" s="3" t="s">
        <v>937</v>
      </c>
      <c r="N574" s="3" t="s">
        <v>810</v>
      </c>
      <c r="O574" s="3" t="s">
        <v>938</v>
      </c>
      <c r="T574" s="6"/>
      <c r="U574" s="3" t="s">
        <v>937</v>
      </c>
      <c r="W574" s="8"/>
      <c r="AE574" s="23" t="str">
        <f t="shared" si="49"/>
        <v>|</v>
      </c>
      <c r="AG574" s="3" t="s">
        <v>849</v>
      </c>
    </row>
    <row r="575" spans="1:33" ht="24" customHeight="1">
      <c r="A575" s="26">
        <f t="shared" si="64"/>
        <v>384</v>
      </c>
      <c r="B575" s="27" t="s">
        <v>877</v>
      </c>
      <c r="C575" s="28">
        <v>9.4499999999999993</v>
      </c>
      <c r="D575" s="27" t="s">
        <v>209</v>
      </c>
      <c r="H575" s="3" t="s">
        <v>939</v>
      </c>
      <c r="O575" s="12" t="s">
        <v>117</v>
      </c>
      <c r="T575" s="6"/>
      <c r="U575" s="3" t="s">
        <v>939</v>
      </c>
      <c r="W575" s="8"/>
      <c r="AE575" s="23" t="str">
        <f t="shared" si="49"/>
        <v>|</v>
      </c>
      <c r="AG575" s="3" t="s">
        <v>849</v>
      </c>
    </row>
    <row r="576" spans="1:33" ht="24" customHeight="1">
      <c r="A576" s="26">
        <f t="shared" si="64"/>
        <v>385</v>
      </c>
      <c r="B576" s="27" t="s">
        <v>889</v>
      </c>
      <c r="C576" s="28">
        <v>7.3</v>
      </c>
      <c r="D576" s="27" t="s">
        <v>209</v>
      </c>
      <c r="H576" s="3" t="s">
        <v>940</v>
      </c>
      <c r="M576" s="17">
        <v>8.1</v>
      </c>
      <c r="N576" s="3" t="s">
        <v>126</v>
      </c>
      <c r="O576" s="3" t="s">
        <v>814</v>
      </c>
      <c r="P576" s="17">
        <f>(C61)*2</f>
        <v>168</v>
      </c>
      <c r="Q576" s="3" t="s">
        <v>126</v>
      </c>
      <c r="R576" s="17">
        <f>(M576*P576)</f>
        <v>1360.8</v>
      </c>
      <c r="T576" s="6"/>
      <c r="U576" s="3" t="s">
        <v>940</v>
      </c>
      <c r="W576" s="8"/>
      <c r="AE576" s="23" t="str">
        <f t="shared" si="49"/>
        <v>|</v>
      </c>
      <c r="AG576" s="3" t="s">
        <v>849</v>
      </c>
    </row>
    <row r="577" spans="1:33" ht="24" customHeight="1">
      <c r="A577" s="26">
        <f t="shared" si="64"/>
        <v>386</v>
      </c>
      <c r="B577" s="27" t="s">
        <v>931</v>
      </c>
      <c r="C577" s="28">
        <v>9.6999999999999993</v>
      </c>
      <c r="D577" s="27" t="s">
        <v>209</v>
      </c>
      <c r="H577" s="3" t="s">
        <v>941</v>
      </c>
      <c r="M577" s="17">
        <v>8.1</v>
      </c>
      <c r="N577" s="3" t="s">
        <v>126</v>
      </c>
      <c r="O577" s="3" t="s">
        <v>815</v>
      </c>
      <c r="P577" s="17">
        <f>(C26)</f>
        <v>29.3</v>
      </c>
      <c r="Q577" s="3" t="s">
        <v>126</v>
      </c>
      <c r="R577" s="17">
        <f>(M577*P577)</f>
        <v>237.32999999999998</v>
      </c>
      <c r="T577" s="6"/>
      <c r="U577" s="3" t="s">
        <v>941</v>
      </c>
      <c r="W577" s="8"/>
      <c r="AE577" s="23" t="str">
        <f t="shared" si="49"/>
        <v>|</v>
      </c>
      <c r="AG577" s="3" t="s">
        <v>849</v>
      </c>
    </row>
    <row r="578" spans="1:33" ht="24" customHeight="1">
      <c r="A578" s="26">
        <f t="shared" si="64"/>
        <v>387</v>
      </c>
      <c r="B578" s="27" t="s">
        <v>942</v>
      </c>
      <c r="C578" s="28">
        <v>12.2</v>
      </c>
      <c r="D578" s="27" t="s">
        <v>209</v>
      </c>
      <c r="H578" s="3" t="s">
        <v>943</v>
      </c>
      <c r="M578" s="17">
        <v>30</v>
      </c>
      <c r="N578" s="3" t="s">
        <v>203</v>
      </c>
      <c r="O578" s="3" t="s">
        <v>816</v>
      </c>
      <c r="P578" s="17">
        <f>(C661)</f>
        <v>8.1</v>
      </c>
      <c r="Q578" s="3" t="s">
        <v>203</v>
      </c>
      <c r="R578" s="17">
        <f>(M578*P578)</f>
        <v>243</v>
      </c>
      <c r="T578" s="6"/>
      <c r="U578" s="3" t="s">
        <v>943</v>
      </c>
      <c r="W578" s="8"/>
      <c r="AE578" s="23" t="str">
        <f t="shared" si="49"/>
        <v>|</v>
      </c>
      <c r="AG578" s="3" t="s">
        <v>849</v>
      </c>
    </row>
    <row r="579" spans="1:33" ht="24" customHeight="1">
      <c r="A579" s="26">
        <f t="shared" si="64"/>
        <v>388</v>
      </c>
      <c r="B579" s="27" t="s">
        <v>944</v>
      </c>
      <c r="C579" s="28">
        <v>18.3</v>
      </c>
      <c r="D579" s="27" t="s">
        <v>209</v>
      </c>
      <c r="H579" s="12" t="s">
        <v>117</v>
      </c>
      <c r="I579" s="12" t="s">
        <v>117</v>
      </c>
      <c r="O579" s="3" t="s">
        <v>945</v>
      </c>
      <c r="T579" s="6"/>
      <c r="U579" s="12" t="s">
        <v>117</v>
      </c>
      <c r="V579" s="12" t="s">
        <v>117</v>
      </c>
      <c r="W579" s="8"/>
      <c r="AE579" s="23" t="str">
        <f t="shared" si="49"/>
        <v>|</v>
      </c>
      <c r="AG579" s="3" t="s">
        <v>849</v>
      </c>
    </row>
    <row r="580" spans="1:33" ht="24" customHeight="1">
      <c r="A580" s="26">
        <f t="shared" si="64"/>
        <v>389</v>
      </c>
      <c r="B580" s="27" t="s">
        <v>946</v>
      </c>
      <c r="C580" s="28">
        <v>538</v>
      </c>
      <c r="D580" s="27" t="s">
        <v>209</v>
      </c>
      <c r="G580" s="15" t="s">
        <v>196</v>
      </c>
      <c r="H580" s="3" t="s">
        <v>947</v>
      </c>
      <c r="O580" s="3" t="s">
        <v>818</v>
      </c>
      <c r="T580" s="15" t="s">
        <v>196</v>
      </c>
      <c r="U580" s="3" t="s">
        <v>948</v>
      </c>
      <c r="W580" s="8"/>
      <c r="AE580" s="23" t="str">
        <f t="shared" si="49"/>
        <v>|</v>
      </c>
      <c r="AG580" s="3" t="s">
        <v>849</v>
      </c>
    </row>
    <row r="581" spans="1:33" ht="24" customHeight="1">
      <c r="A581" s="26">
        <f t="shared" si="64"/>
        <v>390</v>
      </c>
      <c r="B581" s="27" t="s">
        <v>949</v>
      </c>
      <c r="C581" s="28">
        <v>340</v>
      </c>
      <c r="D581" s="27" t="s">
        <v>209</v>
      </c>
      <c r="H581" s="3" t="s">
        <v>950</v>
      </c>
      <c r="O581" s="3" t="s">
        <v>819</v>
      </c>
      <c r="T581" s="6"/>
      <c r="U581" s="3" t="s">
        <v>950</v>
      </c>
      <c r="W581" s="8"/>
      <c r="AE581" s="23" t="str">
        <f t="shared" si="49"/>
        <v>|</v>
      </c>
      <c r="AG581" s="3" t="s">
        <v>849</v>
      </c>
    </row>
    <row r="582" spans="1:33" ht="24" customHeight="1">
      <c r="A582" s="26">
        <f t="shared" si="64"/>
        <v>391</v>
      </c>
      <c r="B582" s="27" t="s">
        <v>951</v>
      </c>
      <c r="C582" s="28">
        <v>1039</v>
      </c>
      <c r="D582" s="27" t="s">
        <v>209</v>
      </c>
      <c r="F582" s="17">
        <v>10</v>
      </c>
      <c r="G582" s="15" t="s">
        <v>174</v>
      </c>
      <c r="H582" s="3" t="s">
        <v>952</v>
      </c>
      <c r="I582" s="24">
        <f>C751</f>
        <v>366</v>
      </c>
      <c r="J582" s="3" t="s">
        <v>174</v>
      </c>
      <c r="K582" s="17">
        <f>(F582*I582)</f>
        <v>3660</v>
      </c>
      <c r="O582" s="3" t="s">
        <v>820</v>
      </c>
      <c r="S582" s="49">
        <v>10</v>
      </c>
      <c r="T582" s="15" t="s">
        <v>174</v>
      </c>
      <c r="U582" s="3" t="s">
        <v>952</v>
      </c>
      <c r="V582" s="24">
        <f>I604</f>
        <v>397</v>
      </c>
      <c r="W582" s="3" t="s">
        <v>174</v>
      </c>
      <c r="X582" s="17">
        <f>(S582*V582)</f>
        <v>3970</v>
      </c>
      <c r="AE582" s="23" t="str">
        <f t="shared" si="49"/>
        <v>|</v>
      </c>
      <c r="AG582" s="3" t="s">
        <v>849</v>
      </c>
    </row>
    <row r="583" spans="1:33" ht="24" customHeight="1">
      <c r="A583" s="26">
        <f t="shared" si="64"/>
        <v>392</v>
      </c>
      <c r="B583" s="27" t="s">
        <v>953</v>
      </c>
      <c r="C583" s="28">
        <v>226</v>
      </c>
      <c r="D583" s="27" t="s">
        <v>209</v>
      </c>
      <c r="F583" s="17">
        <v>1</v>
      </c>
      <c r="G583" s="15" t="s">
        <v>233</v>
      </c>
      <c r="H583" s="3" t="s">
        <v>954</v>
      </c>
      <c r="I583" s="17">
        <f>C10</f>
        <v>769</v>
      </c>
      <c r="J583" s="3" t="s">
        <v>227</v>
      </c>
      <c r="K583" s="17">
        <f>(F583*I583)</f>
        <v>769</v>
      </c>
      <c r="M583" s="17">
        <v>8</v>
      </c>
      <c r="N583" s="3" t="s">
        <v>1</v>
      </c>
      <c r="O583" s="3" t="s">
        <v>823</v>
      </c>
      <c r="P583" s="17">
        <f>(C663)</f>
        <v>7.1</v>
      </c>
      <c r="Q583" s="3" t="s">
        <v>1</v>
      </c>
      <c r="R583" s="17">
        <f>(M583*P583)</f>
        <v>56.8</v>
      </c>
      <c r="S583" s="49">
        <v>1</v>
      </c>
      <c r="T583" s="15" t="s">
        <v>233</v>
      </c>
      <c r="U583" s="3" t="s">
        <v>954</v>
      </c>
      <c r="V583" s="17">
        <f>I583</f>
        <v>769</v>
      </c>
      <c r="W583" s="3" t="s">
        <v>227</v>
      </c>
      <c r="X583" s="17">
        <f>(S583*V583)</f>
        <v>769</v>
      </c>
      <c r="AE583" s="23" t="str">
        <f t="shared" si="49"/>
        <v>|</v>
      </c>
      <c r="AG583" s="3" t="s">
        <v>849</v>
      </c>
    </row>
    <row r="584" spans="1:33" ht="24" customHeight="1">
      <c r="A584" s="26">
        <f t="shared" si="64"/>
        <v>393</v>
      </c>
      <c r="B584" s="27" t="s">
        <v>955</v>
      </c>
      <c r="C584" s="28">
        <v>31</v>
      </c>
      <c r="D584" s="27" t="s">
        <v>699</v>
      </c>
      <c r="F584" s="17">
        <v>1</v>
      </c>
      <c r="G584" s="15" t="s">
        <v>233</v>
      </c>
      <c r="H584" s="3" t="s">
        <v>956</v>
      </c>
      <c r="I584" s="17">
        <f>C12</f>
        <v>502</v>
      </c>
      <c r="J584" s="3" t="s">
        <v>227</v>
      </c>
      <c r="K584" s="17">
        <f>(F584*I584)</f>
        <v>502</v>
      </c>
      <c r="M584" s="17">
        <v>8</v>
      </c>
      <c r="N584" s="3" t="s">
        <v>1</v>
      </c>
      <c r="O584" s="3" t="s">
        <v>826</v>
      </c>
      <c r="P584" s="17">
        <f>(C672)</f>
        <v>10.199999999999999</v>
      </c>
      <c r="Q584" s="3" t="s">
        <v>1</v>
      </c>
      <c r="R584" s="17">
        <f>(M584*P584)</f>
        <v>81.599999999999994</v>
      </c>
      <c r="S584" s="49">
        <v>1</v>
      </c>
      <c r="T584" s="15" t="s">
        <v>233</v>
      </c>
      <c r="U584" s="3" t="s">
        <v>956</v>
      </c>
      <c r="V584" s="17">
        <f>I584</f>
        <v>502</v>
      </c>
      <c r="W584" s="3" t="s">
        <v>227</v>
      </c>
      <c r="X584" s="17">
        <f>(S584*V584)</f>
        <v>502</v>
      </c>
      <c r="AE584" s="23" t="str">
        <f t="shared" si="49"/>
        <v>|</v>
      </c>
      <c r="AG584" s="3" t="s">
        <v>849</v>
      </c>
    </row>
    <row r="585" spans="1:33" ht="24" customHeight="1">
      <c r="A585" s="26">
        <f t="shared" si="64"/>
        <v>394</v>
      </c>
      <c r="B585" s="27" t="s">
        <v>957</v>
      </c>
      <c r="C585" s="25">
        <v>202</v>
      </c>
      <c r="D585" s="27" t="s">
        <v>209</v>
      </c>
      <c r="G585" s="15" t="s">
        <v>129</v>
      </c>
      <c r="H585" s="3" t="s">
        <v>958</v>
      </c>
      <c r="J585" s="3" t="s">
        <v>129</v>
      </c>
      <c r="K585" s="17">
        <v>120</v>
      </c>
      <c r="M585" s="17">
        <v>1</v>
      </c>
      <c r="N585" s="3" t="s">
        <v>129</v>
      </c>
      <c r="O585" s="3" t="s">
        <v>828</v>
      </c>
      <c r="P585" s="17">
        <f>(C673)</f>
        <v>4</v>
      </c>
      <c r="Q585" s="3" t="s">
        <v>129</v>
      </c>
      <c r="R585" s="17">
        <f>(M585*P585)</f>
        <v>4</v>
      </c>
      <c r="T585" s="15" t="s">
        <v>129</v>
      </c>
      <c r="U585" s="3" t="s">
        <v>958</v>
      </c>
      <c r="V585" s="17">
        <f>I585</f>
        <v>0</v>
      </c>
      <c r="W585" s="3" t="s">
        <v>129</v>
      </c>
      <c r="X585" s="17">
        <v>120</v>
      </c>
      <c r="AE585" s="23" t="str">
        <f t="shared" si="49"/>
        <v>|</v>
      </c>
      <c r="AG585" s="3" t="s">
        <v>849</v>
      </c>
    </row>
    <row r="586" spans="1:33" ht="24" customHeight="1">
      <c r="A586" s="26">
        <f t="shared" si="64"/>
        <v>395</v>
      </c>
      <c r="B586" s="27" t="s">
        <v>959</v>
      </c>
      <c r="C586" s="28">
        <v>82.2</v>
      </c>
      <c r="D586" s="27" t="s">
        <v>209</v>
      </c>
      <c r="H586" s="3" t="s">
        <v>960</v>
      </c>
      <c r="K586" s="12" t="s">
        <v>117</v>
      </c>
      <c r="M586" s="17">
        <v>1</v>
      </c>
      <c r="N586" s="3" t="s">
        <v>129</v>
      </c>
      <c r="O586" s="3" t="s">
        <v>130</v>
      </c>
      <c r="Q586" s="3" t="s">
        <v>129</v>
      </c>
      <c r="R586" s="17">
        <v>0</v>
      </c>
      <c r="T586" s="6"/>
      <c r="U586" s="3" t="s">
        <v>960</v>
      </c>
      <c r="W586" s="8"/>
      <c r="X586" s="12" t="s">
        <v>117</v>
      </c>
      <c r="AE586" s="23">
        <f t="shared" si="49"/>
        <v>0</v>
      </c>
    </row>
    <row r="587" spans="1:33" ht="24" customHeight="1">
      <c r="A587" s="26">
        <f t="shared" si="64"/>
        <v>396</v>
      </c>
      <c r="B587" s="27" t="s">
        <v>961</v>
      </c>
      <c r="C587" s="28">
        <v>57.51</v>
      </c>
      <c r="D587" s="27" t="s">
        <v>209</v>
      </c>
      <c r="H587" s="4" t="s">
        <v>962</v>
      </c>
      <c r="K587" s="17">
        <f>SUM(K582:K585)</f>
        <v>5051</v>
      </c>
      <c r="R587" s="12" t="s">
        <v>117</v>
      </c>
      <c r="T587" s="6"/>
      <c r="U587" s="4" t="s">
        <v>962</v>
      </c>
      <c r="W587" s="8"/>
      <c r="X587" s="17">
        <f>SUM(X582:X585)</f>
        <v>5361</v>
      </c>
      <c r="AE587" s="23" t="str">
        <f t="shared" si="49"/>
        <v>|</v>
      </c>
      <c r="AG587" s="3" t="s">
        <v>849</v>
      </c>
    </row>
    <row r="588" spans="1:33" ht="24" customHeight="1">
      <c r="A588" s="26">
        <f>(A587+1)</f>
        <v>397</v>
      </c>
      <c r="B588" s="27" t="s">
        <v>963</v>
      </c>
      <c r="C588" s="45">
        <v>30</v>
      </c>
      <c r="D588" s="27" t="s">
        <v>209</v>
      </c>
      <c r="K588" s="12" t="s">
        <v>117</v>
      </c>
      <c r="O588" s="3" t="s">
        <v>830</v>
      </c>
      <c r="R588" s="17">
        <f>SUM(R576:R586)</f>
        <v>1983.5299999999997</v>
      </c>
      <c r="T588" s="6"/>
      <c r="W588" s="8"/>
      <c r="X588" s="12" t="s">
        <v>117</v>
      </c>
      <c r="AE588" s="23" t="str">
        <f t="shared" si="49"/>
        <v>|</v>
      </c>
      <c r="AG588" s="3" t="s">
        <v>849</v>
      </c>
    </row>
    <row r="589" spans="1:33" ht="24" customHeight="1">
      <c r="A589" s="26">
        <f t="shared" ref="A589:A636" si="65">(A588+1)</f>
        <v>398</v>
      </c>
      <c r="B589" s="27" t="s">
        <v>964</v>
      </c>
      <c r="C589" s="28">
        <v>57.51</v>
      </c>
      <c r="D589" s="27" t="s">
        <v>209</v>
      </c>
      <c r="H589" s="4" t="s">
        <v>965</v>
      </c>
      <c r="K589" s="17">
        <f>K587/10</f>
        <v>505.1</v>
      </c>
      <c r="R589" s="12" t="s">
        <v>117</v>
      </c>
      <c r="T589" s="6"/>
      <c r="U589" s="4" t="s">
        <v>965</v>
      </c>
      <c r="W589" s="8"/>
      <c r="X589" s="17">
        <f>X587/10</f>
        <v>536.1</v>
      </c>
      <c r="AE589" s="23" t="str">
        <f t="shared" si="49"/>
        <v>|</v>
      </c>
      <c r="AG589" s="3" t="s">
        <v>849</v>
      </c>
    </row>
    <row r="590" spans="1:33" ht="24" customHeight="1">
      <c r="A590" s="26">
        <f t="shared" si="65"/>
        <v>399</v>
      </c>
      <c r="B590" s="27" t="s">
        <v>966</v>
      </c>
      <c r="C590" s="28">
        <v>20</v>
      </c>
      <c r="D590" s="27" t="s">
        <v>209</v>
      </c>
      <c r="H590" s="3" t="s">
        <v>482</v>
      </c>
      <c r="I590" s="17">
        <f t="shared" ref="I590:I599" si="66">K589</f>
        <v>505.1</v>
      </c>
      <c r="J590" s="3">
        <f>C22*0.02</f>
        <v>1.798</v>
      </c>
      <c r="K590" s="16">
        <f>I590+J590</f>
        <v>506.89800000000002</v>
      </c>
      <c r="O590" s="3" t="s">
        <v>216</v>
      </c>
      <c r="R590" s="17">
        <f>(R588/30)</f>
        <v>66.117666666666665</v>
      </c>
      <c r="T590" s="6"/>
      <c r="U590" s="3" t="s">
        <v>482</v>
      </c>
      <c r="V590" s="17">
        <f>J612</f>
        <v>3.5960000000000001</v>
      </c>
      <c r="W590" s="3">
        <f>P22*0.02</f>
        <v>26.456</v>
      </c>
      <c r="X590" s="16">
        <f>X589+V590</f>
        <v>539.69600000000003</v>
      </c>
      <c r="AE590" s="23" t="str">
        <f t="shared" si="49"/>
        <v>|</v>
      </c>
      <c r="AG590" s="3" t="s">
        <v>849</v>
      </c>
    </row>
    <row r="591" spans="1:33" ht="24" customHeight="1">
      <c r="A591" s="26">
        <f t="shared" si="65"/>
        <v>400</v>
      </c>
      <c r="B591" s="27" t="s">
        <v>967</v>
      </c>
      <c r="C591" s="28">
        <v>21.92</v>
      </c>
      <c r="D591" s="27" t="s">
        <v>209</v>
      </c>
      <c r="H591" s="3" t="s">
        <v>486</v>
      </c>
      <c r="I591" s="17">
        <f t="shared" si="66"/>
        <v>506.89800000000002</v>
      </c>
      <c r="J591" s="3">
        <f>C23*0.02</f>
        <v>3.54</v>
      </c>
      <c r="K591" s="16">
        <f>I591+J591</f>
        <v>510.43800000000005</v>
      </c>
      <c r="N591" s="3" t="s">
        <v>122</v>
      </c>
      <c r="O591" s="3" t="s">
        <v>968</v>
      </c>
      <c r="T591" s="6"/>
      <c r="U591" s="3" t="s">
        <v>486</v>
      </c>
      <c r="V591" s="17">
        <f>J613</f>
        <v>7.08</v>
      </c>
      <c r="W591" s="3">
        <f>P23*0.02</f>
        <v>19.100000000000001</v>
      </c>
      <c r="X591" s="16">
        <f>X590+V591</f>
        <v>546.77600000000007</v>
      </c>
      <c r="AE591" s="23" t="str">
        <f t="shared" si="49"/>
        <v>|</v>
      </c>
      <c r="AG591" s="3" t="s">
        <v>849</v>
      </c>
    </row>
    <row r="592" spans="1:33" ht="24" customHeight="1">
      <c r="A592" s="26">
        <f t="shared" si="65"/>
        <v>401</v>
      </c>
      <c r="B592" s="27" t="s">
        <v>969</v>
      </c>
      <c r="C592" s="28">
        <v>128</v>
      </c>
      <c r="D592" s="27" t="s">
        <v>209</v>
      </c>
      <c r="H592" s="3" t="s">
        <v>489</v>
      </c>
      <c r="I592" s="17">
        <f t="shared" si="66"/>
        <v>510.43800000000005</v>
      </c>
      <c r="J592" s="3">
        <f>C23*0.02</f>
        <v>3.54</v>
      </c>
      <c r="K592" s="16">
        <f>I592+J592</f>
        <v>513.97800000000007</v>
      </c>
      <c r="O592" s="3" t="s">
        <v>970</v>
      </c>
      <c r="T592" s="6"/>
      <c r="U592" s="3" t="s">
        <v>489</v>
      </c>
      <c r="V592" s="17">
        <f>J614</f>
        <v>7.08</v>
      </c>
      <c r="W592" s="3">
        <f>P23*0.02</f>
        <v>19.100000000000001</v>
      </c>
      <c r="X592" s="16">
        <f>X591+V592</f>
        <v>553.85600000000011</v>
      </c>
      <c r="AE592" s="23" t="str">
        <f t="shared" si="49"/>
        <v>|</v>
      </c>
      <c r="AG592" s="3" t="s">
        <v>849</v>
      </c>
    </row>
    <row r="593" spans="1:33" ht="24" customHeight="1">
      <c r="A593" s="26">
        <f t="shared" si="65"/>
        <v>402</v>
      </c>
      <c r="B593" s="27" t="s">
        <v>971</v>
      </c>
      <c r="C593" s="25">
        <v>847</v>
      </c>
      <c r="D593" s="27" t="s">
        <v>209</v>
      </c>
      <c r="H593" s="3" t="s">
        <v>491</v>
      </c>
      <c r="I593" s="17">
        <f t="shared" si="66"/>
        <v>513.97800000000007</v>
      </c>
      <c r="J593" s="3">
        <f>C23*0.02</f>
        <v>3.54</v>
      </c>
      <c r="K593" s="16">
        <f>I593+J593</f>
        <v>517.51800000000003</v>
      </c>
      <c r="O593" s="12" t="s">
        <v>117</v>
      </c>
      <c r="T593" s="6"/>
      <c r="U593" s="3" t="s">
        <v>491</v>
      </c>
      <c r="V593" s="17">
        <f>J615</f>
        <v>7.08</v>
      </c>
      <c r="W593" s="3">
        <f>P23*0.02</f>
        <v>19.100000000000001</v>
      </c>
      <c r="X593" s="16">
        <f>X592+V593</f>
        <v>560.93600000000015</v>
      </c>
      <c r="AE593" s="23" t="str">
        <f t="shared" si="49"/>
        <v>|</v>
      </c>
      <c r="AG593" s="3" t="s">
        <v>849</v>
      </c>
    </row>
    <row r="594" spans="1:33" ht="24" customHeight="1">
      <c r="A594" s="26"/>
      <c r="B594" s="27"/>
      <c r="C594" s="28"/>
      <c r="D594" s="27"/>
      <c r="H594" s="3" t="s">
        <v>871</v>
      </c>
      <c r="I594" s="17">
        <f t="shared" si="66"/>
        <v>517.51800000000003</v>
      </c>
      <c r="J594" s="3">
        <f>C23*0.02</f>
        <v>3.54</v>
      </c>
      <c r="K594" s="16">
        <f t="shared" ref="K594:K599" si="67">I594+J594</f>
        <v>521.05799999999999</v>
      </c>
      <c r="O594" s="12"/>
      <c r="T594" s="6"/>
      <c r="U594" s="3" t="s">
        <v>871</v>
      </c>
      <c r="V594" s="17">
        <f>J616</f>
        <v>7.08</v>
      </c>
      <c r="W594" s="3">
        <f>P24*0.02</f>
        <v>1.74</v>
      </c>
      <c r="X594" s="16">
        <f>X593+V594</f>
        <v>568.01600000000019</v>
      </c>
      <c r="AE594" s="23" t="str">
        <f t="shared" si="49"/>
        <v>|::</v>
      </c>
      <c r="AG594" s="3" t="s">
        <v>636</v>
      </c>
    </row>
    <row r="595" spans="1:33" ht="24" customHeight="1">
      <c r="A595" s="26">
        <f>(A593+1)</f>
        <v>403</v>
      </c>
      <c r="B595" s="27" t="s">
        <v>972</v>
      </c>
      <c r="C595" s="28">
        <v>21</v>
      </c>
      <c r="D595" s="27" t="s">
        <v>209</v>
      </c>
      <c r="H595" s="3" t="s">
        <v>798</v>
      </c>
      <c r="I595" s="17">
        <f t="shared" si="66"/>
        <v>521.05799999999999</v>
      </c>
      <c r="J595" s="3">
        <f>C23*0.02</f>
        <v>3.54</v>
      </c>
      <c r="K595" s="16">
        <f t="shared" si="67"/>
        <v>524.59799999999996</v>
      </c>
      <c r="M595" s="17">
        <v>1.08</v>
      </c>
      <c r="N595" s="3" t="s">
        <v>126</v>
      </c>
      <c r="O595" s="3" t="s">
        <v>973</v>
      </c>
      <c r="P595" s="17">
        <f>(K88)</f>
        <v>177.76666666666668</v>
      </c>
      <c r="Q595" s="3" t="s">
        <v>126</v>
      </c>
      <c r="R595" s="17">
        <f>(M595*P595)</f>
        <v>191.98800000000003</v>
      </c>
      <c r="S595" s="56">
        <v>15.2</v>
      </c>
      <c r="T595" s="15" t="s">
        <v>196</v>
      </c>
      <c r="U595" s="3" t="s">
        <v>974</v>
      </c>
      <c r="W595" s="8"/>
      <c r="X595" s="16">
        <f>X594+V594</f>
        <v>575.09600000000023</v>
      </c>
      <c r="AE595" s="23">
        <f t="shared" si="49"/>
        <v>0</v>
      </c>
    </row>
    <row r="596" spans="1:33" ht="24" customHeight="1">
      <c r="A596" s="26">
        <f t="shared" si="65"/>
        <v>404</v>
      </c>
      <c r="B596" s="27" t="s">
        <v>975</v>
      </c>
      <c r="C596" s="28">
        <v>150</v>
      </c>
      <c r="D596" s="27" t="s">
        <v>209</v>
      </c>
      <c r="H596" s="3" t="s">
        <v>799</v>
      </c>
      <c r="I596" s="17">
        <f t="shared" si="66"/>
        <v>524.59799999999996</v>
      </c>
      <c r="J596" s="3">
        <f>C23*0.02</f>
        <v>3.54</v>
      </c>
      <c r="K596" s="16">
        <f t="shared" si="67"/>
        <v>528.13799999999992</v>
      </c>
      <c r="M596" s="49">
        <v>0.216</v>
      </c>
      <c r="N596" s="3" t="s">
        <v>126</v>
      </c>
      <c r="O596" s="3" t="s">
        <v>976</v>
      </c>
      <c r="P596" s="17">
        <f>(R60)</f>
        <v>3498.1949999999997</v>
      </c>
      <c r="Q596" s="3" t="s">
        <v>126</v>
      </c>
      <c r="R596" s="17">
        <f>(M596*P596)</f>
        <v>755.61011999999994</v>
      </c>
      <c r="AE596" s="23">
        <f t="shared" si="49"/>
        <v>0</v>
      </c>
    </row>
    <row r="597" spans="1:33" ht="24" customHeight="1">
      <c r="A597" s="26">
        <f t="shared" si="65"/>
        <v>405</v>
      </c>
      <c r="B597" s="27" t="s">
        <v>977</v>
      </c>
      <c r="C597" s="25">
        <v>21.2</v>
      </c>
      <c r="D597" s="27" t="s">
        <v>209</v>
      </c>
      <c r="H597" s="3" t="s">
        <v>800</v>
      </c>
      <c r="I597" s="17">
        <f t="shared" si="66"/>
        <v>528.13799999999992</v>
      </c>
      <c r="J597" s="3">
        <f>C23*0.02</f>
        <v>3.54</v>
      </c>
      <c r="K597" s="16">
        <f t="shared" si="67"/>
        <v>531.67799999999988</v>
      </c>
      <c r="M597" s="49">
        <v>0.48699999999999999</v>
      </c>
      <c r="N597" s="3" t="s">
        <v>126</v>
      </c>
      <c r="O597" s="3" t="s">
        <v>978</v>
      </c>
      <c r="P597" s="17">
        <f>(R89)</f>
        <v>6119.0170000000007</v>
      </c>
      <c r="Q597" s="3" t="s">
        <v>126</v>
      </c>
      <c r="R597" s="17">
        <f>(M597*P597)</f>
        <v>2979.9612790000001</v>
      </c>
      <c r="AE597" s="23" t="str">
        <f t="shared" ref="AE597:AE637" si="68">AG597</f>
        <v>|</v>
      </c>
      <c r="AG597" s="3" t="s">
        <v>849</v>
      </c>
    </row>
    <row r="598" spans="1:33" ht="33.75" customHeight="1">
      <c r="A598" s="26">
        <f t="shared" si="65"/>
        <v>406</v>
      </c>
      <c r="B598" s="85" t="s">
        <v>979</v>
      </c>
      <c r="C598" s="25">
        <v>50.9</v>
      </c>
      <c r="D598" s="25">
        <v>43.8</v>
      </c>
      <c r="E598" s="5" t="s">
        <v>980</v>
      </c>
      <c r="H598" s="3" t="s">
        <v>981</v>
      </c>
      <c r="I598" s="17">
        <f t="shared" si="66"/>
        <v>531.67799999999988</v>
      </c>
      <c r="J598" s="3">
        <f>C23*0.02</f>
        <v>3.54</v>
      </c>
      <c r="K598" s="16">
        <f t="shared" si="67"/>
        <v>535.21799999999985</v>
      </c>
      <c r="M598" s="49">
        <v>5.36</v>
      </c>
      <c r="N598" s="3" t="s">
        <v>140</v>
      </c>
      <c r="O598" s="3" t="s">
        <v>982</v>
      </c>
      <c r="P598" s="17">
        <f>(R304)</f>
        <v>213.72319999999999</v>
      </c>
      <c r="Q598" s="3" t="s">
        <v>140</v>
      </c>
      <c r="R598" s="17">
        <f>(M598*P598)</f>
        <v>1145.5563520000001</v>
      </c>
      <c r="AE598" s="23" t="str">
        <f t="shared" si="68"/>
        <v>|</v>
      </c>
      <c r="AG598" s="3" t="s">
        <v>849</v>
      </c>
    </row>
    <row r="599" spans="1:33" ht="24" customHeight="1">
      <c r="A599" s="26">
        <f t="shared" si="65"/>
        <v>407</v>
      </c>
      <c r="B599" s="27" t="s">
        <v>983</v>
      </c>
      <c r="C599" s="28">
        <v>208.5</v>
      </c>
      <c r="D599" s="27" t="s">
        <v>209</v>
      </c>
      <c r="H599" s="3">
        <v>9</v>
      </c>
      <c r="I599" s="17">
        <f t="shared" si="66"/>
        <v>535.21799999999985</v>
      </c>
      <c r="J599" s="3">
        <f>C23*0.02</f>
        <v>3.54</v>
      </c>
      <c r="K599" s="16">
        <f t="shared" si="67"/>
        <v>538.75799999999981</v>
      </c>
      <c r="M599" s="49">
        <v>3.2000000000000001E-2</v>
      </c>
      <c r="N599" s="3" t="s">
        <v>126</v>
      </c>
      <c r="O599" s="3" t="s">
        <v>984</v>
      </c>
      <c r="P599" s="17">
        <f>(K643)</f>
        <v>6827</v>
      </c>
      <c r="Q599" s="3" t="s">
        <v>126</v>
      </c>
      <c r="R599" s="17">
        <f>(M599*P599)</f>
        <v>218.464</v>
      </c>
      <c r="AE599" s="23" t="str">
        <f t="shared" si="68"/>
        <v>|</v>
      </c>
      <c r="AG599" s="3" t="s">
        <v>849</v>
      </c>
    </row>
    <row r="600" spans="1:33" ht="24" customHeight="1">
      <c r="A600" s="26">
        <f t="shared" si="65"/>
        <v>408</v>
      </c>
      <c r="B600" s="83" t="s">
        <v>985</v>
      </c>
      <c r="C600" s="102">
        <v>148.4</v>
      </c>
      <c r="D600" s="27" t="s">
        <v>209</v>
      </c>
      <c r="H600" s="3"/>
      <c r="I600" s="17"/>
      <c r="J600" s="3"/>
      <c r="K600" s="16"/>
      <c r="O600" s="3" t="s">
        <v>986</v>
      </c>
      <c r="R600" s="3" t="s">
        <v>115</v>
      </c>
      <c r="AE600" s="23" t="str">
        <f t="shared" si="68"/>
        <v>|</v>
      </c>
      <c r="AG600" s="3" t="s">
        <v>849</v>
      </c>
    </row>
    <row r="601" spans="1:33" ht="47.25" customHeight="1">
      <c r="A601" s="26">
        <f t="shared" si="65"/>
        <v>409</v>
      </c>
      <c r="B601" s="103" t="s">
        <v>987</v>
      </c>
      <c r="C601" s="104">
        <v>346.14</v>
      </c>
      <c r="D601" s="27" t="s">
        <v>140</v>
      </c>
      <c r="H601" s="3"/>
      <c r="I601" s="17"/>
      <c r="J601" s="3"/>
      <c r="K601" s="16"/>
      <c r="N601" s="3" t="s">
        <v>129</v>
      </c>
      <c r="O601" s="3" t="s">
        <v>988</v>
      </c>
      <c r="Q601" s="3" t="s">
        <v>129</v>
      </c>
      <c r="R601" s="17">
        <v>2.92</v>
      </c>
      <c r="AE601" s="23" t="str">
        <f t="shared" si="68"/>
        <v>|</v>
      </c>
      <c r="AG601" s="3" t="s">
        <v>849</v>
      </c>
    </row>
    <row r="602" spans="1:33" ht="31.5">
      <c r="A602" s="26">
        <f t="shared" si="65"/>
        <v>410</v>
      </c>
      <c r="B602" s="85" t="s">
        <v>989</v>
      </c>
      <c r="C602" s="25">
        <v>385</v>
      </c>
      <c r="D602" s="27" t="s">
        <v>140</v>
      </c>
      <c r="E602" s="3">
        <f>7.7/0.02</f>
        <v>385</v>
      </c>
      <c r="F602" s="51">
        <v>15.2</v>
      </c>
      <c r="G602" s="15" t="s">
        <v>196</v>
      </c>
      <c r="H602" s="3" t="s">
        <v>974</v>
      </c>
      <c r="K602" s="105">
        <f>K594+J594</f>
        <v>524.59799999999996</v>
      </c>
      <c r="R602" s="12" t="s">
        <v>117</v>
      </c>
      <c r="AE602" s="23" t="str">
        <f t="shared" si="68"/>
        <v>|</v>
      </c>
      <c r="AG602" s="3" t="s">
        <v>849</v>
      </c>
    </row>
    <row r="603" spans="1:33" ht="24" customHeight="1">
      <c r="A603" s="26">
        <f t="shared" si="65"/>
        <v>411</v>
      </c>
      <c r="B603" s="27" t="s">
        <v>990</v>
      </c>
      <c r="C603" s="28">
        <v>75</v>
      </c>
      <c r="D603" s="27" t="s">
        <v>209</v>
      </c>
      <c r="H603" s="3" t="s">
        <v>950</v>
      </c>
      <c r="O603" s="3" t="s">
        <v>991</v>
      </c>
      <c r="R603" s="17">
        <f>SUM(R595:R601)</f>
        <v>5294.4997510000003</v>
      </c>
      <c r="AE603" s="23" t="str">
        <f t="shared" si="68"/>
        <v>|</v>
      </c>
      <c r="AG603" s="3" t="s">
        <v>849</v>
      </c>
    </row>
    <row r="604" spans="1:33" ht="24" customHeight="1">
      <c r="A604" s="26">
        <f t="shared" si="65"/>
        <v>412</v>
      </c>
      <c r="B604" s="27" t="s">
        <v>992</v>
      </c>
      <c r="C604" s="28">
        <v>125</v>
      </c>
      <c r="D604" s="27" t="s">
        <v>209</v>
      </c>
      <c r="F604" s="17">
        <v>1</v>
      </c>
      <c r="G604" s="15" t="s">
        <v>174</v>
      </c>
      <c r="H604" s="3" t="s">
        <v>952</v>
      </c>
      <c r="I604" s="17">
        <f>D751</f>
        <v>397</v>
      </c>
      <c r="J604" s="3" t="s">
        <v>174</v>
      </c>
      <c r="K604" s="17">
        <f>(F604*I604)</f>
        <v>397</v>
      </c>
      <c r="R604" s="12" t="s">
        <v>117</v>
      </c>
      <c r="AE604" s="23" t="str">
        <f t="shared" si="68"/>
        <v>|</v>
      </c>
      <c r="AG604" s="3" t="s">
        <v>849</v>
      </c>
    </row>
    <row r="605" spans="1:33" ht="24" customHeight="1">
      <c r="A605" s="26">
        <f t="shared" si="65"/>
        <v>413</v>
      </c>
      <c r="B605" s="27" t="s">
        <v>993</v>
      </c>
      <c r="C605" s="28">
        <v>190</v>
      </c>
      <c r="D605" s="27" t="s">
        <v>209</v>
      </c>
      <c r="F605" s="17">
        <v>0.75</v>
      </c>
      <c r="G605" s="15" t="s">
        <v>233</v>
      </c>
      <c r="H605" s="3" t="s">
        <v>954</v>
      </c>
      <c r="I605" s="17">
        <f>C10</f>
        <v>769</v>
      </c>
      <c r="J605" s="3" t="s">
        <v>227</v>
      </c>
      <c r="K605" s="17">
        <f>(F605*I605)</f>
        <v>576.75</v>
      </c>
      <c r="N605" s="3" t="s">
        <v>122</v>
      </c>
      <c r="O605" s="3" t="s">
        <v>968</v>
      </c>
      <c r="AE605" s="23" t="str">
        <f t="shared" si="68"/>
        <v>|</v>
      </c>
      <c r="AG605" s="3" t="s">
        <v>849</v>
      </c>
    </row>
    <row r="606" spans="1:33" ht="24" customHeight="1">
      <c r="A606" s="26">
        <f t="shared" si="65"/>
        <v>414</v>
      </c>
      <c r="B606" s="27" t="s">
        <v>994</v>
      </c>
      <c r="C606" s="28">
        <v>16</v>
      </c>
      <c r="D606" s="27" t="s">
        <v>209</v>
      </c>
      <c r="F606" s="17">
        <v>0.75</v>
      </c>
      <c r="G606" s="15" t="s">
        <v>233</v>
      </c>
      <c r="H606" s="3" t="s">
        <v>956</v>
      </c>
      <c r="I606" s="17">
        <f>C12</f>
        <v>502</v>
      </c>
      <c r="J606" s="3" t="s">
        <v>227</v>
      </c>
      <c r="K606" s="17">
        <f>(F606*I606)</f>
        <v>376.5</v>
      </c>
      <c r="O606" s="3" t="s">
        <v>995</v>
      </c>
      <c r="AE606" s="23" t="str">
        <f t="shared" si="68"/>
        <v>|</v>
      </c>
      <c r="AG606" s="3" t="s">
        <v>849</v>
      </c>
    </row>
    <row r="607" spans="1:33" ht="24" customHeight="1">
      <c r="A607" s="26">
        <f t="shared" si="65"/>
        <v>415</v>
      </c>
      <c r="B607" s="27" t="s">
        <v>996</v>
      </c>
      <c r="C607" s="25">
        <v>11.6</v>
      </c>
      <c r="D607" s="27" t="s">
        <v>148</v>
      </c>
      <c r="F607" s="17">
        <v>0.5</v>
      </c>
      <c r="G607" s="15" t="s">
        <v>233</v>
      </c>
      <c r="H607" s="3" t="s">
        <v>997</v>
      </c>
      <c r="I607" s="17">
        <f>C41</f>
        <v>569</v>
      </c>
      <c r="J607" s="3" t="s">
        <v>227</v>
      </c>
      <c r="K607" s="17">
        <f>(F607*I607)</f>
        <v>284.5</v>
      </c>
      <c r="O607" s="12" t="s">
        <v>117</v>
      </c>
      <c r="AE607" s="23" t="str">
        <f t="shared" si="68"/>
        <v>|</v>
      </c>
      <c r="AG607" s="3" t="s">
        <v>849</v>
      </c>
    </row>
    <row r="608" spans="1:33" ht="24" customHeight="1">
      <c r="A608" s="26">
        <f t="shared" si="65"/>
        <v>416</v>
      </c>
      <c r="B608" s="27" t="s">
        <v>998</v>
      </c>
      <c r="C608" s="25">
        <v>24.5</v>
      </c>
      <c r="D608" s="27" t="s">
        <v>148</v>
      </c>
      <c r="E608" s="5">
        <f>22.2+26.8</f>
        <v>49</v>
      </c>
      <c r="G608" s="15" t="s">
        <v>129</v>
      </c>
      <c r="H608" s="3" t="s">
        <v>958</v>
      </c>
      <c r="J608" s="3" t="s">
        <v>129</v>
      </c>
      <c r="K608" s="17">
        <v>53.5</v>
      </c>
      <c r="M608" s="17">
        <v>1.3</v>
      </c>
      <c r="N608" s="3" t="s">
        <v>126</v>
      </c>
      <c r="O608" s="3" t="s">
        <v>973</v>
      </c>
      <c r="P608" s="17">
        <f>(K88)</f>
        <v>177.76666666666668</v>
      </c>
      <c r="Q608" s="3" t="s">
        <v>126</v>
      </c>
      <c r="R608" s="17">
        <f>(M608*P608)</f>
        <v>231.09666666666669</v>
      </c>
      <c r="AE608" s="23" t="str">
        <f t="shared" si="68"/>
        <v>|</v>
      </c>
      <c r="AG608" s="3" t="s">
        <v>849</v>
      </c>
    </row>
    <row r="609" spans="1:33" ht="24" customHeight="1">
      <c r="A609" s="26"/>
      <c r="B609" s="27" t="s">
        <v>999</v>
      </c>
      <c r="C609" s="25">
        <v>22.2</v>
      </c>
      <c r="D609" s="27" t="s">
        <v>148</v>
      </c>
      <c r="E609" s="5">
        <f>E608/2</f>
        <v>24.5</v>
      </c>
      <c r="H609" s="3" t="s">
        <v>960</v>
      </c>
      <c r="K609" s="12" t="s">
        <v>117</v>
      </c>
      <c r="M609" s="17"/>
      <c r="N609" s="3"/>
      <c r="O609" s="3"/>
      <c r="P609" s="17"/>
      <c r="Q609" s="3"/>
      <c r="R609" s="17"/>
      <c r="AE609" s="23" t="str">
        <f t="shared" si="68"/>
        <v>|</v>
      </c>
      <c r="AG609" s="3" t="s">
        <v>849</v>
      </c>
    </row>
    <row r="610" spans="1:33" ht="24" customHeight="1">
      <c r="A610" s="26">
        <f>(A608+1)</f>
        <v>417</v>
      </c>
      <c r="B610" s="27" t="s">
        <v>1000</v>
      </c>
      <c r="C610" s="25">
        <v>26.8</v>
      </c>
      <c r="D610" s="27" t="s">
        <v>148</v>
      </c>
      <c r="H610" s="4" t="s">
        <v>1001</v>
      </c>
      <c r="K610" s="17">
        <f>SUM(K604:K608)</f>
        <v>1688.25</v>
      </c>
      <c r="M610" s="49">
        <v>0.216</v>
      </c>
      <c r="N610" s="3" t="s">
        <v>126</v>
      </c>
      <c r="O610" s="3" t="s">
        <v>976</v>
      </c>
      <c r="P610" s="17">
        <f>(R60)</f>
        <v>3498.1949999999997</v>
      </c>
      <c r="Q610" s="3" t="s">
        <v>126</v>
      </c>
      <c r="R610" s="17">
        <f>(M610*P610)</f>
        <v>755.61011999999994</v>
      </c>
      <c r="AE610" s="23">
        <f t="shared" si="68"/>
        <v>0</v>
      </c>
      <c r="AG610" s="3"/>
    </row>
    <row r="611" spans="1:33" ht="24" customHeight="1">
      <c r="A611" s="26">
        <f t="shared" si="65"/>
        <v>418</v>
      </c>
      <c r="B611" s="27" t="s">
        <v>1002</v>
      </c>
      <c r="C611" s="28">
        <v>7.5</v>
      </c>
      <c r="D611" s="27" t="s">
        <v>1</v>
      </c>
      <c r="K611" s="12" t="s">
        <v>117</v>
      </c>
      <c r="M611" s="49">
        <v>0.60099999999999998</v>
      </c>
      <c r="N611" s="3" t="s">
        <v>126</v>
      </c>
      <c r="O611" s="3" t="s">
        <v>978</v>
      </c>
      <c r="P611" s="17">
        <f>(R89)</f>
        <v>6119.0170000000007</v>
      </c>
      <c r="Q611" s="3" t="s">
        <v>126</v>
      </c>
      <c r="R611" s="17">
        <f>(M611*P611)</f>
        <v>3677.5292170000002</v>
      </c>
      <c r="AE611" s="23" t="str">
        <f t="shared" si="68"/>
        <v>|</v>
      </c>
      <c r="AG611" s="3" t="s">
        <v>849</v>
      </c>
    </row>
    <row r="612" spans="1:33" ht="24" customHeight="1">
      <c r="A612" s="26">
        <f t="shared" si="65"/>
        <v>419</v>
      </c>
      <c r="B612" s="27" t="s">
        <v>1003</v>
      </c>
      <c r="C612" s="28">
        <v>16</v>
      </c>
      <c r="D612" s="27" t="s">
        <v>1</v>
      </c>
      <c r="E612" s="5" t="s">
        <v>1004</v>
      </c>
      <c r="H612" s="3" t="s">
        <v>482</v>
      </c>
      <c r="I612" s="17">
        <f>K610</f>
        <v>1688.25</v>
      </c>
      <c r="J612" s="3">
        <f>C22*0.04</f>
        <v>3.5960000000000001</v>
      </c>
      <c r="K612" s="16">
        <f>(K610+C22*0.04)</f>
        <v>1691.846</v>
      </c>
      <c r="M612" s="49">
        <v>6.35</v>
      </c>
      <c r="N612" s="3" t="s">
        <v>140</v>
      </c>
      <c r="O612" s="3" t="s">
        <v>982</v>
      </c>
      <c r="P612" s="17">
        <f>(R304)</f>
        <v>213.72319999999999</v>
      </c>
      <c r="Q612" s="3" t="s">
        <v>140</v>
      </c>
      <c r="R612" s="17">
        <f>(M612*P612)</f>
        <v>1357.1423199999999</v>
      </c>
      <c r="AE612" s="23" t="str">
        <f t="shared" si="68"/>
        <v>|</v>
      </c>
      <c r="AG612" s="3" t="s">
        <v>849</v>
      </c>
    </row>
    <row r="613" spans="1:33" ht="24" customHeight="1">
      <c r="A613" s="26">
        <f t="shared" si="65"/>
        <v>420</v>
      </c>
      <c r="B613" s="27" t="s">
        <v>1005</v>
      </c>
      <c r="C613" s="25">
        <v>3030</v>
      </c>
      <c r="D613" s="27" t="s">
        <v>1006</v>
      </c>
      <c r="E613" s="79">
        <v>3420</v>
      </c>
      <c r="H613" s="3" t="s">
        <v>486</v>
      </c>
      <c r="I613" s="17">
        <f>K612</f>
        <v>1691.846</v>
      </c>
      <c r="J613" s="3">
        <f>C23*0.04</f>
        <v>7.08</v>
      </c>
      <c r="K613" s="16">
        <f>(K612+C23*0.04)</f>
        <v>1698.9259999999999</v>
      </c>
      <c r="M613" s="49">
        <v>3.2000000000000001E-2</v>
      </c>
      <c r="N613" s="3" t="s">
        <v>126</v>
      </c>
      <c r="O613" s="3" t="s">
        <v>984</v>
      </c>
      <c r="P613" s="17">
        <f>(K643)</f>
        <v>6827</v>
      </c>
      <c r="Q613" s="3" t="s">
        <v>126</v>
      </c>
      <c r="R613" s="17">
        <f>(M613*P613)</f>
        <v>218.464</v>
      </c>
      <c r="AE613" s="23" t="str">
        <f t="shared" si="68"/>
        <v>|</v>
      </c>
      <c r="AG613" s="3" t="s">
        <v>849</v>
      </c>
    </row>
    <row r="614" spans="1:33" ht="24" customHeight="1">
      <c r="A614" s="26">
        <f t="shared" si="65"/>
        <v>421</v>
      </c>
      <c r="B614" s="27" t="s">
        <v>1007</v>
      </c>
      <c r="C614" s="28">
        <v>805</v>
      </c>
      <c r="D614" s="27" t="s">
        <v>1006</v>
      </c>
      <c r="H614" s="3" t="s">
        <v>489</v>
      </c>
      <c r="I614" s="17">
        <f>K613</f>
        <v>1698.9259999999999</v>
      </c>
      <c r="J614" s="3">
        <f>C23*0.04</f>
        <v>7.08</v>
      </c>
      <c r="K614" s="16">
        <f>(K613+C24*0.04)</f>
        <v>1706.0059999999999</v>
      </c>
      <c r="O614" s="3" t="s">
        <v>986</v>
      </c>
      <c r="R614" s="3" t="s">
        <v>115</v>
      </c>
      <c r="AE614" s="23" t="str">
        <f t="shared" si="68"/>
        <v>|</v>
      </c>
      <c r="AG614" s="3" t="s">
        <v>849</v>
      </c>
    </row>
    <row r="615" spans="1:33" ht="24" customHeight="1">
      <c r="A615" s="26">
        <f t="shared" si="65"/>
        <v>422</v>
      </c>
      <c r="B615" s="27" t="s">
        <v>1008</v>
      </c>
      <c r="C615" s="28">
        <f>204+53</f>
        <v>257</v>
      </c>
      <c r="D615" s="27" t="s">
        <v>1006</v>
      </c>
      <c r="H615" s="3" t="s">
        <v>491</v>
      </c>
      <c r="I615" s="17">
        <f>K614</f>
        <v>1706.0059999999999</v>
      </c>
      <c r="J615" s="3">
        <f>C23*0.04</f>
        <v>7.08</v>
      </c>
      <c r="K615" s="16">
        <f>(K614+C24*0.04)</f>
        <v>1713.0859999999998</v>
      </c>
      <c r="N615" s="3" t="s">
        <v>129</v>
      </c>
      <c r="O615" s="3" t="s">
        <v>988</v>
      </c>
      <c r="Q615" s="3" t="s">
        <v>129</v>
      </c>
      <c r="R615" s="17">
        <v>2.1</v>
      </c>
      <c r="AE615" s="23" t="str">
        <f t="shared" si="68"/>
        <v>|</v>
      </c>
      <c r="AG615" s="3" t="s">
        <v>849</v>
      </c>
    </row>
    <row r="616" spans="1:33" ht="24" customHeight="1">
      <c r="A616" s="26">
        <f t="shared" si="65"/>
        <v>423</v>
      </c>
      <c r="B616" s="27" t="s">
        <v>1009</v>
      </c>
      <c r="C616" s="28">
        <v>53</v>
      </c>
      <c r="D616" s="27" t="s">
        <v>1</v>
      </c>
      <c r="H616" s="3" t="s">
        <v>871</v>
      </c>
      <c r="I616" s="17">
        <f>K615</f>
        <v>1713.0859999999998</v>
      </c>
      <c r="J616" s="3">
        <f>C24*0.04</f>
        <v>7.08</v>
      </c>
      <c r="K616" s="16">
        <f>(K615+C24*0.04)</f>
        <v>1720.1659999999997</v>
      </c>
      <c r="R616" s="12" t="s">
        <v>117</v>
      </c>
      <c r="AE616" s="23" t="str">
        <f t="shared" si="68"/>
        <v>|</v>
      </c>
      <c r="AG616" s="3" t="s">
        <v>849</v>
      </c>
    </row>
    <row r="617" spans="1:33" ht="24" customHeight="1">
      <c r="A617" s="26">
        <f t="shared" si="65"/>
        <v>424</v>
      </c>
      <c r="B617" s="27" t="s">
        <v>1010</v>
      </c>
      <c r="C617" s="25">
        <v>1640</v>
      </c>
      <c r="D617" s="27" t="s">
        <v>1</v>
      </c>
      <c r="F617" s="106">
        <v>15.1</v>
      </c>
      <c r="G617" s="15" t="s">
        <v>1011</v>
      </c>
      <c r="H617" s="3" t="s">
        <v>1012</v>
      </c>
      <c r="O617" s="3" t="s">
        <v>991</v>
      </c>
      <c r="R617" s="17">
        <f>SUM(R608:R615)</f>
        <v>6241.9423236666671</v>
      </c>
      <c r="AE617" s="23" t="str">
        <f t="shared" si="68"/>
        <v>|</v>
      </c>
      <c r="AG617" s="3" t="s">
        <v>849</v>
      </c>
    </row>
    <row r="618" spans="1:33" ht="24" customHeight="1">
      <c r="A618" s="26">
        <f t="shared" si="65"/>
        <v>425</v>
      </c>
      <c r="B618" s="27" t="s">
        <v>1013</v>
      </c>
      <c r="C618" s="28">
        <v>196</v>
      </c>
      <c r="D618" s="27" t="s">
        <v>1</v>
      </c>
      <c r="H618" s="3" t="s">
        <v>950</v>
      </c>
      <c r="R618" s="12" t="s">
        <v>117</v>
      </c>
      <c r="AE618" s="23" t="str">
        <f t="shared" si="68"/>
        <v>|</v>
      </c>
      <c r="AG618" s="3" t="s">
        <v>849</v>
      </c>
    </row>
    <row r="619" spans="1:33" ht="24" customHeight="1">
      <c r="A619" s="26">
        <f t="shared" si="65"/>
        <v>426</v>
      </c>
      <c r="B619" s="27" t="s">
        <v>1014</v>
      </c>
      <c r="C619" s="25">
        <v>922</v>
      </c>
      <c r="D619" s="27" t="s">
        <v>1</v>
      </c>
      <c r="F619" s="17">
        <v>10</v>
      </c>
      <c r="G619" s="15" t="s">
        <v>174</v>
      </c>
      <c r="H619" s="3" t="s">
        <v>1015</v>
      </c>
      <c r="I619" s="24">
        <f>C751</f>
        <v>366</v>
      </c>
      <c r="J619" s="3" t="s">
        <v>174</v>
      </c>
      <c r="K619" s="17">
        <f>(F619*I619)</f>
        <v>3660</v>
      </c>
      <c r="N619" s="3" t="s">
        <v>122</v>
      </c>
      <c r="O619" s="3" t="s">
        <v>1016</v>
      </c>
      <c r="AE619" s="23" t="str">
        <f t="shared" si="68"/>
        <v>|</v>
      </c>
      <c r="AG619" s="3" t="s">
        <v>849</v>
      </c>
    </row>
    <row r="620" spans="1:33" ht="24" customHeight="1">
      <c r="A620" s="26">
        <f t="shared" si="65"/>
        <v>427</v>
      </c>
      <c r="B620" s="27" t="s">
        <v>1017</v>
      </c>
      <c r="C620" s="45">
        <v>193.05</v>
      </c>
      <c r="D620" s="83">
        <v>120.54</v>
      </c>
      <c r="F620" s="17">
        <v>0.12</v>
      </c>
      <c r="G620" s="15" t="s">
        <v>126</v>
      </c>
      <c r="H620" s="3" t="s">
        <v>1018</v>
      </c>
      <c r="I620" s="17">
        <f>K32</f>
        <v>4193.8</v>
      </c>
      <c r="J620" s="3" t="s">
        <v>126</v>
      </c>
      <c r="K620" s="17">
        <f>(F620*I620)</f>
        <v>503.25600000000003</v>
      </c>
      <c r="O620" s="3" t="s">
        <v>1019</v>
      </c>
      <c r="AE620" s="23" t="str">
        <f t="shared" si="68"/>
        <v>|</v>
      </c>
      <c r="AG620" s="3" t="s">
        <v>849</v>
      </c>
    </row>
    <row r="621" spans="1:33" ht="24" customHeight="1">
      <c r="A621" s="26">
        <f t="shared" si="65"/>
        <v>428</v>
      </c>
      <c r="B621" s="27" t="s">
        <v>1020</v>
      </c>
      <c r="C621" s="107">
        <v>115.85</v>
      </c>
      <c r="D621" s="108" t="s">
        <v>203</v>
      </c>
      <c r="E621" s="109"/>
      <c r="F621" s="17">
        <v>1</v>
      </c>
      <c r="G621" s="15" t="s">
        <v>233</v>
      </c>
      <c r="H621" s="3" t="s">
        <v>954</v>
      </c>
      <c r="I621" s="17">
        <f>C10</f>
        <v>769</v>
      </c>
      <c r="J621" s="3" t="s">
        <v>227</v>
      </c>
      <c r="K621" s="17">
        <f>(F621*I621)</f>
        <v>769</v>
      </c>
      <c r="O621" s="12" t="s">
        <v>117</v>
      </c>
      <c r="AE621" s="23" t="str">
        <f t="shared" si="68"/>
        <v>|</v>
      </c>
      <c r="AG621" s="3" t="s">
        <v>849</v>
      </c>
    </row>
    <row r="622" spans="1:33" ht="24" customHeight="1">
      <c r="A622" s="26">
        <f t="shared" si="65"/>
        <v>429</v>
      </c>
      <c r="B622" s="27" t="s">
        <v>1021</v>
      </c>
      <c r="C622" s="110"/>
      <c r="D622" s="108" t="s">
        <v>203</v>
      </c>
      <c r="E622" s="109"/>
      <c r="F622" s="17">
        <v>1</v>
      </c>
      <c r="G622" s="15" t="s">
        <v>233</v>
      </c>
      <c r="H622" s="3" t="s">
        <v>956</v>
      </c>
      <c r="I622" s="17">
        <f>C12</f>
        <v>502</v>
      </c>
      <c r="J622" s="3" t="s">
        <v>227</v>
      </c>
      <c r="K622" s="17">
        <f>(F622*I622)</f>
        <v>502</v>
      </c>
      <c r="M622" s="17">
        <v>10.37</v>
      </c>
      <c r="N622" s="3" t="s">
        <v>126</v>
      </c>
      <c r="O622" s="3" t="s">
        <v>1022</v>
      </c>
      <c r="P622" s="17">
        <f>(C61*2)</f>
        <v>168</v>
      </c>
      <c r="Q622" s="3" t="s">
        <v>126</v>
      </c>
      <c r="R622" s="17">
        <f t="shared" ref="R622:R630" si="69">(M622*P622)</f>
        <v>1742.1599999999999</v>
      </c>
      <c r="AE622" s="23" t="str">
        <f t="shared" si="68"/>
        <v>|</v>
      </c>
      <c r="AG622" s="3" t="s">
        <v>849</v>
      </c>
    </row>
    <row r="623" spans="1:33" ht="24" customHeight="1">
      <c r="A623" s="26">
        <f t="shared" si="65"/>
        <v>430</v>
      </c>
      <c r="B623" s="27" t="s">
        <v>1023</v>
      </c>
      <c r="C623" s="107">
        <v>76</v>
      </c>
      <c r="D623" s="108" t="s">
        <v>209</v>
      </c>
      <c r="E623" s="109"/>
      <c r="G623" s="15" t="s">
        <v>129</v>
      </c>
      <c r="H623" s="3" t="s">
        <v>958</v>
      </c>
      <c r="J623" s="3" t="s">
        <v>129</v>
      </c>
      <c r="K623" s="17">
        <v>0.33</v>
      </c>
      <c r="M623" s="17">
        <v>0.65</v>
      </c>
      <c r="N623" s="3" t="s">
        <v>126</v>
      </c>
      <c r="O623" s="3" t="s">
        <v>1024</v>
      </c>
      <c r="P623" s="17">
        <f>R60</f>
        <v>3498.1949999999997</v>
      </c>
      <c r="Q623" s="3" t="s">
        <v>126</v>
      </c>
      <c r="R623" s="17">
        <f t="shared" si="69"/>
        <v>2273.8267499999997</v>
      </c>
      <c r="AE623" s="23" t="str">
        <f t="shared" si="68"/>
        <v>|</v>
      </c>
      <c r="AG623" s="3" t="s">
        <v>849</v>
      </c>
    </row>
    <row r="624" spans="1:33" ht="24" customHeight="1">
      <c r="A624" s="26">
        <f t="shared" si="65"/>
        <v>431</v>
      </c>
      <c r="B624" s="27" t="s">
        <v>1025</v>
      </c>
      <c r="C624" s="107">
        <v>45</v>
      </c>
      <c r="D624" s="108" t="s">
        <v>209</v>
      </c>
      <c r="E624" s="109"/>
      <c r="H624" s="3" t="s">
        <v>960</v>
      </c>
      <c r="K624" s="12" t="s">
        <v>117</v>
      </c>
      <c r="M624" s="17">
        <v>1.1399999999999999</v>
      </c>
      <c r="N624" s="3" t="s">
        <v>126</v>
      </c>
      <c r="O624" s="3" t="s">
        <v>1026</v>
      </c>
      <c r="P624" s="17">
        <f>K321</f>
        <v>5765.0120000000006</v>
      </c>
      <c r="Q624" s="3" t="s">
        <v>126</v>
      </c>
      <c r="R624" s="17">
        <f t="shared" si="69"/>
        <v>6572.1136800000004</v>
      </c>
      <c r="AE624" s="23" t="str">
        <f t="shared" si="68"/>
        <v>|</v>
      </c>
      <c r="AG624" s="3" t="s">
        <v>849</v>
      </c>
    </row>
    <row r="625" spans="1:33" ht="24" customHeight="1">
      <c r="A625" s="26">
        <f t="shared" si="65"/>
        <v>432</v>
      </c>
      <c r="B625" s="27" t="s">
        <v>1027</v>
      </c>
      <c r="C625" s="111">
        <v>33</v>
      </c>
      <c r="D625" s="27" t="s">
        <v>209</v>
      </c>
      <c r="H625" s="4" t="s">
        <v>1028</v>
      </c>
      <c r="K625" s="17">
        <f>SUM(K619:K623)</f>
        <v>5434.5860000000002</v>
      </c>
      <c r="M625" s="17">
        <v>0.85</v>
      </c>
      <c r="N625" s="3" t="s">
        <v>126</v>
      </c>
      <c r="O625" s="3" t="s">
        <v>1029</v>
      </c>
      <c r="P625" s="17">
        <f>K321-K312/10</f>
        <v>4994.9620000000004</v>
      </c>
      <c r="Q625" s="3" t="s">
        <v>126</v>
      </c>
      <c r="R625" s="17">
        <f t="shared" si="69"/>
        <v>4245.7177000000001</v>
      </c>
      <c r="AE625" s="23">
        <f t="shared" si="68"/>
        <v>0</v>
      </c>
      <c r="AG625" s="3"/>
    </row>
    <row r="626" spans="1:33" ht="24" customHeight="1">
      <c r="A626" s="26">
        <f t="shared" si="65"/>
        <v>433</v>
      </c>
      <c r="B626" s="27" t="s">
        <v>1030</v>
      </c>
      <c r="C626" s="25">
        <v>71</v>
      </c>
      <c r="D626" s="27" t="s">
        <v>209</v>
      </c>
      <c r="K626" s="12" t="s">
        <v>117</v>
      </c>
      <c r="M626" s="17">
        <v>0.98</v>
      </c>
      <c r="N626" s="3" t="s">
        <v>126</v>
      </c>
      <c r="O626" s="3" t="s">
        <v>1031</v>
      </c>
      <c r="P626" s="17">
        <f>(C73)</f>
        <v>1637.02</v>
      </c>
      <c r="Q626" s="3" t="s">
        <v>126</v>
      </c>
      <c r="R626" s="17">
        <f t="shared" si="69"/>
        <v>1604.2795999999998</v>
      </c>
      <c r="AE626" s="23" t="str">
        <f t="shared" si="68"/>
        <v>|</v>
      </c>
      <c r="AG626" s="3" t="s">
        <v>849</v>
      </c>
    </row>
    <row r="627" spans="1:33" ht="24" customHeight="1">
      <c r="A627" s="26">
        <f t="shared" si="65"/>
        <v>434</v>
      </c>
      <c r="B627" s="27" t="s">
        <v>1032</v>
      </c>
      <c r="C627" s="28">
        <v>36.520000000000003</v>
      </c>
      <c r="D627" s="27" t="s">
        <v>209</v>
      </c>
      <c r="H627" s="4" t="s">
        <v>1033</v>
      </c>
      <c r="K627" s="17">
        <f>K625/10</f>
        <v>543.45860000000005</v>
      </c>
      <c r="M627" s="17">
        <v>2.68</v>
      </c>
      <c r="N627" s="3" t="s">
        <v>126</v>
      </c>
      <c r="O627" s="3" t="s">
        <v>492</v>
      </c>
      <c r="P627" s="17">
        <f>(C79)</f>
        <v>1322.8</v>
      </c>
      <c r="Q627" s="3" t="s">
        <v>126</v>
      </c>
      <c r="R627" s="17">
        <f t="shared" si="69"/>
        <v>3545.1040000000003</v>
      </c>
      <c r="AE627" s="23" t="str">
        <f t="shared" si="68"/>
        <v>|</v>
      </c>
      <c r="AG627" s="3" t="s">
        <v>849</v>
      </c>
    </row>
    <row r="628" spans="1:33" ht="24" customHeight="1">
      <c r="A628" s="26">
        <f t="shared" si="65"/>
        <v>435</v>
      </c>
      <c r="B628" s="27" t="s">
        <v>1034</v>
      </c>
      <c r="C628" s="39"/>
      <c r="D628" s="27" t="s">
        <v>209</v>
      </c>
      <c r="H628" s="3" t="s">
        <v>482</v>
      </c>
      <c r="I628" s="5">
        <f>K627</f>
        <v>543.45860000000005</v>
      </c>
      <c r="J628" s="8">
        <f>C22*0.02</f>
        <v>1.798</v>
      </c>
      <c r="K628" s="16">
        <f>I628+J628</f>
        <v>545.25660000000005</v>
      </c>
      <c r="M628" s="17">
        <v>7.24</v>
      </c>
      <c r="N628" s="3" t="s">
        <v>140</v>
      </c>
      <c r="O628" s="3" t="s">
        <v>1035</v>
      </c>
      <c r="P628" s="17">
        <f>(K1400)</f>
        <v>198.63280000000003</v>
      </c>
      <c r="Q628" s="3" t="s">
        <v>140</v>
      </c>
      <c r="R628" s="17">
        <f t="shared" si="69"/>
        <v>1438.1014720000003</v>
      </c>
      <c r="AE628" s="23" t="str">
        <f t="shared" si="68"/>
        <v>|</v>
      </c>
      <c r="AG628" s="3" t="s">
        <v>849</v>
      </c>
    </row>
    <row r="629" spans="1:33" ht="24" customHeight="1">
      <c r="A629" s="26">
        <f t="shared" si="65"/>
        <v>436</v>
      </c>
      <c r="B629" s="27" t="s">
        <v>1036</v>
      </c>
      <c r="C629" s="25">
        <v>88.6</v>
      </c>
      <c r="D629" s="28">
        <v>93.72</v>
      </c>
      <c r="H629" s="3" t="s">
        <v>486</v>
      </c>
      <c r="I629" s="5">
        <f>K628</f>
        <v>545.25660000000005</v>
      </c>
      <c r="J629" s="8">
        <f>C23*0.02</f>
        <v>3.54</v>
      </c>
      <c r="K629" s="16">
        <f>I629+J629</f>
        <v>548.79660000000001</v>
      </c>
      <c r="M629" s="17">
        <v>1</v>
      </c>
      <c r="N629" s="3" t="s">
        <v>209</v>
      </c>
      <c r="O629" s="3" t="s">
        <v>1037</v>
      </c>
      <c r="P629" s="17">
        <f>(C203)</f>
        <v>125.6</v>
      </c>
      <c r="Q629" s="3" t="s">
        <v>209</v>
      </c>
      <c r="R629" s="17">
        <f t="shared" si="69"/>
        <v>125.6</v>
      </c>
      <c r="AE629" s="23" t="str">
        <f t="shared" si="68"/>
        <v>|</v>
      </c>
      <c r="AG629" s="3" t="s">
        <v>849</v>
      </c>
    </row>
    <row r="630" spans="1:33" ht="24" customHeight="1">
      <c r="A630" s="26">
        <f t="shared" si="65"/>
        <v>437</v>
      </c>
      <c r="B630" s="27" t="s">
        <v>1038</v>
      </c>
      <c r="C630" s="25">
        <v>59.2</v>
      </c>
      <c r="D630" s="27" t="s">
        <v>209</v>
      </c>
      <c r="H630" s="3" t="s">
        <v>489</v>
      </c>
      <c r="I630" s="5">
        <f>K629</f>
        <v>548.79660000000001</v>
      </c>
      <c r="J630" s="8">
        <f>J629</f>
        <v>3.54</v>
      </c>
      <c r="K630" s="16">
        <f>I630+J630</f>
        <v>552.33659999999998</v>
      </c>
      <c r="M630" s="49">
        <v>0.13600000000000001</v>
      </c>
      <c r="N630" s="3" t="s">
        <v>126</v>
      </c>
      <c r="O630" s="3" t="s">
        <v>1039</v>
      </c>
      <c r="P630" s="17">
        <f>(K643)</f>
        <v>6827</v>
      </c>
      <c r="Q630" s="3" t="s">
        <v>126</v>
      </c>
      <c r="R630" s="17">
        <f t="shared" si="69"/>
        <v>928.47200000000009</v>
      </c>
      <c r="AE630" s="23" t="str">
        <f t="shared" si="68"/>
        <v>|</v>
      </c>
      <c r="AG630" s="3" t="s">
        <v>849</v>
      </c>
    </row>
    <row r="631" spans="1:33" ht="24" customHeight="1">
      <c r="A631" s="26">
        <f t="shared" si="65"/>
        <v>438</v>
      </c>
      <c r="B631" s="27" t="s">
        <v>1040</v>
      </c>
      <c r="C631" s="111">
        <v>30.25</v>
      </c>
      <c r="D631" s="27" t="s">
        <v>209</v>
      </c>
      <c r="H631" s="3" t="s">
        <v>491</v>
      </c>
      <c r="I631" s="5">
        <f>K630</f>
        <v>552.33659999999998</v>
      </c>
      <c r="J631" s="8">
        <f>J630</f>
        <v>3.54</v>
      </c>
      <c r="K631" s="16">
        <f>I631+J631</f>
        <v>555.87659999999994</v>
      </c>
      <c r="O631" s="3" t="s">
        <v>1041</v>
      </c>
      <c r="AE631" s="23" t="str">
        <f t="shared" si="68"/>
        <v>|</v>
      </c>
      <c r="AG631" s="3" t="s">
        <v>849</v>
      </c>
    </row>
    <row r="632" spans="1:33" ht="24" customHeight="1">
      <c r="A632" s="26">
        <f t="shared" si="65"/>
        <v>439</v>
      </c>
      <c r="B632" s="27" t="s">
        <v>1042</v>
      </c>
      <c r="C632" s="25">
        <v>142.19999999999999</v>
      </c>
      <c r="D632" s="27" t="s">
        <v>209</v>
      </c>
      <c r="H632" s="3" t="s">
        <v>871</v>
      </c>
      <c r="I632" s="5">
        <f>K631</f>
        <v>555.87659999999994</v>
      </c>
      <c r="J632" s="8">
        <f>J631</f>
        <v>3.54</v>
      </c>
      <c r="K632" s="16">
        <f>I632+J632</f>
        <v>559.4165999999999</v>
      </c>
      <c r="N632" s="3" t="s">
        <v>129</v>
      </c>
      <c r="O632" s="3" t="s">
        <v>988</v>
      </c>
      <c r="Q632" s="3" t="s">
        <v>129</v>
      </c>
      <c r="R632" s="17">
        <v>2.2400000000000002</v>
      </c>
      <c r="AE632" s="23" t="str">
        <f t="shared" si="68"/>
        <v>|</v>
      </c>
      <c r="AG632" s="3" t="s">
        <v>849</v>
      </c>
    </row>
    <row r="633" spans="1:33" ht="24" customHeight="1">
      <c r="A633" s="26">
        <f t="shared" si="65"/>
        <v>440</v>
      </c>
      <c r="B633" s="27" t="s">
        <v>1043</v>
      </c>
      <c r="C633" s="25">
        <v>88.6</v>
      </c>
      <c r="D633" s="27" t="s">
        <v>209</v>
      </c>
      <c r="F633" s="4" t="s">
        <v>839</v>
      </c>
      <c r="G633" s="15" t="s">
        <v>122</v>
      </c>
      <c r="H633" s="3" t="s">
        <v>840</v>
      </c>
      <c r="R633" s="12" t="s">
        <v>117</v>
      </c>
      <c r="AE633" s="23" t="str">
        <f t="shared" si="68"/>
        <v>|</v>
      </c>
      <c r="AG633" s="3" t="s">
        <v>849</v>
      </c>
    </row>
    <row r="634" spans="1:33" ht="24" customHeight="1">
      <c r="A634" s="26">
        <f t="shared" si="65"/>
        <v>441</v>
      </c>
      <c r="B634" s="27" t="s">
        <v>1044</v>
      </c>
      <c r="C634" s="39"/>
      <c r="D634" s="27" t="s">
        <v>209</v>
      </c>
      <c r="H634" s="3" t="s">
        <v>842</v>
      </c>
      <c r="O634" s="3" t="s">
        <v>991</v>
      </c>
      <c r="R634" s="17">
        <f>SUM(R622:R632)</f>
        <v>22477.615202000005</v>
      </c>
      <c r="AE634" s="23" t="str">
        <f t="shared" si="68"/>
        <v>|</v>
      </c>
      <c r="AG634" s="3" t="s">
        <v>849</v>
      </c>
    </row>
    <row r="635" spans="1:33" ht="24" customHeight="1">
      <c r="A635" s="26">
        <f t="shared" si="65"/>
        <v>442</v>
      </c>
      <c r="B635" s="27" t="s">
        <v>1045</v>
      </c>
      <c r="C635" s="25">
        <v>166</v>
      </c>
      <c r="D635" s="27" t="s">
        <v>209</v>
      </c>
      <c r="H635" s="3" t="s">
        <v>1046</v>
      </c>
      <c r="R635" s="12" t="s">
        <v>117</v>
      </c>
      <c r="AE635" s="23" t="str">
        <f t="shared" si="68"/>
        <v>|</v>
      </c>
      <c r="AG635" s="3" t="s">
        <v>849</v>
      </c>
    </row>
    <row r="636" spans="1:33" ht="24" customHeight="1">
      <c r="A636" s="26">
        <f t="shared" si="65"/>
        <v>443</v>
      </c>
      <c r="B636" s="27" t="s">
        <v>1047</v>
      </c>
      <c r="C636" s="25">
        <v>106.6</v>
      </c>
      <c r="D636" s="27" t="s">
        <v>209</v>
      </c>
      <c r="H636" s="12" t="s">
        <v>117</v>
      </c>
      <c r="N636" s="3" t="s">
        <v>122</v>
      </c>
      <c r="O636" s="3" t="s">
        <v>1048</v>
      </c>
      <c r="AE636" s="23" t="str">
        <f t="shared" si="68"/>
        <v>|</v>
      </c>
      <c r="AG636" s="3" t="s">
        <v>849</v>
      </c>
    </row>
    <row r="637" spans="1:33" ht="24" customHeight="1">
      <c r="A637" s="39"/>
      <c r="B637" s="39"/>
      <c r="C637" s="39"/>
      <c r="D637" s="39"/>
      <c r="F637" s="17">
        <v>0.01</v>
      </c>
      <c r="G637" s="15" t="s">
        <v>126</v>
      </c>
      <c r="H637" s="3" t="s">
        <v>1049</v>
      </c>
      <c r="I637" s="17">
        <f>(K280)</f>
        <v>6712.4579999999987</v>
      </c>
      <c r="J637" s="3" t="s">
        <v>126</v>
      </c>
      <c r="K637" s="17">
        <f>(F637*I637)</f>
        <v>67.124579999999995</v>
      </c>
      <c r="AE637" s="23" t="str">
        <f t="shared" si="68"/>
        <v>|</v>
      </c>
      <c r="AG637" s="3" t="s">
        <v>849</v>
      </c>
    </row>
    <row r="638" spans="1:33" ht="24" customHeight="1">
      <c r="A638" s="26">
        <f>(A636+1)</f>
        <v>444</v>
      </c>
      <c r="B638" s="27" t="s">
        <v>1050</v>
      </c>
      <c r="C638" s="39"/>
      <c r="D638" s="27" t="s">
        <v>209</v>
      </c>
      <c r="F638" s="17">
        <v>0.01</v>
      </c>
      <c r="G638" s="15" t="s">
        <v>126</v>
      </c>
      <c r="H638" s="3" t="s">
        <v>851</v>
      </c>
      <c r="J638" s="3" t="s">
        <v>129</v>
      </c>
      <c r="K638" s="17">
        <v>1.1499999999999999</v>
      </c>
      <c r="O638" s="3" t="s">
        <v>1051</v>
      </c>
      <c r="S638" s="4" t="s">
        <v>1052</v>
      </c>
      <c r="T638" s="15" t="s">
        <v>122</v>
      </c>
      <c r="U638" s="7" t="s">
        <v>912</v>
      </c>
      <c r="W638" s="8"/>
      <c r="AA638" s="4" t="s">
        <v>1052</v>
      </c>
      <c r="AB638" s="15" t="s">
        <v>122</v>
      </c>
      <c r="AC638" s="7" t="s">
        <v>913</v>
      </c>
      <c r="AE638" s="8"/>
    </row>
    <row r="639" spans="1:33" ht="24" customHeight="1">
      <c r="A639" s="26">
        <f t="shared" ref="A639:A702" si="70">(A638+1)</f>
        <v>445</v>
      </c>
      <c r="B639" s="27" t="s">
        <v>1053</v>
      </c>
      <c r="C639" s="25">
        <v>254</v>
      </c>
      <c r="D639" s="27" t="s">
        <v>209</v>
      </c>
      <c r="H639" s="3" t="s">
        <v>855</v>
      </c>
      <c r="O639" s="12" t="s">
        <v>117</v>
      </c>
      <c r="S639" s="5"/>
      <c r="T639" s="6"/>
      <c r="U639" s="3" t="s">
        <v>1054</v>
      </c>
      <c r="W639" s="8"/>
      <c r="AB639" s="6"/>
      <c r="AC639" s="3" t="s">
        <v>1054</v>
      </c>
      <c r="AE639" s="8"/>
    </row>
    <row r="640" spans="1:33" ht="24" customHeight="1">
      <c r="A640" s="26">
        <f t="shared" si="70"/>
        <v>446</v>
      </c>
      <c r="B640" s="27" t="s">
        <v>1055</v>
      </c>
      <c r="C640" s="25">
        <v>177</v>
      </c>
      <c r="D640" s="27" t="s">
        <v>209</v>
      </c>
      <c r="K640" s="12" t="s">
        <v>117</v>
      </c>
      <c r="M640" s="17">
        <v>3</v>
      </c>
      <c r="N640" s="3" t="s">
        <v>126</v>
      </c>
      <c r="O640" s="3" t="s">
        <v>1056</v>
      </c>
      <c r="P640" s="17">
        <f>(C61*2)</f>
        <v>168</v>
      </c>
      <c r="Q640" s="3" t="s">
        <v>126</v>
      </c>
      <c r="R640" s="17">
        <f>(M640*P640)</f>
        <v>504</v>
      </c>
      <c r="S640" s="5"/>
      <c r="T640" s="6"/>
      <c r="U640" s="3" t="s">
        <v>1057</v>
      </c>
      <c r="W640" s="8"/>
      <c r="AB640" s="6"/>
      <c r="AC640" s="3" t="s">
        <v>1057</v>
      </c>
      <c r="AE640" s="8"/>
    </row>
    <row r="641" spans="1:32" ht="24" customHeight="1">
      <c r="A641" s="26">
        <f t="shared" si="70"/>
        <v>447</v>
      </c>
      <c r="B641" s="27" t="s">
        <v>1058</v>
      </c>
      <c r="C641" s="39"/>
      <c r="D641" s="27" t="s">
        <v>209</v>
      </c>
      <c r="H641" s="3" t="s">
        <v>856</v>
      </c>
      <c r="K641" s="17">
        <f>SUM(K637:K639)</f>
        <v>68.27458</v>
      </c>
      <c r="M641" s="17">
        <v>2.4</v>
      </c>
      <c r="N641" s="3" t="s">
        <v>126</v>
      </c>
      <c r="O641" s="3" t="s">
        <v>1059</v>
      </c>
      <c r="P641" s="17">
        <f>(C81)</f>
        <v>883.65</v>
      </c>
      <c r="Q641" s="3" t="s">
        <v>126</v>
      </c>
      <c r="R641" s="17">
        <f>(M641*P641)</f>
        <v>2120.7599999999998</v>
      </c>
      <c r="S641" s="5"/>
      <c r="T641" s="6"/>
      <c r="U641" s="12" t="s">
        <v>117</v>
      </c>
      <c r="W641" s="8"/>
      <c r="AB641" s="6"/>
      <c r="AC641" s="12" t="s">
        <v>117</v>
      </c>
      <c r="AE641" s="8"/>
    </row>
    <row r="642" spans="1:32" ht="24" customHeight="1">
      <c r="A642" s="26">
        <f t="shared" si="70"/>
        <v>448</v>
      </c>
      <c r="B642" s="27" t="s">
        <v>1060</v>
      </c>
      <c r="C642" s="25">
        <v>136</v>
      </c>
      <c r="D642" s="27" t="s">
        <v>209</v>
      </c>
      <c r="K642" s="12" t="s">
        <v>117</v>
      </c>
      <c r="M642" s="17">
        <v>5</v>
      </c>
      <c r="N642" s="3" t="s">
        <v>209</v>
      </c>
      <c r="O642" s="3" t="s">
        <v>1061</v>
      </c>
      <c r="P642" s="17">
        <f>(C204)</f>
        <v>62.2</v>
      </c>
      <c r="Q642" s="3" t="s">
        <v>209</v>
      </c>
      <c r="R642" s="17">
        <f>(M642*P642)</f>
        <v>311</v>
      </c>
      <c r="S642" s="49">
        <v>8.3000000000000007</v>
      </c>
      <c r="T642" s="15" t="s">
        <v>126</v>
      </c>
      <c r="U642" s="3" t="s">
        <v>1062</v>
      </c>
      <c r="V642" s="17">
        <f>AC11</f>
        <v>965.68999999999994</v>
      </c>
      <c r="W642" s="3" t="s">
        <v>126</v>
      </c>
      <c r="X642" s="17">
        <f t="shared" ref="X642:X648" si="71">S642*V642</f>
        <v>8015.2269999999999</v>
      </c>
      <c r="AA642" s="49">
        <v>8.3000000000000007</v>
      </c>
      <c r="AB642" s="15" t="s">
        <v>126</v>
      </c>
      <c r="AC642" s="3" t="s">
        <v>1062</v>
      </c>
      <c r="AD642" s="17">
        <f>V642</f>
        <v>965.68999999999994</v>
      </c>
      <c r="AE642" s="3" t="s">
        <v>126</v>
      </c>
      <c r="AF642" s="17">
        <f t="shared" ref="AF642:AF648" si="72">AA642*AD642</f>
        <v>8015.2269999999999</v>
      </c>
    </row>
    <row r="643" spans="1:32" ht="24" customHeight="1">
      <c r="A643" s="26">
        <f t="shared" si="70"/>
        <v>449</v>
      </c>
      <c r="B643" s="27" t="s">
        <v>1063</v>
      </c>
      <c r="C643" s="25">
        <v>82.8</v>
      </c>
      <c r="D643" s="27" t="s">
        <v>209</v>
      </c>
      <c r="H643" s="3" t="s">
        <v>383</v>
      </c>
      <c r="K643" s="17">
        <f>ROUND(K641*100,0)</f>
        <v>6827</v>
      </c>
      <c r="O643" s="3" t="s">
        <v>130</v>
      </c>
      <c r="Q643" s="3" t="s">
        <v>129</v>
      </c>
      <c r="R643" s="17">
        <v>0.08</v>
      </c>
      <c r="S643" s="49">
        <v>3.25</v>
      </c>
      <c r="T643" s="15" t="s">
        <v>124</v>
      </c>
      <c r="U643" s="3" t="s">
        <v>125</v>
      </c>
      <c r="V643" s="17">
        <f>I808</f>
        <v>5800</v>
      </c>
      <c r="W643" s="3" t="s">
        <v>124</v>
      </c>
      <c r="X643" s="17">
        <f t="shared" si="71"/>
        <v>18850</v>
      </c>
      <c r="AA643" s="49">
        <v>4</v>
      </c>
      <c r="AB643" s="15" t="s">
        <v>124</v>
      </c>
      <c r="AC643" s="3" t="s">
        <v>125</v>
      </c>
      <c r="AD643" s="17">
        <f t="shared" ref="AD643:AD648" si="73">V643</f>
        <v>5800</v>
      </c>
      <c r="AE643" s="3" t="s">
        <v>124</v>
      </c>
      <c r="AF643" s="17">
        <f t="shared" si="72"/>
        <v>23200</v>
      </c>
    </row>
    <row r="644" spans="1:32" ht="24" customHeight="1">
      <c r="A644" s="26">
        <f t="shared" si="70"/>
        <v>450</v>
      </c>
      <c r="B644" s="27" t="s">
        <v>1064</v>
      </c>
      <c r="C644" s="39"/>
      <c r="D644" s="27" t="s">
        <v>209</v>
      </c>
      <c r="F644" s="3" t="s">
        <v>115</v>
      </c>
      <c r="R644" s="12" t="s">
        <v>117</v>
      </c>
      <c r="S644" s="49">
        <v>4.79</v>
      </c>
      <c r="T644" s="15" t="s">
        <v>126</v>
      </c>
      <c r="U644" s="3" t="s">
        <v>127</v>
      </c>
      <c r="V644" s="17">
        <f>I809</f>
        <v>1322.8</v>
      </c>
      <c r="W644" s="3" t="s">
        <v>126</v>
      </c>
      <c r="X644" s="17">
        <f t="shared" si="71"/>
        <v>6336.2119999999995</v>
      </c>
      <c r="AA644" s="49">
        <v>4.79</v>
      </c>
      <c r="AB644" s="15" t="s">
        <v>126</v>
      </c>
      <c r="AC644" s="3" t="s">
        <v>127</v>
      </c>
      <c r="AD644" s="17">
        <f t="shared" si="73"/>
        <v>1322.8</v>
      </c>
      <c r="AE644" s="3" t="s">
        <v>126</v>
      </c>
      <c r="AF644" s="17">
        <f t="shared" si="72"/>
        <v>6336.2119999999995</v>
      </c>
    </row>
    <row r="645" spans="1:32" ht="24" customHeight="1">
      <c r="A645" s="26">
        <f t="shared" si="70"/>
        <v>451</v>
      </c>
      <c r="B645" s="27" t="s">
        <v>1065</v>
      </c>
      <c r="C645" s="25">
        <v>159.80000000000001</v>
      </c>
      <c r="D645" s="27" t="s">
        <v>209</v>
      </c>
      <c r="K645" s="12" t="s">
        <v>155</v>
      </c>
      <c r="O645" s="3" t="s">
        <v>991</v>
      </c>
      <c r="R645" s="17">
        <f>SUM(R640:R643)</f>
        <v>2935.8399999999997</v>
      </c>
      <c r="S645" s="49">
        <v>3.5</v>
      </c>
      <c r="T645" s="15" t="s">
        <v>209</v>
      </c>
      <c r="U645" s="3" t="s">
        <v>145</v>
      </c>
      <c r="V645" s="17">
        <f>C11</f>
        <v>718</v>
      </c>
      <c r="W645" s="3" t="s">
        <v>209</v>
      </c>
      <c r="X645" s="17">
        <f t="shared" si="71"/>
        <v>2513</v>
      </c>
      <c r="AA645" s="49">
        <v>3.5</v>
      </c>
      <c r="AB645" s="15" t="s">
        <v>209</v>
      </c>
      <c r="AC645" s="3" t="s">
        <v>145</v>
      </c>
      <c r="AD645" s="17">
        <f t="shared" si="73"/>
        <v>718</v>
      </c>
      <c r="AE645" s="3" t="s">
        <v>209</v>
      </c>
      <c r="AF645" s="17">
        <f t="shared" si="72"/>
        <v>2513</v>
      </c>
    </row>
    <row r="646" spans="1:32" ht="24" customHeight="1">
      <c r="A646" s="26">
        <f t="shared" si="70"/>
        <v>452</v>
      </c>
      <c r="B646" s="27" t="s">
        <v>1066</v>
      </c>
      <c r="C646" s="25">
        <v>106.6</v>
      </c>
      <c r="D646" s="27" t="s">
        <v>209</v>
      </c>
      <c r="G646" s="15" t="s">
        <v>558</v>
      </c>
      <c r="H646" s="3" t="s">
        <v>857</v>
      </c>
      <c r="R646" s="12" t="s">
        <v>117</v>
      </c>
      <c r="S646" s="49">
        <v>21.2</v>
      </c>
      <c r="T646" s="15" t="s">
        <v>209</v>
      </c>
      <c r="U646" s="3" t="s">
        <v>146</v>
      </c>
      <c r="V646" s="17">
        <f>C12</f>
        <v>502</v>
      </c>
      <c r="W646" s="3" t="s">
        <v>209</v>
      </c>
      <c r="X646" s="17">
        <f t="shared" si="71"/>
        <v>10642.4</v>
      </c>
      <c r="AA646" s="49">
        <v>21.2</v>
      </c>
      <c r="AB646" s="15" t="s">
        <v>209</v>
      </c>
      <c r="AC646" s="3" t="s">
        <v>146</v>
      </c>
      <c r="AD646" s="17">
        <f t="shared" si="73"/>
        <v>502</v>
      </c>
      <c r="AE646" s="3" t="s">
        <v>209</v>
      </c>
      <c r="AF646" s="17">
        <f t="shared" si="72"/>
        <v>10642.4</v>
      </c>
    </row>
    <row r="647" spans="1:32" ht="24" customHeight="1">
      <c r="A647" s="26">
        <f t="shared" si="70"/>
        <v>453</v>
      </c>
      <c r="B647" s="27" t="s">
        <v>1067</v>
      </c>
      <c r="C647" s="39"/>
      <c r="D647" s="27" t="s">
        <v>209</v>
      </c>
      <c r="H647" s="3" t="s">
        <v>858</v>
      </c>
      <c r="S647" s="49">
        <v>35.299999999999997</v>
      </c>
      <c r="T647" s="15" t="s">
        <v>209</v>
      </c>
      <c r="U647" s="3" t="s">
        <v>147</v>
      </c>
      <c r="V647" s="17">
        <f>C13</f>
        <v>412</v>
      </c>
      <c r="W647" s="3" t="s">
        <v>209</v>
      </c>
      <c r="X647" s="17">
        <f t="shared" si="71"/>
        <v>14543.599999999999</v>
      </c>
      <c r="AA647" s="49">
        <v>35.299999999999997</v>
      </c>
      <c r="AB647" s="15" t="s">
        <v>209</v>
      </c>
      <c r="AC647" s="3" t="s">
        <v>147</v>
      </c>
      <c r="AD647" s="17">
        <f t="shared" si="73"/>
        <v>412</v>
      </c>
      <c r="AE647" s="3" t="s">
        <v>209</v>
      </c>
      <c r="AF647" s="17">
        <f t="shared" si="72"/>
        <v>14543.599999999999</v>
      </c>
    </row>
    <row r="648" spans="1:32" ht="24" customHeight="1">
      <c r="A648" s="26">
        <f t="shared" si="70"/>
        <v>454</v>
      </c>
      <c r="B648" s="27" t="s">
        <v>1068</v>
      </c>
      <c r="C648" s="25">
        <v>70</v>
      </c>
      <c r="D648" s="27" t="s">
        <v>209</v>
      </c>
      <c r="H648" s="12" t="s">
        <v>117</v>
      </c>
      <c r="N648" s="3" t="s">
        <v>122</v>
      </c>
      <c r="O648" s="3" t="s">
        <v>1069</v>
      </c>
      <c r="S648" s="112">
        <v>19.5</v>
      </c>
      <c r="T648" s="6"/>
      <c r="U648" s="3" t="s">
        <v>1070</v>
      </c>
      <c r="V648" s="79">
        <v>42.4</v>
      </c>
      <c r="W648" s="3" t="s">
        <v>129</v>
      </c>
      <c r="X648" s="17">
        <f t="shared" si="71"/>
        <v>826.8</v>
      </c>
      <c r="AA648" s="112">
        <v>40</v>
      </c>
      <c r="AB648" s="6"/>
      <c r="AC648" s="3" t="s">
        <v>1070</v>
      </c>
      <c r="AD648" s="17">
        <f t="shared" si="73"/>
        <v>42.4</v>
      </c>
      <c r="AE648" s="3" t="s">
        <v>129</v>
      </c>
      <c r="AF648" s="17">
        <f t="shared" si="72"/>
        <v>1696</v>
      </c>
    </row>
    <row r="649" spans="1:32" ht="24" customHeight="1">
      <c r="A649" s="26">
        <f t="shared" si="70"/>
        <v>455</v>
      </c>
      <c r="B649" s="27" t="s">
        <v>1071</v>
      </c>
      <c r="C649" s="25">
        <v>47.3</v>
      </c>
      <c r="D649" s="27" t="s">
        <v>209</v>
      </c>
      <c r="F649" s="49">
        <v>1.4E-2</v>
      </c>
      <c r="G649" s="15" t="s">
        <v>126</v>
      </c>
      <c r="H649" s="3" t="s">
        <v>859</v>
      </c>
      <c r="I649" s="17">
        <f>(K643)</f>
        <v>6827</v>
      </c>
      <c r="J649" s="3" t="s">
        <v>126</v>
      </c>
      <c r="K649" s="17">
        <f>(F649*I649)</f>
        <v>95.578000000000003</v>
      </c>
      <c r="O649" s="3" t="s">
        <v>1072</v>
      </c>
      <c r="S649" s="5"/>
      <c r="T649" s="6"/>
      <c r="W649" s="8"/>
      <c r="X649" s="12" t="s">
        <v>117</v>
      </c>
      <c r="AB649" s="6"/>
      <c r="AE649" s="8"/>
      <c r="AF649" s="12" t="s">
        <v>117</v>
      </c>
    </row>
    <row r="650" spans="1:32" ht="24" customHeight="1">
      <c r="A650" s="26">
        <f t="shared" si="70"/>
        <v>456</v>
      </c>
      <c r="B650" s="27" t="s">
        <v>1073</v>
      </c>
      <c r="C650" s="79">
        <v>29.3</v>
      </c>
      <c r="D650" s="27" t="s">
        <v>209</v>
      </c>
      <c r="F650" s="49"/>
      <c r="H650" s="3" t="s">
        <v>860</v>
      </c>
      <c r="K650" s="3" t="s">
        <v>115</v>
      </c>
      <c r="O650" s="3" t="s">
        <v>1074</v>
      </c>
      <c r="S650" s="5"/>
      <c r="T650" s="6"/>
      <c r="U650" s="4" t="s">
        <v>455</v>
      </c>
      <c r="W650" s="8"/>
      <c r="X650" s="17">
        <f>SUM(X642:X648)</f>
        <v>61727.239000000001</v>
      </c>
      <c r="AB650" s="6"/>
      <c r="AC650" s="4" t="s">
        <v>455</v>
      </c>
      <c r="AE650" s="8"/>
      <c r="AF650" s="17">
        <f>SUM(AF642:AF648)</f>
        <v>66946.438999999998</v>
      </c>
    </row>
    <row r="651" spans="1:32" ht="24" customHeight="1">
      <c r="A651" s="26">
        <f t="shared" si="70"/>
        <v>457</v>
      </c>
      <c r="B651" s="27" t="s">
        <v>1075</v>
      </c>
      <c r="C651" s="28">
        <v>155.32</v>
      </c>
      <c r="D651" s="27" t="s">
        <v>209</v>
      </c>
      <c r="F651" s="17">
        <v>0.5</v>
      </c>
      <c r="G651" s="15" t="s">
        <v>1</v>
      </c>
      <c r="H651" s="3" t="s">
        <v>144</v>
      </c>
      <c r="I651" s="17">
        <f>(C10)</f>
        <v>769</v>
      </c>
      <c r="J651" s="3" t="s">
        <v>1</v>
      </c>
      <c r="K651" s="17">
        <f>(F651*I651)</f>
        <v>384.5</v>
      </c>
      <c r="O651" s="12" t="s">
        <v>117</v>
      </c>
      <c r="S651" s="5"/>
      <c r="T651" s="6"/>
      <c r="W651" s="8"/>
      <c r="X651" s="12" t="s">
        <v>155</v>
      </c>
      <c r="AB651" s="6"/>
      <c r="AE651" s="8"/>
      <c r="AF651" s="12" t="s">
        <v>155</v>
      </c>
    </row>
    <row r="652" spans="1:32" ht="24" customHeight="1">
      <c r="A652" s="26">
        <f t="shared" si="70"/>
        <v>458</v>
      </c>
      <c r="B652" s="27" t="s">
        <v>1076</v>
      </c>
      <c r="C652" s="28">
        <v>91.08</v>
      </c>
      <c r="D652" s="27" t="s">
        <v>209</v>
      </c>
      <c r="F652" s="17">
        <v>0.75</v>
      </c>
      <c r="G652" s="15" t="s">
        <v>1</v>
      </c>
      <c r="H652" s="3" t="s">
        <v>146</v>
      </c>
      <c r="I652" s="17">
        <f>(C12)</f>
        <v>502</v>
      </c>
      <c r="J652" s="3" t="s">
        <v>1</v>
      </c>
      <c r="K652" s="17">
        <f>(F652*I652)</f>
        <v>376.5</v>
      </c>
      <c r="M652" s="17">
        <v>9.5</v>
      </c>
      <c r="N652" s="3" t="s">
        <v>126</v>
      </c>
      <c r="O652" s="3" t="s">
        <v>1056</v>
      </c>
      <c r="P652" s="17">
        <f>(C61*2)</f>
        <v>168</v>
      </c>
      <c r="Q652" s="3" t="s">
        <v>126</v>
      </c>
      <c r="R652" s="17">
        <f t="shared" ref="R652:R660" si="74">(M652*P652)</f>
        <v>1596</v>
      </c>
      <c r="S652" s="5"/>
      <c r="T652" s="6"/>
      <c r="U652" s="3" t="s">
        <v>383</v>
      </c>
      <c r="W652" s="8"/>
      <c r="X652" s="17">
        <f>X650/10</f>
        <v>6172.7239</v>
      </c>
      <c r="AB652" s="6"/>
      <c r="AC652" s="3" t="s">
        <v>383</v>
      </c>
      <c r="AE652" s="8"/>
      <c r="AF652" s="17">
        <f>AF650/10</f>
        <v>6694.6439</v>
      </c>
    </row>
    <row r="653" spans="1:32" ht="24" customHeight="1">
      <c r="A653" s="26">
        <f t="shared" si="70"/>
        <v>459</v>
      </c>
      <c r="B653" s="27" t="s">
        <v>1077</v>
      </c>
      <c r="C653" s="25">
        <v>41.9</v>
      </c>
      <c r="D653" s="27" t="s">
        <v>148</v>
      </c>
      <c r="G653" s="15" t="s">
        <v>129</v>
      </c>
      <c r="H653" s="3" t="s">
        <v>130</v>
      </c>
      <c r="J653" s="3" t="s">
        <v>129</v>
      </c>
      <c r="K653" s="17">
        <v>0</v>
      </c>
      <c r="M653" s="17">
        <v>0.47</v>
      </c>
      <c r="N653" s="3" t="s">
        <v>126</v>
      </c>
      <c r="O653" s="3" t="s">
        <v>1078</v>
      </c>
      <c r="P653" s="17">
        <f>(R74)</f>
        <v>5585.6279999999997</v>
      </c>
      <c r="Q653" s="3" t="s">
        <v>126</v>
      </c>
      <c r="R653" s="17">
        <f t="shared" si="74"/>
        <v>2625.2451599999995</v>
      </c>
      <c r="S653" s="17">
        <v>1</v>
      </c>
      <c r="T653" s="15" t="s">
        <v>126</v>
      </c>
      <c r="U653" s="3" t="s">
        <v>689</v>
      </c>
      <c r="V653" s="17"/>
      <c r="W653" s="8"/>
      <c r="X653" s="17"/>
      <c r="AA653" s="17">
        <v>1</v>
      </c>
      <c r="AB653" s="15" t="s">
        <v>126</v>
      </c>
      <c r="AC653" s="3" t="s">
        <v>689</v>
      </c>
      <c r="AD653" s="17"/>
      <c r="AE653" s="8"/>
      <c r="AF653" s="17"/>
    </row>
    <row r="654" spans="1:32" ht="24" customHeight="1">
      <c r="A654" s="26">
        <f t="shared" si="70"/>
        <v>460</v>
      </c>
      <c r="B654" s="27" t="s">
        <v>1079</v>
      </c>
      <c r="C654" s="28">
        <v>0.3</v>
      </c>
      <c r="D654" s="27" t="s">
        <v>209</v>
      </c>
      <c r="K654" s="12" t="s">
        <v>117</v>
      </c>
      <c r="M654" s="17">
        <v>1.62</v>
      </c>
      <c r="N654" s="3" t="s">
        <v>126</v>
      </c>
      <c r="O654" s="3" t="s">
        <v>978</v>
      </c>
      <c r="P654" s="17">
        <f>(R89)</f>
        <v>6119.0170000000007</v>
      </c>
      <c r="Q654" s="3" t="s">
        <v>126</v>
      </c>
      <c r="R654" s="17">
        <f t="shared" si="74"/>
        <v>9912.8075400000016</v>
      </c>
      <c r="X654" s="113">
        <f>SUM(X652:X653)</f>
        <v>6172.7239</v>
      </c>
      <c r="AA654" s="9"/>
      <c r="AF654" s="113">
        <f>SUM(AF652:AF653)</f>
        <v>6694.6439</v>
      </c>
    </row>
    <row r="655" spans="1:32" ht="24" customHeight="1">
      <c r="A655" s="26">
        <f t="shared" si="70"/>
        <v>461</v>
      </c>
      <c r="B655" s="27" t="s">
        <v>1080</v>
      </c>
      <c r="C655" s="25">
        <v>186</v>
      </c>
      <c r="D655" s="27" t="s">
        <v>140</v>
      </c>
      <c r="H655" s="3" t="s">
        <v>866</v>
      </c>
      <c r="K655" s="17">
        <f>SUM(K649:K653)</f>
        <v>856.57799999999997</v>
      </c>
      <c r="M655" s="17">
        <v>15.22</v>
      </c>
      <c r="N655" s="3" t="s">
        <v>140</v>
      </c>
      <c r="O655" s="3" t="s">
        <v>1081</v>
      </c>
      <c r="P655" s="17">
        <f>(R304)</f>
        <v>213.72319999999999</v>
      </c>
      <c r="Q655" s="3" t="s">
        <v>140</v>
      </c>
      <c r="R655" s="17">
        <f t="shared" si="74"/>
        <v>3252.8671039999999</v>
      </c>
      <c r="S655" s="5"/>
      <c r="T655" s="6"/>
      <c r="U655" s="5" t="s">
        <v>1082</v>
      </c>
      <c r="X655" s="5">
        <f>X654*0.5%</f>
        <v>30.863619500000002</v>
      </c>
      <c r="AB655" s="6"/>
      <c r="AC655" s="5" t="s">
        <v>1082</v>
      </c>
      <c r="AF655" s="5">
        <f>AF654*0.5%</f>
        <v>33.473219499999999</v>
      </c>
    </row>
    <row r="656" spans="1:32" ht="24" customHeight="1">
      <c r="A656" s="26">
        <f t="shared" si="70"/>
        <v>462</v>
      </c>
      <c r="B656" s="27" t="s">
        <v>1083</v>
      </c>
      <c r="C656" s="28">
        <v>97.31</v>
      </c>
      <c r="D656" s="27" t="s">
        <v>140</v>
      </c>
      <c r="K656" s="12" t="s">
        <v>117</v>
      </c>
      <c r="M656" s="17">
        <v>0.18</v>
      </c>
      <c r="N656" s="3" t="s">
        <v>126</v>
      </c>
      <c r="O656" s="3" t="s">
        <v>1084</v>
      </c>
      <c r="P656" s="17">
        <f>(K280)</f>
        <v>6712.4579999999987</v>
      </c>
      <c r="Q656" s="3" t="s">
        <v>126</v>
      </c>
      <c r="R656" s="17">
        <f t="shared" si="74"/>
        <v>1208.2424399999998</v>
      </c>
      <c r="S656" s="5"/>
      <c r="T656" s="6"/>
      <c r="W656" s="8"/>
      <c r="X656" s="12"/>
      <c r="AB656" s="6"/>
      <c r="AE656" s="8"/>
      <c r="AF656" s="12"/>
    </row>
    <row r="657" spans="1:32" ht="24" customHeight="1">
      <c r="A657" s="26">
        <f t="shared" si="70"/>
        <v>463</v>
      </c>
      <c r="B657" s="27" t="s">
        <v>1085</v>
      </c>
      <c r="C657" s="28">
        <v>198.2</v>
      </c>
      <c r="D657" s="27" t="s">
        <v>699</v>
      </c>
      <c r="H657" s="3" t="s">
        <v>154</v>
      </c>
      <c r="K657" s="17">
        <f>(K655/0.372)</f>
        <v>2302.6290322580644</v>
      </c>
      <c r="M657" s="17">
        <v>0.36</v>
      </c>
      <c r="N657" s="3" t="s">
        <v>140</v>
      </c>
      <c r="O657" s="3" t="s">
        <v>1086</v>
      </c>
      <c r="P657" s="17">
        <f>(K467)</f>
        <v>343.02024249999999</v>
      </c>
      <c r="Q657" s="3" t="s">
        <v>140</v>
      </c>
      <c r="R657" s="17">
        <f t="shared" si="74"/>
        <v>123.48728729999999</v>
      </c>
      <c r="S657" s="5"/>
      <c r="T657" s="6"/>
      <c r="U657" s="5" t="s">
        <v>1087</v>
      </c>
      <c r="W657" s="8"/>
      <c r="X657" s="16">
        <f>SUM(X654:X656)</f>
        <v>6203.5875194999999</v>
      </c>
      <c r="AB657" s="6"/>
      <c r="AC657" s="5" t="s">
        <v>1087</v>
      </c>
      <c r="AE657" s="8"/>
      <c r="AF657" s="16">
        <f>SUM(AF654:AF656)</f>
        <v>6728.1171194999997</v>
      </c>
    </row>
    <row r="658" spans="1:32" ht="24" customHeight="1">
      <c r="A658" s="26">
        <f t="shared" si="70"/>
        <v>464</v>
      </c>
      <c r="B658" s="27" t="s">
        <v>1088</v>
      </c>
      <c r="C658" s="28">
        <v>198.2</v>
      </c>
      <c r="D658" s="27" t="s">
        <v>699</v>
      </c>
      <c r="K658" s="12" t="s">
        <v>155</v>
      </c>
      <c r="M658" s="17">
        <v>1</v>
      </c>
      <c r="N658" s="3" t="s">
        <v>209</v>
      </c>
      <c r="O658" s="3" t="s">
        <v>1089</v>
      </c>
      <c r="P658" s="17">
        <f>(C203)</f>
        <v>125.6</v>
      </c>
      <c r="Q658" s="3" t="s">
        <v>209</v>
      </c>
      <c r="R658" s="17">
        <f t="shared" si="74"/>
        <v>125.6</v>
      </c>
      <c r="S658" s="5"/>
      <c r="T658" s="6"/>
      <c r="W658" s="8"/>
      <c r="X658" s="12" t="s">
        <v>117</v>
      </c>
      <c r="AB658" s="6"/>
      <c r="AE658" s="8"/>
      <c r="AF658" s="12" t="s">
        <v>117</v>
      </c>
    </row>
    <row r="659" spans="1:32" ht="24" customHeight="1">
      <c r="A659" s="26">
        <f t="shared" si="70"/>
        <v>465</v>
      </c>
      <c r="B659" s="27" t="s">
        <v>1090</v>
      </c>
      <c r="C659" s="28">
        <v>3.84</v>
      </c>
      <c r="D659" s="27" t="s">
        <v>209</v>
      </c>
      <c r="E659" s="5" t="s">
        <v>1091</v>
      </c>
      <c r="H659" s="3" t="s">
        <v>482</v>
      </c>
      <c r="I659" s="5">
        <f>K657</f>
        <v>2302.6290322580644</v>
      </c>
      <c r="J659" s="8">
        <f>C22*0.014/0.372</f>
        <v>3.3833333333333337</v>
      </c>
      <c r="K659" s="16">
        <f>I659+J659</f>
        <v>2306.0123655913976</v>
      </c>
      <c r="M659" s="17">
        <v>1.8</v>
      </c>
      <c r="N659" s="3" t="s">
        <v>1092</v>
      </c>
      <c r="O659" s="3" t="s">
        <v>1093</v>
      </c>
      <c r="P659" s="17">
        <f>(C325)</f>
        <v>14.91</v>
      </c>
      <c r="Q659" s="3" t="s">
        <v>1092</v>
      </c>
      <c r="R659" s="17">
        <f t="shared" si="74"/>
        <v>26.838000000000001</v>
      </c>
      <c r="S659" s="5"/>
      <c r="T659" s="6"/>
      <c r="U659" s="3" t="s">
        <v>482</v>
      </c>
      <c r="W659" s="8"/>
      <c r="X659" s="16">
        <f>(X657+C23)</f>
        <v>6380.5875194999999</v>
      </c>
      <c r="AB659" s="6"/>
      <c r="AC659" s="3" t="s">
        <v>482</v>
      </c>
      <c r="AE659" s="8"/>
      <c r="AF659" s="16">
        <f>AF657+C23</f>
        <v>6905.1171194999997</v>
      </c>
    </row>
    <row r="660" spans="1:32" ht="24" customHeight="1">
      <c r="A660" s="26">
        <f t="shared" si="70"/>
        <v>466</v>
      </c>
      <c r="B660" s="27" t="s">
        <v>1094</v>
      </c>
      <c r="C660" s="23">
        <v>54.5</v>
      </c>
      <c r="D660" s="114">
        <v>61.5</v>
      </c>
      <c r="E660" s="5" t="s">
        <v>1095</v>
      </c>
      <c r="H660" s="3" t="s">
        <v>486</v>
      </c>
      <c r="I660" s="5">
        <f>K659</f>
        <v>2306.0123655913976</v>
      </c>
      <c r="J660" s="8">
        <f>C23*0.014/0.372</f>
        <v>6.6612903225806459</v>
      </c>
      <c r="K660" s="16">
        <f>I660+J660</f>
        <v>2312.6736559139781</v>
      </c>
      <c r="M660" s="17">
        <v>1</v>
      </c>
      <c r="N660" s="3" t="s">
        <v>209</v>
      </c>
      <c r="O660" s="3" t="s">
        <v>1096</v>
      </c>
      <c r="P660" s="17">
        <f>(C371)</f>
        <v>13.29</v>
      </c>
      <c r="Q660" s="3" t="s">
        <v>209</v>
      </c>
      <c r="R660" s="17">
        <f t="shared" si="74"/>
        <v>13.29</v>
      </c>
      <c r="S660" s="5"/>
      <c r="T660" s="6"/>
      <c r="U660" s="3" t="s">
        <v>486</v>
      </c>
      <c r="W660" s="8"/>
      <c r="X660" s="16">
        <f>X659+C24</f>
        <v>6557.5875194999999</v>
      </c>
      <c r="AB660" s="6"/>
      <c r="AC660" s="3" t="s">
        <v>486</v>
      </c>
      <c r="AE660" s="8"/>
      <c r="AF660" s="16">
        <f>AF659+C24</f>
        <v>7082.1171194999997</v>
      </c>
    </row>
    <row r="661" spans="1:32" ht="32.25" customHeight="1">
      <c r="A661" s="26">
        <f t="shared" si="70"/>
        <v>467</v>
      </c>
      <c r="B661" s="115" t="s">
        <v>1097</v>
      </c>
      <c r="C661" s="95">
        <v>8.1</v>
      </c>
      <c r="D661" s="96" t="s">
        <v>203</v>
      </c>
      <c r="E661" s="116">
        <v>10.92</v>
      </c>
      <c r="H661" s="3" t="s">
        <v>489</v>
      </c>
      <c r="I661" s="5">
        <f>K660</f>
        <v>2312.6736559139781</v>
      </c>
      <c r="J661" s="8">
        <f>J660</f>
        <v>6.6612903225806459</v>
      </c>
      <c r="K661" s="16">
        <f>I661+J661</f>
        <v>2319.3349462365586</v>
      </c>
      <c r="N661" s="3" t="s">
        <v>129</v>
      </c>
      <c r="O661" s="3" t="s">
        <v>988</v>
      </c>
      <c r="Q661" s="3" t="s">
        <v>129</v>
      </c>
      <c r="R661" s="17">
        <v>1.72</v>
      </c>
      <c r="S661" s="5"/>
      <c r="T661" s="6"/>
      <c r="U661" s="3" t="s">
        <v>489</v>
      </c>
      <c r="W661" s="8"/>
      <c r="X661" s="16">
        <f>X660+C25</f>
        <v>6628.2875194999997</v>
      </c>
      <c r="AB661" s="6"/>
      <c r="AC661" s="3" t="s">
        <v>489</v>
      </c>
      <c r="AE661" s="8"/>
      <c r="AF661" s="16">
        <f>AF660+C25</f>
        <v>7152.8171194999995</v>
      </c>
    </row>
    <row r="662" spans="1:32" ht="24" customHeight="1">
      <c r="A662" s="26">
        <f t="shared" si="70"/>
        <v>468</v>
      </c>
      <c r="B662" s="117" t="s">
        <v>1098</v>
      </c>
      <c r="C662" s="95">
        <v>13.51</v>
      </c>
      <c r="D662" s="96" t="s">
        <v>203</v>
      </c>
      <c r="E662" s="116"/>
      <c r="H662" s="3" t="s">
        <v>491</v>
      </c>
      <c r="I662" s="5">
        <f>K661</f>
        <v>2319.3349462365586</v>
      </c>
      <c r="J662" s="8">
        <f>J661</f>
        <v>6.6612903225806459</v>
      </c>
      <c r="K662" s="16">
        <f>I662+J662</f>
        <v>2325.9962365591391</v>
      </c>
      <c r="R662" s="3" t="s">
        <v>115</v>
      </c>
      <c r="S662" s="5"/>
      <c r="T662" s="6"/>
      <c r="U662" s="3" t="s">
        <v>491</v>
      </c>
      <c r="W662" s="8"/>
      <c r="X662" s="16">
        <f>X661+C25</f>
        <v>6698.9875194999995</v>
      </c>
      <c r="AB662" s="6"/>
      <c r="AC662" s="3" t="s">
        <v>491</v>
      </c>
      <c r="AE662" s="8"/>
      <c r="AF662" s="16">
        <f>AF661+C25</f>
        <v>7223.5171194999994</v>
      </c>
    </row>
    <row r="663" spans="1:32" ht="24" customHeight="1">
      <c r="A663" s="26">
        <f t="shared" si="70"/>
        <v>469</v>
      </c>
      <c r="B663" s="27" t="s">
        <v>1099</v>
      </c>
      <c r="C663" s="23">
        <v>7.1</v>
      </c>
      <c r="D663" s="47">
        <v>8.5</v>
      </c>
      <c r="E663" s="5">
        <v>2</v>
      </c>
      <c r="H663" s="3" t="s">
        <v>871</v>
      </c>
      <c r="I663" s="5">
        <f>K662</f>
        <v>2325.9962365591391</v>
      </c>
      <c r="J663" s="8">
        <f>J662</f>
        <v>6.6612903225806459</v>
      </c>
      <c r="K663" s="16">
        <f>I663+J663</f>
        <v>2332.6575268817196</v>
      </c>
      <c r="R663" s="12" t="s">
        <v>117</v>
      </c>
      <c r="S663" s="5"/>
      <c r="T663" s="6"/>
      <c r="U663" s="3" t="s">
        <v>576</v>
      </c>
      <c r="W663" s="8"/>
      <c r="X663" s="16">
        <f>X662+C25</f>
        <v>6769.6875194999993</v>
      </c>
      <c r="AB663" s="6"/>
      <c r="AC663" s="3" t="s">
        <v>576</v>
      </c>
      <c r="AE663" s="8"/>
      <c r="AF663" s="16">
        <f>AF662+K25</f>
        <v>7223.5171194999994</v>
      </c>
    </row>
    <row r="664" spans="1:32" ht="24" customHeight="1">
      <c r="A664" s="26"/>
      <c r="B664" s="27"/>
      <c r="C664" s="23"/>
      <c r="D664" s="47"/>
      <c r="H664" s="3">
        <v>5</v>
      </c>
      <c r="I664" s="5">
        <f t="shared" ref="I664:I670" si="75">K663</f>
        <v>2332.6575268817196</v>
      </c>
      <c r="J664" s="8">
        <f t="shared" ref="J664:J670" si="76">J663</f>
        <v>6.6612903225806459</v>
      </c>
      <c r="K664" s="16">
        <f t="shared" ref="K664:K670" si="77">I664+J664</f>
        <v>2339.3188172043001</v>
      </c>
      <c r="R664" s="12"/>
      <c r="S664" s="5"/>
      <c r="T664" s="6"/>
      <c r="U664" s="3">
        <v>5</v>
      </c>
      <c r="W664" s="8"/>
      <c r="X664" s="16">
        <f>X663+C25</f>
        <v>6840.3875194999991</v>
      </c>
      <c r="AB664" s="6"/>
      <c r="AC664" s="3">
        <v>5</v>
      </c>
      <c r="AE664" s="8"/>
      <c r="AF664" s="16">
        <f>AF663+K25</f>
        <v>7223.5171194999994</v>
      </c>
    </row>
    <row r="665" spans="1:32" ht="24" hidden="1" customHeight="1">
      <c r="A665" s="26"/>
      <c r="B665" s="27"/>
      <c r="C665" s="23"/>
      <c r="D665" s="47"/>
      <c r="H665" s="3">
        <v>6</v>
      </c>
      <c r="I665" s="5">
        <f t="shared" si="75"/>
        <v>2339.3188172043001</v>
      </c>
      <c r="J665" s="8">
        <f t="shared" si="76"/>
        <v>6.6612903225806459</v>
      </c>
      <c r="K665" s="16">
        <f t="shared" si="77"/>
        <v>2345.9801075268806</v>
      </c>
      <c r="R665" s="12"/>
      <c r="AA665" s="9"/>
    </row>
    <row r="666" spans="1:32" ht="24" hidden="1" customHeight="1">
      <c r="A666" s="26"/>
      <c r="B666" s="27"/>
      <c r="C666" s="23"/>
      <c r="D666" s="47"/>
      <c r="H666" s="3">
        <v>7</v>
      </c>
      <c r="I666" s="5">
        <f t="shared" si="75"/>
        <v>2345.9801075268806</v>
      </c>
      <c r="J666" s="8">
        <f t="shared" si="76"/>
        <v>6.6612903225806459</v>
      </c>
      <c r="K666" s="16">
        <f t="shared" si="77"/>
        <v>2352.6413978494611</v>
      </c>
      <c r="R666" s="12"/>
      <c r="AA666" s="9"/>
    </row>
    <row r="667" spans="1:32" ht="24" hidden="1" customHeight="1">
      <c r="A667" s="26"/>
      <c r="B667" s="27"/>
      <c r="C667" s="23"/>
      <c r="D667" s="47"/>
      <c r="H667" s="3">
        <v>8</v>
      </c>
      <c r="I667" s="5">
        <f t="shared" si="75"/>
        <v>2352.6413978494611</v>
      </c>
      <c r="J667" s="8">
        <f t="shared" si="76"/>
        <v>6.6612903225806459</v>
      </c>
      <c r="K667" s="16">
        <f t="shared" si="77"/>
        <v>2359.3026881720416</v>
      </c>
      <c r="R667" s="12"/>
      <c r="AA667" s="9"/>
    </row>
    <row r="668" spans="1:32" ht="24" hidden="1" customHeight="1">
      <c r="A668" s="26"/>
      <c r="B668" s="27"/>
      <c r="C668" s="23"/>
      <c r="D668" s="47"/>
      <c r="H668" s="3">
        <v>9</v>
      </c>
      <c r="I668" s="5">
        <f t="shared" si="75"/>
        <v>2359.3026881720416</v>
      </c>
      <c r="J668" s="8">
        <f t="shared" si="76"/>
        <v>6.6612903225806459</v>
      </c>
      <c r="K668" s="16">
        <f t="shared" si="77"/>
        <v>2365.9639784946221</v>
      </c>
      <c r="R668" s="12"/>
      <c r="AA668" s="9"/>
    </row>
    <row r="669" spans="1:32" ht="24" hidden="1" customHeight="1">
      <c r="A669" s="26"/>
      <c r="B669" s="27"/>
      <c r="C669" s="23"/>
      <c r="D669" s="47"/>
      <c r="H669" s="3">
        <v>10</v>
      </c>
      <c r="I669" s="5">
        <f t="shared" si="75"/>
        <v>2365.9639784946221</v>
      </c>
      <c r="J669" s="8">
        <f t="shared" si="76"/>
        <v>6.6612903225806459</v>
      </c>
      <c r="K669" s="16">
        <f t="shared" si="77"/>
        <v>2372.6252688172026</v>
      </c>
      <c r="R669" s="12"/>
      <c r="AA669" s="9"/>
    </row>
    <row r="670" spans="1:32" ht="24" hidden="1" customHeight="1">
      <c r="A670" s="26"/>
      <c r="B670" s="27"/>
      <c r="C670" s="23"/>
      <c r="D670" s="47"/>
      <c r="H670" s="3">
        <v>11</v>
      </c>
      <c r="I670" s="5">
        <f t="shared" si="75"/>
        <v>2372.6252688172026</v>
      </c>
      <c r="J670" s="8">
        <f t="shared" si="76"/>
        <v>6.6612903225806459</v>
      </c>
      <c r="K670" s="16">
        <f t="shared" si="77"/>
        <v>2379.2865591397831</v>
      </c>
      <c r="R670" s="12"/>
      <c r="AA670" s="9"/>
    </row>
    <row r="671" spans="1:32" ht="24" hidden="1" customHeight="1">
      <c r="A671" s="26"/>
      <c r="B671" s="27"/>
      <c r="C671" s="23"/>
      <c r="D671" s="47"/>
      <c r="H671" s="3"/>
      <c r="K671" s="16"/>
      <c r="R671" s="12"/>
      <c r="AA671" s="9"/>
    </row>
    <row r="672" spans="1:32" ht="28.5" customHeight="1">
      <c r="A672" s="26">
        <f>(A663+1)</f>
        <v>470</v>
      </c>
      <c r="B672" s="27" t="s">
        <v>1100</v>
      </c>
      <c r="C672" s="23">
        <v>10.199999999999999</v>
      </c>
      <c r="D672" s="47">
        <v>21.1</v>
      </c>
      <c r="E672" s="5">
        <v>3.7</v>
      </c>
      <c r="F672" s="4" t="s">
        <v>1101</v>
      </c>
      <c r="H672" s="3" t="s">
        <v>1102</v>
      </c>
      <c r="O672" s="3" t="s">
        <v>991</v>
      </c>
      <c r="R672" s="17">
        <f>SUM(R652:R662)</f>
        <v>18886.097531299998</v>
      </c>
      <c r="AA672" s="9"/>
    </row>
    <row r="673" spans="1:33" ht="24" customHeight="1">
      <c r="A673" s="26">
        <f t="shared" si="70"/>
        <v>471</v>
      </c>
      <c r="B673" s="27" t="s">
        <v>1103</v>
      </c>
      <c r="C673" s="24">
        <v>4</v>
      </c>
      <c r="D673" s="27" t="s">
        <v>129</v>
      </c>
      <c r="H673" s="3" t="s">
        <v>1104</v>
      </c>
      <c r="R673" s="12" t="s">
        <v>117</v>
      </c>
      <c r="AE673" s="23" t="str">
        <f t="shared" ref="AE673:AE680" si="78">AG673</f>
        <v>|</v>
      </c>
      <c r="AG673" s="3" t="s">
        <v>849</v>
      </c>
    </row>
    <row r="674" spans="1:33" ht="24" customHeight="1">
      <c r="A674" s="26">
        <f t="shared" si="70"/>
        <v>472</v>
      </c>
      <c r="B674" s="27" t="s">
        <v>1105</v>
      </c>
      <c r="C674" s="24">
        <v>5</v>
      </c>
      <c r="D674" s="27" t="s">
        <v>129</v>
      </c>
      <c r="H674" s="3" t="s">
        <v>1106</v>
      </c>
      <c r="O674" s="3" t="s">
        <v>1107</v>
      </c>
      <c r="T674" s="50">
        <v>4.2</v>
      </c>
      <c r="U674" s="50" t="s">
        <v>1108</v>
      </c>
      <c r="AE674" s="23" t="str">
        <f t="shared" si="78"/>
        <v>|</v>
      </c>
      <c r="AG674" s="3" t="s">
        <v>849</v>
      </c>
    </row>
    <row r="675" spans="1:33" ht="24" customHeight="1">
      <c r="A675" s="26">
        <f t="shared" si="70"/>
        <v>473</v>
      </c>
      <c r="B675" s="27" t="s">
        <v>1109</v>
      </c>
      <c r="C675" s="28">
        <v>96</v>
      </c>
      <c r="D675" s="27" t="s">
        <v>209</v>
      </c>
      <c r="H675" s="3" t="s">
        <v>1110</v>
      </c>
      <c r="N675" s="3" t="s">
        <v>122</v>
      </c>
      <c r="O675" s="3" t="s">
        <v>1111</v>
      </c>
      <c r="S675" s="9">
        <v>5</v>
      </c>
      <c r="T675" s="5" t="s">
        <v>642</v>
      </c>
      <c r="U675" s="5" t="s">
        <v>1112</v>
      </c>
      <c r="V675" s="5">
        <f>V705</f>
        <v>1637.02</v>
      </c>
      <c r="X675" s="5">
        <f>V675*S675</f>
        <v>8185.1</v>
      </c>
      <c r="AE675" s="23" t="str">
        <f t="shared" si="78"/>
        <v>|</v>
      </c>
      <c r="AG675" s="3" t="s">
        <v>849</v>
      </c>
    </row>
    <row r="676" spans="1:33" ht="24" customHeight="1">
      <c r="A676" s="26">
        <f t="shared" si="70"/>
        <v>474</v>
      </c>
      <c r="B676" s="27" t="s">
        <v>1113</v>
      </c>
      <c r="C676" s="28">
        <v>75</v>
      </c>
      <c r="D676" s="27" t="s">
        <v>209</v>
      </c>
      <c r="H676" s="3" t="s">
        <v>1114</v>
      </c>
      <c r="O676" s="3" t="s">
        <v>1115</v>
      </c>
      <c r="S676" s="9">
        <v>3.3</v>
      </c>
      <c r="T676" s="5" t="s">
        <v>642</v>
      </c>
      <c r="U676" s="5" t="s">
        <v>1116</v>
      </c>
      <c r="V676" s="5">
        <f t="shared" ref="V676:V685" si="79">V706</f>
        <v>1364.52</v>
      </c>
      <c r="X676" s="5">
        <f t="shared" ref="X676:X682" si="80">V676*S676</f>
        <v>4502.9159999999993</v>
      </c>
      <c r="AE676" s="23" t="str">
        <f t="shared" si="78"/>
        <v>|</v>
      </c>
      <c r="AG676" s="3" t="s">
        <v>849</v>
      </c>
    </row>
    <row r="677" spans="1:33" ht="24" customHeight="1">
      <c r="A677" s="26">
        <f t="shared" si="70"/>
        <v>475</v>
      </c>
      <c r="B677" s="27" t="s">
        <v>1117</v>
      </c>
      <c r="C677" s="23">
        <v>28.5</v>
      </c>
      <c r="D677" s="23">
        <v>31</v>
      </c>
      <c r="E677" s="5">
        <v>3</v>
      </c>
      <c r="H677" s="3" t="s">
        <v>1118</v>
      </c>
      <c r="O677" s="12" t="s">
        <v>117</v>
      </c>
      <c r="S677" s="9">
        <v>4.79</v>
      </c>
      <c r="T677" s="5" t="s">
        <v>642</v>
      </c>
      <c r="U677" s="5" t="s">
        <v>1119</v>
      </c>
      <c r="V677" s="5">
        <f t="shared" si="79"/>
        <v>1322.8</v>
      </c>
      <c r="X677" s="5">
        <f t="shared" si="80"/>
        <v>6336.2119999999995</v>
      </c>
      <c r="AE677" s="23" t="str">
        <f t="shared" si="78"/>
        <v>|</v>
      </c>
      <c r="AG677" s="3" t="s">
        <v>849</v>
      </c>
    </row>
    <row r="678" spans="1:33" ht="24" customHeight="1">
      <c r="A678" s="26">
        <f t="shared" si="70"/>
        <v>476</v>
      </c>
      <c r="B678" s="27" t="s">
        <v>1120</v>
      </c>
      <c r="C678" s="28">
        <v>80</v>
      </c>
      <c r="D678" s="27" t="s">
        <v>209</v>
      </c>
      <c r="H678" s="3" t="s">
        <v>1121</v>
      </c>
      <c r="M678" s="17">
        <v>1</v>
      </c>
      <c r="N678" s="3" t="s">
        <v>209</v>
      </c>
      <c r="O678" s="3" t="s">
        <v>1122</v>
      </c>
      <c r="P678" s="17">
        <f>(C383)</f>
        <v>14.91</v>
      </c>
      <c r="Q678" s="3" t="s">
        <v>209</v>
      </c>
      <c r="R678" s="17">
        <f>(M678*P678)</f>
        <v>14.91</v>
      </c>
      <c r="S678" s="9">
        <v>4</v>
      </c>
      <c r="T678" s="5" t="s">
        <v>1123</v>
      </c>
      <c r="U678" s="5" t="s">
        <v>1124</v>
      </c>
      <c r="V678" s="5">
        <f t="shared" si="79"/>
        <v>5800</v>
      </c>
      <c r="X678" s="5">
        <f t="shared" si="80"/>
        <v>23200</v>
      </c>
      <c r="AE678" s="23" t="str">
        <f t="shared" si="78"/>
        <v>|</v>
      </c>
      <c r="AG678" s="3" t="s">
        <v>849</v>
      </c>
    </row>
    <row r="679" spans="1:33" ht="24" customHeight="1">
      <c r="A679" s="26">
        <f t="shared" si="70"/>
        <v>477</v>
      </c>
      <c r="B679" s="27" t="s">
        <v>1125</v>
      </c>
      <c r="C679" s="28">
        <v>64</v>
      </c>
      <c r="D679" s="27" t="s">
        <v>209</v>
      </c>
      <c r="H679" s="12" t="s">
        <v>117</v>
      </c>
      <c r="I679" s="12" t="s">
        <v>117</v>
      </c>
      <c r="N679" s="3" t="s">
        <v>129</v>
      </c>
      <c r="O679" s="3" t="s">
        <v>1126</v>
      </c>
      <c r="Q679" s="3" t="s">
        <v>129</v>
      </c>
      <c r="R679" s="17">
        <v>2.09</v>
      </c>
      <c r="S679" s="9">
        <v>40</v>
      </c>
      <c r="T679" s="5" t="s">
        <v>148</v>
      </c>
      <c r="U679" s="5" t="s">
        <v>1127</v>
      </c>
      <c r="V679" s="5">
        <f>V648</f>
        <v>42.4</v>
      </c>
      <c r="X679" s="5">
        <f t="shared" si="80"/>
        <v>1696</v>
      </c>
      <c r="AE679" s="23" t="str">
        <f t="shared" si="78"/>
        <v>|</v>
      </c>
      <c r="AG679" s="3" t="s">
        <v>849</v>
      </c>
    </row>
    <row r="680" spans="1:33" ht="24" customHeight="1">
      <c r="A680" s="26">
        <f t="shared" si="70"/>
        <v>478</v>
      </c>
      <c r="B680" s="27" t="s">
        <v>1128</v>
      </c>
      <c r="C680" s="28">
        <v>40.5</v>
      </c>
      <c r="D680" s="27" t="s">
        <v>209</v>
      </c>
      <c r="F680" s="17">
        <v>1</v>
      </c>
      <c r="G680" s="15" t="s">
        <v>140</v>
      </c>
      <c r="H680" s="3" t="s">
        <v>1129</v>
      </c>
      <c r="I680" s="17">
        <f>D76</f>
        <v>290</v>
      </c>
      <c r="J680" s="3" t="s">
        <v>140</v>
      </c>
      <c r="K680" s="17">
        <f>(F680*I680)</f>
        <v>290</v>
      </c>
      <c r="O680" s="3" t="s">
        <v>1130</v>
      </c>
      <c r="R680" s="3" t="s">
        <v>115</v>
      </c>
      <c r="S680" s="9">
        <v>3.5</v>
      </c>
      <c r="T680" s="5" t="s">
        <v>240</v>
      </c>
      <c r="U680" s="5" t="s">
        <v>1131</v>
      </c>
      <c r="V680" s="5">
        <f t="shared" si="79"/>
        <v>718</v>
      </c>
      <c r="X680" s="5">
        <f>V680*S680</f>
        <v>2513</v>
      </c>
      <c r="AE680" s="23" t="str">
        <f t="shared" si="78"/>
        <v>|</v>
      </c>
      <c r="AG680" s="3" t="s">
        <v>849</v>
      </c>
    </row>
    <row r="681" spans="1:33" ht="24" customHeight="1">
      <c r="A681" s="26">
        <f t="shared" si="70"/>
        <v>479</v>
      </c>
      <c r="B681" s="27" t="s">
        <v>1132</v>
      </c>
      <c r="C681" s="28">
        <v>92</v>
      </c>
      <c r="D681" s="27" t="s">
        <v>209</v>
      </c>
      <c r="F681" s="17">
        <v>1</v>
      </c>
      <c r="G681" s="15" t="s">
        <v>140</v>
      </c>
      <c r="H681" s="3" t="s">
        <v>1133</v>
      </c>
      <c r="I681" s="17">
        <f>C75</f>
        <v>175</v>
      </c>
      <c r="J681" s="3" t="s">
        <v>140</v>
      </c>
      <c r="K681" s="17">
        <f>(F681*I681)</f>
        <v>175</v>
      </c>
      <c r="R681" s="12" t="s">
        <v>117</v>
      </c>
      <c r="S681" s="9">
        <v>21.2</v>
      </c>
      <c r="T681" s="5" t="s">
        <v>240</v>
      </c>
      <c r="U681" s="5" t="s">
        <v>1134</v>
      </c>
      <c r="V681" s="5">
        <f t="shared" si="79"/>
        <v>502</v>
      </c>
      <c r="X681" s="5">
        <f t="shared" si="80"/>
        <v>10642.4</v>
      </c>
      <c r="AE681" s="23">
        <f>32.32*100</f>
        <v>3232</v>
      </c>
      <c r="AG681" s="3" t="s">
        <v>849</v>
      </c>
    </row>
    <row r="682" spans="1:33" ht="24" customHeight="1">
      <c r="A682" s="26">
        <f t="shared" si="70"/>
        <v>480</v>
      </c>
      <c r="B682" s="27" t="s">
        <v>1135</v>
      </c>
      <c r="C682" s="28">
        <v>60</v>
      </c>
      <c r="D682" s="27" t="s">
        <v>209</v>
      </c>
      <c r="F682" s="17">
        <v>1</v>
      </c>
      <c r="G682" s="15" t="s">
        <v>129</v>
      </c>
      <c r="H682" s="3" t="s">
        <v>1136</v>
      </c>
      <c r="I682" s="78">
        <v>15</v>
      </c>
      <c r="J682" s="3" t="s">
        <v>129</v>
      </c>
      <c r="K682" s="17">
        <f>(F682*I682)</f>
        <v>15</v>
      </c>
      <c r="O682" s="3" t="s">
        <v>1137</v>
      </c>
      <c r="R682" s="17">
        <f>SUM(R678:R680)</f>
        <v>17</v>
      </c>
      <c r="S682" s="9">
        <v>35.299999999999997</v>
      </c>
      <c r="T682" s="5" t="s">
        <v>240</v>
      </c>
      <c r="U682" s="5" t="s">
        <v>1138</v>
      </c>
      <c r="V682" s="5">
        <f>V712</f>
        <v>412</v>
      </c>
      <c r="X682" s="5">
        <f t="shared" si="80"/>
        <v>14543.599999999999</v>
      </c>
      <c r="AE682" s="23">
        <f>48.824*100</f>
        <v>4882.3999999999996</v>
      </c>
      <c r="AG682" s="3" t="s">
        <v>849</v>
      </c>
    </row>
    <row r="683" spans="1:33" ht="24" customHeight="1">
      <c r="A683" s="26">
        <f t="shared" si="70"/>
        <v>481</v>
      </c>
      <c r="B683" s="27" t="s">
        <v>1139</v>
      </c>
      <c r="C683" s="28">
        <v>49.87</v>
      </c>
      <c r="D683" s="27" t="s">
        <v>209</v>
      </c>
      <c r="K683" s="12" t="s">
        <v>117</v>
      </c>
      <c r="R683" s="12" t="s">
        <v>117</v>
      </c>
      <c r="U683" s="50" t="s">
        <v>1140</v>
      </c>
      <c r="X683" s="50">
        <f>SUM(X675:X682)</f>
        <v>71619.228000000003</v>
      </c>
      <c r="AA683" s="9">
        <f>22.77+26.054</f>
        <v>48.823999999999998</v>
      </c>
      <c r="AE683" s="23">
        <f>0.52*100</f>
        <v>52</v>
      </c>
      <c r="AG683" s="3" t="s">
        <v>849</v>
      </c>
    </row>
    <row r="684" spans="1:33" ht="24" customHeight="1">
      <c r="A684" s="26">
        <f t="shared" si="70"/>
        <v>482</v>
      </c>
      <c r="B684" s="27" t="s">
        <v>1141</v>
      </c>
      <c r="C684" s="28">
        <v>80</v>
      </c>
      <c r="D684" s="27" t="s">
        <v>209</v>
      </c>
      <c r="H684" s="3" t="s">
        <v>154</v>
      </c>
      <c r="K684" s="17">
        <f>SUM(K678:K682)</f>
        <v>480</v>
      </c>
      <c r="U684" s="50" t="s">
        <v>1142</v>
      </c>
      <c r="X684" s="50">
        <f>X683/10</f>
        <v>7161.9228000000003</v>
      </c>
      <c r="Y684" s="5">
        <f>X684</f>
        <v>7161.9228000000003</v>
      </c>
      <c r="AC684" s="5">
        <f>26.19*0.02</f>
        <v>0.52380000000000004</v>
      </c>
      <c r="AE684" s="23">
        <f>0.397*100</f>
        <v>39.700000000000003</v>
      </c>
      <c r="AF684" s="5">
        <f>AE681+AE682+AE683+AE684</f>
        <v>8206.1</v>
      </c>
      <c r="AG684" s="3" t="s">
        <v>849</v>
      </c>
    </row>
    <row r="685" spans="1:33" ht="24" customHeight="1">
      <c r="A685" s="26">
        <f t="shared" si="70"/>
        <v>483</v>
      </c>
      <c r="B685" s="27" t="s">
        <v>1143</v>
      </c>
      <c r="C685" s="28">
        <v>52</v>
      </c>
      <c r="D685" s="27" t="s">
        <v>209</v>
      </c>
      <c r="H685" s="3" t="s">
        <v>1144</v>
      </c>
      <c r="K685" s="12" t="s">
        <v>155</v>
      </c>
      <c r="N685" s="3" t="s">
        <v>122</v>
      </c>
      <c r="O685" s="3" t="s">
        <v>1145</v>
      </c>
      <c r="S685" s="9">
        <v>1</v>
      </c>
      <c r="T685" s="5" t="s">
        <v>642</v>
      </c>
      <c r="U685" s="5" t="s">
        <v>1146</v>
      </c>
      <c r="V685" s="5">
        <f t="shared" si="79"/>
        <v>70.7</v>
      </c>
      <c r="X685" s="5">
        <f>V685</f>
        <v>70.7</v>
      </c>
      <c r="AC685" s="9">
        <f>9.92*0.04</f>
        <v>0.39679999999999999</v>
      </c>
      <c r="AE685" s="23" t="str">
        <f t="shared" ref="AE685:AE748" si="81">AG685</f>
        <v>|</v>
      </c>
      <c r="AG685" s="3" t="s">
        <v>849</v>
      </c>
    </row>
    <row r="686" spans="1:33" ht="24" customHeight="1">
      <c r="A686" s="26">
        <f t="shared" si="70"/>
        <v>484</v>
      </c>
      <c r="B686" s="27" t="s">
        <v>1147</v>
      </c>
      <c r="C686" s="28">
        <v>39</v>
      </c>
      <c r="D686" s="27" t="s">
        <v>209</v>
      </c>
      <c r="H686" s="3" t="s">
        <v>482</v>
      </c>
      <c r="I686" s="5">
        <f>K684</f>
        <v>480</v>
      </c>
      <c r="J686" s="8">
        <f>C19*0.05</f>
        <v>2.9600000000000004</v>
      </c>
      <c r="K686" s="16">
        <f>I686+J686</f>
        <v>482.96</v>
      </c>
      <c r="O686" s="3" t="s">
        <v>1115</v>
      </c>
      <c r="U686" s="5" t="s">
        <v>1148</v>
      </c>
      <c r="X686" s="50">
        <f>SUM(X684:X685)</f>
        <v>7232.6228000000001</v>
      </c>
      <c r="Y686" s="5">
        <f>SUM(Y684:Y685)</f>
        <v>7161.9228000000003</v>
      </c>
      <c r="AE686" s="23" t="str">
        <f t="shared" si="81"/>
        <v>|</v>
      </c>
      <c r="AF686" s="5">
        <f>SUM(AF684:AF685)</f>
        <v>8206.1</v>
      </c>
      <c r="AG686" s="3" t="s">
        <v>849</v>
      </c>
    </row>
    <row r="687" spans="1:33" ht="24" customHeight="1">
      <c r="A687" s="26">
        <f t="shared" si="70"/>
        <v>485</v>
      </c>
      <c r="B687" s="27" t="s">
        <v>1149</v>
      </c>
      <c r="C687" s="28">
        <v>90</v>
      </c>
      <c r="D687" s="27" t="s">
        <v>209</v>
      </c>
      <c r="H687" s="3" t="s">
        <v>486</v>
      </c>
      <c r="I687" s="5">
        <f>K686</f>
        <v>482.96</v>
      </c>
      <c r="J687" s="8">
        <f>C20*0.05</f>
        <v>5.9649999999999999</v>
      </c>
      <c r="K687" s="16">
        <f>I687+J687</f>
        <v>488.92499999999995</v>
      </c>
      <c r="O687" s="12" t="s">
        <v>117</v>
      </c>
      <c r="S687" s="118" t="s">
        <v>166</v>
      </c>
      <c r="U687" s="5" t="s">
        <v>1150</v>
      </c>
      <c r="V687" s="118" t="s">
        <v>166</v>
      </c>
      <c r="X687" s="5">
        <f>X686*0.5%</f>
        <v>36.163114</v>
      </c>
      <c r="Y687" s="5">
        <f>Y686*0.5/100</f>
        <v>35.809614000000003</v>
      </c>
      <c r="AE687" s="23" t="str">
        <f t="shared" si="81"/>
        <v>|</v>
      </c>
      <c r="AF687" s="5">
        <f>AF686/185.82</f>
        <v>44.16155419222904</v>
      </c>
      <c r="AG687" s="3" t="s">
        <v>849</v>
      </c>
    </row>
    <row r="688" spans="1:33" ht="30.75" customHeight="1">
      <c r="A688" s="26">
        <f t="shared" si="70"/>
        <v>486</v>
      </c>
      <c r="B688" s="27" t="s">
        <v>1151</v>
      </c>
      <c r="C688" s="28">
        <v>60</v>
      </c>
      <c r="D688" s="27" t="s">
        <v>209</v>
      </c>
      <c r="H688" s="3" t="s">
        <v>489</v>
      </c>
      <c r="I688" s="5">
        <f>K687</f>
        <v>488.92499999999995</v>
      </c>
      <c r="J688" s="8">
        <f>J687</f>
        <v>5.9649999999999999</v>
      </c>
      <c r="K688" s="16">
        <f>I688+J688</f>
        <v>494.88999999999993</v>
      </c>
      <c r="M688" s="17">
        <v>1</v>
      </c>
      <c r="N688" s="3" t="s">
        <v>209</v>
      </c>
      <c r="O688" s="3" t="s">
        <v>1152</v>
      </c>
      <c r="P688" s="17">
        <f>(C384)</f>
        <v>17.579999999999998</v>
      </c>
      <c r="Q688" s="3" t="s">
        <v>209</v>
      </c>
      <c r="R688" s="17">
        <f>(M688*P688)</f>
        <v>17.579999999999998</v>
      </c>
      <c r="T688" s="6"/>
      <c r="U688" s="50" t="s">
        <v>1087</v>
      </c>
      <c r="W688" s="8"/>
      <c r="X688" s="16">
        <f>SUM(X686:X687)</f>
        <v>7268.785914</v>
      </c>
      <c r="Y688" s="50">
        <f>SUM(Y686:Y687)</f>
        <v>7197.7324140000001</v>
      </c>
      <c r="Z688" s="119" t="s">
        <v>1153</v>
      </c>
      <c r="AE688" s="23" t="str">
        <f t="shared" si="81"/>
        <v>|</v>
      </c>
      <c r="AF688" s="5">
        <f>AF686/1000</f>
        <v>8.2061000000000011</v>
      </c>
      <c r="AG688" s="3" t="s">
        <v>849</v>
      </c>
    </row>
    <row r="689" spans="1:33" ht="17.25" customHeight="1">
      <c r="A689" s="26">
        <f t="shared" si="70"/>
        <v>487</v>
      </c>
      <c r="B689" s="27" t="s">
        <v>1154</v>
      </c>
      <c r="C689" s="28">
        <v>43.5</v>
      </c>
      <c r="D689" s="27" t="s">
        <v>209</v>
      </c>
      <c r="H689" s="3" t="s">
        <v>491</v>
      </c>
      <c r="I689" s="5">
        <f>K688</f>
        <v>494.88999999999993</v>
      </c>
      <c r="J689" s="8">
        <f>J688</f>
        <v>5.9649999999999999</v>
      </c>
      <c r="K689" s="16">
        <f>I689+J689</f>
        <v>500.8549999999999</v>
      </c>
      <c r="N689" s="3" t="s">
        <v>129</v>
      </c>
      <c r="O689" s="3" t="s">
        <v>1126</v>
      </c>
      <c r="Q689" s="3" t="s">
        <v>129</v>
      </c>
      <c r="R689" s="17">
        <v>2.09</v>
      </c>
      <c r="T689" s="6"/>
      <c r="W689" s="8"/>
      <c r="X689" s="12" t="s">
        <v>117</v>
      </c>
      <c r="AE689" s="23" t="str">
        <f t="shared" si="81"/>
        <v>|</v>
      </c>
      <c r="AF689" s="5">
        <f>185.82*10.764</f>
        <v>2000.1664799999999</v>
      </c>
      <c r="AG689" s="3" t="s">
        <v>849</v>
      </c>
    </row>
    <row r="690" spans="1:33" ht="24" customHeight="1">
      <c r="A690" s="26">
        <f t="shared" si="70"/>
        <v>488</v>
      </c>
      <c r="B690" s="27" t="s">
        <v>1155</v>
      </c>
      <c r="C690" s="28">
        <v>75</v>
      </c>
      <c r="D690" s="27" t="s">
        <v>209</v>
      </c>
      <c r="H690" s="3" t="s">
        <v>871</v>
      </c>
      <c r="I690" s="5">
        <f>K689</f>
        <v>500.8549999999999</v>
      </c>
      <c r="J690" s="8">
        <f>J689</f>
        <v>5.9649999999999999</v>
      </c>
      <c r="K690" s="16">
        <f>I690+J690</f>
        <v>506.81999999999988</v>
      </c>
      <c r="O690" s="3" t="s">
        <v>1130</v>
      </c>
      <c r="R690" s="3" t="s">
        <v>115</v>
      </c>
      <c r="T690" s="6"/>
      <c r="U690" s="3" t="s">
        <v>482</v>
      </c>
      <c r="W690" s="8"/>
      <c r="X690" s="16">
        <f>(X688+C22)</f>
        <v>7358.6859139999997</v>
      </c>
      <c r="AE690" s="23" t="str">
        <f t="shared" si="81"/>
        <v>|</v>
      </c>
      <c r="AF690" s="5">
        <f>AF686/AF689</f>
        <v>4.1027084905452478</v>
      </c>
      <c r="AG690" s="3" t="s">
        <v>849</v>
      </c>
    </row>
    <row r="691" spans="1:33" ht="24" customHeight="1">
      <c r="A691" s="26">
        <f t="shared" si="70"/>
        <v>489</v>
      </c>
      <c r="B691" s="27" t="s">
        <v>1156</v>
      </c>
      <c r="C691" s="28">
        <v>52</v>
      </c>
      <c r="D691" s="27" t="s">
        <v>209</v>
      </c>
      <c r="F691" s="4" t="s">
        <v>1157</v>
      </c>
      <c r="H691" s="3" t="s">
        <v>1102</v>
      </c>
      <c r="R691" s="12" t="s">
        <v>117</v>
      </c>
      <c r="T691" s="6"/>
      <c r="U691" s="3" t="s">
        <v>486</v>
      </c>
      <c r="W691" s="8"/>
      <c r="X691" s="16">
        <f>(X690+C24)</f>
        <v>7535.6859139999997</v>
      </c>
      <c r="AE691" s="23" t="str">
        <f t="shared" si="81"/>
        <v>|</v>
      </c>
      <c r="AF691" s="5">
        <f>924.2/8.21</f>
        <v>112.5700365408039</v>
      </c>
      <c r="AG691" s="3" t="s">
        <v>849</v>
      </c>
    </row>
    <row r="692" spans="1:33" ht="24" customHeight="1">
      <c r="A692" s="26">
        <f t="shared" si="70"/>
        <v>490</v>
      </c>
      <c r="B692" s="27" t="s">
        <v>1147</v>
      </c>
      <c r="C692" s="28">
        <v>35.25</v>
      </c>
      <c r="D692" s="27" t="s">
        <v>209</v>
      </c>
      <c r="H692" s="3" t="s">
        <v>1158</v>
      </c>
      <c r="O692" s="3" t="s">
        <v>1137</v>
      </c>
      <c r="R692" s="17">
        <f>SUM(R688:R690)</f>
        <v>19.669999999999998</v>
      </c>
      <c r="T692" s="6"/>
      <c r="U692" s="3" t="s">
        <v>489</v>
      </c>
      <c r="W692" s="8"/>
      <c r="X692" s="16">
        <f>(X691+C24)</f>
        <v>7712.6859139999997</v>
      </c>
      <c r="AE692" s="23" t="str">
        <f t="shared" si="81"/>
        <v>|</v>
      </c>
      <c r="AG692" s="3" t="s">
        <v>849</v>
      </c>
    </row>
    <row r="693" spans="1:33" ht="24" customHeight="1">
      <c r="A693" s="26">
        <f t="shared" si="70"/>
        <v>491</v>
      </c>
      <c r="B693" s="27" t="s">
        <v>1159</v>
      </c>
      <c r="C693" s="28">
        <v>37.5</v>
      </c>
      <c r="D693" s="27" t="s">
        <v>209</v>
      </c>
      <c r="H693" s="3" t="s">
        <v>1106</v>
      </c>
      <c r="R693" s="12" t="s">
        <v>117</v>
      </c>
      <c r="T693" s="6"/>
      <c r="U693" s="3" t="s">
        <v>491</v>
      </c>
      <c r="W693" s="8"/>
      <c r="X693" s="16">
        <f>(X692+C24)</f>
        <v>7889.6859139999997</v>
      </c>
      <c r="AE693" s="23" t="str">
        <f t="shared" si="81"/>
        <v>|</v>
      </c>
      <c r="AG693" s="3" t="s">
        <v>849</v>
      </c>
    </row>
    <row r="694" spans="1:33" ht="24" customHeight="1">
      <c r="A694" s="26">
        <f t="shared" si="70"/>
        <v>492</v>
      </c>
      <c r="B694" s="27" t="s">
        <v>1160</v>
      </c>
      <c r="C694" s="28">
        <v>24</v>
      </c>
      <c r="D694" s="27" t="s">
        <v>209</v>
      </c>
      <c r="H694" s="3" t="s">
        <v>1110</v>
      </c>
      <c r="O694" s="5" t="s">
        <v>251</v>
      </c>
      <c r="T694" s="6"/>
      <c r="U694" s="3" t="s">
        <v>576</v>
      </c>
      <c r="W694" s="8"/>
      <c r="X694" s="16">
        <f>(X693+C24)</f>
        <v>8066.6859139999997</v>
      </c>
      <c r="AE694" s="23" t="str">
        <f t="shared" si="81"/>
        <v>|</v>
      </c>
      <c r="AG694" s="3" t="s">
        <v>849</v>
      </c>
    </row>
    <row r="695" spans="1:33" ht="24" customHeight="1">
      <c r="A695" s="26">
        <f t="shared" si="70"/>
        <v>493</v>
      </c>
      <c r="B695" s="27" t="s">
        <v>1161</v>
      </c>
      <c r="C695" s="28">
        <v>16</v>
      </c>
      <c r="D695" s="27" t="s">
        <v>209</v>
      </c>
      <c r="H695" s="3" t="s">
        <v>1114</v>
      </c>
      <c r="N695" s="3" t="s">
        <v>122</v>
      </c>
      <c r="O695" s="3" t="s">
        <v>1162</v>
      </c>
      <c r="AE695" s="23" t="str">
        <f t="shared" si="81"/>
        <v>|</v>
      </c>
      <c r="AG695" s="3" t="s">
        <v>849</v>
      </c>
    </row>
    <row r="696" spans="1:33" ht="24" customHeight="1">
      <c r="A696" s="26">
        <f t="shared" si="70"/>
        <v>494</v>
      </c>
      <c r="B696" s="3" t="s">
        <v>1163</v>
      </c>
      <c r="C696" s="23">
        <v>31.5</v>
      </c>
      <c r="D696" s="27" t="s">
        <v>209</v>
      </c>
      <c r="H696" s="3" t="s">
        <v>1118</v>
      </c>
      <c r="O696" s="3" t="s">
        <v>1115</v>
      </c>
      <c r="AE696" s="23" t="str">
        <f t="shared" si="81"/>
        <v>|</v>
      </c>
      <c r="AG696" s="3" t="s">
        <v>849</v>
      </c>
    </row>
    <row r="697" spans="1:33" ht="24" customHeight="1">
      <c r="A697" s="26">
        <f t="shared" si="70"/>
        <v>495</v>
      </c>
      <c r="B697" s="27" t="s">
        <v>1164</v>
      </c>
      <c r="C697" s="28">
        <v>6</v>
      </c>
      <c r="D697" s="27" t="s">
        <v>209</v>
      </c>
      <c r="H697" s="3" t="s">
        <v>1165</v>
      </c>
      <c r="O697" s="12" t="s">
        <v>117</v>
      </c>
      <c r="AE697" s="23" t="str">
        <f t="shared" si="81"/>
        <v>|</v>
      </c>
      <c r="AG697" s="3" t="s">
        <v>849</v>
      </c>
    </row>
    <row r="698" spans="1:33" ht="24" customHeight="1">
      <c r="A698" s="26">
        <f t="shared" si="70"/>
        <v>496</v>
      </c>
      <c r="B698" s="27" t="s">
        <v>1166</v>
      </c>
      <c r="C698" s="28">
        <v>152.5</v>
      </c>
      <c r="D698" s="27" t="s">
        <v>203</v>
      </c>
      <c r="E698" s="79">
        <v>98.6</v>
      </c>
      <c r="F698" s="5" t="s">
        <v>1167</v>
      </c>
      <c r="H698" s="12" t="s">
        <v>117</v>
      </c>
      <c r="I698" s="12" t="s">
        <v>117</v>
      </c>
      <c r="M698" s="17">
        <v>1</v>
      </c>
      <c r="N698" s="3" t="s">
        <v>209</v>
      </c>
      <c r="O698" s="3" t="s">
        <v>1168</v>
      </c>
      <c r="P698" s="17">
        <f>(C385)</f>
        <v>19.3</v>
      </c>
      <c r="Q698" s="3" t="s">
        <v>209</v>
      </c>
      <c r="R698" s="17">
        <f>(M698*P698)</f>
        <v>19.3</v>
      </c>
      <c r="AE698" s="23" t="str">
        <f t="shared" si="81"/>
        <v>|</v>
      </c>
      <c r="AG698" s="3" t="s">
        <v>849</v>
      </c>
    </row>
    <row r="699" spans="1:33" ht="24" customHeight="1">
      <c r="A699" s="26">
        <f t="shared" si="70"/>
        <v>497</v>
      </c>
      <c r="B699" s="27" t="s">
        <v>1169</v>
      </c>
      <c r="C699" s="28">
        <v>108.68</v>
      </c>
      <c r="D699" s="27" t="s">
        <v>209</v>
      </c>
      <c r="F699" s="17">
        <v>1</v>
      </c>
      <c r="G699" s="15" t="s">
        <v>140</v>
      </c>
      <c r="H699" s="3" t="s">
        <v>1170</v>
      </c>
      <c r="I699" s="17">
        <f>C76</f>
        <v>460</v>
      </c>
      <c r="J699" s="3" t="s">
        <v>140</v>
      </c>
      <c r="K699" s="17">
        <f>(F699*I699)</f>
        <v>460</v>
      </c>
      <c r="N699" s="3" t="s">
        <v>129</v>
      </c>
      <c r="O699" s="3" t="s">
        <v>1126</v>
      </c>
      <c r="Q699" s="3" t="s">
        <v>129</v>
      </c>
      <c r="R699" s="17">
        <v>2.09</v>
      </c>
      <c r="AE699" s="23" t="str">
        <f t="shared" si="81"/>
        <v>|</v>
      </c>
      <c r="AG699" s="3" t="s">
        <v>849</v>
      </c>
    </row>
    <row r="700" spans="1:33" ht="24" customHeight="1">
      <c r="A700" s="26">
        <f t="shared" si="70"/>
        <v>498</v>
      </c>
      <c r="B700" s="27" t="s">
        <v>1171</v>
      </c>
      <c r="C700" s="28">
        <v>119.89</v>
      </c>
      <c r="D700" s="27" t="s">
        <v>209</v>
      </c>
      <c r="F700" s="17">
        <v>1</v>
      </c>
      <c r="G700" s="15" t="s">
        <v>140</v>
      </c>
      <c r="H700" s="3" t="s">
        <v>1133</v>
      </c>
      <c r="I700" s="17">
        <f>C75</f>
        <v>175</v>
      </c>
      <c r="J700" s="3" t="s">
        <v>140</v>
      </c>
      <c r="K700" s="17">
        <f>(F700*I700)</f>
        <v>175</v>
      </c>
      <c r="O700" s="3" t="s">
        <v>1130</v>
      </c>
      <c r="R700" s="3" t="s">
        <v>115</v>
      </c>
      <c r="AE700" s="23" t="str">
        <f t="shared" si="81"/>
        <v>|</v>
      </c>
      <c r="AG700" s="3" t="s">
        <v>849</v>
      </c>
    </row>
    <row r="701" spans="1:33" ht="24" customHeight="1">
      <c r="A701" s="26">
        <f t="shared" si="70"/>
        <v>499</v>
      </c>
      <c r="B701" s="27" t="s">
        <v>1172</v>
      </c>
      <c r="C701" s="28">
        <v>297.44</v>
      </c>
      <c r="D701" s="27" t="s">
        <v>209</v>
      </c>
      <c r="F701" s="17">
        <v>1</v>
      </c>
      <c r="G701" s="15" t="s">
        <v>129</v>
      </c>
      <c r="H701" s="3" t="s">
        <v>1136</v>
      </c>
      <c r="I701" s="78">
        <v>15</v>
      </c>
      <c r="J701" s="3" t="s">
        <v>129</v>
      </c>
      <c r="K701" s="17">
        <f>(F701*I701)</f>
        <v>15</v>
      </c>
      <c r="R701" s="12" t="s">
        <v>117</v>
      </c>
      <c r="AE701" s="23" t="str">
        <f t="shared" si="81"/>
        <v>|</v>
      </c>
      <c r="AG701" s="3" t="s">
        <v>849</v>
      </c>
    </row>
    <row r="702" spans="1:33" ht="24" customHeight="1">
      <c r="A702" s="26">
        <f t="shared" si="70"/>
        <v>500</v>
      </c>
      <c r="B702" s="27" t="s">
        <v>1173</v>
      </c>
      <c r="C702" s="28">
        <v>28.6</v>
      </c>
      <c r="D702" s="27" t="s">
        <v>209</v>
      </c>
      <c r="H702" s="3" t="s">
        <v>130</v>
      </c>
      <c r="J702" s="3" t="s">
        <v>129</v>
      </c>
      <c r="K702" s="17">
        <v>0</v>
      </c>
      <c r="O702" s="3" t="s">
        <v>1137</v>
      </c>
      <c r="R702" s="17">
        <f>SUM(R698:R700)</f>
        <v>21.39</v>
      </c>
      <c r="AE702" s="23" t="str">
        <f t="shared" si="81"/>
        <v>|</v>
      </c>
      <c r="AG702" s="3" t="s">
        <v>849</v>
      </c>
    </row>
    <row r="703" spans="1:33" ht="24" customHeight="1">
      <c r="A703" s="26">
        <f>(A702+1)</f>
        <v>501</v>
      </c>
      <c r="B703" s="27" t="s">
        <v>1174</v>
      </c>
      <c r="C703" s="28">
        <v>228.86</v>
      </c>
      <c r="D703" s="27" t="s">
        <v>209</v>
      </c>
      <c r="K703" s="12" t="s">
        <v>117</v>
      </c>
      <c r="R703" s="12" t="s">
        <v>117</v>
      </c>
      <c r="AE703" s="23" t="str">
        <f t="shared" si="81"/>
        <v>|</v>
      </c>
      <c r="AG703" s="3" t="s">
        <v>849</v>
      </c>
    </row>
    <row r="704" spans="1:33" ht="24" customHeight="1">
      <c r="A704" s="39"/>
      <c r="B704" s="39" t="s">
        <v>1175</v>
      </c>
      <c r="C704" s="79">
        <v>2828</v>
      </c>
      <c r="D704" s="39" t="s">
        <v>140</v>
      </c>
      <c r="H704" s="3" t="s">
        <v>154</v>
      </c>
      <c r="K704" s="17">
        <f>SUM(K699:K702)</f>
        <v>650</v>
      </c>
      <c r="U704" s="50" t="s">
        <v>1176</v>
      </c>
      <c r="AE704" s="23" t="str">
        <f t="shared" si="81"/>
        <v>|</v>
      </c>
      <c r="AG704" s="3" t="s">
        <v>849</v>
      </c>
    </row>
    <row r="705" spans="1:33" ht="24" customHeight="1">
      <c r="A705" s="26">
        <f>(A703+1)</f>
        <v>502</v>
      </c>
      <c r="B705" s="27" t="s">
        <v>1177</v>
      </c>
      <c r="C705" s="28">
        <v>70.47</v>
      </c>
      <c r="D705" s="27" t="s">
        <v>209</v>
      </c>
      <c r="H705" s="3" t="s">
        <v>1144</v>
      </c>
      <c r="K705" s="12" t="s">
        <v>155</v>
      </c>
      <c r="S705" s="9">
        <v>5</v>
      </c>
      <c r="T705" s="5" t="s">
        <v>642</v>
      </c>
      <c r="U705" s="5" t="s">
        <v>1112</v>
      </c>
      <c r="V705" s="5">
        <f>AC14</f>
        <v>1637.02</v>
      </c>
      <c r="X705" s="5">
        <f>V705*S705</f>
        <v>8185.1</v>
      </c>
      <c r="Z705" s="5">
        <f>X705</f>
        <v>8185.1</v>
      </c>
      <c r="AE705" s="23" t="str">
        <f t="shared" si="81"/>
        <v>|</v>
      </c>
      <c r="AG705" s="3" t="s">
        <v>849</v>
      </c>
    </row>
    <row r="706" spans="1:33" ht="24" customHeight="1">
      <c r="A706" s="26">
        <f t="shared" ref="A706:A763" si="82">(A705+1)</f>
        <v>503</v>
      </c>
      <c r="B706" s="27" t="s">
        <v>1178</v>
      </c>
      <c r="C706" s="28">
        <v>133.62</v>
      </c>
      <c r="D706" s="27" t="s">
        <v>209</v>
      </c>
      <c r="H706" s="3" t="s">
        <v>482</v>
      </c>
      <c r="I706" s="5">
        <f>K704</f>
        <v>650</v>
      </c>
      <c r="J706" s="3">
        <f>C19*0.11</f>
        <v>6.5120000000000005</v>
      </c>
      <c r="K706" s="16">
        <f>I706+J706</f>
        <v>656.51199999999994</v>
      </c>
      <c r="N706" s="3" t="s">
        <v>122</v>
      </c>
      <c r="O706" s="3" t="s">
        <v>1179</v>
      </c>
      <c r="S706" s="9">
        <v>3.3</v>
      </c>
      <c r="T706" s="5" t="s">
        <v>642</v>
      </c>
      <c r="U706" s="5" t="s">
        <v>1116</v>
      </c>
      <c r="V706" s="5">
        <f>(AC12+AC13)/2</f>
        <v>1364.52</v>
      </c>
      <c r="X706" s="5">
        <f t="shared" ref="X706:X712" si="83">V706*S706</f>
        <v>4502.9159999999993</v>
      </c>
      <c r="Z706" s="5">
        <f t="shared" ref="Z706:Z714" si="84">X706</f>
        <v>4502.9159999999993</v>
      </c>
      <c r="AE706" s="23" t="str">
        <f t="shared" si="81"/>
        <v>|</v>
      </c>
      <c r="AG706" s="3" t="s">
        <v>849</v>
      </c>
    </row>
    <row r="707" spans="1:33" ht="24" customHeight="1">
      <c r="A707" s="26">
        <f t="shared" si="82"/>
        <v>504</v>
      </c>
      <c r="B707" s="27" t="s">
        <v>1180</v>
      </c>
      <c r="C707" s="28">
        <v>133.62</v>
      </c>
      <c r="D707" s="27" t="s">
        <v>209</v>
      </c>
      <c r="H707" s="3" t="s">
        <v>486</v>
      </c>
      <c r="I707" s="5">
        <f>K706</f>
        <v>656.51199999999994</v>
      </c>
      <c r="J707" s="8">
        <f>C20*0.11</f>
        <v>13.122999999999999</v>
      </c>
      <c r="K707" s="16">
        <f>I707+J707</f>
        <v>669.63499999999999</v>
      </c>
      <c r="O707" s="3" t="s">
        <v>1181</v>
      </c>
      <c r="S707" s="9">
        <v>4.79</v>
      </c>
      <c r="T707" s="5" t="s">
        <v>642</v>
      </c>
      <c r="U707" s="5" t="s">
        <v>1119</v>
      </c>
      <c r="V707" s="5">
        <f>V644</f>
        <v>1322.8</v>
      </c>
      <c r="X707" s="5">
        <f t="shared" si="83"/>
        <v>6336.2119999999995</v>
      </c>
      <c r="Z707" s="5">
        <f t="shared" si="84"/>
        <v>6336.2119999999995</v>
      </c>
      <c r="AE707" s="23" t="str">
        <f t="shared" si="81"/>
        <v>|</v>
      </c>
      <c r="AG707" s="3" t="s">
        <v>849</v>
      </c>
    </row>
    <row r="708" spans="1:33" ht="24" customHeight="1">
      <c r="A708" s="26">
        <f t="shared" si="82"/>
        <v>505</v>
      </c>
      <c r="B708" s="27" t="s">
        <v>1182</v>
      </c>
      <c r="C708" s="28">
        <v>215</v>
      </c>
      <c r="D708" s="27" t="s">
        <v>209</v>
      </c>
      <c r="H708" s="3" t="s">
        <v>489</v>
      </c>
      <c r="I708" s="5">
        <f>K707</f>
        <v>669.63499999999999</v>
      </c>
      <c r="J708" s="8">
        <f>J707</f>
        <v>13.122999999999999</v>
      </c>
      <c r="K708" s="16">
        <f>I708+J708</f>
        <v>682.75800000000004</v>
      </c>
      <c r="O708" s="12" t="s">
        <v>117</v>
      </c>
      <c r="S708" s="9">
        <v>3.25</v>
      </c>
      <c r="T708" s="5" t="s">
        <v>1123</v>
      </c>
      <c r="U708" s="5" t="s">
        <v>1124</v>
      </c>
      <c r="V708" s="5">
        <f>V643</f>
        <v>5800</v>
      </c>
      <c r="X708" s="5">
        <f t="shared" si="83"/>
        <v>18850</v>
      </c>
      <c r="Z708" s="5">
        <f t="shared" si="84"/>
        <v>18850</v>
      </c>
      <c r="AE708" s="23" t="str">
        <f t="shared" si="81"/>
        <v>|</v>
      </c>
      <c r="AG708" s="3" t="s">
        <v>849</v>
      </c>
    </row>
    <row r="709" spans="1:33" ht="30.75" customHeight="1">
      <c r="A709" s="26">
        <f t="shared" si="82"/>
        <v>506</v>
      </c>
      <c r="B709" s="27" t="s">
        <v>1183</v>
      </c>
      <c r="C709" s="28">
        <v>215</v>
      </c>
      <c r="D709" s="27" t="s">
        <v>209</v>
      </c>
      <c r="H709" s="3" t="s">
        <v>491</v>
      </c>
      <c r="I709" s="5">
        <f>K708</f>
        <v>682.75800000000004</v>
      </c>
      <c r="J709" s="8">
        <f>J708</f>
        <v>13.122999999999999</v>
      </c>
      <c r="K709" s="16">
        <f>I709+J709</f>
        <v>695.88100000000009</v>
      </c>
      <c r="M709" s="17">
        <v>1</v>
      </c>
      <c r="N709" s="3" t="s">
        <v>209</v>
      </c>
      <c r="O709" s="3" t="s">
        <v>1184</v>
      </c>
      <c r="P709" s="17">
        <f>(C393/1*0.3)</f>
        <v>38.4</v>
      </c>
      <c r="Q709" s="3" t="s">
        <v>209</v>
      </c>
      <c r="R709" s="17">
        <f>(M709*P709)</f>
        <v>38.4</v>
      </c>
      <c r="S709" s="9">
        <f>3250*0.6%</f>
        <v>19.5</v>
      </c>
      <c r="T709" s="5" t="s">
        <v>148</v>
      </c>
      <c r="U709" s="120" t="s">
        <v>1185</v>
      </c>
      <c r="V709" s="5">
        <f>V648</f>
        <v>42.4</v>
      </c>
      <c r="X709" s="5">
        <f t="shared" si="83"/>
        <v>826.8</v>
      </c>
      <c r="Z709" s="5">
        <f t="shared" si="84"/>
        <v>826.8</v>
      </c>
      <c r="AE709" s="23" t="str">
        <f t="shared" si="81"/>
        <v>|</v>
      </c>
      <c r="AG709" s="3" t="s">
        <v>849</v>
      </c>
    </row>
    <row r="710" spans="1:33" ht="24" customHeight="1">
      <c r="A710" s="26">
        <f t="shared" si="82"/>
        <v>507</v>
      </c>
      <c r="B710" s="27" t="s">
        <v>1186</v>
      </c>
      <c r="C710" s="28">
        <v>107.64</v>
      </c>
      <c r="D710" s="27" t="s">
        <v>140</v>
      </c>
      <c r="H710" s="3" t="s">
        <v>871</v>
      </c>
      <c r="I710" s="5">
        <f>K709</f>
        <v>695.88100000000009</v>
      </c>
      <c r="J710" s="8">
        <f>J709</f>
        <v>13.122999999999999</v>
      </c>
      <c r="K710" s="16">
        <f>I710+J710</f>
        <v>709.00400000000013</v>
      </c>
      <c r="N710" s="3" t="s">
        <v>129</v>
      </c>
      <c r="O710" s="3" t="s">
        <v>1126</v>
      </c>
      <c r="Q710" s="3" t="s">
        <v>129</v>
      </c>
      <c r="R710" s="17">
        <v>1.65</v>
      </c>
      <c r="S710" s="9">
        <v>3.5</v>
      </c>
      <c r="T710" s="5" t="s">
        <v>240</v>
      </c>
      <c r="U710" s="5" t="s">
        <v>1131</v>
      </c>
      <c r="V710" s="5">
        <f>C11</f>
        <v>718</v>
      </c>
      <c r="W710" s="5">
        <f>J719</f>
        <v>0</v>
      </c>
      <c r="X710" s="5">
        <f t="shared" si="83"/>
        <v>2513</v>
      </c>
      <c r="Z710" s="5">
        <f t="shared" si="84"/>
        <v>2513</v>
      </c>
      <c r="AE710" s="23" t="str">
        <f t="shared" si="81"/>
        <v>|</v>
      </c>
      <c r="AG710" s="3" t="s">
        <v>849</v>
      </c>
    </row>
    <row r="711" spans="1:33" ht="24" customHeight="1">
      <c r="A711" s="26">
        <f t="shared" si="82"/>
        <v>508</v>
      </c>
      <c r="B711" s="27" t="s">
        <v>1187</v>
      </c>
      <c r="C711" s="39"/>
      <c r="D711" s="39"/>
      <c r="F711" s="3" t="s">
        <v>115</v>
      </c>
      <c r="O711" s="3" t="s">
        <v>1130</v>
      </c>
      <c r="R711" s="3" t="s">
        <v>115</v>
      </c>
      <c r="S711" s="9">
        <v>21.2</v>
      </c>
      <c r="T711" s="5" t="s">
        <v>240</v>
      </c>
      <c r="U711" s="5" t="s">
        <v>1134</v>
      </c>
      <c r="V711" s="5">
        <f>C12</f>
        <v>502</v>
      </c>
      <c r="X711" s="5">
        <f t="shared" si="83"/>
        <v>10642.4</v>
      </c>
      <c r="Z711" s="5">
        <f t="shared" si="84"/>
        <v>10642.4</v>
      </c>
      <c r="AE711" s="23" t="str">
        <f t="shared" si="81"/>
        <v>|</v>
      </c>
      <c r="AG711" s="3" t="s">
        <v>849</v>
      </c>
    </row>
    <row r="712" spans="1:33" ht="24" customHeight="1">
      <c r="A712" s="26">
        <f t="shared" si="82"/>
        <v>509</v>
      </c>
      <c r="B712" s="27" t="s">
        <v>1188</v>
      </c>
      <c r="C712" s="25">
        <v>6</v>
      </c>
      <c r="D712" s="27" t="s">
        <v>209</v>
      </c>
      <c r="R712" s="12" t="s">
        <v>117</v>
      </c>
      <c r="S712" s="9">
        <v>35.299999999999997</v>
      </c>
      <c r="T712" s="5" t="s">
        <v>240</v>
      </c>
      <c r="U712" s="5" t="s">
        <v>1138</v>
      </c>
      <c r="V712" s="5">
        <f>C13</f>
        <v>412</v>
      </c>
      <c r="X712" s="5">
        <f t="shared" si="83"/>
        <v>14543.599999999999</v>
      </c>
      <c r="Z712" s="5">
        <f t="shared" si="84"/>
        <v>14543.599999999999</v>
      </c>
      <c r="AE712" s="23" t="str">
        <f t="shared" si="81"/>
        <v>|</v>
      </c>
      <c r="AG712" s="3" t="s">
        <v>849</v>
      </c>
    </row>
    <row r="713" spans="1:33" ht="24" customHeight="1">
      <c r="A713" s="26">
        <f t="shared" si="82"/>
        <v>510</v>
      </c>
      <c r="B713" s="27" t="s">
        <v>779</v>
      </c>
      <c r="C713" s="25">
        <v>7.3</v>
      </c>
      <c r="D713" s="27" t="s">
        <v>209</v>
      </c>
      <c r="F713" s="4" t="s">
        <v>361</v>
      </c>
      <c r="H713" s="3" t="s">
        <v>1189</v>
      </c>
      <c r="O713" s="3" t="s">
        <v>1137</v>
      </c>
      <c r="R713" s="17">
        <f>SUM(R709:R711)</f>
        <v>40.049999999999997</v>
      </c>
      <c r="U713" s="5" t="s">
        <v>1140</v>
      </c>
      <c r="V713" s="5">
        <f>V683</f>
        <v>0</v>
      </c>
      <c r="X713" s="50">
        <f>SUM(X705:X712)</f>
        <v>66400.028000000006</v>
      </c>
      <c r="Z713" s="5">
        <f t="shared" si="84"/>
        <v>66400.028000000006</v>
      </c>
      <c r="AE713" s="23" t="str">
        <f t="shared" si="81"/>
        <v>|</v>
      </c>
      <c r="AG713" s="3" t="s">
        <v>849</v>
      </c>
    </row>
    <row r="714" spans="1:33" ht="27" customHeight="1">
      <c r="A714" s="26">
        <f t="shared" si="82"/>
        <v>511</v>
      </c>
      <c r="B714" s="27" t="s">
        <v>781</v>
      </c>
      <c r="C714" s="25">
        <v>9.6999999999999993</v>
      </c>
      <c r="D714" s="27" t="s">
        <v>209</v>
      </c>
      <c r="H714" s="3" t="s">
        <v>1190</v>
      </c>
      <c r="R714" s="12" t="s">
        <v>117</v>
      </c>
      <c r="U714" s="5" t="s">
        <v>1142</v>
      </c>
      <c r="V714" s="5">
        <f>V684</f>
        <v>0</v>
      </c>
      <c r="X714" s="50">
        <f>X713/10</f>
        <v>6640.0028000000002</v>
      </c>
      <c r="Z714" s="5">
        <f t="shared" si="84"/>
        <v>6640.0028000000002</v>
      </c>
      <c r="AE714" s="23" t="str">
        <f t="shared" si="81"/>
        <v>|</v>
      </c>
      <c r="AG714" s="3" t="s">
        <v>849</v>
      </c>
    </row>
    <row r="715" spans="1:33" ht="24" customHeight="1">
      <c r="A715" s="26">
        <f t="shared" si="82"/>
        <v>512</v>
      </c>
      <c r="B715" s="27" t="s">
        <v>782</v>
      </c>
      <c r="C715" s="25">
        <v>14.6</v>
      </c>
      <c r="D715" s="27" t="s">
        <v>209</v>
      </c>
      <c r="H715" s="3" t="s">
        <v>1191</v>
      </c>
      <c r="O715" s="4" t="s">
        <v>1192</v>
      </c>
      <c r="R715" s="3" t="s">
        <v>115</v>
      </c>
      <c r="S715" s="9">
        <v>1</v>
      </c>
      <c r="T715" s="5" t="s">
        <v>642</v>
      </c>
      <c r="U715" s="5" t="s">
        <v>1146</v>
      </c>
      <c r="V715" s="5">
        <f>C25</f>
        <v>70.7</v>
      </c>
      <c r="X715" s="5">
        <f>V715*S715</f>
        <v>70.7</v>
      </c>
      <c r="AE715" s="23" t="str">
        <f t="shared" si="81"/>
        <v>|</v>
      </c>
      <c r="AG715" s="3" t="s">
        <v>849</v>
      </c>
    </row>
    <row r="716" spans="1:33" ht="24" customHeight="1">
      <c r="A716" s="26">
        <f t="shared" si="82"/>
        <v>513</v>
      </c>
      <c r="B716" s="27" t="s">
        <v>783</v>
      </c>
      <c r="C716" s="25">
        <v>19.600000000000001</v>
      </c>
      <c r="D716" s="27" t="s">
        <v>209</v>
      </c>
      <c r="H716" s="12" t="s">
        <v>117</v>
      </c>
      <c r="M716" s="81"/>
      <c r="O716" s="4" t="s">
        <v>1193</v>
      </c>
      <c r="U716" s="5" t="s">
        <v>1148</v>
      </c>
      <c r="V716" s="5">
        <f>V686</f>
        <v>0</v>
      </c>
      <c r="X716" s="50">
        <f>SUM(X714:X715)</f>
        <v>6710.7028</v>
      </c>
      <c r="Z716" s="5">
        <f>Z714</f>
        <v>6640.0028000000002</v>
      </c>
      <c r="AE716" s="23" t="str">
        <f t="shared" si="81"/>
        <v>|</v>
      </c>
      <c r="AG716" s="3" t="s">
        <v>849</v>
      </c>
    </row>
    <row r="717" spans="1:33" ht="24" customHeight="1">
      <c r="A717" s="26">
        <f t="shared" si="82"/>
        <v>514</v>
      </c>
      <c r="B717" s="27" t="s">
        <v>1194</v>
      </c>
      <c r="C717" s="39"/>
      <c r="D717" s="27" t="s">
        <v>115</v>
      </c>
      <c r="F717" s="17">
        <v>0.4</v>
      </c>
      <c r="G717" s="15" t="s">
        <v>126</v>
      </c>
      <c r="H717" s="3" t="s">
        <v>1195</v>
      </c>
      <c r="I717" s="17">
        <f>(C268)</f>
        <v>17600</v>
      </c>
      <c r="J717" s="3" t="s">
        <v>126</v>
      </c>
      <c r="K717" s="17">
        <f>(F717*I717)</f>
        <v>7040</v>
      </c>
      <c r="M717" s="4" t="s">
        <v>589</v>
      </c>
      <c r="N717" s="3" t="s">
        <v>1196</v>
      </c>
      <c r="O717" s="3" t="s">
        <v>1197</v>
      </c>
      <c r="S717" s="118" t="s">
        <v>166</v>
      </c>
      <c r="U717" s="5" t="s">
        <v>1150</v>
      </c>
      <c r="V717" s="5" t="str">
        <f>V687</f>
        <v>LS</v>
      </c>
      <c r="X717" s="5">
        <f>X716*0.5%</f>
        <v>33.553514</v>
      </c>
      <c r="Z717" s="5">
        <f>Z716*0.5/100</f>
        <v>33.200014000000003</v>
      </c>
      <c r="AE717" s="23" t="str">
        <f t="shared" si="81"/>
        <v>|::</v>
      </c>
      <c r="AG717" s="3" t="s">
        <v>636</v>
      </c>
    </row>
    <row r="718" spans="1:33" ht="24" customHeight="1">
      <c r="A718" s="26">
        <f t="shared" si="82"/>
        <v>515</v>
      </c>
      <c r="B718" s="27" t="s">
        <v>728</v>
      </c>
      <c r="C718" s="28">
        <v>20</v>
      </c>
      <c r="D718" s="27" t="s">
        <v>209</v>
      </c>
      <c r="F718" s="17">
        <v>0.12</v>
      </c>
      <c r="G718" s="15" t="s">
        <v>126</v>
      </c>
      <c r="H718" s="3" t="s">
        <v>1198</v>
      </c>
      <c r="I718" s="17">
        <f>(C269)</f>
        <v>15500</v>
      </c>
      <c r="J718" s="3" t="s">
        <v>126</v>
      </c>
      <c r="K718" s="17">
        <f>(F718*I718)</f>
        <v>1860</v>
      </c>
      <c r="O718" s="12" t="s">
        <v>117</v>
      </c>
      <c r="T718" s="6"/>
      <c r="U718" s="50" t="s">
        <v>1087</v>
      </c>
      <c r="W718" s="8"/>
      <c r="X718" s="16">
        <f>SUM(X716:X717)</f>
        <v>6744.2563140000002</v>
      </c>
      <c r="Z718" s="50">
        <f>SUM(Z716:Z717)</f>
        <v>6673.2028140000002</v>
      </c>
      <c r="AE718" s="23">
        <f t="shared" si="81"/>
        <v>0</v>
      </c>
    </row>
    <row r="719" spans="1:33" ht="24" customHeight="1">
      <c r="A719" s="26">
        <f t="shared" si="82"/>
        <v>516</v>
      </c>
      <c r="B719" s="27" t="s">
        <v>1199</v>
      </c>
      <c r="C719" s="28">
        <v>45</v>
      </c>
      <c r="D719" s="27" t="s">
        <v>209</v>
      </c>
      <c r="H719" s="3" t="s">
        <v>1200</v>
      </c>
      <c r="I719" s="3" t="s">
        <v>115</v>
      </c>
      <c r="K719" s="3" t="s">
        <v>115</v>
      </c>
      <c r="M719" s="81">
        <v>2.69E-2</v>
      </c>
      <c r="N719" s="3" t="s">
        <v>126</v>
      </c>
      <c r="O719" s="70" t="s">
        <v>1201</v>
      </c>
      <c r="P719" s="17">
        <f>C86</f>
        <v>34300</v>
      </c>
      <c r="Q719" s="3" t="s">
        <v>126</v>
      </c>
      <c r="R719" s="17">
        <f t="shared" ref="R719:R725" si="85">M719*P719</f>
        <v>922.67</v>
      </c>
      <c r="T719" s="6"/>
      <c r="W719" s="8"/>
      <c r="X719" s="12" t="s">
        <v>117</v>
      </c>
      <c r="AE719" s="23">
        <f t="shared" si="81"/>
        <v>0</v>
      </c>
    </row>
    <row r="720" spans="1:33" ht="24" customHeight="1">
      <c r="A720" s="26">
        <f t="shared" si="82"/>
        <v>517</v>
      </c>
      <c r="B720" s="27" t="s">
        <v>1202</v>
      </c>
      <c r="C720" s="39"/>
      <c r="D720" s="27" t="s">
        <v>251</v>
      </c>
      <c r="F720" s="17">
        <v>98.5</v>
      </c>
      <c r="G720" s="15" t="s">
        <v>203</v>
      </c>
      <c r="H720" s="3" t="s">
        <v>1203</v>
      </c>
      <c r="I720" s="17">
        <f>(C270)</f>
        <v>25.2</v>
      </c>
      <c r="J720" s="3" t="s">
        <v>203</v>
      </c>
      <c r="K720" s="17">
        <f>(F720*I720)</f>
        <v>2482.1999999999998</v>
      </c>
      <c r="M720" s="81">
        <v>1.2949999999999999</v>
      </c>
      <c r="N720" s="3" t="s">
        <v>140</v>
      </c>
      <c r="O720" s="3" t="s">
        <v>1204</v>
      </c>
      <c r="P720" s="17">
        <f>C783</f>
        <v>387.4</v>
      </c>
      <c r="Q720" s="3" t="s">
        <v>140</v>
      </c>
      <c r="R720" s="17">
        <f t="shared" si="85"/>
        <v>501.68299999999994</v>
      </c>
      <c r="T720" s="6"/>
      <c r="U720" s="3" t="s">
        <v>482</v>
      </c>
      <c r="W720" s="8"/>
      <c r="X720" s="16">
        <f>(X718+C22)</f>
        <v>6834.1563139999998</v>
      </c>
      <c r="AE720" s="23">
        <f t="shared" si="81"/>
        <v>0</v>
      </c>
    </row>
    <row r="721" spans="1:33" ht="24" customHeight="1">
      <c r="A721" s="26">
        <f t="shared" si="82"/>
        <v>518</v>
      </c>
      <c r="B721" s="27" t="s">
        <v>728</v>
      </c>
      <c r="C721" s="28">
        <v>19.09</v>
      </c>
      <c r="D721" s="27" t="s">
        <v>209</v>
      </c>
      <c r="H721" s="3" t="s">
        <v>1205</v>
      </c>
      <c r="I721" s="3" t="s">
        <v>115</v>
      </c>
      <c r="K721" s="3" t="s">
        <v>251</v>
      </c>
      <c r="M721" s="81">
        <v>1.8149999999999999</v>
      </c>
      <c r="N721" s="3" t="s">
        <v>140</v>
      </c>
      <c r="O721" s="3" t="s">
        <v>624</v>
      </c>
      <c r="P721" s="17">
        <f>C31</f>
        <v>1155</v>
      </c>
      <c r="Q721" s="3" t="s">
        <v>140</v>
      </c>
      <c r="R721" s="17">
        <f t="shared" si="85"/>
        <v>2096.3249999999998</v>
      </c>
      <c r="T721" s="6"/>
      <c r="U721" s="3" t="s">
        <v>486</v>
      </c>
      <c r="W721" s="8"/>
      <c r="X721" s="16">
        <f>(X720+C24)</f>
        <v>7011.1563139999998</v>
      </c>
      <c r="AE721" s="23" t="str">
        <f t="shared" si="81"/>
        <v>|</v>
      </c>
      <c r="AG721" s="3" t="s">
        <v>849</v>
      </c>
    </row>
    <row r="722" spans="1:33" ht="24" customHeight="1">
      <c r="A722" s="26">
        <f t="shared" si="82"/>
        <v>519</v>
      </c>
      <c r="B722" s="27" t="s">
        <v>1199</v>
      </c>
      <c r="C722" s="28">
        <v>50.66</v>
      </c>
      <c r="D722" s="27" t="s">
        <v>209</v>
      </c>
      <c r="K722" s="12" t="s">
        <v>117</v>
      </c>
      <c r="M722" s="17">
        <v>2</v>
      </c>
      <c r="N722" s="3" t="s">
        <v>209</v>
      </c>
      <c r="O722" s="3" t="s">
        <v>1206</v>
      </c>
      <c r="P722" s="17">
        <f>C299</f>
        <v>10.5</v>
      </c>
      <c r="Q722" s="3" t="s">
        <v>209</v>
      </c>
      <c r="R722" s="17">
        <f t="shared" si="85"/>
        <v>21</v>
      </c>
      <c r="T722" s="6"/>
      <c r="U722" s="3" t="s">
        <v>489</v>
      </c>
      <c r="W722" s="8"/>
      <c r="X722" s="16">
        <f>(X721+C24)</f>
        <v>7188.1563139999998</v>
      </c>
      <c r="AE722" s="23" t="str">
        <f t="shared" si="81"/>
        <v>|</v>
      </c>
      <c r="AG722" s="3" t="s">
        <v>849</v>
      </c>
    </row>
    <row r="723" spans="1:33" ht="24" customHeight="1">
      <c r="A723" s="26">
        <f t="shared" si="82"/>
        <v>520</v>
      </c>
      <c r="B723" s="27" t="s">
        <v>1207</v>
      </c>
      <c r="C723" s="28">
        <v>1183.82</v>
      </c>
      <c r="D723" s="27" t="s">
        <v>140</v>
      </c>
      <c r="H723" s="3" t="s">
        <v>1208</v>
      </c>
      <c r="K723" s="17">
        <f>SUM(K717:K721)</f>
        <v>11382.2</v>
      </c>
      <c r="M723" s="17">
        <v>3</v>
      </c>
      <c r="N723" s="3" t="s">
        <v>209</v>
      </c>
      <c r="O723" s="3" t="s">
        <v>1209</v>
      </c>
      <c r="P723" s="17">
        <f>C295</f>
        <v>8.5</v>
      </c>
      <c r="Q723" s="3" t="s">
        <v>209</v>
      </c>
      <c r="R723" s="17">
        <f t="shared" si="85"/>
        <v>25.5</v>
      </c>
      <c r="T723" s="6"/>
      <c r="U723" s="3" t="s">
        <v>491</v>
      </c>
      <c r="W723" s="8"/>
      <c r="X723" s="16">
        <f>(X722+C24)</f>
        <v>7365.1563139999998</v>
      </c>
      <c r="AE723" s="23" t="str">
        <f t="shared" si="81"/>
        <v>|</v>
      </c>
      <c r="AG723" s="3" t="s">
        <v>849</v>
      </c>
    </row>
    <row r="724" spans="1:33" ht="24" customHeight="1">
      <c r="A724" s="26">
        <f t="shared" si="82"/>
        <v>521</v>
      </c>
      <c r="B724" s="27" t="s">
        <v>1210</v>
      </c>
      <c r="C724" s="28">
        <v>1605</v>
      </c>
      <c r="D724" s="27" t="s">
        <v>140</v>
      </c>
      <c r="H724" s="3" t="s">
        <v>115</v>
      </c>
      <c r="K724" s="12" t="s">
        <v>117</v>
      </c>
      <c r="M724" s="17">
        <v>1</v>
      </c>
      <c r="N724" s="3" t="s">
        <v>209</v>
      </c>
      <c r="O724" s="3" t="s">
        <v>1211</v>
      </c>
      <c r="P724" s="17">
        <f>C301</f>
        <v>21</v>
      </c>
      <c r="Q724" s="3" t="s">
        <v>209</v>
      </c>
      <c r="R724" s="17">
        <f t="shared" si="85"/>
        <v>21</v>
      </c>
      <c r="T724" s="6"/>
      <c r="U724" s="3" t="s">
        <v>576</v>
      </c>
      <c r="W724" s="8"/>
      <c r="X724" s="16">
        <f>(X723+C24)</f>
        <v>7542.1563139999998</v>
      </c>
      <c r="AE724" s="23" t="str">
        <f t="shared" si="81"/>
        <v>|</v>
      </c>
      <c r="AG724" s="3" t="s">
        <v>849</v>
      </c>
    </row>
    <row r="725" spans="1:33" ht="24" customHeight="1">
      <c r="A725" s="26">
        <f t="shared" si="82"/>
        <v>522</v>
      </c>
      <c r="B725" s="27" t="s">
        <v>1212</v>
      </c>
      <c r="C725" s="104">
        <v>8.6</v>
      </c>
      <c r="D725" s="114" t="s">
        <v>1213</v>
      </c>
      <c r="F725" s="17">
        <v>10</v>
      </c>
      <c r="G725" s="15" t="s">
        <v>140</v>
      </c>
      <c r="H725" s="3" t="s">
        <v>1214</v>
      </c>
      <c r="I725" s="17">
        <f>(K723/50)</f>
        <v>227.64400000000001</v>
      </c>
      <c r="J725" s="3" t="s">
        <v>140</v>
      </c>
      <c r="K725" s="17">
        <f>(F725*I725)</f>
        <v>2276.44</v>
      </c>
      <c r="M725" s="17">
        <v>1</v>
      </c>
      <c r="N725" s="3" t="s">
        <v>209</v>
      </c>
      <c r="O725" s="3" t="s">
        <v>628</v>
      </c>
      <c r="P725" s="17">
        <f>C303</f>
        <v>4</v>
      </c>
      <c r="Q725" s="3" t="s">
        <v>209</v>
      </c>
      <c r="R725" s="17">
        <f t="shared" si="85"/>
        <v>4</v>
      </c>
      <c r="AE725" s="23" t="str">
        <f t="shared" si="81"/>
        <v>|</v>
      </c>
      <c r="AG725" s="3" t="s">
        <v>849</v>
      </c>
    </row>
    <row r="726" spans="1:33" ht="24" customHeight="1">
      <c r="A726" s="26">
        <f t="shared" si="82"/>
        <v>523</v>
      </c>
      <c r="B726" s="27" t="s">
        <v>1215</v>
      </c>
      <c r="C726" s="28">
        <v>147.6</v>
      </c>
      <c r="D726" s="27" t="s">
        <v>203</v>
      </c>
      <c r="F726" s="17">
        <v>3.8</v>
      </c>
      <c r="G726" s="15" t="s">
        <v>1</v>
      </c>
      <c r="H726" s="3" t="s">
        <v>1216</v>
      </c>
      <c r="I726" s="17">
        <f>(C16)</f>
        <v>752</v>
      </c>
      <c r="J726" s="3" t="s">
        <v>1</v>
      </c>
      <c r="K726" s="17">
        <f>(F726*I726)</f>
        <v>2857.6</v>
      </c>
      <c r="N726" s="3" t="s">
        <v>129</v>
      </c>
      <c r="O726" s="3" t="s">
        <v>130</v>
      </c>
      <c r="Q726" s="3" t="s">
        <v>129</v>
      </c>
      <c r="R726" s="17">
        <v>0</v>
      </c>
      <c r="AE726" s="23" t="str">
        <f t="shared" si="81"/>
        <v>|</v>
      </c>
      <c r="AG726" s="3" t="s">
        <v>849</v>
      </c>
    </row>
    <row r="727" spans="1:33" ht="24" customHeight="1">
      <c r="A727" s="26">
        <f t="shared" si="82"/>
        <v>524</v>
      </c>
      <c r="B727" s="27" t="s">
        <v>1217</v>
      </c>
      <c r="C727" s="28">
        <v>147.6</v>
      </c>
      <c r="D727" s="27" t="s">
        <v>203</v>
      </c>
      <c r="F727" s="17">
        <v>5.4</v>
      </c>
      <c r="G727" s="15" t="s">
        <v>1</v>
      </c>
      <c r="H727" s="3" t="s">
        <v>146</v>
      </c>
      <c r="I727" s="17">
        <f>(C12)</f>
        <v>502</v>
      </c>
      <c r="J727" s="3" t="s">
        <v>1</v>
      </c>
      <c r="K727" s="17">
        <f>(F727*I727)</f>
        <v>2710.8</v>
      </c>
      <c r="R727" s="12" t="s">
        <v>117</v>
      </c>
      <c r="AE727" s="23" t="str">
        <f t="shared" si="81"/>
        <v>|</v>
      </c>
      <c r="AG727" s="3" t="s">
        <v>849</v>
      </c>
    </row>
    <row r="728" spans="1:33" ht="24" customHeight="1">
      <c r="A728" s="26">
        <f t="shared" si="82"/>
        <v>525</v>
      </c>
      <c r="B728" s="27" t="s">
        <v>1218</v>
      </c>
      <c r="C728" s="28">
        <v>147.6</v>
      </c>
      <c r="D728" s="27" t="s">
        <v>203</v>
      </c>
      <c r="G728" s="15" t="s">
        <v>129</v>
      </c>
      <c r="H728" s="3" t="s">
        <v>1219</v>
      </c>
      <c r="J728" s="3" t="s">
        <v>129</v>
      </c>
      <c r="K728" s="17">
        <v>5</v>
      </c>
      <c r="O728" s="4" t="s">
        <v>1220</v>
      </c>
      <c r="R728" s="17">
        <f>SUM(R719:R726)</f>
        <v>3592.1779999999999</v>
      </c>
      <c r="AE728" s="23" t="str">
        <f t="shared" si="81"/>
        <v>|</v>
      </c>
      <c r="AG728" s="3" t="s">
        <v>849</v>
      </c>
    </row>
    <row r="729" spans="1:33" ht="24" customHeight="1">
      <c r="A729" s="26">
        <f t="shared" si="82"/>
        <v>526</v>
      </c>
      <c r="B729" s="27" t="s">
        <v>1221</v>
      </c>
      <c r="C729" s="28">
        <v>1250</v>
      </c>
      <c r="D729" s="27" t="s">
        <v>140</v>
      </c>
      <c r="K729" s="12" t="s">
        <v>117</v>
      </c>
      <c r="R729" s="12" t="s">
        <v>117</v>
      </c>
      <c r="AE729" s="23" t="str">
        <f t="shared" si="81"/>
        <v>|</v>
      </c>
      <c r="AG729" s="3" t="s">
        <v>849</v>
      </c>
    </row>
    <row r="730" spans="1:33" ht="24" customHeight="1">
      <c r="A730" s="26">
        <f t="shared" si="82"/>
        <v>527</v>
      </c>
      <c r="B730" s="27" t="s">
        <v>1222</v>
      </c>
      <c r="C730" s="28">
        <v>1250</v>
      </c>
      <c r="D730" s="27" t="s">
        <v>140</v>
      </c>
      <c r="H730" s="3" t="s">
        <v>153</v>
      </c>
      <c r="K730" s="17">
        <f>SUM(K725:K728)</f>
        <v>7849.84</v>
      </c>
      <c r="N730" s="3" t="s">
        <v>115</v>
      </c>
      <c r="O730" s="4" t="s">
        <v>154</v>
      </c>
      <c r="R730" s="17">
        <f>R728/M720</f>
        <v>2773.8826254826254</v>
      </c>
      <c r="AE730" s="23" t="str">
        <f t="shared" si="81"/>
        <v>|</v>
      </c>
      <c r="AG730" s="3" t="s">
        <v>849</v>
      </c>
    </row>
    <row r="731" spans="1:33" ht="24" customHeight="1">
      <c r="A731" s="26">
        <f t="shared" si="82"/>
        <v>528</v>
      </c>
      <c r="B731" s="27" t="s">
        <v>1223</v>
      </c>
      <c r="C731" s="28">
        <v>1250</v>
      </c>
      <c r="D731" s="27" t="s">
        <v>140</v>
      </c>
      <c r="K731" s="12" t="s">
        <v>117</v>
      </c>
      <c r="R731" s="12" t="s">
        <v>155</v>
      </c>
      <c r="AE731" s="23" t="str">
        <f t="shared" si="81"/>
        <v>|</v>
      </c>
      <c r="AG731" s="3" t="s">
        <v>849</v>
      </c>
    </row>
    <row r="732" spans="1:33" ht="24" customHeight="1">
      <c r="A732" s="26">
        <f t="shared" si="82"/>
        <v>529</v>
      </c>
      <c r="B732" s="27" t="s">
        <v>1224</v>
      </c>
      <c r="C732" s="28">
        <v>1250</v>
      </c>
      <c r="D732" s="27" t="s">
        <v>140</v>
      </c>
      <c r="H732" s="3" t="s">
        <v>154</v>
      </c>
      <c r="K732" s="17">
        <f>(K730/10)</f>
        <v>784.98400000000004</v>
      </c>
      <c r="M732" s="4" t="s">
        <v>589</v>
      </c>
      <c r="N732" s="3" t="s">
        <v>1225</v>
      </c>
      <c r="O732" s="3" t="s">
        <v>1226</v>
      </c>
      <c r="AE732" s="23" t="str">
        <f t="shared" si="81"/>
        <v>|</v>
      </c>
      <c r="AG732" s="3" t="s">
        <v>849</v>
      </c>
    </row>
    <row r="733" spans="1:33" ht="24" customHeight="1">
      <c r="A733" s="26">
        <f t="shared" si="82"/>
        <v>530</v>
      </c>
      <c r="B733" s="27" t="s">
        <v>1227</v>
      </c>
      <c r="C733" s="28">
        <v>1250</v>
      </c>
      <c r="D733" s="27" t="s">
        <v>140</v>
      </c>
      <c r="K733" s="12" t="s">
        <v>155</v>
      </c>
      <c r="O733" s="12" t="s">
        <v>117</v>
      </c>
      <c r="AE733" s="23" t="str">
        <f t="shared" si="81"/>
        <v>|</v>
      </c>
      <c r="AG733" s="3" t="s">
        <v>849</v>
      </c>
    </row>
    <row r="734" spans="1:33" ht="24" customHeight="1">
      <c r="A734" s="26">
        <f t="shared" si="82"/>
        <v>531</v>
      </c>
      <c r="B734" s="27" t="s">
        <v>1228</v>
      </c>
      <c r="C734" s="28">
        <v>1250</v>
      </c>
      <c r="D734" s="27" t="s">
        <v>140</v>
      </c>
      <c r="M734" s="81">
        <v>2.5499999999999998E-2</v>
      </c>
      <c r="N734" s="3" t="s">
        <v>126</v>
      </c>
      <c r="O734" s="3" t="s">
        <v>1229</v>
      </c>
      <c r="P734" s="17">
        <f>C86</f>
        <v>34300</v>
      </c>
      <c r="Q734" s="3" t="s">
        <v>126</v>
      </c>
      <c r="R734" s="17">
        <f t="shared" ref="R734:R740" si="86">M734*P734</f>
        <v>874.65</v>
      </c>
      <c r="AE734" s="23" t="str">
        <f t="shared" si="81"/>
        <v>|</v>
      </c>
      <c r="AG734" s="3" t="s">
        <v>849</v>
      </c>
    </row>
    <row r="735" spans="1:33" ht="24" customHeight="1">
      <c r="A735" s="26">
        <f t="shared" si="82"/>
        <v>532</v>
      </c>
      <c r="B735" s="27" t="s">
        <v>1230</v>
      </c>
      <c r="C735" s="28">
        <v>1250</v>
      </c>
      <c r="D735" s="27" t="s">
        <v>140</v>
      </c>
      <c r="F735" s="4" t="s">
        <v>366</v>
      </c>
      <c r="G735" s="15" t="s">
        <v>122</v>
      </c>
      <c r="H735" s="3" t="s">
        <v>1231</v>
      </c>
      <c r="M735" s="81">
        <v>1.1299999999999999</v>
      </c>
      <c r="N735" s="3" t="s">
        <v>140</v>
      </c>
      <c r="O735" s="3" t="s">
        <v>1204</v>
      </c>
      <c r="P735" s="17">
        <f>C783</f>
        <v>387.4</v>
      </c>
      <c r="Q735" s="3" t="s">
        <v>140</v>
      </c>
      <c r="R735" s="17">
        <f t="shared" si="86"/>
        <v>437.76199999999994</v>
      </c>
      <c r="AE735" s="23" t="str">
        <f t="shared" si="81"/>
        <v>|</v>
      </c>
      <c r="AG735" s="3" t="s">
        <v>849</v>
      </c>
    </row>
    <row r="736" spans="1:33" ht="24" customHeight="1">
      <c r="A736" s="26">
        <f t="shared" si="82"/>
        <v>533</v>
      </c>
      <c r="B736" s="27" t="s">
        <v>1232</v>
      </c>
      <c r="C736" s="28">
        <v>1250</v>
      </c>
      <c r="D736" s="27" t="s">
        <v>140</v>
      </c>
      <c r="H736" s="3" t="s">
        <v>1233</v>
      </c>
      <c r="M736" s="81">
        <v>1.6191</v>
      </c>
      <c r="N736" s="3" t="s">
        <v>140</v>
      </c>
      <c r="O736" s="3" t="s">
        <v>624</v>
      </c>
      <c r="P736" s="17">
        <f>C31</f>
        <v>1155</v>
      </c>
      <c r="Q736" s="3" t="s">
        <v>140</v>
      </c>
      <c r="R736" s="17">
        <f t="shared" si="86"/>
        <v>1870.0605</v>
      </c>
      <c r="AE736" s="23" t="str">
        <f t="shared" si="81"/>
        <v>|</v>
      </c>
      <c r="AG736" s="3" t="s">
        <v>849</v>
      </c>
    </row>
    <row r="737" spans="1:33" ht="24" customHeight="1">
      <c r="A737" s="26">
        <f t="shared" si="82"/>
        <v>534</v>
      </c>
      <c r="B737" s="27" t="s">
        <v>1234</v>
      </c>
      <c r="C737" s="28">
        <v>1250</v>
      </c>
      <c r="D737" s="27" t="s">
        <v>140</v>
      </c>
      <c r="H737" s="3" t="s">
        <v>1235</v>
      </c>
      <c r="M737" s="17">
        <v>2</v>
      </c>
      <c r="N737" s="3" t="s">
        <v>209</v>
      </c>
      <c r="O737" s="3" t="s">
        <v>1206</v>
      </c>
      <c r="P737" s="17">
        <f>C299</f>
        <v>10.5</v>
      </c>
      <c r="Q737" s="3" t="s">
        <v>209</v>
      </c>
      <c r="R737" s="17">
        <f t="shared" si="86"/>
        <v>21</v>
      </c>
      <c r="AE737" s="23" t="str">
        <f t="shared" si="81"/>
        <v>|</v>
      </c>
      <c r="AG737" s="3" t="s">
        <v>849</v>
      </c>
    </row>
    <row r="738" spans="1:33" ht="24" customHeight="1">
      <c r="A738" s="26">
        <f t="shared" si="82"/>
        <v>535</v>
      </c>
      <c r="B738" s="27" t="s">
        <v>1236</v>
      </c>
      <c r="C738" s="28">
        <v>1250</v>
      </c>
      <c r="D738" s="27" t="s">
        <v>140</v>
      </c>
      <c r="H738" s="3" t="s">
        <v>1237</v>
      </c>
      <c r="M738" s="17">
        <v>3</v>
      </c>
      <c r="N738" s="3" t="s">
        <v>209</v>
      </c>
      <c r="O738" s="3" t="s">
        <v>1209</v>
      </c>
      <c r="P738" s="17">
        <f>C295</f>
        <v>8.5</v>
      </c>
      <c r="Q738" s="3" t="s">
        <v>209</v>
      </c>
      <c r="R738" s="17">
        <f t="shared" si="86"/>
        <v>25.5</v>
      </c>
      <c r="AE738" s="23" t="str">
        <f t="shared" si="81"/>
        <v>|</v>
      </c>
      <c r="AG738" s="3" t="s">
        <v>849</v>
      </c>
    </row>
    <row r="739" spans="1:33" ht="24" customHeight="1">
      <c r="A739" s="26">
        <f t="shared" si="82"/>
        <v>536</v>
      </c>
      <c r="B739" s="27" t="s">
        <v>1238</v>
      </c>
      <c r="C739" s="28">
        <v>1250</v>
      </c>
      <c r="D739" s="27" t="s">
        <v>140</v>
      </c>
      <c r="H739" s="3" t="s">
        <v>1239</v>
      </c>
      <c r="M739" s="17">
        <v>1</v>
      </c>
      <c r="N739" s="3" t="s">
        <v>209</v>
      </c>
      <c r="O739" s="3" t="s">
        <v>1211</v>
      </c>
      <c r="P739" s="17">
        <f>C301</f>
        <v>21</v>
      </c>
      <c r="Q739" s="3" t="s">
        <v>209</v>
      </c>
      <c r="R739" s="17">
        <f t="shared" si="86"/>
        <v>21</v>
      </c>
      <c r="AE739" s="23" t="str">
        <f t="shared" si="81"/>
        <v>|</v>
      </c>
      <c r="AG739" s="3" t="s">
        <v>849</v>
      </c>
    </row>
    <row r="740" spans="1:33" ht="24" customHeight="1">
      <c r="A740" s="26">
        <f t="shared" si="82"/>
        <v>537</v>
      </c>
      <c r="B740" s="27" t="s">
        <v>1230</v>
      </c>
      <c r="C740" s="28">
        <v>1250</v>
      </c>
      <c r="D740" s="27" t="s">
        <v>140</v>
      </c>
      <c r="H740" s="3" t="s">
        <v>1240</v>
      </c>
      <c r="M740" s="17">
        <v>1</v>
      </c>
      <c r="N740" s="3" t="s">
        <v>209</v>
      </c>
      <c r="O740" s="3" t="s">
        <v>628</v>
      </c>
      <c r="P740" s="17">
        <f>C303</f>
        <v>4</v>
      </c>
      <c r="Q740" s="3" t="s">
        <v>209</v>
      </c>
      <c r="R740" s="17">
        <f t="shared" si="86"/>
        <v>4</v>
      </c>
      <c r="AE740" s="23" t="str">
        <f t="shared" si="81"/>
        <v>|</v>
      </c>
      <c r="AG740" s="3" t="s">
        <v>849</v>
      </c>
    </row>
    <row r="741" spans="1:33" ht="24" customHeight="1">
      <c r="A741" s="26">
        <f t="shared" si="82"/>
        <v>538</v>
      </c>
      <c r="B741" s="27" t="s">
        <v>1241</v>
      </c>
      <c r="C741" s="39"/>
      <c r="D741" s="27" t="s">
        <v>115</v>
      </c>
      <c r="H741" s="3" t="s">
        <v>1242</v>
      </c>
      <c r="N741" s="3" t="s">
        <v>129</v>
      </c>
      <c r="O741" s="3" t="s">
        <v>130</v>
      </c>
      <c r="Q741" s="3" t="s">
        <v>129</v>
      </c>
      <c r="R741" s="17">
        <v>0</v>
      </c>
      <c r="AE741" s="23" t="str">
        <f t="shared" si="81"/>
        <v>|</v>
      </c>
      <c r="AG741" s="3" t="s">
        <v>849</v>
      </c>
    </row>
    <row r="742" spans="1:33" ht="24" customHeight="1">
      <c r="A742" s="26">
        <f t="shared" si="82"/>
        <v>539</v>
      </c>
      <c r="B742" s="27" t="s">
        <v>1243</v>
      </c>
      <c r="C742" s="28">
        <v>65</v>
      </c>
      <c r="D742" s="27" t="s">
        <v>206</v>
      </c>
      <c r="H742" s="12" t="s">
        <v>117</v>
      </c>
      <c r="I742" s="12" t="s">
        <v>117</v>
      </c>
      <c r="J742" s="3" t="s">
        <v>117</v>
      </c>
      <c r="R742" s="12" t="s">
        <v>117</v>
      </c>
      <c r="AE742" s="23" t="str">
        <f t="shared" si="81"/>
        <v>|</v>
      </c>
      <c r="AG742" s="3" t="s">
        <v>849</v>
      </c>
    </row>
    <row r="743" spans="1:33" ht="24" customHeight="1">
      <c r="A743" s="26">
        <f t="shared" si="82"/>
        <v>540</v>
      </c>
      <c r="B743" s="27" t="s">
        <v>1244</v>
      </c>
      <c r="C743" s="28">
        <v>64.55</v>
      </c>
      <c r="D743" s="27" t="s">
        <v>206</v>
      </c>
      <c r="F743" s="17">
        <v>13.46</v>
      </c>
      <c r="G743" s="15" t="s">
        <v>1245</v>
      </c>
      <c r="H743" s="3" t="s">
        <v>1246</v>
      </c>
      <c r="I743" s="17">
        <f>C34/1000</f>
        <v>41.2</v>
      </c>
      <c r="J743" s="3" t="s">
        <v>1245</v>
      </c>
      <c r="K743" s="17">
        <f>(F743*I743)</f>
        <v>554.55200000000002</v>
      </c>
      <c r="O743" s="4" t="s">
        <v>1247</v>
      </c>
      <c r="R743" s="17">
        <f>SUM(R734:R741)</f>
        <v>3253.9724999999999</v>
      </c>
      <c r="AE743" s="23" t="str">
        <f t="shared" si="81"/>
        <v>|</v>
      </c>
      <c r="AG743" s="3" t="s">
        <v>849</v>
      </c>
    </row>
    <row r="744" spans="1:33" ht="24" customHeight="1">
      <c r="A744" s="26">
        <f t="shared" si="82"/>
        <v>541</v>
      </c>
      <c r="B744" s="27" t="s">
        <v>1248</v>
      </c>
      <c r="C744" s="28">
        <v>110.95</v>
      </c>
      <c r="D744" s="27" t="s">
        <v>206</v>
      </c>
      <c r="H744" s="3" t="s">
        <v>1249</v>
      </c>
      <c r="R744" s="12" t="s">
        <v>117</v>
      </c>
      <c r="AE744" s="23" t="str">
        <f t="shared" si="81"/>
        <v>|</v>
      </c>
      <c r="AG744" s="3" t="s">
        <v>849</v>
      </c>
    </row>
    <row r="745" spans="1:33" ht="24" customHeight="1">
      <c r="A745" s="26">
        <f t="shared" si="82"/>
        <v>542</v>
      </c>
      <c r="B745" s="27" t="s">
        <v>1250</v>
      </c>
      <c r="C745" s="28">
        <v>399</v>
      </c>
      <c r="D745" s="27" t="s">
        <v>206</v>
      </c>
      <c r="F745" s="17">
        <v>4</v>
      </c>
      <c r="G745" s="15" t="s">
        <v>1245</v>
      </c>
      <c r="H745" s="3" t="s">
        <v>1251</v>
      </c>
      <c r="I745" s="17">
        <f>C34/1000</f>
        <v>41.2</v>
      </c>
      <c r="J745" s="3" t="s">
        <v>1245</v>
      </c>
      <c r="K745" s="17">
        <f>(F745*I745)</f>
        <v>164.8</v>
      </c>
      <c r="O745" s="4" t="s">
        <v>154</v>
      </c>
      <c r="R745" s="17">
        <f>R743/M736</f>
        <v>2009.7415230683712</v>
      </c>
      <c r="AE745" s="23" t="str">
        <f t="shared" si="81"/>
        <v>|</v>
      </c>
      <c r="AG745" s="3" t="s">
        <v>849</v>
      </c>
    </row>
    <row r="746" spans="1:33" ht="24" customHeight="1">
      <c r="A746" s="26">
        <f t="shared" si="82"/>
        <v>543</v>
      </c>
      <c r="B746" s="27" t="s">
        <v>1252</v>
      </c>
      <c r="C746" s="28">
        <v>92</v>
      </c>
      <c r="D746" s="27" t="s">
        <v>206</v>
      </c>
      <c r="H746" s="3" t="s">
        <v>1253</v>
      </c>
      <c r="R746" s="12" t="s">
        <v>155</v>
      </c>
      <c r="AE746" s="23" t="str">
        <f t="shared" si="81"/>
        <v>|</v>
      </c>
      <c r="AG746" s="3" t="s">
        <v>849</v>
      </c>
    </row>
    <row r="747" spans="1:33" ht="24" customHeight="1">
      <c r="A747" s="26">
        <f t="shared" si="82"/>
        <v>544</v>
      </c>
      <c r="B747" s="27" t="s">
        <v>1254</v>
      </c>
      <c r="C747" s="28">
        <v>174.24</v>
      </c>
      <c r="D747" s="27" t="s">
        <v>206</v>
      </c>
      <c r="F747" s="17"/>
      <c r="G747" s="15" t="s">
        <v>129</v>
      </c>
      <c r="H747" s="3" t="s">
        <v>1255</v>
      </c>
      <c r="J747" s="3" t="s">
        <v>129</v>
      </c>
      <c r="K747" s="17">
        <v>40</v>
      </c>
      <c r="AE747" s="23" t="str">
        <f t="shared" si="81"/>
        <v>|</v>
      </c>
      <c r="AG747" s="3" t="s">
        <v>849</v>
      </c>
    </row>
    <row r="748" spans="1:33" ht="24" customHeight="1">
      <c r="A748" s="26">
        <f t="shared" si="82"/>
        <v>545</v>
      </c>
      <c r="B748" s="27" t="s">
        <v>1256</v>
      </c>
      <c r="C748" s="28">
        <v>215.06</v>
      </c>
      <c r="D748" s="27" t="s">
        <v>206</v>
      </c>
      <c r="H748" s="3" t="s">
        <v>1257</v>
      </c>
      <c r="K748" s="12" t="s">
        <v>117</v>
      </c>
      <c r="M748" s="4" t="s">
        <v>589</v>
      </c>
      <c r="N748" s="3" t="s">
        <v>1258</v>
      </c>
      <c r="O748" s="3" t="s">
        <v>1259</v>
      </c>
      <c r="AE748" s="23" t="str">
        <f t="shared" si="81"/>
        <v>|</v>
      </c>
      <c r="AG748" s="3" t="s">
        <v>849</v>
      </c>
    </row>
    <row r="749" spans="1:33" ht="24" customHeight="1">
      <c r="A749" s="26">
        <f t="shared" si="82"/>
        <v>546</v>
      </c>
      <c r="B749" s="27" t="s">
        <v>1260</v>
      </c>
      <c r="C749" s="28">
        <v>97.24</v>
      </c>
      <c r="D749" s="27" t="s">
        <v>206</v>
      </c>
      <c r="H749" s="4" t="s">
        <v>1261</v>
      </c>
      <c r="K749" s="17">
        <f>SUM(K743:K747)</f>
        <v>759.35200000000009</v>
      </c>
      <c r="O749" s="12" t="s">
        <v>117</v>
      </c>
      <c r="AE749" s="23" t="str">
        <f t="shared" ref="AE749:AE812" si="87">AG749</f>
        <v>|</v>
      </c>
      <c r="AG749" s="3" t="s">
        <v>849</v>
      </c>
    </row>
    <row r="750" spans="1:33" ht="24" customHeight="1">
      <c r="A750" s="26">
        <f t="shared" si="82"/>
        <v>547</v>
      </c>
      <c r="B750" s="27" t="s">
        <v>1262</v>
      </c>
      <c r="C750" s="28">
        <v>168.96</v>
      </c>
      <c r="D750" s="27" t="s">
        <v>206</v>
      </c>
      <c r="K750" s="12" t="s">
        <v>117</v>
      </c>
      <c r="M750" s="81">
        <v>2.35E-2</v>
      </c>
      <c r="N750" s="3" t="s">
        <v>126</v>
      </c>
      <c r="O750" s="3" t="s">
        <v>1229</v>
      </c>
      <c r="P750" s="17">
        <f>C86</f>
        <v>34300</v>
      </c>
      <c r="Q750" s="3" t="s">
        <v>126</v>
      </c>
      <c r="R750" s="17">
        <f t="shared" ref="R750:R756" si="88">M750*P750</f>
        <v>806.05</v>
      </c>
      <c r="AE750" s="23" t="str">
        <f t="shared" si="87"/>
        <v>|</v>
      </c>
      <c r="AG750" s="3" t="s">
        <v>849</v>
      </c>
    </row>
    <row r="751" spans="1:33" ht="24" customHeight="1">
      <c r="A751" s="26">
        <f t="shared" si="82"/>
        <v>548</v>
      </c>
      <c r="B751" s="114" t="s">
        <v>1263</v>
      </c>
      <c r="C751" s="25">
        <v>366</v>
      </c>
      <c r="D751" s="25">
        <v>397</v>
      </c>
      <c r="H751" s="4" t="s">
        <v>1264</v>
      </c>
      <c r="K751" s="17">
        <f>K749/40</f>
        <v>18.983800000000002</v>
      </c>
      <c r="M751" s="81">
        <v>0.872</v>
      </c>
      <c r="N751" s="3" t="s">
        <v>140</v>
      </c>
      <c r="O751" s="3" t="s">
        <v>1204</v>
      </c>
      <c r="P751" s="17">
        <f>C783</f>
        <v>387.4</v>
      </c>
      <c r="Q751" s="3" t="s">
        <v>140</v>
      </c>
      <c r="R751" s="17">
        <f t="shared" si="88"/>
        <v>337.81279999999998</v>
      </c>
      <c r="AE751" s="23" t="str">
        <f t="shared" si="87"/>
        <v>|</v>
      </c>
      <c r="AG751" s="3" t="s">
        <v>849</v>
      </c>
    </row>
    <row r="752" spans="1:33" ht="24" customHeight="1">
      <c r="A752" s="26">
        <f t="shared" si="82"/>
        <v>549</v>
      </c>
      <c r="B752" s="27" t="s">
        <v>1265</v>
      </c>
      <c r="C752" s="25">
        <v>755</v>
      </c>
      <c r="D752" s="27" t="s">
        <v>206</v>
      </c>
      <c r="K752" s="12" t="s">
        <v>117</v>
      </c>
      <c r="M752" s="81">
        <v>1.3247</v>
      </c>
      <c r="N752" s="3" t="s">
        <v>140</v>
      </c>
      <c r="O752" s="3" t="s">
        <v>624</v>
      </c>
      <c r="P752" s="17">
        <f>C31</f>
        <v>1155</v>
      </c>
      <c r="Q752" s="3" t="s">
        <v>140</v>
      </c>
      <c r="R752" s="17">
        <f t="shared" si="88"/>
        <v>1530.0284999999999</v>
      </c>
      <c r="AE752" s="23" t="str">
        <f t="shared" si="87"/>
        <v>|</v>
      </c>
      <c r="AG752" s="3" t="s">
        <v>849</v>
      </c>
    </row>
    <row r="753" spans="1:33" ht="24" customHeight="1">
      <c r="A753" s="26">
        <f t="shared" si="82"/>
        <v>550</v>
      </c>
      <c r="B753" s="27" t="s">
        <v>1266</v>
      </c>
      <c r="C753" s="28">
        <v>210</v>
      </c>
      <c r="D753" s="27" t="s">
        <v>206</v>
      </c>
      <c r="H753" s="3" t="s">
        <v>1267</v>
      </c>
      <c r="M753" s="17">
        <v>1</v>
      </c>
      <c r="N753" s="3" t="s">
        <v>209</v>
      </c>
      <c r="O753" s="3" t="s">
        <v>1206</v>
      </c>
      <c r="P753" s="17">
        <f>C299</f>
        <v>10.5</v>
      </c>
      <c r="Q753" s="3" t="s">
        <v>209</v>
      </c>
      <c r="R753" s="17">
        <f t="shared" si="88"/>
        <v>10.5</v>
      </c>
      <c r="AE753" s="23" t="str">
        <f t="shared" si="87"/>
        <v>|</v>
      </c>
      <c r="AG753" s="3" t="s">
        <v>849</v>
      </c>
    </row>
    <row r="754" spans="1:33" ht="24" customHeight="1">
      <c r="A754" s="26">
        <f t="shared" si="82"/>
        <v>551</v>
      </c>
      <c r="B754" s="27" t="s">
        <v>1268</v>
      </c>
      <c r="C754" s="25">
        <v>1434</v>
      </c>
      <c r="D754" s="27" t="s">
        <v>140</v>
      </c>
      <c r="H754" s="3" t="s">
        <v>1269</v>
      </c>
      <c r="M754" s="17">
        <v>3</v>
      </c>
      <c r="N754" s="3" t="s">
        <v>209</v>
      </c>
      <c r="O754" s="3" t="s">
        <v>1270</v>
      </c>
      <c r="P754" s="17">
        <f>C294</f>
        <v>5.75</v>
      </c>
      <c r="Q754" s="3" t="s">
        <v>209</v>
      </c>
      <c r="R754" s="17">
        <f t="shared" si="88"/>
        <v>17.25</v>
      </c>
      <c r="AE754" s="23" t="str">
        <f t="shared" si="87"/>
        <v>|</v>
      </c>
      <c r="AG754" s="3" t="s">
        <v>849</v>
      </c>
    </row>
    <row r="755" spans="1:33" ht="24" customHeight="1">
      <c r="A755" s="26">
        <f t="shared" si="82"/>
        <v>552</v>
      </c>
      <c r="B755" s="27" t="s">
        <v>1271</v>
      </c>
      <c r="C755" s="39"/>
      <c r="D755" s="27" t="s">
        <v>115</v>
      </c>
      <c r="H755" s="3" t="s">
        <v>1272</v>
      </c>
      <c r="M755" s="17">
        <v>1</v>
      </c>
      <c r="N755" s="3" t="s">
        <v>209</v>
      </c>
      <c r="O755" s="3" t="s">
        <v>1273</v>
      </c>
      <c r="P755" s="17">
        <f>C302</f>
        <v>10</v>
      </c>
      <c r="Q755" s="3" t="s">
        <v>209</v>
      </c>
      <c r="R755" s="17">
        <f t="shared" si="88"/>
        <v>10</v>
      </c>
      <c r="AE755" s="23" t="str">
        <f t="shared" si="87"/>
        <v>|</v>
      </c>
      <c r="AG755" s="3" t="s">
        <v>849</v>
      </c>
    </row>
    <row r="756" spans="1:33" ht="24" customHeight="1">
      <c r="A756" s="26">
        <f t="shared" si="82"/>
        <v>553</v>
      </c>
      <c r="B756" s="27" t="s">
        <v>1274</v>
      </c>
      <c r="C756" s="39"/>
      <c r="D756" s="39"/>
      <c r="M756" s="17">
        <v>1</v>
      </c>
      <c r="N756" s="3" t="s">
        <v>209</v>
      </c>
      <c r="O756" s="3" t="s">
        <v>628</v>
      </c>
      <c r="P756" s="17">
        <f>C303</f>
        <v>4</v>
      </c>
      <c r="Q756" s="3" t="s">
        <v>209</v>
      </c>
      <c r="R756" s="17">
        <f t="shared" si="88"/>
        <v>4</v>
      </c>
      <c r="AE756" s="23" t="str">
        <f t="shared" si="87"/>
        <v>|</v>
      </c>
      <c r="AG756" s="3" t="s">
        <v>849</v>
      </c>
    </row>
    <row r="757" spans="1:33" ht="24" customHeight="1">
      <c r="A757" s="26">
        <f t="shared" si="82"/>
        <v>554</v>
      </c>
      <c r="B757" s="27" t="s">
        <v>1275</v>
      </c>
      <c r="C757" s="28">
        <v>300</v>
      </c>
      <c r="D757" s="27" t="s">
        <v>1276</v>
      </c>
      <c r="F757" s="17">
        <v>19</v>
      </c>
      <c r="G757" s="15" t="s">
        <v>240</v>
      </c>
      <c r="H757" s="3" t="s">
        <v>1277</v>
      </c>
      <c r="I757" s="49">
        <f>K751</f>
        <v>18.983800000000002</v>
      </c>
      <c r="J757" s="3" t="s">
        <v>1278</v>
      </c>
      <c r="K757" s="17">
        <f>(F757*I757)</f>
        <v>360.69220000000007</v>
      </c>
      <c r="N757" s="3" t="s">
        <v>129</v>
      </c>
      <c r="O757" s="3" t="s">
        <v>130</v>
      </c>
      <c r="Q757" s="3" t="s">
        <v>129</v>
      </c>
      <c r="R757" s="17">
        <v>0</v>
      </c>
      <c r="AE757" s="23" t="str">
        <f t="shared" si="87"/>
        <v>|</v>
      </c>
      <c r="AG757" s="3" t="s">
        <v>849</v>
      </c>
    </row>
    <row r="758" spans="1:33" ht="24" customHeight="1">
      <c r="A758" s="26">
        <f t="shared" si="82"/>
        <v>555</v>
      </c>
      <c r="B758" s="121" t="s">
        <v>1279</v>
      </c>
      <c r="C758" s="28">
        <v>302</v>
      </c>
      <c r="D758" s="27" t="s">
        <v>1276</v>
      </c>
      <c r="H758" s="3" t="s">
        <v>1280</v>
      </c>
      <c r="R758" s="12" t="s">
        <v>117</v>
      </c>
      <c r="AE758" s="23" t="str">
        <f t="shared" si="87"/>
        <v>|</v>
      </c>
      <c r="AG758" s="3" t="s">
        <v>849</v>
      </c>
    </row>
    <row r="759" spans="1:33" ht="24" customHeight="1">
      <c r="A759" s="26">
        <f t="shared" si="82"/>
        <v>556</v>
      </c>
      <c r="B759" s="27" t="s">
        <v>1281</v>
      </c>
      <c r="C759" s="28">
        <v>382</v>
      </c>
      <c r="D759" s="27" t="s">
        <v>1276</v>
      </c>
      <c r="F759" s="17">
        <v>0.12</v>
      </c>
      <c r="G759" s="15" t="s">
        <v>429</v>
      </c>
      <c r="H759" s="3" t="s">
        <v>1282</v>
      </c>
      <c r="I759" s="17">
        <f>C269/5</f>
        <v>3100</v>
      </c>
      <c r="J759" s="3" t="s">
        <v>1278</v>
      </c>
      <c r="K759" s="17">
        <f t="shared" ref="K759:K766" si="89">(F759*I759)</f>
        <v>372</v>
      </c>
      <c r="O759" s="4" t="s">
        <v>1283</v>
      </c>
      <c r="R759" s="17">
        <f>SUM(R750:R757)</f>
        <v>2715.6412999999998</v>
      </c>
      <c r="AE759" s="23" t="str">
        <f t="shared" si="87"/>
        <v>|</v>
      </c>
      <c r="AG759" s="3" t="s">
        <v>849</v>
      </c>
    </row>
    <row r="760" spans="1:33" ht="24" customHeight="1">
      <c r="A760" s="26">
        <f t="shared" si="82"/>
        <v>557</v>
      </c>
      <c r="B760" s="27" t="s">
        <v>1284</v>
      </c>
      <c r="C760" s="28">
        <v>140</v>
      </c>
      <c r="D760" s="27" t="s">
        <v>1276</v>
      </c>
      <c r="F760" s="17">
        <v>98.5</v>
      </c>
      <c r="G760" s="15" t="s">
        <v>231</v>
      </c>
      <c r="H760" s="3" t="s">
        <v>1285</v>
      </c>
      <c r="I760" s="17">
        <f>C270/5</f>
        <v>5.04</v>
      </c>
      <c r="J760" s="3" t="s">
        <v>1278</v>
      </c>
      <c r="K760" s="17">
        <f t="shared" si="89"/>
        <v>496.44</v>
      </c>
      <c r="R760" s="12" t="s">
        <v>117</v>
      </c>
      <c r="AE760" s="23" t="str">
        <f t="shared" si="87"/>
        <v>|</v>
      </c>
      <c r="AG760" s="3" t="s">
        <v>849</v>
      </c>
    </row>
    <row r="761" spans="1:33" ht="24" customHeight="1">
      <c r="A761" s="26">
        <f t="shared" si="82"/>
        <v>558</v>
      </c>
      <c r="B761" s="27" t="s">
        <v>1286</v>
      </c>
      <c r="C761" s="28">
        <v>222</v>
      </c>
      <c r="D761" s="27" t="s">
        <v>1276</v>
      </c>
      <c r="F761" s="17">
        <v>1</v>
      </c>
      <c r="G761" s="15" t="s">
        <v>129</v>
      </c>
      <c r="H761" s="3" t="s">
        <v>1287</v>
      </c>
      <c r="I761" s="78">
        <v>11</v>
      </c>
      <c r="J761" s="3" t="s">
        <v>129</v>
      </c>
      <c r="K761" s="17">
        <f t="shared" si="89"/>
        <v>11</v>
      </c>
      <c r="O761" s="4" t="s">
        <v>154</v>
      </c>
      <c r="R761" s="17">
        <f>R759/1.3247</f>
        <v>2050.0047557937646</v>
      </c>
      <c r="AE761" s="23" t="str">
        <f t="shared" si="87"/>
        <v>|</v>
      </c>
      <c r="AG761" s="3" t="s">
        <v>849</v>
      </c>
    </row>
    <row r="762" spans="1:33" ht="24" customHeight="1">
      <c r="A762" s="26">
        <f t="shared" si="82"/>
        <v>559</v>
      </c>
      <c r="B762" s="27" t="s">
        <v>1288</v>
      </c>
      <c r="C762" s="28">
        <v>505</v>
      </c>
      <c r="D762" s="27" t="s">
        <v>1276</v>
      </c>
      <c r="F762" s="17">
        <v>3.8</v>
      </c>
      <c r="G762" s="15" t="s">
        <v>164</v>
      </c>
      <c r="H762" s="3" t="s">
        <v>1289</v>
      </c>
      <c r="I762" s="17">
        <f>C16</f>
        <v>752</v>
      </c>
      <c r="J762" s="3" t="s">
        <v>227</v>
      </c>
      <c r="K762" s="17">
        <f t="shared" si="89"/>
        <v>2857.6</v>
      </c>
      <c r="R762" s="12" t="s">
        <v>155</v>
      </c>
      <c r="AE762" s="23" t="str">
        <f t="shared" si="87"/>
        <v>|</v>
      </c>
      <c r="AG762" s="3" t="s">
        <v>849</v>
      </c>
    </row>
    <row r="763" spans="1:33" ht="24" customHeight="1">
      <c r="A763" s="26">
        <f t="shared" si="82"/>
        <v>560</v>
      </c>
      <c r="B763" s="27" t="s">
        <v>1290</v>
      </c>
      <c r="C763" s="25">
        <v>272.2</v>
      </c>
      <c r="D763" s="27" t="s">
        <v>206</v>
      </c>
      <c r="F763" s="17">
        <v>5.4</v>
      </c>
      <c r="G763" s="15" t="s">
        <v>164</v>
      </c>
      <c r="H763" s="3" t="s">
        <v>956</v>
      </c>
      <c r="I763" s="17">
        <f>C12</f>
        <v>502</v>
      </c>
      <c r="J763" s="3" t="s">
        <v>227</v>
      </c>
      <c r="K763" s="17">
        <f t="shared" si="89"/>
        <v>2710.8</v>
      </c>
      <c r="N763" s="3" t="s">
        <v>122</v>
      </c>
      <c r="AE763" s="23" t="str">
        <f t="shared" si="87"/>
        <v>|</v>
      </c>
      <c r="AG763" s="3" t="s">
        <v>849</v>
      </c>
    </row>
    <row r="764" spans="1:33" ht="24" customHeight="1">
      <c r="A764" s="39" t="s">
        <v>1291</v>
      </c>
      <c r="B764" s="27" t="s">
        <v>1292</v>
      </c>
      <c r="C764" s="25">
        <v>1000</v>
      </c>
      <c r="D764" s="27" t="s">
        <v>206</v>
      </c>
      <c r="F764" s="17">
        <v>1</v>
      </c>
      <c r="G764" s="15" t="s">
        <v>164</v>
      </c>
      <c r="H764" s="3" t="s">
        <v>1293</v>
      </c>
      <c r="I764" s="17">
        <f>C66</f>
        <v>660</v>
      </c>
      <c r="J764" s="3" t="s">
        <v>227</v>
      </c>
      <c r="K764" s="17">
        <f t="shared" si="89"/>
        <v>660</v>
      </c>
      <c r="O764" s="3" t="s">
        <v>1294</v>
      </c>
      <c r="AE764" s="23" t="str">
        <f t="shared" si="87"/>
        <v>|</v>
      </c>
      <c r="AG764" s="3" t="s">
        <v>849</v>
      </c>
    </row>
    <row r="765" spans="1:33" ht="24" customHeight="1">
      <c r="A765" s="26">
        <f>(A763+1)</f>
        <v>561</v>
      </c>
      <c r="B765" s="27" t="s">
        <v>1295</v>
      </c>
      <c r="C765" s="28">
        <v>43.3</v>
      </c>
      <c r="D765" s="27" t="s">
        <v>203</v>
      </c>
      <c r="F765" s="17">
        <v>1</v>
      </c>
      <c r="G765" s="15" t="s">
        <v>129</v>
      </c>
      <c r="H765" s="3" t="s">
        <v>1296</v>
      </c>
      <c r="I765" s="78">
        <v>10</v>
      </c>
      <c r="J765" s="3" t="s">
        <v>129</v>
      </c>
      <c r="K765" s="17">
        <f t="shared" si="89"/>
        <v>10</v>
      </c>
      <c r="O765" s="3" t="s">
        <v>1297</v>
      </c>
      <c r="AE765" s="23" t="str">
        <f t="shared" si="87"/>
        <v>|</v>
      </c>
      <c r="AG765" s="3" t="s">
        <v>849</v>
      </c>
    </row>
    <row r="766" spans="1:33" ht="24" customHeight="1">
      <c r="A766" s="26">
        <f t="shared" ref="A766:A783" si="90">(A765+1)</f>
        <v>562</v>
      </c>
      <c r="B766" s="27" t="s">
        <v>1298</v>
      </c>
      <c r="C766" s="28">
        <v>218</v>
      </c>
      <c r="D766" s="27" t="s">
        <v>206</v>
      </c>
      <c r="F766" s="17">
        <v>19</v>
      </c>
      <c r="G766" s="15" t="s">
        <v>240</v>
      </c>
      <c r="H766" s="3" t="s">
        <v>1299</v>
      </c>
      <c r="I766" s="78">
        <v>2</v>
      </c>
      <c r="J766" s="3" t="s">
        <v>240</v>
      </c>
      <c r="K766" s="17">
        <f t="shared" si="89"/>
        <v>38</v>
      </c>
      <c r="O766" s="3" t="s">
        <v>1300</v>
      </c>
      <c r="AE766" s="23" t="str">
        <f t="shared" si="87"/>
        <v>|</v>
      </c>
      <c r="AG766" s="3" t="s">
        <v>849</v>
      </c>
    </row>
    <row r="767" spans="1:33" ht="24" customHeight="1">
      <c r="A767" s="26">
        <f t="shared" si="90"/>
        <v>563</v>
      </c>
      <c r="B767" s="27" t="s">
        <v>1301</v>
      </c>
      <c r="C767" s="28">
        <v>926</v>
      </c>
      <c r="D767" s="27" t="s">
        <v>206</v>
      </c>
      <c r="H767" s="3" t="s">
        <v>1302</v>
      </c>
      <c r="K767" s="12" t="s">
        <v>117</v>
      </c>
      <c r="O767" s="3" t="s">
        <v>1303</v>
      </c>
      <c r="AE767" s="23" t="str">
        <f t="shared" si="87"/>
        <v>|</v>
      </c>
      <c r="AG767" s="3" t="s">
        <v>849</v>
      </c>
    </row>
    <row r="768" spans="1:33" ht="24" customHeight="1">
      <c r="A768" s="26">
        <f t="shared" si="90"/>
        <v>564</v>
      </c>
      <c r="B768" s="27" t="s">
        <v>1304</v>
      </c>
      <c r="C768" s="28">
        <v>5.15</v>
      </c>
      <c r="D768" s="27" t="s">
        <v>203</v>
      </c>
      <c r="H768" s="4" t="s">
        <v>153</v>
      </c>
      <c r="K768" s="17">
        <f>SUM(K757:K766)+0.07</f>
        <v>7516.6022000000003</v>
      </c>
      <c r="O768" s="12" t="s">
        <v>117</v>
      </c>
      <c r="AE768" s="23" t="str">
        <f t="shared" si="87"/>
        <v>|</v>
      </c>
      <c r="AG768" s="3" t="s">
        <v>849</v>
      </c>
    </row>
    <row r="769" spans="1:33" ht="24" customHeight="1">
      <c r="A769" s="26">
        <f t="shared" si="90"/>
        <v>565</v>
      </c>
      <c r="B769" s="27" t="s">
        <v>1305</v>
      </c>
      <c r="C769" s="28">
        <v>550</v>
      </c>
      <c r="D769" s="27" t="s">
        <v>206</v>
      </c>
      <c r="K769" s="12" t="s">
        <v>117</v>
      </c>
      <c r="AE769" s="23" t="str">
        <f t="shared" si="87"/>
        <v>|</v>
      </c>
      <c r="AG769" s="3" t="s">
        <v>849</v>
      </c>
    </row>
    <row r="770" spans="1:33" ht="24" customHeight="1">
      <c r="A770" s="26">
        <f t="shared" si="90"/>
        <v>566</v>
      </c>
      <c r="B770" s="27" t="s">
        <v>1306</v>
      </c>
      <c r="C770" s="28">
        <v>286</v>
      </c>
      <c r="D770" s="27" t="s">
        <v>206</v>
      </c>
      <c r="H770" s="4" t="s">
        <v>154</v>
      </c>
      <c r="K770" s="17">
        <f>(K768/10)</f>
        <v>751.66021999999998</v>
      </c>
      <c r="O770" s="3" t="s">
        <v>1307</v>
      </c>
      <c r="R770" s="17">
        <f>(C723)</f>
        <v>1183.82</v>
      </c>
      <c r="AE770" s="23" t="str">
        <f t="shared" si="87"/>
        <v>|</v>
      </c>
      <c r="AG770" s="3" t="s">
        <v>849</v>
      </c>
    </row>
    <row r="771" spans="1:33" ht="24" customHeight="1">
      <c r="A771" s="26">
        <f t="shared" si="90"/>
        <v>567</v>
      </c>
      <c r="B771" s="27" t="s">
        <v>1308</v>
      </c>
      <c r="C771" s="28">
        <v>96.3</v>
      </c>
      <c r="D771" s="27" t="s">
        <v>203</v>
      </c>
      <c r="F771" s="3" t="s">
        <v>115</v>
      </c>
      <c r="R771" s="12" t="s">
        <v>155</v>
      </c>
      <c r="AE771" s="23" t="str">
        <f t="shared" si="87"/>
        <v>|</v>
      </c>
      <c r="AG771" s="3" t="s">
        <v>849</v>
      </c>
    </row>
    <row r="772" spans="1:33" ht="24" customHeight="1">
      <c r="A772" s="26">
        <f t="shared" si="90"/>
        <v>568</v>
      </c>
      <c r="B772" s="27" t="s">
        <v>1309</v>
      </c>
      <c r="C772" s="28">
        <v>51</v>
      </c>
      <c r="D772" s="27" t="s">
        <v>206</v>
      </c>
      <c r="K772" s="12" t="s">
        <v>155</v>
      </c>
      <c r="AE772" s="23" t="str">
        <f t="shared" si="87"/>
        <v>|</v>
      </c>
      <c r="AG772" s="3" t="s">
        <v>849</v>
      </c>
    </row>
    <row r="773" spans="1:33" ht="24" customHeight="1">
      <c r="A773" s="26">
        <f t="shared" si="90"/>
        <v>569</v>
      </c>
      <c r="B773" s="27" t="s">
        <v>1310</v>
      </c>
      <c r="C773" s="28">
        <v>181</v>
      </c>
      <c r="D773" s="27" t="s">
        <v>1006</v>
      </c>
      <c r="F773" s="4" t="s">
        <v>370</v>
      </c>
      <c r="G773" s="15" t="s">
        <v>122</v>
      </c>
      <c r="H773" s="3" t="s">
        <v>1311</v>
      </c>
      <c r="N773" s="3" t="s">
        <v>122</v>
      </c>
      <c r="O773" s="3" t="s">
        <v>1312</v>
      </c>
      <c r="AE773" s="23" t="str">
        <f t="shared" si="87"/>
        <v>|</v>
      </c>
      <c r="AG773" s="3" t="s">
        <v>849</v>
      </c>
    </row>
    <row r="774" spans="1:33" ht="24" customHeight="1">
      <c r="A774" s="26">
        <f t="shared" si="90"/>
        <v>570</v>
      </c>
      <c r="B774" s="27" t="s">
        <v>1313</v>
      </c>
      <c r="C774" s="28">
        <v>36.200000000000003</v>
      </c>
      <c r="D774" s="27" t="s">
        <v>203</v>
      </c>
      <c r="H774" s="3" t="s">
        <v>1314</v>
      </c>
      <c r="O774" s="12" t="s">
        <v>155</v>
      </c>
      <c r="P774" s="12" t="s">
        <v>155</v>
      </c>
      <c r="Q774" s="12" t="s">
        <v>155</v>
      </c>
      <c r="R774" s="3" t="s">
        <v>1315</v>
      </c>
      <c r="AE774" s="23" t="str">
        <f t="shared" si="87"/>
        <v>|</v>
      </c>
      <c r="AG774" s="3" t="s">
        <v>849</v>
      </c>
    </row>
    <row r="775" spans="1:33" ht="24" customHeight="1">
      <c r="A775" s="26">
        <f t="shared" si="90"/>
        <v>571</v>
      </c>
      <c r="B775" s="27" t="s">
        <v>1316</v>
      </c>
      <c r="C775" s="28">
        <v>98</v>
      </c>
      <c r="D775" s="27" t="s">
        <v>206</v>
      </c>
      <c r="H775" s="3" t="s">
        <v>1317</v>
      </c>
      <c r="O775" s="3" t="s">
        <v>1318</v>
      </c>
      <c r="Q775" s="4" t="s">
        <v>231</v>
      </c>
      <c r="R775" s="17">
        <f>(C726)</f>
        <v>147.6</v>
      </c>
      <c r="AE775" s="23" t="str">
        <f t="shared" si="87"/>
        <v>|</v>
      </c>
      <c r="AG775" s="3" t="s">
        <v>849</v>
      </c>
    </row>
    <row r="776" spans="1:33" ht="24" customHeight="1">
      <c r="A776" s="26">
        <f t="shared" si="90"/>
        <v>572</v>
      </c>
      <c r="B776" s="27" t="s">
        <v>1319</v>
      </c>
      <c r="C776" s="28">
        <v>92</v>
      </c>
      <c r="D776" s="27" t="s">
        <v>203</v>
      </c>
      <c r="H776" s="12" t="s">
        <v>117</v>
      </c>
      <c r="O776" s="3" t="s">
        <v>1320</v>
      </c>
      <c r="AE776" s="23" t="str">
        <f t="shared" si="87"/>
        <v>|::</v>
      </c>
      <c r="AG776" s="3" t="s">
        <v>636</v>
      </c>
    </row>
    <row r="777" spans="1:33" ht="24" customHeight="1">
      <c r="A777" s="26">
        <f t="shared" si="90"/>
        <v>573</v>
      </c>
      <c r="B777" s="27" t="s">
        <v>1321</v>
      </c>
      <c r="C777" s="28">
        <v>49.42</v>
      </c>
      <c r="D777" s="27" t="s">
        <v>206</v>
      </c>
      <c r="F777" s="17">
        <v>10</v>
      </c>
      <c r="G777" s="15" t="s">
        <v>140</v>
      </c>
      <c r="H777" s="3" t="s">
        <v>1322</v>
      </c>
      <c r="I777" s="17">
        <f>(K757)*1.2</f>
        <v>432.83064000000007</v>
      </c>
      <c r="J777" s="3" t="s">
        <v>1278</v>
      </c>
      <c r="K777" s="17">
        <f>(F777*I777)/10</f>
        <v>432.83064000000002</v>
      </c>
      <c r="O777" s="3" t="s">
        <v>1323</v>
      </c>
      <c r="AE777" s="23">
        <f t="shared" si="87"/>
        <v>0</v>
      </c>
    </row>
    <row r="778" spans="1:33" ht="24" customHeight="1">
      <c r="A778" s="26">
        <f t="shared" si="90"/>
        <v>574</v>
      </c>
      <c r="B778" s="27" t="s">
        <v>1324</v>
      </c>
      <c r="C778" s="28">
        <v>53.2</v>
      </c>
      <c r="D778" s="27" t="s">
        <v>206</v>
      </c>
      <c r="H778" s="3" t="s">
        <v>1325</v>
      </c>
      <c r="O778" s="3" t="s">
        <v>1326</v>
      </c>
      <c r="AE778" s="23">
        <f t="shared" si="87"/>
        <v>0</v>
      </c>
    </row>
    <row r="779" spans="1:33" ht="24" customHeight="1">
      <c r="A779" s="26">
        <f t="shared" si="90"/>
        <v>575</v>
      </c>
      <c r="B779" s="27" t="s">
        <v>1327</v>
      </c>
      <c r="C779" s="28">
        <v>59</v>
      </c>
      <c r="D779" s="27" t="s">
        <v>206</v>
      </c>
      <c r="H779" s="3" t="s">
        <v>1328</v>
      </c>
      <c r="O779" s="3" t="s">
        <v>1329</v>
      </c>
      <c r="AE779" s="23" t="str">
        <f t="shared" si="87"/>
        <v>|</v>
      </c>
      <c r="AG779" s="3" t="s">
        <v>849</v>
      </c>
    </row>
    <row r="780" spans="1:33" ht="24" customHeight="1">
      <c r="A780" s="26">
        <f t="shared" si="90"/>
        <v>576</v>
      </c>
      <c r="B780" s="27" t="s">
        <v>1330</v>
      </c>
      <c r="C780" s="28">
        <v>100</v>
      </c>
      <c r="D780" s="27" t="s">
        <v>206</v>
      </c>
      <c r="F780" s="17">
        <v>10</v>
      </c>
      <c r="G780" s="15" t="s">
        <v>140</v>
      </c>
      <c r="H780" s="3" t="s">
        <v>1331</v>
      </c>
      <c r="I780" s="17">
        <f>K759*1.2</f>
        <v>446.4</v>
      </c>
      <c r="J780" s="3" t="s">
        <v>1278</v>
      </c>
      <c r="K780" s="17">
        <f>(F780*I780)/10</f>
        <v>446.4</v>
      </c>
      <c r="O780" s="3" t="s">
        <v>1332</v>
      </c>
      <c r="R780" s="3" t="s">
        <v>115</v>
      </c>
      <c r="AE780" s="23">
        <f t="shared" si="87"/>
        <v>0</v>
      </c>
    </row>
    <row r="781" spans="1:33" ht="24" customHeight="1">
      <c r="A781" s="26">
        <f t="shared" si="90"/>
        <v>577</v>
      </c>
      <c r="B781" s="27" t="s">
        <v>1333</v>
      </c>
      <c r="C781" s="28">
        <v>49.52</v>
      </c>
      <c r="D781" s="27" t="s">
        <v>203</v>
      </c>
      <c r="H781" s="3" t="s">
        <v>1334</v>
      </c>
      <c r="O781" s="3" t="s">
        <v>115</v>
      </c>
      <c r="AE781" s="23" t="str">
        <f t="shared" si="87"/>
        <v>|</v>
      </c>
      <c r="AG781" s="3" t="s">
        <v>849</v>
      </c>
    </row>
    <row r="782" spans="1:33" ht="24" customHeight="1">
      <c r="A782" s="26">
        <f t="shared" si="90"/>
        <v>578</v>
      </c>
      <c r="B782" s="27" t="s">
        <v>1335</v>
      </c>
      <c r="C782" s="28">
        <v>1080</v>
      </c>
      <c r="D782" s="27" t="s">
        <v>206</v>
      </c>
      <c r="H782" s="3" t="s">
        <v>1336</v>
      </c>
      <c r="AE782" s="23" t="str">
        <f t="shared" si="87"/>
        <v>|</v>
      </c>
      <c r="AG782" s="3" t="s">
        <v>849</v>
      </c>
    </row>
    <row r="783" spans="1:33" ht="24" customHeight="1">
      <c r="A783" s="26">
        <f t="shared" si="90"/>
        <v>579</v>
      </c>
      <c r="B783" s="27" t="s">
        <v>1337</v>
      </c>
      <c r="C783" s="45">
        <v>387.4</v>
      </c>
      <c r="D783" s="27" t="s">
        <v>140</v>
      </c>
      <c r="F783" s="17">
        <v>98.5</v>
      </c>
      <c r="G783" s="15" t="s">
        <v>231</v>
      </c>
      <c r="H783" s="3" t="s">
        <v>1285</v>
      </c>
      <c r="I783" s="17">
        <f>C270/5</f>
        <v>5.04</v>
      </c>
      <c r="J783" s="3" t="s">
        <v>1278</v>
      </c>
      <c r="K783" s="17">
        <f t="shared" ref="K783:K789" si="91">(F783*I783)</f>
        <v>496.44</v>
      </c>
      <c r="N783" s="3" t="s">
        <v>122</v>
      </c>
      <c r="O783" s="3" t="s">
        <v>1338</v>
      </c>
      <c r="Q783" s="4" t="s">
        <v>174</v>
      </c>
      <c r="R783" s="17">
        <f>(C730)</f>
        <v>1250</v>
      </c>
      <c r="AE783" s="23" t="str">
        <f t="shared" si="87"/>
        <v>|</v>
      </c>
      <c r="AG783" s="3" t="s">
        <v>849</v>
      </c>
    </row>
    <row r="784" spans="1:33" ht="24" customHeight="1">
      <c r="A784" s="26" t="e">
        <f>(#REF!+1)</f>
        <v>#REF!</v>
      </c>
      <c r="B784" s="27" t="s">
        <v>1274</v>
      </c>
      <c r="C784" s="39"/>
      <c r="D784" s="39"/>
      <c r="F784" s="17">
        <v>3.8</v>
      </c>
      <c r="G784" s="15" t="s">
        <v>1</v>
      </c>
      <c r="H784" s="3" t="s">
        <v>1216</v>
      </c>
      <c r="I784" s="17">
        <f>(C16)</f>
        <v>752</v>
      </c>
      <c r="J784" s="3" t="s">
        <v>1</v>
      </c>
      <c r="K784" s="17">
        <f t="shared" si="91"/>
        <v>2857.6</v>
      </c>
      <c r="O784" s="3" t="s">
        <v>1339</v>
      </c>
      <c r="AE784" s="23" t="str">
        <f t="shared" si="87"/>
        <v>|</v>
      </c>
      <c r="AG784" s="3" t="s">
        <v>849</v>
      </c>
    </row>
    <row r="785" spans="1:33" ht="24" customHeight="1">
      <c r="A785" s="26"/>
      <c r="B785" s="27" t="s">
        <v>1275</v>
      </c>
      <c r="C785" s="28">
        <v>300</v>
      </c>
      <c r="D785" s="39"/>
      <c r="F785" s="17">
        <v>5.4</v>
      </c>
      <c r="G785" s="15" t="s">
        <v>1</v>
      </c>
      <c r="H785" s="3" t="s">
        <v>146</v>
      </c>
      <c r="I785" s="17">
        <f>(C12)</f>
        <v>502</v>
      </c>
      <c r="J785" s="3" t="s">
        <v>1</v>
      </c>
      <c r="K785" s="17">
        <f t="shared" si="91"/>
        <v>2710.8</v>
      </c>
      <c r="O785" s="3" t="s">
        <v>1340</v>
      </c>
      <c r="AE785" s="23" t="str">
        <f t="shared" si="87"/>
        <v>|</v>
      </c>
      <c r="AG785" s="3" t="s">
        <v>849</v>
      </c>
    </row>
    <row r="786" spans="1:33" ht="24" customHeight="1">
      <c r="A786" s="26"/>
      <c r="B786" s="121" t="s">
        <v>1279</v>
      </c>
      <c r="C786" s="28">
        <v>302</v>
      </c>
      <c r="D786" s="39"/>
      <c r="F786" s="17">
        <v>1</v>
      </c>
      <c r="G786" s="15" t="s">
        <v>1</v>
      </c>
      <c r="H786" s="3" t="s">
        <v>1293</v>
      </c>
      <c r="I786" s="17">
        <f>C66</f>
        <v>660</v>
      </c>
      <c r="J786" s="3" t="s">
        <v>227</v>
      </c>
      <c r="K786" s="17">
        <f t="shared" si="91"/>
        <v>660</v>
      </c>
      <c r="O786" s="3" t="s">
        <v>1341</v>
      </c>
      <c r="AE786" s="23" t="str">
        <f t="shared" si="87"/>
        <v>|</v>
      </c>
      <c r="AG786" s="3" t="s">
        <v>849</v>
      </c>
    </row>
    <row r="787" spans="1:33" ht="24" customHeight="1">
      <c r="A787" s="26"/>
      <c r="B787" s="27" t="s">
        <v>1342</v>
      </c>
      <c r="C787" s="28">
        <v>324</v>
      </c>
      <c r="D787" s="39"/>
      <c r="F787" s="17">
        <v>1</v>
      </c>
      <c r="G787" s="15" t="s">
        <v>129</v>
      </c>
      <c r="H787" s="3" t="s">
        <v>1343</v>
      </c>
      <c r="I787" s="17">
        <f>I761</f>
        <v>11</v>
      </c>
      <c r="J787" s="3" t="s">
        <v>227</v>
      </c>
      <c r="K787" s="17">
        <f t="shared" si="91"/>
        <v>11</v>
      </c>
      <c r="AE787" s="23" t="str">
        <f t="shared" si="87"/>
        <v>|</v>
      </c>
      <c r="AG787" s="3" t="s">
        <v>849</v>
      </c>
    </row>
    <row r="788" spans="1:33" ht="24" customHeight="1">
      <c r="A788" s="26"/>
      <c r="B788" s="27" t="s">
        <v>1281</v>
      </c>
      <c r="C788" s="28">
        <v>382</v>
      </c>
      <c r="D788" s="39"/>
      <c r="F788" s="17">
        <v>1</v>
      </c>
      <c r="G788" s="15" t="s">
        <v>129</v>
      </c>
      <c r="H788" s="3" t="s">
        <v>1219</v>
      </c>
      <c r="I788" s="122">
        <v>10</v>
      </c>
      <c r="J788" s="3" t="s">
        <v>129</v>
      </c>
      <c r="K788" s="17">
        <f t="shared" si="91"/>
        <v>10</v>
      </c>
      <c r="N788" s="3" t="s">
        <v>122</v>
      </c>
      <c r="O788" s="3" t="s">
        <v>1344</v>
      </c>
      <c r="AE788" s="23" t="str">
        <f t="shared" si="87"/>
        <v>|</v>
      </c>
      <c r="AG788" s="3" t="s">
        <v>849</v>
      </c>
    </row>
    <row r="789" spans="1:33" ht="24" customHeight="1">
      <c r="A789" s="26"/>
      <c r="B789" s="27" t="s">
        <v>1288</v>
      </c>
      <c r="C789" s="28">
        <v>505</v>
      </c>
      <c r="D789" s="39"/>
      <c r="F789" s="17">
        <v>19</v>
      </c>
      <c r="G789" s="15" t="s">
        <v>240</v>
      </c>
      <c r="H789" s="3" t="s">
        <v>1345</v>
      </c>
      <c r="I789" s="122">
        <v>2</v>
      </c>
      <c r="J789" s="8" t="s">
        <v>240</v>
      </c>
      <c r="K789" s="17">
        <f t="shared" si="91"/>
        <v>38</v>
      </c>
      <c r="O789" s="3" t="s">
        <v>1346</v>
      </c>
      <c r="R789" s="3" t="s">
        <v>115</v>
      </c>
      <c r="AE789" s="23" t="str">
        <f t="shared" si="87"/>
        <v>|</v>
      </c>
      <c r="AG789" s="3" t="s">
        <v>849</v>
      </c>
    </row>
    <row r="790" spans="1:33" ht="24" customHeight="1">
      <c r="A790" s="26"/>
      <c r="B790" s="27" t="s">
        <v>1284</v>
      </c>
      <c r="C790" s="28">
        <v>140</v>
      </c>
      <c r="D790" s="39"/>
      <c r="H790" s="3" t="s">
        <v>1347</v>
      </c>
      <c r="O790" s="3" t="s">
        <v>1348</v>
      </c>
      <c r="AE790" s="23" t="str">
        <f t="shared" si="87"/>
        <v>|</v>
      </c>
      <c r="AG790" s="3" t="s">
        <v>849</v>
      </c>
    </row>
    <row r="791" spans="1:33" ht="24" customHeight="1">
      <c r="A791" s="26"/>
      <c r="B791" s="27" t="s">
        <v>1286</v>
      </c>
      <c r="C791" s="28">
        <v>222</v>
      </c>
      <c r="D791" s="39"/>
      <c r="K791" s="12" t="s">
        <v>117</v>
      </c>
      <c r="O791" s="12" t="s">
        <v>117</v>
      </c>
      <c r="AE791" s="23" t="str">
        <f t="shared" si="87"/>
        <v>|</v>
      </c>
      <c r="AG791" s="3" t="s">
        <v>849</v>
      </c>
    </row>
    <row r="792" spans="1:33" ht="24" customHeight="1">
      <c r="A792" s="26"/>
      <c r="B792" s="27" t="s">
        <v>1349</v>
      </c>
      <c r="C792" s="28">
        <v>100</v>
      </c>
      <c r="D792" s="39"/>
      <c r="H792" s="3" t="s">
        <v>153</v>
      </c>
      <c r="K792" s="17">
        <f>SUM(K777:K790)</f>
        <v>7663.0706399999999</v>
      </c>
      <c r="N792" s="3" t="s">
        <v>110</v>
      </c>
      <c r="O792" s="3" t="s">
        <v>1350</v>
      </c>
      <c r="P792" s="17">
        <f>(C272)</f>
        <v>300.89999999999998</v>
      </c>
      <c r="Q792" s="3" t="s">
        <v>110</v>
      </c>
      <c r="R792" s="17">
        <f>M792*P792</f>
        <v>0</v>
      </c>
      <c r="AE792" s="23" t="str">
        <f t="shared" si="87"/>
        <v>|</v>
      </c>
      <c r="AG792" s="3" t="s">
        <v>849</v>
      </c>
    </row>
    <row r="793" spans="1:33" ht="24" customHeight="1">
      <c r="A793" s="26"/>
      <c r="B793" s="27" t="s">
        <v>1351</v>
      </c>
      <c r="C793" s="28">
        <v>75</v>
      </c>
      <c r="D793" s="39"/>
      <c r="K793" s="12" t="s">
        <v>117</v>
      </c>
      <c r="R793" s="17"/>
      <c r="AE793" s="23" t="str">
        <f t="shared" si="87"/>
        <v>|</v>
      </c>
      <c r="AG793" s="3" t="s">
        <v>849</v>
      </c>
    </row>
    <row r="794" spans="1:33" ht="24" customHeight="1">
      <c r="A794" s="26"/>
      <c r="B794" s="27" t="s">
        <v>1352</v>
      </c>
      <c r="C794" s="28">
        <v>218</v>
      </c>
      <c r="D794" s="39"/>
      <c r="H794" s="3" t="s">
        <v>154</v>
      </c>
      <c r="K794" s="17">
        <f>(K792/10)</f>
        <v>766.30706399999997</v>
      </c>
      <c r="N794" s="3" t="s">
        <v>1353</v>
      </c>
      <c r="O794" s="3" t="s">
        <v>1354</v>
      </c>
      <c r="P794" s="17">
        <f>(C16)</f>
        <v>752</v>
      </c>
      <c r="Q794" s="3" t="s">
        <v>1353</v>
      </c>
      <c r="R794" s="17">
        <f>M794*P794</f>
        <v>0</v>
      </c>
      <c r="AE794" s="23" t="str">
        <f t="shared" si="87"/>
        <v>|</v>
      </c>
      <c r="AG794" s="3" t="s">
        <v>849</v>
      </c>
    </row>
    <row r="795" spans="1:33" ht="24" customHeight="1">
      <c r="A795" s="26"/>
      <c r="B795" s="27" t="s">
        <v>1355</v>
      </c>
      <c r="C795" s="28">
        <v>1854</v>
      </c>
      <c r="D795" s="39"/>
      <c r="K795" s="12" t="s">
        <v>155</v>
      </c>
      <c r="R795" s="17"/>
      <c r="AE795" s="23" t="str">
        <f t="shared" si="87"/>
        <v>|</v>
      </c>
      <c r="AG795" s="3" t="s">
        <v>849</v>
      </c>
    </row>
    <row r="796" spans="1:33" ht="24" customHeight="1">
      <c r="A796" s="26"/>
      <c r="B796" s="27" t="s">
        <v>242</v>
      </c>
      <c r="C796" s="28">
        <v>51</v>
      </c>
      <c r="D796" s="39"/>
      <c r="O796" s="3" t="s">
        <v>1356</v>
      </c>
      <c r="P796" s="112" t="s">
        <v>129</v>
      </c>
      <c r="R796" s="17">
        <v>0.64</v>
      </c>
      <c r="AE796" s="23" t="str">
        <f t="shared" si="87"/>
        <v>|</v>
      </c>
      <c r="AG796" s="3" t="s">
        <v>849</v>
      </c>
    </row>
    <row r="797" spans="1:33" ht="24" customHeight="1">
      <c r="A797" s="26"/>
      <c r="B797" s="27" t="s">
        <v>1357</v>
      </c>
      <c r="C797" s="28">
        <v>915</v>
      </c>
      <c r="D797" s="39"/>
      <c r="F797" s="4" t="s">
        <v>375</v>
      </c>
      <c r="G797" s="15" t="s">
        <v>122</v>
      </c>
      <c r="H797" s="3" t="s">
        <v>1311</v>
      </c>
      <c r="R797" s="12" t="s">
        <v>117</v>
      </c>
      <c r="AE797" s="23" t="str">
        <f t="shared" si="87"/>
        <v>|</v>
      </c>
      <c r="AG797" s="3" t="s">
        <v>849</v>
      </c>
    </row>
    <row r="798" spans="1:33" ht="24" customHeight="1">
      <c r="A798" s="26"/>
      <c r="B798" s="27" t="s">
        <v>1358</v>
      </c>
      <c r="C798" s="28">
        <v>890</v>
      </c>
      <c r="D798" s="39"/>
      <c r="H798" s="3" t="s">
        <v>1314</v>
      </c>
      <c r="O798" s="3" t="s">
        <v>1359</v>
      </c>
      <c r="R798" s="17">
        <f>SUM(R792:R796)</f>
        <v>0.64</v>
      </c>
      <c r="AE798" s="23" t="str">
        <f t="shared" si="87"/>
        <v>|</v>
      </c>
      <c r="AG798" s="3" t="s">
        <v>849</v>
      </c>
    </row>
    <row r="799" spans="1:33" ht="24" customHeight="1">
      <c r="A799" s="26"/>
      <c r="B799" s="27" t="s">
        <v>1360</v>
      </c>
      <c r="C799" s="28">
        <v>5.15</v>
      </c>
      <c r="D799" s="39"/>
      <c r="H799" s="3" t="s">
        <v>1361</v>
      </c>
      <c r="R799" s="12" t="s">
        <v>117</v>
      </c>
      <c r="U799" s="50" t="s">
        <v>1362</v>
      </c>
      <c r="AE799" s="23" t="str">
        <f t="shared" si="87"/>
        <v>|</v>
      </c>
      <c r="AG799" s="3" t="s">
        <v>849</v>
      </c>
    </row>
    <row r="800" spans="1:33" ht="24" customHeight="1">
      <c r="A800" s="26"/>
      <c r="B800" s="27" t="s">
        <v>1363</v>
      </c>
      <c r="C800" s="28">
        <v>43.3</v>
      </c>
      <c r="D800" s="39"/>
      <c r="H800" s="12" t="s">
        <v>117</v>
      </c>
      <c r="O800" s="3" t="s">
        <v>1364</v>
      </c>
      <c r="R800" s="17">
        <f>(R798/0.4)</f>
        <v>1.5999999999999999</v>
      </c>
      <c r="S800" s="9">
        <v>0.443</v>
      </c>
      <c r="T800" s="5" t="s">
        <v>642</v>
      </c>
      <c r="U800" s="5" t="s">
        <v>1365</v>
      </c>
      <c r="V800" s="5">
        <f>AC14</f>
        <v>1637.02</v>
      </c>
      <c r="X800" s="5">
        <f>V800*S800</f>
        <v>725.19985999999994</v>
      </c>
      <c r="AE800" s="23" t="str">
        <f t="shared" si="87"/>
        <v>|</v>
      </c>
      <c r="AG800" s="3" t="s">
        <v>849</v>
      </c>
    </row>
    <row r="801" spans="1:33" ht="24" customHeight="1">
      <c r="A801" s="26"/>
      <c r="B801" s="27" t="s">
        <v>1366</v>
      </c>
      <c r="C801" s="28">
        <v>920</v>
      </c>
      <c r="D801" s="39"/>
      <c r="H801" s="3" t="s">
        <v>1367</v>
      </c>
      <c r="K801" s="17">
        <f>(K732/2)</f>
        <v>392.49200000000002</v>
      </c>
      <c r="R801" s="12" t="s">
        <v>155</v>
      </c>
      <c r="S801" s="9">
        <v>0.29499999999999998</v>
      </c>
      <c r="T801" s="5" t="s">
        <v>642</v>
      </c>
      <c r="U801" s="5" t="s">
        <v>1368</v>
      </c>
      <c r="V801" s="5">
        <f>AC12</f>
        <v>1193.02</v>
      </c>
      <c r="X801" s="5">
        <f t="shared" ref="X801:X807" si="92">V801*S801</f>
        <v>351.9409</v>
      </c>
      <c r="AE801" s="23" t="str">
        <f t="shared" si="87"/>
        <v>|</v>
      </c>
      <c r="AG801" s="3" t="s">
        <v>849</v>
      </c>
    </row>
    <row r="802" spans="1:33" ht="24" customHeight="1">
      <c r="A802" s="26"/>
      <c r="B802" s="27" t="s">
        <v>1369</v>
      </c>
      <c r="C802" s="28">
        <v>98</v>
      </c>
      <c r="D802" s="39"/>
      <c r="H802" s="3" t="s">
        <v>1370</v>
      </c>
      <c r="K802" s="12" t="s">
        <v>155</v>
      </c>
      <c r="N802" s="3" t="s">
        <v>122</v>
      </c>
      <c r="O802" s="3" t="s">
        <v>1371</v>
      </c>
      <c r="S802" s="9">
        <v>0.43</v>
      </c>
      <c r="T802" s="5" t="s">
        <v>642</v>
      </c>
      <c r="U802" s="5" t="s">
        <v>1372</v>
      </c>
      <c r="V802" s="5">
        <f>I809</f>
        <v>1322.8</v>
      </c>
      <c r="X802" s="5">
        <f t="shared" si="92"/>
        <v>568.80399999999997</v>
      </c>
      <c r="AE802" s="23" t="str">
        <f t="shared" si="87"/>
        <v>|</v>
      </c>
      <c r="AG802" s="3" t="s">
        <v>849</v>
      </c>
    </row>
    <row r="803" spans="1:33" ht="24" customHeight="1">
      <c r="A803" s="26"/>
      <c r="B803" s="27" t="s">
        <v>1373</v>
      </c>
      <c r="C803" s="28">
        <v>181</v>
      </c>
      <c r="D803" s="39"/>
      <c r="F803" s="4" t="s">
        <v>1052</v>
      </c>
      <c r="G803" s="15" t="s">
        <v>122</v>
      </c>
      <c r="H803" s="3" t="s">
        <v>1374</v>
      </c>
      <c r="O803" s="3" t="s">
        <v>1375</v>
      </c>
      <c r="S803" s="9">
        <v>0.39</v>
      </c>
      <c r="T803" s="5" t="s">
        <v>1123</v>
      </c>
      <c r="U803" s="5" t="s">
        <v>1124</v>
      </c>
      <c r="V803" s="5">
        <f>I808</f>
        <v>5800</v>
      </c>
      <c r="X803" s="5">
        <f t="shared" si="92"/>
        <v>2262</v>
      </c>
      <c r="AE803" s="23" t="str">
        <f t="shared" si="87"/>
        <v>|</v>
      </c>
      <c r="AG803" s="3" t="s">
        <v>849</v>
      </c>
    </row>
    <row r="804" spans="1:33" ht="24" customHeight="1">
      <c r="A804" s="26"/>
      <c r="B804" s="27" t="s">
        <v>1376</v>
      </c>
      <c r="C804" s="28">
        <v>1148.76</v>
      </c>
      <c r="D804" s="39"/>
      <c r="H804" s="3" t="s">
        <v>1054</v>
      </c>
      <c r="O804" s="3" t="s">
        <v>1377</v>
      </c>
      <c r="S804" s="9">
        <v>0.35</v>
      </c>
      <c r="T804" s="5" t="s">
        <v>240</v>
      </c>
      <c r="U804" s="5" t="s">
        <v>1131</v>
      </c>
      <c r="V804" s="5">
        <f>I810</f>
        <v>718</v>
      </c>
      <c r="W804" s="5" t="str">
        <f>J810</f>
        <v>NO.</v>
      </c>
      <c r="X804" s="5">
        <f t="shared" si="92"/>
        <v>251.29999999999998</v>
      </c>
      <c r="AE804" s="23" t="str">
        <f t="shared" si="87"/>
        <v>|</v>
      </c>
      <c r="AG804" s="3" t="s">
        <v>849</v>
      </c>
    </row>
    <row r="805" spans="1:33" ht="24" customHeight="1">
      <c r="A805" s="26"/>
      <c r="B805" s="27" t="s">
        <v>1378</v>
      </c>
      <c r="C805" s="28">
        <v>967</v>
      </c>
      <c r="D805" s="39"/>
      <c r="H805" s="3" t="s">
        <v>1057</v>
      </c>
      <c r="O805" s="12" t="s">
        <v>117</v>
      </c>
      <c r="S805" s="9">
        <v>2.12</v>
      </c>
      <c r="T805" s="5" t="s">
        <v>240</v>
      </c>
      <c r="U805" s="5" t="s">
        <v>1134</v>
      </c>
      <c r="V805" s="5">
        <f>I811</f>
        <v>502</v>
      </c>
      <c r="X805" s="5">
        <f t="shared" si="92"/>
        <v>1064.24</v>
      </c>
      <c r="AE805" s="23" t="str">
        <f t="shared" si="87"/>
        <v>|</v>
      </c>
      <c r="AG805" s="3" t="s">
        <v>849</v>
      </c>
    </row>
    <row r="806" spans="1:33" ht="24" customHeight="1">
      <c r="A806" s="26"/>
      <c r="B806" s="27" t="s">
        <v>1379</v>
      </c>
      <c r="C806" s="123">
        <v>33.9</v>
      </c>
      <c r="D806" s="39"/>
      <c r="H806" s="12" t="s">
        <v>117</v>
      </c>
      <c r="N806" s="112" t="s">
        <v>1196</v>
      </c>
      <c r="O806" s="3" t="s">
        <v>1380</v>
      </c>
      <c r="S806" s="9">
        <v>3.53</v>
      </c>
      <c r="T806" s="5" t="s">
        <v>240</v>
      </c>
      <c r="U806" s="5" t="s">
        <v>1138</v>
      </c>
      <c r="V806" s="5">
        <f>I812</f>
        <v>412</v>
      </c>
      <c r="X806" s="5">
        <f t="shared" si="92"/>
        <v>1454.36</v>
      </c>
      <c r="AE806" s="23" t="str">
        <f t="shared" si="87"/>
        <v>|</v>
      </c>
      <c r="AG806" s="3" t="s">
        <v>849</v>
      </c>
    </row>
    <row r="807" spans="1:33" ht="24" customHeight="1">
      <c r="A807" s="26"/>
      <c r="B807" s="27" t="s">
        <v>1381</v>
      </c>
      <c r="C807" s="28">
        <v>2107</v>
      </c>
      <c r="D807" s="39"/>
      <c r="F807" s="49">
        <v>9</v>
      </c>
      <c r="G807" s="15" t="s">
        <v>126</v>
      </c>
      <c r="H807" s="3" t="s">
        <v>1382</v>
      </c>
      <c r="I807" s="17">
        <f>C73</f>
        <v>1637.02</v>
      </c>
      <c r="J807" s="3" t="s">
        <v>126</v>
      </c>
      <c r="K807" s="17">
        <f t="shared" ref="K807:K812" si="93">F807*I807</f>
        <v>14733.18</v>
      </c>
      <c r="O807" s="3" t="s">
        <v>1383</v>
      </c>
      <c r="S807" s="9">
        <v>1</v>
      </c>
      <c r="T807" s="5" t="s">
        <v>642</v>
      </c>
      <c r="U807" s="5" t="s">
        <v>1384</v>
      </c>
      <c r="V807" s="5">
        <f>K819</f>
        <v>70.7</v>
      </c>
      <c r="X807" s="5">
        <f t="shared" si="92"/>
        <v>70.7</v>
      </c>
      <c r="AE807" s="23" t="str">
        <f t="shared" si="87"/>
        <v>|</v>
      </c>
      <c r="AG807" s="3" t="s">
        <v>849</v>
      </c>
    </row>
    <row r="808" spans="1:33" ht="24" customHeight="1">
      <c r="A808" s="26"/>
      <c r="B808" s="27" t="s">
        <v>1385</v>
      </c>
      <c r="C808" s="23">
        <v>922</v>
      </c>
      <c r="D808" s="39"/>
      <c r="F808" s="49">
        <v>4.3079999999999998</v>
      </c>
      <c r="G808" s="15" t="s">
        <v>124</v>
      </c>
      <c r="H808" s="3" t="s">
        <v>125</v>
      </c>
      <c r="I808" s="17">
        <f>C67</f>
        <v>5800</v>
      </c>
      <c r="J808" s="3" t="s">
        <v>124</v>
      </c>
      <c r="K808" s="17">
        <f t="shared" si="93"/>
        <v>24986.399999999998</v>
      </c>
      <c r="N808" s="3" t="s">
        <v>1245</v>
      </c>
      <c r="O808" s="3" t="s">
        <v>1386</v>
      </c>
      <c r="P808" s="17">
        <f>C34/1000</f>
        <v>41.2</v>
      </c>
      <c r="R808" s="17" t="e">
        <f>(#VALUE!*P808)</f>
        <v>#VALUE!</v>
      </c>
      <c r="S808" s="118" t="s">
        <v>166</v>
      </c>
      <c r="U808" s="5" t="s">
        <v>1387</v>
      </c>
      <c r="V808" s="118" t="s">
        <v>166</v>
      </c>
      <c r="X808" s="5">
        <v>270</v>
      </c>
      <c r="AE808" s="23" t="str">
        <f t="shared" si="87"/>
        <v>|</v>
      </c>
      <c r="AG808" s="3" t="s">
        <v>849</v>
      </c>
    </row>
    <row r="809" spans="1:33" ht="24" customHeight="1">
      <c r="A809" s="26"/>
      <c r="B809" s="27" t="s">
        <v>1388</v>
      </c>
      <c r="C809" s="23">
        <v>636</v>
      </c>
      <c r="D809" s="39"/>
      <c r="F809" s="49">
        <v>4.5</v>
      </c>
      <c r="G809" s="15" t="s">
        <v>126</v>
      </c>
      <c r="H809" s="3" t="s">
        <v>127</v>
      </c>
      <c r="I809" s="17">
        <f>C78</f>
        <v>1322.8</v>
      </c>
      <c r="J809" s="3" t="s">
        <v>126</v>
      </c>
      <c r="K809" s="17">
        <f t="shared" si="93"/>
        <v>5952.5999999999995</v>
      </c>
      <c r="O809" s="3" t="s">
        <v>1389</v>
      </c>
      <c r="S809" s="118" t="s">
        <v>166</v>
      </c>
      <c r="U809" s="5" t="s">
        <v>1390</v>
      </c>
      <c r="V809" s="118" t="s">
        <v>166</v>
      </c>
      <c r="X809" s="5">
        <v>150</v>
      </c>
      <c r="AE809" s="23" t="str">
        <f t="shared" si="87"/>
        <v>|</v>
      </c>
      <c r="AG809" s="3" t="s">
        <v>849</v>
      </c>
    </row>
    <row r="810" spans="1:33" ht="24" customHeight="1">
      <c r="A810" s="26"/>
      <c r="B810" s="27" t="s">
        <v>1391</v>
      </c>
      <c r="C810" s="23">
        <v>497</v>
      </c>
      <c r="D810" s="39"/>
      <c r="F810" s="49">
        <v>3.5</v>
      </c>
      <c r="G810" s="15" t="s">
        <v>209</v>
      </c>
      <c r="H810" s="3" t="s">
        <v>145</v>
      </c>
      <c r="I810" s="17">
        <f>C11</f>
        <v>718</v>
      </c>
      <c r="J810" s="3" t="s">
        <v>209</v>
      </c>
      <c r="K810" s="17">
        <f t="shared" si="93"/>
        <v>2513</v>
      </c>
      <c r="O810" s="3" t="s">
        <v>1392</v>
      </c>
      <c r="S810" s="118" t="s">
        <v>166</v>
      </c>
      <c r="U810" s="5" t="s">
        <v>236</v>
      </c>
      <c r="V810" s="118" t="s">
        <v>166</v>
      </c>
      <c r="X810" s="5">
        <v>0.06</v>
      </c>
      <c r="AE810" s="23" t="str">
        <f t="shared" si="87"/>
        <v>|</v>
      </c>
      <c r="AG810" s="3" t="s">
        <v>849</v>
      </c>
    </row>
    <row r="811" spans="1:33" ht="24" customHeight="1">
      <c r="A811" s="26"/>
      <c r="B811" s="39"/>
      <c r="C811" s="39"/>
      <c r="D811" s="39"/>
      <c r="F811" s="49">
        <v>21.2</v>
      </c>
      <c r="G811" s="15" t="s">
        <v>209</v>
      </c>
      <c r="H811" s="3" t="s">
        <v>146</v>
      </c>
      <c r="I811" s="17">
        <f>C12</f>
        <v>502</v>
      </c>
      <c r="J811" s="3" t="s">
        <v>209</v>
      </c>
      <c r="K811" s="17">
        <f t="shared" si="93"/>
        <v>10642.4</v>
      </c>
      <c r="N811" s="3" t="s">
        <v>140</v>
      </c>
      <c r="O811" s="3" t="s">
        <v>1393</v>
      </c>
      <c r="P811" s="17">
        <f>C272</f>
        <v>300.89999999999998</v>
      </c>
      <c r="R811" s="17" t="e">
        <f t="shared" ref="R811:R817" si="94">(#VALUE!*P811)</f>
        <v>#VALUE!</v>
      </c>
      <c r="X811" s="50">
        <f>SUM(X800:X810)</f>
        <v>7168.6047599999993</v>
      </c>
      <c r="Y811" s="5">
        <v>59.4</v>
      </c>
      <c r="Z811" s="5">
        <v>117</v>
      </c>
      <c r="AE811" s="23" t="str">
        <f t="shared" si="87"/>
        <v>|</v>
      </c>
      <c r="AG811" s="3" t="s">
        <v>849</v>
      </c>
    </row>
    <row r="812" spans="1:33" ht="24" customHeight="1">
      <c r="A812" s="26"/>
      <c r="B812" s="27" t="s">
        <v>1394</v>
      </c>
      <c r="C812" s="39">
        <v>3.15</v>
      </c>
      <c r="D812" s="39"/>
      <c r="F812" s="49">
        <v>35.299999999999997</v>
      </c>
      <c r="G812" s="15" t="s">
        <v>209</v>
      </c>
      <c r="H812" s="3" t="s">
        <v>147</v>
      </c>
      <c r="I812" s="17">
        <f>C13</f>
        <v>412</v>
      </c>
      <c r="J812" s="3" t="s">
        <v>209</v>
      </c>
      <c r="K812" s="17">
        <f t="shared" si="93"/>
        <v>14543.599999999999</v>
      </c>
      <c r="N812" s="3" t="s">
        <v>209</v>
      </c>
      <c r="O812" s="3" t="s">
        <v>1395</v>
      </c>
      <c r="P812" s="17">
        <v>5</v>
      </c>
      <c r="R812" s="17" t="e">
        <f t="shared" si="94"/>
        <v>#VALUE!</v>
      </c>
      <c r="AE812" s="23" t="str">
        <f t="shared" si="87"/>
        <v>|</v>
      </c>
      <c r="AG812" s="3" t="s">
        <v>849</v>
      </c>
    </row>
    <row r="813" spans="1:33" ht="24" customHeight="1">
      <c r="A813" s="26"/>
      <c r="B813" s="39"/>
      <c r="C813" s="39"/>
      <c r="D813" s="39"/>
      <c r="F813" s="112" t="s">
        <v>129</v>
      </c>
      <c r="H813" s="3" t="s">
        <v>130</v>
      </c>
      <c r="J813" s="3" t="s">
        <v>129</v>
      </c>
      <c r="K813" s="17">
        <v>0</v>
      </c>
      <c r="N813" s="3" t="s">
        <v>209</v>
      </c>
      <c r="O813" s="3" t="s">
        <v>1396</v>
      </c>
      <c r="P813" s="17">
        <v>10</v>
      </c>
      <c r="R813" s="17" t="e">
        <f t="shared" si="94"/>
        <v>#VALUE!</v>
      </c>
      <c r="AE813" s="23" t="str">
        <f t="shared" ref="AE813:AE876" si="95">AG813</f>
        <v>|</v>
      </c>
      <c r="AG813" s="3" t="s">
        <v>849</v>
      </c>
    </row>
    <row r="814" spans="1:33" ht="24" customHeight="1">
      <c r="A814" s="26"/>
      <c r="B814" s="27" t="s">
        <v>1397</v>
      </c>
      <c r="C814" s="43">
        <v>10.199999999999999</v>
      </c>
      <c r="D814" s="39"/>
      <c r="K814" s="12" t="s">
        <v>117</v>
      </c>
      <c r="N814" s="3" t="s">
        <v>209</v>
      </c>
      <c r="O814" s="3" t="s">
        <v>1398</v>
      </c>
      <c r="P814" s="17">
        <v>8</v>
      </c>
      <c r="R814" s="17" t="e">
        <f t="shared" si="94"/>
        <v>#VALUE!</v>
      </c>
      <c r="U814" s="50" t="s">
        <v>1399</v>
      </c>
      <c r="AE814" s="23" t="str">
        <f t="shared" si="95"/>
        <v>|</v>
      </c>
      <c r="AG814" s="3" t="s">
        <v>849</v>
      </c>
    </row>
    <row r="815" spans="1:33" ht="24" customHeight="1">
      <c r="A815" s="26"/>
      <c r="B815" s="27" t="s">
        <v>1400</v>
      </c>
      <c r="C815" s="43">
        <v>28.5</v>
      </c>
      <c r="D815" s="39"/>
      <c r="H815" s="4" t="s">
        <v>455</v>
      </c>
      <c r="K815" s="17">
        <f>SUM(K807:K813)</f>
        <v>73371.179999999993</v>
      </c>
      <c r="N815" s="3" t="s">
        <v>231</v>
      </c>
      <c r="O815" s="3" t="s">
        <v>1401</v>
      </c>
      <c r="P815" s="17">
        <v>13.66</v>
      </c>
      <c r="R815" s="17" t="e">
        <f t="shared" si="94"/>
        <v>#VALUE!</v>
      </c>
      <c r="S815" s="9">
        <v>0.45300000000000001</v>
      </c>
      <c r="T815" s="5" t="s">
        <v>642</v>
      </c>
      <c r="U815" s="5" t="s">
        <v>1365</v>
      </c>
      <c r="V815" s="5">
        <f>V800</f>
        <v>1637.02</v>
      </c>
      <c r="X815" s="5">
        <f>V815*S815</f>
        <v>741.57006000000001</v>
      </c>
      <c r="Z815" s="5">
        <f>X826+Y811</f>
        <v>7150.0640999999996</v>
      </c>
      <c r="AE815" s="23" t="str">
        <f t="shared" si="95"/>
        <v>|</v>
      </c>
      <c r="AG815" s="3" t="s">
        <v>849</v>
      </c>
    </row>
    <row r="816" spans="1:33" ht="24" customHeight="1">
      <c r="A816" s="26"/>
      <c r="B816" s="39"/>
      <c r="C816" s="39" t="s">
        <v>1402</v>
      </c>
      <c r="D816" s="39"/>
      <c r="K816" s="12" t="s">
        <v>155</v>
      </c>
      <c r="N816" s="3" t="s">
        <v>140</v>
      </c>
      <c r="O816" s="3" t="s">
        <v>1403</v>
      </c>
      <c r="P816" s="17">
        <v>25.46</v>
      </c>
      <c r="R816" s="17" t="e">
        <f t="shared" si="94"/>
        <v>#VALUE!</v>
      </c>
      <c r="S816" s="9">
        <v>0.30199999999999999</v>
      </c>
      <c r="T816" s="5" t="s">
        <v>642</v>
      </c>
      <c r="U816" s="5" t="s">
        <v>1368</v>
      </c>
      <c r="V816" s="5">
        <f t="shared" ref="V816:V825" si="96">V801</f>
        <v>1193.02</v>
      </c>
      <c r="X816" s="5">
        <f t="shared" ref="X816:X822" si="97">V816*S816</f>
        <v>360.29203999999999</v>
      </c>
      <c r="Z816" s="5">
        <f>Z815+Z811</f>
        <v>7267.0640999999996</v>
      </c>
      <c r="AE816" s="23" t="str">
        <f t="shared" si="95"/>
        <v>|</v>
      </c>
      <c r="AG816" s="3" t="s">
        <v>849</v>
      </c>
    </row>
    <row r="817" spans="1:33" ht="24" customHeight="1">
      <c r="A817" s="124"/>
      <c r="H817" s="3" t="s">
        <v>383</v>
      </c>
      <c r="K817" s="17">
        <f>K815/10</f>
        <v>7337.1179999999995</v>
      </c>
      <c r="N817" s="3" t="s">
        <v>209</v>
      </c>
      <c r="O817" s="3" t="s">
        <v>1404</v>
      </c>
      <c r="P817" s="17">
        <v>0.5</v>
      </c>
      <c r="R817" s="17" t="e">
        <f t="shared" si="94"/>
        <v>#VALUE!</v>
      </c>
      <c r="S817" s="9">
        <v>0.44</v>
      </c>
      <c r="T817" s="5" t="s">
        <v>642</v>
      </c>
      <c r="U817" s="5" t="s">
        <v>1372</v>
      </c>
      <c r="V817" s="5">
        <f t="shared" si="96"/>
        <v>1322.8</v>
      </c>
      <c r="X817" s="5">
        <f t="shared" si="97"/>
        <v>582.03200000000004</v>
      </c>
      <c r="Z817" s="5">
        <f>Z816+Z811</f>
        <v>7384.0640999999996</v>
      </c>
      <c r="AE817" s="23" t="str">
        <f t="shared" si="95"/>
        <v>|</v>
      </c>
      <c r="AG817" s="3" t="s">
        <v>849</v>
      </c>
    </row>
    <row r="818" spans="1:33" ht="24" customHeight="1">
      <c r="A818" s="124"/>
      <c r="R818" s="17">
        <v>0.54</v>
      </c>
      <c r="S818" s="9">
        <v>0.37</v>
      </c>
      <c r="T818" s="5" t="s">
        <v>1123</v>
      </c>
      <c r="U818" s="5" t="s">
        <v>1124</v>
      </c>
      <c r="V818" s="5">
        <f t="shared" si="96"/>
        <v>5800</v>
      </c>
      <c r="X818" s="5">
        <f t="shared" si="97"/>
        <v>2146</v>
      </c>
      <c r="Z818" s="5">
        <f>Z817+Z811</f>
        <v>7501.0640999999996</v>
      </c>
      <c r="AE818" s="23" t="str">
        <f t="shared" si="95"/>
        <v>|</v>
      </c>
      <c r="AG818" s="3" t="s">
        <v>849</v>
      </c>
    </row>
    <row r="819" spans="1:33" ht="24" customHeight="1">
      <c r="A819" s="124"/>
      <c r="F819" s="17">
        <v>1</v>
      </c>
      <c r="G819" s="15" t="s">
        <v>126</v>
      </c>
      <c r="H819" s="3" t="s">
        <v>689</v>
      </c>
      <c r="I819" s="17">
        <f>C25</f>
        <v>70.7</v>
      </c>
      <c r="K819" s="17">
        <f>F819*I819</f>
        <v>70.7</v>
      </c>
      <c r="R819" s="12" t="s">
        <v>117</v>
      </c>
      <c r="S819" s="9">
        <v>0.35</v>
      </c>
      <c r="T819" s="5" t="s">
        <v>240</v>
      </c>
      <c r="U819" s="5" t="s">
        <v>1131</v>
      </c>
      <c r="V819" s="5">
        <f t="shared" si="96"/>
        <v>718</v>
      </c>
      <c r="W819" s="5">
        <f>J825</f>
        <v>0</v>
      </c>
      <c r="X819" s="5">
        <f t="shared" si="97"/>
        <v>251.29999999999998</v>
      </c>
      <c r="Z819" s="5">
        <f>Z811+Z818</f>
        <v>7618.0640999999996</v>
      </c>
      <c r="AE819" s="23" t="str">
        <f t="shared" si="95"/>
        <v>|</v>
      </c>
      <c r="AG819" s="3" t="s">
        <v>849</v>
      </c>
    </row>
    <row r="820" spans="1:33" ht="24" customHeight="1">
      <c r="A820" s="124"/>
      <c r="K820" s="12" t="s">
        <v>117</v>
      </c>
      <c r="O820" s="4" t="s">
        <v>1405</v>
      </c>
      <c r="R820" s="17" t="e">
        <f>SUM(R808:R818)</f>
        <v>#VALUE!</v>
      </c>
      <c r="S820" s="9">
        <v>2.12</v>
      </c>
      <c r="T820" s="5" t="s">
        <v>240</v>
      </c>
      <c r="U820" s="5" t="s">
        <v>1134</v>
      </c>
      <c r="V820" s="5">
        <f t="shared" si="96"/>
        <v>502</v>
      </c>
      <c r="X820" s="5">
        <f t="shared" si="97"/>
        <v>1064.24</v>
      </c>
      <c r="Z820" s="5">
        <f>Z811+Z819</f>
        <v>7735.0640999999996</v>
      </c>
      <c r="AE820" s="23" t="str">
        <f t="shared" si="95"/>
        <v>|</v>
      </c>
      <c r="AG820" s="3" t="s">
        <v>849</v>
      </c>
    </row>
    <row r="821" spans="1:33" ht="24" customHeight="1">
      <c r="K821" s="17">
        <f>SUM(K817:K819)</f>
        <v>7407.8179999999993</v>
      </c>
      <c r="S821" s="9">
        <v>3.53</v>
      </c>
      <c r="T821" s="5" t="s">
        <v>240</v>
      </c>
      <c r="U821" s="5" t="s">
        <v>1138</v>
      </c>
      <c r="V821" s="5">
        <f t="shared" si="96"/>
        <v>412</v>
      </c>
      <c r="X821" s="5">
        <f t="shared" si="97"/>
        <v>1454.36</v>
      </c>
      <c r="Z821" s="5">
        <f>Z811+Z820</f>
        <v>7852.0640999999996</v>
      </c>
      <c r="AE821" s="23" t="str">
        <f t="shared" si="95"/>
        <v>|</v>
      </c>
      <c r="AG821" s="3" t="s">
        <v>849</v>
      </c>
    </row>
    <row r="822" spans="1:33" ht="24" customHeight="1">
      <c r="A822" s="124"/>
      <c r="K822" s="12" t="s">
        <v>117</v>
      </c>
      <c r="R822" s="12" t="s">
        <v>117</v>
      </c>
      <c r="S822" s="9">
        <v>1</v>
      </c>
      <c r="T822" s="5" t="s">
        <v>642</v>
      </c>
      <c r="U822" s="5" t="s">
        <v>1384</v>
      </c>
      <c r="V822" s="5">
        <f t="shared" si="96"/>
        <v>70.7</v>
      </c>
      <c r="X822" s="5">
        <f t="shared" si="97"/>
        <v>70.7</v>
      </c>
      <c r="Z822" s="5">
        <f>Z811+Z821</f>
        <v>7969.0640999999996</v>
      </c>
      <c r="AE822" s="23" t="str">
        <f t="shared" si="95"/>
        <v>|</v>
      </c>
      <c r="AG822" s="3" t="s">
        <v>849</v>
      </c>
    </row>
    <row r="823" spans="1:33" ht="24" customHeight="1">
      <c r="A823" s="124"/>
      <c r="H823" s="3" t="s">
        <v>482</v>
      </c>
      <c r="K823" s="16">
        <f>(K821+C22)</f>
        <v>7497.7179999999989</v>
      </c>
      <c r="S823" s="118" t="s">
        <v>166</v>
      </c>
      <c r="U823" s="5" t="s">
        <v>1387</v>
      </c>
      <c r="V823" s="91" t="str">
        <f t="shared" si="96"/>
        <v>LS</v>
      </c>
      <c r="X823" s="5">
        <v>270</v>
      </c>
      <c r="Z823" s="5">
        <f>Z811+Z822</f>
        <v>8086.0640999999996</v>
      </c>
      <c r="AE823" s="23" t="str">
        <f t="shared" si="95"/>
        <v>|</v>
      </c>
      <c r="AG823" s="3" t="s">
        <v>849</v>
      </c>
    </row>
    <row r="824" spans="1:33" ht="24" customHeight="1">
      <c r="A824" s="124"/>
      <c r="H824" s="3" t="s">
        <v>486</v>
      </c>
      <c r="K824" s="16">
        <f>(K823+C23)</f>
        <v>7674.7179999999989</v>
      </c>
      <c r="N824" s="3" t="s">
        <v>1225</v>
      </c>
      <c r="O824" s="3" t="s">
        <v>1406</v>
      </c>
      <c r="S824" s="118" t="s">
        <v>166</v>
      </c>
      <c r="U824" s="5" t="s">
        <v>1390</v>
      </c>
      <c r="V824" s="91" t="str">
        <f t="shared" si="96"/>
        <v>LS</v>
      </c>
      <c r="X824" s="5">
        <v>150</v>
      </c>
      <c r="Z824" s="5">
        <f>Z811+Z823</f>
        <v>8203.0640999999996</v>
      </c>
      <c r="AE824" s="23" t="str">
        <f t="shared" si="95"/>
        <v>|</v>
      </c>
      <c r="AG824" s="3" t="s">
        <v>849</v>
      </c>
    </row>
    <row r="825" spans="1:33" ht="24" customHeight="1">
      <c r="A825" s="124"/>
      <c r="H825" s="3" t="s">
        <v>489</v>
      </c>
      <c r="K825" s="16">
        <f>(K824+C24)</f>
        <v>7851.7179999999989</v>
      </c>
      <c r="O825" s="3" t="s">
        <v>1383</v>
      </c>
      <c r="S825" s="118" t="s">
        <v>166</v>
      </c>
      <c r="U825" s="5" t="s">
        <v>236</v>
      </c>
      <c r="V825" s="91" t="str">
        <f t="shared" si="96"/>
        <v>LS</v>
      </c>
      <c r="X825" s="5">
        <v>0.17</v>
      </c>
      <c r="AE825" s="23" t="str">
        <f t="shared" si="95"/>
        <v>|</v>
      </c>
      <c r="AG825" s="3" t="s">
        <v>849</v>
      </c>
    </row>
    <row r="826" spans="1:33" ht="24" customHeight="1">
      <c r="A826" s="124"/>
      <c r="H826" s="3" t="s">
        <v>491</v>
      </c>
      <c r="K826" s="16">
        <f>(K825+C24)</f>
        <v>8028.7179999999989</v>
      </c>
      <c r="N826" s="3" t="s">
        <v>1245</v>
      </c>
      <c r="O826" s="3" t="s">
        <v>1386</v>
      </c>
      <c r="P826" s="17">
        <f>P808</f>
        <v>41.2</v>
      </c>
      <c r="R826" s="17" t="e">
        <f>(#VALUE!*P826)</f>
        <v>#VALUE!</v>
      </c>
      <c r="X826" s="50">
        <f>SUM(X815:X825)</f>
        <v>7090.6641</v>
      </c>
      <c r="AE826" s="23" t="str">
        <f t="shared" si="95"/>
        <v>|</v>
      </c>
      <c r="AG826" s="3" t="s">
        <v>849</v>
      </c>
    </row>
    <row r="827" spans="1:33" ht="24" customHeight="1">
      <c r="H827" s="3" t="s">
        <v>576</v>
      </c>
      <c r="K827" s="16">
        <f>(K826+C24)</f>
        <v>8205.7179999999989</v>
      </c>
      <c r="O827" s="3" t="s">
        <v>1389</v>
      </c>
      <c r="AE827" s="23" t="str">
        <f t="shared" si="95"/>
        <v>|</v>
      </c>
      <c r="AG827" s="3" t="s">
        <v>849</v>
      </c>
    </row>
    <row r="828" spans="1:33" ht="24" customHeight="1">
      <c r="H828" s="3">
        <v>5</v>
      </c>
      <c r="K828" s="16">
        <f>(K827+C24)</f>
        <v>8382.7179999999989</v>
      </c>
      <c r="O828" s="3"/>
      <c r="AE828" s="23">
        <f>SUM(AE681:AE685)</f>
        <v>8206.1</v>
      </c>
      <c r="AG828" s="3"/>
    </row>
    <row r="829" spans="1:33" ht="24" customHeight="1">
      <c r="H829" s="3">
        <v>6</v>
      </c>
      <c r="K829" s="16">
        <f>(K828+C24)</f>
        <v>8559.7179999999989</v>
      </c>
      <c r="O829" s="3"/>
      <c r="AE829" s="23"/>
      <c r="AG829" s="3"/>
    </row>
    <row r="830" spans="1:33" ht="24" customHeight="1">
      <c r="H830" s="3">
        <v>7</v>
      </c>
      <c r="K830" s="16">
        <f>(K829+C24)</f>
        <v>8736.7179999999989</v>
      </c>
      <c r="O830" s="3"/>
      <c r="AE830" s="23"/>
      <c r="AG830" s="3"/>
    </row>
    <row r="831" spans="1:33" ht="24" customHeight="1">
      <c r="H831" s="3">
        <v>8</v>
      </c>
      <c r="K831" s="16">
        <f>(K830+C24)</f>
        <v>8913.7179999999989</v>
      </c>
      <c r="O831" s="3"/>
      <c r="AE831" s="23"/>
      <c r="AG831" s="3"/>
    </row>
    <row r="832" spans="1:33" ht="24" customHeight="1">
      <c r="H832" s="3">
        <v>9</v>
      </c>
      <c r="K832" s="16">
        <f>(K831+C24)</f>
        <v>9090.7179999999989</v>
      </c>
      <c r="O832" s="3"/>
      <c r="AE832" s="23"/>
      <c r="AG832" s="3"/>
    </row>
    <row r="833" spans="6:33" ht="24" customHeight="1">
      <c r="H833" s="3">
        <v>10</v>
      </c>
      <c r="K833" s="16">
        <f>(K832+C24)</f>
        <v>9267.7179999999989</v>
      </c>
      <c r="O833" s="3"/>
      <c r="AE833" s="23"/>
      <c r="AG833" s="3"/>
    </row>
    <row r="834" spans="6:33" ht="24" customHeight="1">
      <c r="H834" s="3">
        <v>11</v>
      </c>
      <c r="K834" s="16">
        <f>(K833+C24)</f>
        <v>9444.7179999999989</v>
      </c>
      <c r="O834" s="3"/>
      <c r="AE834" s="23"/>
      <c r="AG834" s="3"/>
    </row>
    <row r="835" spans="6:33" ht="24" customHeight="1">
      <c r="H835" s="3">
        <v>12</v>
      </c>
      <c r="K835" s="16">
        <f>(K834+C24)</f>
        <v>9621.7179999999989</v>
      </c>
      <c r="O835" s="3"/>
      <c r="AE835" s="23"/>
      <c r="AG835" s="3"/>
    </row>
    <row r="836" spans="6:33" ht="24" customHeight="1">
      <c r="H836" s="3"/>
      <c r="K836" s="16"/>
      <c r="O836" s="3"/>
      <c r="AE836" s="23"/>
      <c r="AG836" s="3"/>
    </row>
    <row r="837" spans="6:33" ht="24" customHeight="1">
      <c r="F837" s="3" t="s">
        <v>115</v>
      </c>
      <c r="O837" s="3" t="s">
        <v>1392</v>
      </c>
      <c r="AE837" s="23" t="str">
        <f t="shared" si="95"/>
        <v>|</v>
      </c>
      <c r="AG837" s="3" t="s">
        <v>849</v>
      </c>
    </row>
    <row r="838" spans="6:33" ht="24" customHeight="1">
      <c r="F838" s="3" t="s">
        <v>115</v>
      </c>
      <c r="G838" s="15" t="s">
        <v>122</v>
      </c>
      <c r="H838" s="4" t="s">
        <v>1407</v>
      </c>
      <c r="N838" s="3" t="s">
        <v>140</v>
      </c>
      <c r="O838" s="3" t="s">
        <v>1408</v>
      </c>
      <c r="P838" s="17">
        <f>C272</f>
        <v>300.89999999999998</v>
      </c>
      <c r="R838" s="17" t="e">
        <f t="shared" ref="R838:R844" si="98">(#VALUE!*P838)</f>
        <v>#VALUE!</v>
      </c>
      <c r="AE838" s="23" t="str">
        <f t="shared" si="95"/>
        <v>|</v>
      </c>
      <c r="AG838" s="3" t="s">
        <v>849</v>
      </c>
    </row>
    <row r="839" spans="6:33" ht="24" customHeight="1">
      <c r="H839" s="12" t="s">
        <v>155</v>
      </c>
      <c r="N839" s="3" t="s">
        <v>209</v>
      </c>
      <c r="O839" s="3" t="s">
        <v>1395</v>
      </c>
      <c r="P839" s="17">
        <v>5</v>
      </c>
      <c r="R839" s="17" t="e">
        <f t="shared" si="98"/>
        <v>#VALUE!</v>
      </c>
      <c r="AE839" s="23" t="str">
        <f t="shared" si="95"/>
        <v>|</v>
      </c>
      <c r="AG839" s="3" t="s">
        <v>849</v>
      </c>
    </row>
    <row r="840" spans="6:33" ht="24" customHeight="1">
      <c r="N840" s="3" t="s">
        <v>209</v>
      </c>
      <c r="O840" s="3" t="s">
        <v>1396</v>
      </c>
      <c r="P840" s="17">
        <v>10</v>
      </c>
      <c r="R840" s="17" t="e">
        <f t="shared" si="98"/>
        <v>#VALUE!</v>
      </c>
      <c r="AE840" s="23" t="str">
        <f t="shared" si="95"/>
        <v>|</v>
      </c>
      <c r="AG840" s="3" t="s">
        <v>849</v>
      </c>
    </row>
    <row r="841" spans="6:33" ht="24" customHeight="1">
      <c r="F841" s="4" t="s">
        <v>1409</v>
      </c>
      <c r="G841" s="15" t="s">
        <v>122</v>
      </c>
      <c r="H841" s="3" t="s">
        <v>1410</v>
      </c>
      <c r="N841" s="3" t="s">
        <v>209</v>
      </c>
      <c r="O841" s="3" t="s">
        <v>1398</v>
      </c>
      <c r="P841" s="17">
        <v>8</v>
      </c>
      <c r="R841" s="17" t="e">
        <f t="shared" si="98"/>
        <v>#VALUE!</v>
      </c>
      <c r="AE841" s="23" t="str">
        <f t="shared" si="95"/>
        <v>|</v>
      </c>
      <c r="AG841" s="3" t="s">
        <v>849</v>
      </c>
    </row>
    <row r="842" spans="6:33" ht="24" customHeight="1">
      <c r="H842" s="3" t="s">
        <v>1411</v>
      </c>
      <c r="N842" s="3" t="s">
        <v>231</v>
      </c>
      <c r="O842" s="3" t="s">
        <v>1401</v>
      </c>
      <c r="P842" s="17">
        <v>13.66</v>
      </c>
      <c r="R842" s="17" t="e">
        <f t="shared" si="98"/>
        <v>#VALUE!</v>
      </c>
      <c r="AE842" s="23" t="str">
        <f t="shared" si="95"/>
        <v>|</v>
      </c>
      <c r="AG842" s="3" t="s">
        <v>849</v>
      </c>
    </row>
    <row r="843" spans="6:33" ht="24" customHeight="1">
      <c r="H843" s="3" t="s">
        <v>1412</v>
      </c>
      <c r="N843" s="3" t="s">
        <v>140</v>
      </c>
      <c r="O843" s="3" t="s">
        <v>1403</v>
      </c>
      <c r="P843" s="17">
        <v>25.46</v>
      </c>
      <c r="R843" s="17" t="e">
        <f t="shared" si="98"/>
        <v>#VALUE!</v>
      </c>
      <c r="AE843" s="23" t="str">
        <f t="shared" si="95"/>
        <v>|::</v>
      </c>
      <c r="AG843" s="3" t="s">
        <v>636</v>
      </c>
    </row>
    <row r="844" spans="6:33" ht="24" customHeight="1">
      <c r="H844" s="3" t="s">
        <v>1413</v>
      </c>
      <c r="N844" s="3" t="s">
        <v>209</v>
      </c>
      <c r="O844" s="3" t="s">
        <v>1404</v>
      </c>
      <c r="P844" s="17">
        <v>0.5</v>
      </c>
      <c r="R844" s="17" t="e">
        <f t="shared" si="98"/>
        <v>#VALUE!</v>
      </c>
      <c r="AE844" s="23">
        <f t="shared" si="95"/>
        <v>0</v>
      </c>
    </row>
    <row r="845" spans="6:33" ht="24" customHeight="1">
      <c r="H845" s="3" t="s">
        <v>1414</v>
      </c>
      <c r="R845" s="17">
        <v>0.7</v>
      </c>
      <c r="AE845" s="23">
        <f t="shared" si="95"/>
        <v>0</v>
      </c>
    </row>
    <row r="846" spans="6:33" ht="24" customHeight="1">
      <c r="H846" s="3" t="s">
        <v>1415</v>
      </c>
      <c r="R846" s="12" t="s">
        <v>117</v>
      </c>
      <c r="AE846" s="23">
        <f t="shared" si="95"/>
        <v>0</v>
      </c>
    </row>
    <row r="847" spans="6:33" ht="24" customHeight="1">
      <c r="H847" s="3" t="s">
        <v>1416</v>
      </c>
      <c r="O847" s="4" t="s">
        <v>1405</v>
      </c>
      <c r="R847" s="17" t="e">
        <f>SUM(R826:R845)</f>
        <v>#VALUE!</v>
      </c>
      <c r="AE847" s="23" t="str">
        <f t="shared" si="95"/>
        <v>|</v>
      </c>
      <c r="AG847" s="3" t="s">
        <v>849</v>
      </c>
    </row>
    <row r="848" spans="6:33" ht="24" customHeight="1">
      <c r="H848" s="3" t="s">
        <v>1417</v>
      </c>
      <c r="O848" s="5" t="s">
        <v>115</v>
      </c>
      <c r="R848" s="12" t="s">
        <v>117</v>
      </c>
      <c r="AE848" s="23" t="str">
        <f t="shared" si="95"/>
        <v>|</v>
      </c>
      <c r="AG848" s="3" t="s">
        <v>849</v>
      </c>
    </row>
    <row r="849" spans="6:33" ht="24" customHeight="1">
      <c r="H849" s="3" t="s">
        <v>1418</v>
      </c>
      <c r="O849" s="50" t="s">
        <v>1419</v>
      </c>
      <c r="R849" s="12"/>
      <c r="AE849" s="23" t="str">
        <f t="shared" si="95"/>
        <v>|</v>
      </c>
      <c r="AG849" s="3" t="s">
        <v>849</v>
      </c>
    </row>
    <row r="850" spans="6:33" ht="24" customHeight="1">
      <c r="H850" s="3" t="s">
        <v>1420</v>
      </c>
      <c r="O850" s="4" t="s">
        <v>1421</v>
      </c>
      <c r="R850" s="12"/>
      <c r="AE850" s="23" t="str">
        <f t="shared" si="95"/>
        <v>|</v>
      </c>
      <c r="AG850" s="3" t="s">
        <v>849</v>
      </c>
    </row>
    <row r="851" spans="6:33" ht="24" customHeight="1">
      <c r="H851" s="3" t="s">
        <v>1422</v>
      </c>
      <c r="R851" s="12"/>
      <c r="AE851" s="23" t="str">
        <f t="shared" si="95"/>
        <v>|</v>
      </c>
      <c r="AG851" s="3" t="s">
        <v>849</v>
      </c>
    </row>
    <row r="852" spans="6:33" ht="24" customHeight="1">
      <c r="H852" s="3" t="s">
        <v>1423</v>
      </c>
      <c r="M852" s="80">
        <v>6.5000000000000002E-2</v>
      </c>
      <c r="N852" s="15" t="s">
        <v>126</v>
      </c>
      <c r="O852" s="3" t="s">
        <v>1424</v>
      </c>
      <c r="P852" s="17">
        <f>I859</f>
        <v>6673.2028140000002</v>
      </c>
      <c r="Q852" s="3" t="s">
        <v>126</v>
      </c>
      <c r="R852" s="17">
        <f>P852*M852</f>
        <v>433.75818291000002</v>
      </c>
      <c r="AE852" s="23" t="str">
        <f t="shared" si="95"/>
        <v>|</v>
      </c>
      <c r="AG852" s="3" t="s">
        <v>849</v>
      </c>
    </row>
    <row r="853" spans="6:33" ht="24" customHeight="1">
      <c r="H853" s="3" t="s">
        <v>1425</v>
      </c>
      <c r="M853" s="125">
        <v>8.4499999999999993</v>
      </c>
      <c r="N853" s="15" t="s">
        <v>148</v>
      </c>
      <c r="O853" s="3" t="s">
        <v>1426</v>
      </c>
      <c r="P853" s="17">
        <f t="shared" ref="P853:P862" si="99">I860</f>
        <v>68782.5</v>
      </c>
      <c r="Q853" s="3" t="s">
        <v>124</v>
      </c>
      <c r="R853" s="17">
        <f>P853*M853/1000</f>
        <v>581.21212500000001</v>
      </c>
      <c r="AE853" s="23" t="str">
        <f t="shared" si="95"/>
        <v>|</v>
      </c>
      <c r="AG853" s="3" t="s">
        <v>849</v>
      </c>
    </row>
    <row r="854" spans="6:33" ht="24" customHeight="1">
      <c r="H854" s="3" t="s">
        <v>1427</v>
      </c>
      <c r="M854" s="17">
        <v>3</v>
      </c>
      <c r="N854" s="15" t="s">
        <v>209</v>
      </c>
      <c r="O854" s="3" t="s">
        <v>1428</v>
      </c>
      <c r="P854" s="17">
        <f t="shared" si="99"/>
        <v>14.8</v>
      </c>
      <c r="Q854" s="3" t="s">
        <v>209</v>
      </c>
      <c r="R854" s="17">
        <f t="shared" ref="R854:R861" si="100">P854*M854</f>
        <v>44.400000000000006</v>
      </c>
      <c r="AE854" s="23" t="str">
        <f t="shared" si="95"/>
        <v>|</v>
      </c>
      <c r="AG854" s="3" t="s">
        <v>849</v>
      </c>
    </row>
    <row r="855" spans="6:33" ht="24" customHeight="1">
      <c r="M855" s="17">
        <v>12</v>
      </c>
      <c r="N855" s="15" t="s">
        <v>209</v>
      </c>
      <c r="O855" s="3" t="s">
        <v>1429</v>
      </c>
      <c r="P855" s="17">
        <f t="shared" si="99"/>
        <v>2</v>
      </c>
      <c r="Q855" s="3" t="s">
        <v>209</v>
      </c>
      <c r="R855" s="17">
        <f t="shared" si="100"/>
        <v>24</v>
      </c>
      <c r="AE855" s="23" t="str">
        <f t="shared" si="95"/>
        <v>|</v>
      </c>
      <c r="AG855" s="3" t="s">
        <v>849</v>
      </c>
    </row>
    <row r="856" spans="6:33" ht="24" customHeight="1">
      <c r="M856" s="17">
        <v>2</v>
      </c>
      <c r="N856" s="15" t="s">
        <v>209</v>
      </c>
      <c r="O856" s="3" t="s">
        <v>1430</v>
      </c>
      <c r="P856" s="17">
        <f t="shared" si="99"/>
        <v>4.9000000000000004</v>
      </c>
      <c r="Q856" s="3" t="s">
        <v>209</v>
      </c>
      <c r="R856" s="17">
        <f t="shared" si="100"/>
        <v>9.8000000000000007</v>
      </c>
      <c r="AE856" s="23" t="str">
        <f t="shared" si="95"/>
        <v>|</v>
      </c>
      <c r="AG856" s="3" t="s">
        <v>849</v>
      </c>
    </row>
    <row r="857" spans="6:33" ht="24" customHeight="1">
      <c r="G857" s="15" t="s">
        <v>1258</v>
      </c>
      <c r="H857" s="4" t="s">
        <v>1431</v>
      </c>
      <c r="M857" s="17">
        <v>6</v>
      </c>
      <c r="N857" s="15" t="s">
        <v>209</v>
      </c>
      <c r="O857" s="3" t="s">
        <v>1432</v>
      </c>
      <c r="P857" s="17">
        <f t="shared" si="99"/>
        <v>4.45</v>
      </c>
      <c r="Q857" s="3" t="s">
        <v>209</v>
      </c>
      <c r="R857" s="17">
        <f t="shared" si="100"/>
        <v>26.700000000000003</v>
      </c>
      <c r="S857" s="5"/>
      <c r="T857" s="15" t="s">
        <v>1258</v>
      </c>
      <c r="U857" s="4" t="s">
        <v>1433</v>
      </c>
      <c r="W857" s="8"/>
      <c r="AE857" s="23" t="str">
        <f t="shared" si="95"/>
        <v>|</v>
      </c>
      <c r="AG857" s="3" t="s">
        <v>849</v>
      </c>
    </row>
    <row r="858" spans="6:33" ht="24" customHeight="1">
      <c r="H858" s="4" t="s">
        <v>1434</v>
      </c>
      <c r="M858" s="17">
        <v>1</v>
      </c>
      <c r="N858" s="15" t="s">
        <v>209</v>
      </c>
      <c r="O858" s="3" t="s">
        <v>1435</v>
      </c>
      <c r="P858" s="17">
        <f t="shared" si="99"/>
        <v>769</v>
      </c>
      <c r="Q858" s="3" t="s">
        <v>209</v>
      </c>
      <c r="R858" s="17">
        <f t="shared" si="100"/>
        <v>769</v>
      </c>
      <c r="S858" s="5"/>
      <c r="T858" s="6"/>
      <c r="U858" s="4" t="s">
        <v>1434</v>
      </c>
      <c r="W858" s="8"/>
      <c r="AE858" s="23" t="str">
        <f t="shared" si="95"/>
        <v>|</v>
      </c>
      <c r="AG858" s="3" t="s">
        <v>849</v>
      </c>
    </row>
    <row r="859" spans="6:33" ht="24" customHeight="1">
      <c r="F859" s="80">
        <v>3.8100000000000002E-2</v>
      </c>
      <c r="G859" s="15" t="s">
        <v>126</v>
      </c>
      <c r="H859" s="3" t="s">
        <v>1424</v>
      </c>
      <c r="I859" s="17">
        <f>I877</f>
        <v>6673.2028140000002</v>
      </c>
      <c r="J859" s="3" t="s">
        <v>126</v>
      </c>
      <c r="K859" s="17">
        <f>F859*I859</f>
        <v>254.24902721340001</v>
      </c>
      <c r="M859" s="17">
        <v>1</v>
      </c>
      <c r="N859" s="15" t="s">
        <v>209</v>
      </c>
      <c r="O859" s="3" t="s">
        <v>1436</v>
      </c>
      <c r="P859" s="17">
        <f t="shared" si="99"/>
        <v>502</v>
      </c>
      <c r="Q859" s="3" t="s">
        <v>209</v>
      </c>
      <c r="R859" s="17">
        <f t="shared" si="100"/>
        <v>502</v>
      </c>
      <c r="S859" s="80">
        <v>4.9500000000000002E-2</v>
      </c>
      <c r="T859" s="15" t="s">
        <v>126</v>
      </c>
      <c r="U859" s="3" t="s">
        <v>1424</v>
      </c>
      <c r="V859" s="17">
        <f>I859</f>
        <v>6673.2028140000002</v>
      </c>
      <c r="W859" s="3" t="s">
        <v>126</v>
      </c>
      <c r="X859" s="17">
        <f>S859*V859</f>
        <v>330.32353929300001</v>
      </c>
      <c r="AE859" s="23" t="str">
        <f t="shared" si="95"/>
        <v>|</v>
      </c>
      <c r="AG859" s="3" t="s">
        <v>849</v>
      </c>
    </row>
    <row r="860" spans="6:33" ht="24" customHeight="1">
      <c r="F860" s="126">
        <v>5.01</v>
      </c>
      <c r="G860" s="15" t="s">
        <v>148</v>
      </c>
      <c r="H860" s="3" t="s">
        <v>1426</v>
      </c>
      <c r="I860" s="17">
        <f>I878</f>
        <v>68782.5</v>
      </c>
      <c r="J860" s="3" t="s">
        <v>124</v>
      </c>
      <c r="K860" s="17">
        <f>F860*I860/1000</f>
        <v>344.600325</v>
      </c>
      <c r="M860" s="17">
        <v>1</v>
      </c>
      <c r="N860" s="15" t="s">
        <v>209</v>
      </c>
      <c r="O860" s="3" t="s">
        <v>1437</v>
      </c>
      <c r="P860" s="17">
        <f t="shared" si="99"/>
        <v>25</v>
      </c>
      <c r="Q860" s="3" t="s">
        <v>209</v>
      </c>
      <c r="R860" s="17">
        <f t="shared" si="100"/>
        <v>25</v>
      </c>
      <c r="S860" s="126">
        <v>5.66</v>
      </c>
      <c r="T860" s="15" t="s">
        <v>148</v>
      </c>
      <c r="U860" s="3" t="s">
        <v>1426</v>
      </c>
      <c r="V860" s="17">
        <f t="shared" ref="V860:V868" si="101">I860</f>
        <v>68782.5</v>
      </c>
      <c r="W860" s="3" t="s">
        <v>124</v>
      </c>
      <c r="X860" s="17">
        <f>S860*V860/1000</f>
        <v>389.30895000000004</v>
      </c>
      <c r="AE860" s="23" t="str">
        <f t="shared" si="95"/>
        <v>|</v>
      </c>
      <c r="AG860" s="3" t="s">
        <v>849</v>
      </c>
    </row>
    <row r="861" spans="6:33" ht="24" customHeight="1">
      <c r="F861" s="17">
        <v>3</v>
      </c>
      <c r="G861" s="15" t="s">
        <v>209</v>
      </c>
      <c r="H861" s="3" t="s">
        <v>1428</v>
      </c>
      <c r="I861" s="78">
        <v>14.8</v>
      </c>
      <c r="J861" s="3" t="s">
        <v>209</v>
      </c>
      <c r="K861" s="17">
        <f t="shared" ref="K861:K868" si="102">F861*I861</f>
        <v>44.400000000000006</v>
      </c>
      <c r="M861" s="17">
        <v>0.5</v>
      </c>
      <c r="N861" s="15" t="s">
        <v>209</v>
      </c>
      <c r="O861" s="3" t="s">
        <v>1438</v>
      </c>
      <c r="P861" s="17">
        <f t="shared" si="99"/>
        <v>412</v>
      </c>
      <c r="Q861" s="3" t="s">
        <v>209</v>
      </c>
      <c r="R861" s="17">
        <f t="shared" si="100"/>
        <v>206</v>
      </c>
      <c r="S861" s="17">
        <v>3</v>
      </c>
      <c r="T861" s="15" t="s">
        <v>209</v>
      </c>
      <c r="U861" s="3" t="s">
        <v>1428</v>
      </c>
      <c r="V861" s="17">
        <f t="shared" si="101"/>
        <v>14.8</v>
      </c>
      <c r="W861" s="3" t="s">
        <v>209</v>
      </c>
      <c r="X861" s="17">
        <f t="shared" ref="X861:X868" si="103">S861*V861</f>
        <v>44.400000000000006</v>
      </c>
      <c r="AE861" s="23" t="str">
        <f t="shared" si="95"/>
        <v>|</v>
      </c>
      <c r="AG861" s="3" t="s">
        <v>849</v>
      </c>
    </row>
    <row r="862" spans="6:33" ht="24" customHeight="1">
      <c r="F862" s="17">
        <v>12</v>
      </c>
      <c r="G862" s="15" t="s">
        <v>209</v>
      </c>
      <c r="H862" s="3" t="s">
        <v>1429</v>
      </c>
      <c r="I862" s="78">
        <v>2</v>
      </c>
      <c r="J862" s="3" t="s">
        <v>209</v>
      </c>
      <c r="K862" s="17">
        <f t="shared" si="102"/>
        <v>24</v>
      </c>
      <c r="N862" s="15" t="s">
        <v>129</v>
      </c>
      <c r="O862" s="3" t="s">
        <v>1439</v>
      </c>
      <c r="P862" s="17">
        <f t="shared" si="99"/>
        <v>0</v>
      </c>
      <c r="Q862" s="3" t="s">
        <v>129</v>
      </c>
      <c r="R862" s="17">
        <v>2.1</v>
      </c>
      <c r="S862" s="17">
        <v>12</v>
      </c>
      <c r="T862" s="15" t="s">
        <v>209</v>
      </c>
      <c r="U862" s="3" t="s">
        <v>1429</v>
      </c>
      <c r="V862" s="17">
        <f t="shared" si="101"/>
        <v>2</v>
      </c>
      <c r="W862" s="3" t="s">
        <v>209</v>
      </c>
      <c r="X862" s="17">
        <f t="shared" si="103"/>
        <v>24</v>
      </c>
      <c r="AE862" s="23" t="str">
        <f t="shared" si="95"/>
        <v>|</v>
      </c>
      <c r="AG862" s="3" t="s">
        <v>849</v>
      </c>
    </row>
    <row r="863" spans="6:33" ht="24" customHeight="1">
      <c r="F863" s="17">
        <v>2</v>
      </c>
      <c r="G863" s="15" t="s">
        <v>209</v>
      </c>
      <c r="H863" s="3" t="s">
        <v>1430</v>
      </c>
      <c r="I863" s="78">
        <v>4.9000000000000004</v>
      </c>
      <c r="J863" s="3" t="s">
        <v>209</v>
      </c>
      <c r="K863" s="17">
        <f t="shared" si="102"/>
        <v>9.8000000000000007</v>
      </c>
      <c r="N863" s="6"/>
      <c r="Q863" s="8"/>
      <c r="R863" s="12" t="s">
        <v>117</v>
      </c>
      <c r="S863" s="17">
        <v>2</v>
      </c>
      <c r="T863" s="15" t="s">
        <v>209</v>
      </c>
      <c r="U863" s="3" t="s">
        <v>1430</v>
      </c>
      <c r="V863" s="17">
        <f t="shared" si="101"/>
        <v>4.9000000000000004</v>
      </c>
      <c r="W863" s="3" t="s">
        <v>209</v>
      </c>
      <c r="X863" s="17">
        <f t="shared" si="103"/>
        <v>9.8000000000000007</v>
      </c>
      <c r="AE863" s="23" t="str">
        <f t="shared" si="95"/>
        <v>|</v>
      </c>
      <c r="AG863" s="3" t="s">
        <v>849</v>
      </c>
    </row>
    <row r="864" spans="6:33" ht="24" customHeight="1">
      <c r="F864" s="17">
        <v>6</v>
      </c>
      <c r="G864" s="15" t="s">
        <v>209</v>
      </c>
      <c r="H864" s="3" t="s">
        <v>1432</v>
      </c>
      <c r="I864" s="78">
        <v>4.45</v>
      </c>
      <c r="J864" s="3" t="s">
        <v>209</v>
      </c>
      <c r="K864" s="17">
        <f t="shared" si="102"/>
        <v>26.700000000000003</v>
      </c>
      <c r="N864" s="6"/>
      <c r="O864" s="19" t="s">
        <v>1440</v>
      </c>
      <c r="Q864" s="8"/>
      <c r="R864" s="74">
        <f>SUM(R852:R862)</f>
        <v>2623.97030791</v>
      </c>
      <c r="S864" s="17">
        <v>6</v>
      </c>
      <c r="T864" s="15" t="s">
        <v>209</v>
      </c>
      <c r="U864" s="3" t="s">
        <v>1432</v>
      </c>
      <c r="V864" s="17">
        <f t="shared" si="101"/>
        <v>4.45</v>
      </c>
      <c r="W864" s="3" t="s">
        <v>209</v>
      </c>
      <c r="X864" s="17">
        <f t="shared" si="103"/>
        <v>26.700000000000003</v>
      </c>
      <c r="AE864" s="23" t="str">
        <f t="shared" si="95"/>
        <v>|</v>
      </c>
      <c r="AG864" s="3" t="s">
        <v>849</v>
      </c>
    </row>
    <row r="865" spans="2:33" ht="24" customHeight="1">
      <c r="F865" s="17">
        <v>1</v>
      </c>
      <c r="G865" s="15" t="s">
        <v>209</v>
      </c>
      <c r="H865" s="3" t="s">
        <v>1435</v>
      </c>
      <c r="I865" s="17">
        <f>C10</f>
        <v>769</v>
      </c>
      <c r="J865" s="3" t="s">
        <v>209</v>
      </c>
      <c r="K865" s="17">
        <f t="shared" si="102"/>
        <v>769</v>
      </c>
      <c r="N865" s="6"/>
      <c r="Q865" s="8"/>
      <c r="R865" s="12" t="s">
        <v>117</v>
      </c>
      <c r="S865" s="17">
        <v>1</v>
      </c>
      <c r="T865" s="15" t="s">
        <v>209</v>
      </c>
      <c r="U865" s="3" t="s">
        <v>1435</v>
      </c>
      <c r="V865" s="17">
        <f t="shared" si="101"/>
        <v>769</v>
      </c>
      <c r="W865" s="3" t="s">
        <v>209</v>
      </c>
      <c r="X865" s="17">
        <f t="shared" si="103"/>
        <v>769</v>
      </c>
      <c r="AE865" s="23">
        <f t="shared" si="95"/>
        <v>0</v>
      </c>
      <c r="AG865" s="3"/>
    </row>
    <row r="866" spans="2:33" ht="24" customHeight="1">
      <c r="F866" s="17">
        <v>1</v>
      </c>
      <c r="G866" s="15" t="s">
        <v>209</v>
      </c>
      <c r="H866" s="3" t="s">
        <v>1436</v>
      </c>
      <c r="I866" s="17">
        <f>C12</f>
        <v>502</v>
      </c>
      <c r="J866" s="3" t="s">
        <v>209</v>
      </c>
      <c r="K866" s="17">
        <f t="shared" si="102"/>
        <v>502</v>
      </c>
      <c r="S866" s="17">
        <v>1</v>
      </c>
      <c r="T866" s="15" t="s">
        <v>209</v>
      </c>
      <c r="U866" s="3" t="s">
        <v>1436</v>
      </c>
      <c r="V866" s="17">
        <f t="shared" si="101"/>
        <v>502</v>
      </c>
      <c r="W866" s="3" t="s">
        <v>209</v>
      </c>
      <c r="X866" s="17">
        <f t="shared" si="103"/>
        <v>502</v>
      </c>
      <c r="AE866" s="23">
        <f t="shared" si="95"/>
        <v>0</v>
      </c>
      <c r="AG866" s="3"/>
    </row>
    <row r="867" spans="2:33" ht="24" customHeight="1">
      <c r="F867" s="17">
        <v>1</v>
      </c>
      <c r="G867" s="15" t="s">
        <v>209</v>
      </c>
      <c r="H867" s="3" t="s">
        <v>1437</v>
      </c>
      <c r="I867" s="78">
        <v>25</v>
      </c>
      <c r="J867" s="3" t="s">
        <v>209</v>
      </c>
      <c r="K867" s="17">
        <f t="shared" si="102"/>
        <v>25</v>
      </c>
      <c r="R867" s="12"/>
      <c r="S867" s="17">
        <v>1</v>
      </c>
      <c r="T867" s="15" t="s">
        <v>209</v>
      </c>
      <c r="U867" s="3" t="s">
        <v>1437</v>
      </c>
      <c r="V867" s="17">
        <f t="shared" si="101"/>
        <v>25</v>
      </c>
      <c r="W867" s="3" t="s">
        <v>209</v>
      </c>
      <c r="X867" s="17">
        <f t="shared" si="103"/>
        <v>25</v>
      </c>
      <c r="AE867" s="23">
        <f t="shared" si="95"/>
        <v>0</v>
      </c>
      <c r="AG867" s="3"/>
    </row>
    <row r="868" spans="2:33" ht="24" customHeight="1">
      <c r="F868" s="17">
        <v>0.5</v>
      </c>
      <c r="G868" s="15" t="s">
        <v>209</v>
      </c>
      <c r="H868" s="3" t="s">
        <v>1438</v>
      </c>
      <c r="I868" s="17">
        <f>C13</f>
        <v>412</v>
      </c>
      <c r="J868" s="3" t="s">
        <v>209</v>
      </c>
      <c r="K868" s="17">
        <f t="shared" si="102"/>
        <v>206</v>
      </c>
      <c r="R868" s="3" t="s">
        <v>115</v>
      </c>
      <c r="S868" s="17">
        <v>0.5</v>
      </c>
      <c r="T868" s="15" t="s">
        <v>209</v>
      </c>
      <c r="U868" s="3" t="s">
        <v>1438</v>
      </c>
      <c r="V868" s="17">
        <f t="shared" si="101"/>
        <v>412</v>
      </c>
      <c r="W868" s="3" t="s">
        <v>209</v>
      </c>
      <c r="X868" s="17">
        <f t="shared" si="103"/>
        <v>206</v>
      </c>
      <c r="AE868" s="23">
        <f t="shared" si="95"/>
        <v>0</v>
      </c>
      <c r="AG868" s="3"/>
    </row>
    <row r="869" spans="2:33" ht="24" customHeight="1">
      <c r="G869" s="15" t="s">
        <v>129</v>
      </c>
      <c r="H869" s="3" t="s">
        <v>1439</v>
      </c>
      <c r="J869" s="3" t="s">
        <v>129</v>
      </c>
      <c r="K869" s="17">
        <v>1.1299999999999999</v>
      </c>
      <c r="N869" s="3" t="s">
        <v>1258</v>
      </c>
      <c r="O869" s="3" t="s">
        <v>1441</v>
      </c>
      <c r="S869" s="5"/>
      <c r="T869" s="15" t="s">
        <v>129</v>
      </c>
      <c r="U869" s="3" t="s">
        <v>1439</v>
      </c>
      <c r="W869" s="3" t="s">
        <v>129</v>
      </c>
      <c r="X869" s="17">
        <v>0.06</v>
      </c>
      <c r="AE869" s="23">
        <f t="shared" si="95"/>
        <v>0</v>
      </c>
      <c r="AG869" s="3"/>
    </row>
    <row r="870" spans="2:33" ht="24" customHeight="1">
      <c r="K870" s="12" t="s">
        <v>117</v>
      </c>
      <c r="O870" s="3" t="s">
        <v>1383</v>
      </c>
      <c r="S870" s="5"/>
      <c r="T870" s="6"/>
      <c r="W870" s="8"/>
      <c r="X870" s="12" t="s">
        <v>117</v>
      </c>
      <c r="AE870" s="23">
        <f t="shared" si="95"/>
        <v>0</v>
      </c>
      <c r="AG870" s="3"/>
    </row>
    <row r="871" spans="2:33" ht="24" customHeight="1">
      <c r="H871" s="19" t="s">
        <v>1440</v>
      </c>
      <c r="K871" s="16">
        <f>SUM(K859:K869)</f>
        <v>2206.8793522134001</v>
      </c>
      <c r="N871" s="3" t="s">
        <v>1245</v>
      </c>
      <c r="O871" s="3" t="s">
        <v>1386</v>
      </c>
      <c r="P871" s="17">
        <f>P826</f>
        <v>41.2</v>
      </c>
      <c r="R871" s="17" t="e">
        <f>(#VALUE!*P871)</f>
        <v>#VALUE!</v>
      </c>
      <c r="S871" s="5"/>
      <c r="T871" s="6"/>
      <c r="U871" s="19" t="s">
        <v>1440</v>
      </c>
      <c r="W871" s="8"/>
      <c r="X871" s="16">
        <f>SUM(X859:X869)</f>
        <v>2326.5924892930002</v>
      </c>
      <c r="AE871" s="23">
        <f t="shared" si="95"/>
        <v>0</v>
      </c>
      <c r="AG871" s="3"/>
    </row>
    <row r="872" spans="2:33" ht="24" customHeight="1">
      <c r="K872" s="12" t="s">
        <v>117</v>
      </c>
      <c r="O872" s="3" t="s">
        <v>1389</v>
      </c>
      <c r="AE872" s="23">
        <f t="shared" si="95"/>
        <v>0</v>
      </c>
      <c r="AG872" s="3"/>
    </row>
    <row r="873" spans="2:33" ht="24" customHeight="1">
      <c r="O873" s="3" t="s">
        <v>1392</v>
      </c>
      <c r="AE873" s="23">
        <f t="shared" si="95"/>
        <v>0</v>
      </c>
      <c r="AG873" s="3"/>
    </row>
    <row r="874" spans="2:33" ht="24" customHeight="1">
      <c r="N874" s="3" t="s">
        <v>140</v>
      </c>
      <c r="O874" s="3" t="s">
        <v>1442</v>
      </c>
      <c r="P874" s="17">
        <f>C272</f>
        <v>300.89999999999998</v>
      </c>
      <c r="R874" s="17" t="e">
        <f t="shared" ref="R874:R880" si="104">(#VALUE!*P874)</f>
        <v>#VALUE!</v>
      </c>
      <c r="AE874" s="23">
        <f t="shared" si="95"/>
        <v>0</v>
      </c>
      <c r="AG874" s="3"/>
    </row>
    <row r="875" spans="2:33" ht="24" customHeight="1">
      <c r="G875" s="15" t="s">
        <v>1196</v>
      </c>
      <c r="H875" s="4" t="s">
        <v>1443</v>
      </c>
      <c r="N875" s="3" t="s">
        <v>209</v>
      </c>
      <c r="O875" s="3" t="s">
        <v>1395</v>
      </c>
      <c r="P875" s="17">
        <v>5</v>
      </c>
      <c r="R875" s="17" t="e">
        <f t="shared" si="104"/>
        <v>#VALUE!</v>
      </c>
      <c r="S875" s="5"/>
      <c r="T875" s="15" t="s">
        <v>1258</v>
      </c>
      <c r="U875" s="4" t="s">
        <v>1444</v>
      </c>
      <c r="W875" s="8"/>
      <c r="AE875" s="23">
        <f t="shared" si="95"/>
        <v>0</v>
      </c>
      <c r="AG875" s="3"/>
    </row>
    <row r="876" spans="2:33" ht="24" customHeight="1">
      <c r="H876" s="4" t="s">
        <v>1434</v>
      </c>
      <c r="N876" s="3" t="s">
        <v>209</v>
      </c>
      <c r="O876" s="3" t="s">
        <v>1396</v>
      </c>
      <c r="P876" s="17">
        <v>10</v>
      </c>
      <c r="R876" s="17" t="e">
        <f t="shared" si="104"/>
        <v>#VALUE!</v>
      </c>
      <c r="S876" s="5"/>
      <c r="T876" s="6"/>
      <c r="U876" s="4" t="s">
        <v>1434</v>
      </c>
      <c r="W876" s="8"/>
      <c r="AE876" s="23">
        <f t="shared" si="95"/>
        <v>0</v>
      </c>
      <c r="AG876" s="3"/>
    </row>
    <row r="877" spans="2:33" ht="64.5" customHeight="1">
      <c r="B877" s="62" t="s">
        <v>1445</v>
      </c>
      <c r="C877" s="17">
        <f>Y688</f>
        <v>7197.7324140000001</v>
      </c>
      <c r="F877" s="80">
        <v>3.6799999999999999E-2</v>
      </c>
      <c r="G877" s="15" t="s">
        <v>126</v>
      </c>
      <c r="H877" s="62" t="s">
        <v>1445</v>
      </c>
      <c r="I877" s="17">
        <f>Z718</f>
        <v>6673.2028140000002</v>
      </c>
      <c r="J877" s="3" t="s">
        <v>126</v>
      </c>
      <c r="K877" s="17">
        <f>F877*I877</f>
        <v>245.57386355520001</v>
      </c>
      <c r="N877" s="3" t="s">
        <v>209</v>
      </c>
      <c r="O877" s="3" t="s">
        <v>1398</v>
      </c>
      <c r="P877" s="17">
        <v>8</v>
      </c>
      <c r="R877" s="17" t="e">
        <f t="shared" si="104"/>
        <v>#VALUE!</v>
      </c>
      <c r="S877" s="80">
        <v>5.4699999999999999E-2</v>
      </c>
      <c r="T877" s="15" t="s">
        <v>126</v>
      </c>
      <c r="U877" s="3" t="s">
        <v>1424</v>
      </c>
      <c r="V877" s="17">
        <f>I877</f>
        <v>6673.2028140000002</v>
      </c>
      <c r="W877" s="3" t="s">
        <v>126</v>
      </c>
      <c r="X877" s="17">
        <f>S877*V877</f>
        <v>365.02419392579998</v>
      </c>
      <c r="AE877" s="23">
        <f t="shared" ref="AE877:AE949" si="105">AG877</f>
        <v>0</v>
      </c>
      <c r="AG877" s="3"/>
    </row>
    <row r="878" spans="2:33" ht="34.5" customHeight="1">
      <c r="B878" s="3" t="s">
        <v>1426</v>
      </c>
      <c r="C878" s="17">
        <f>R1609</f>
        <v>69059.28571428571</v>
      </c>
      <c r="F878" s="17">
        <v>4.87</v>
      </c>
      <c r="G878" s="15" t="s">
        <v>148</v>
      </c>
      <c r="H878" s="3" t="s">
        <v>1426</v>
      </c>
      <c r="I878" s="17">
        <f>K1608</f>
        <v>68782.5</v>
      </c>
      <c r="J878" s="3" t="s">
        <v>124</v>
      </c>
      <c r="K878" s="17">
        <f>F878*I878/1000</f>
        <v>334.970775</v>
      </c>
      <c r="N878" s="3" t="s">
        <v>231</v>
      </c>
      <c r="O878" s="3" t="s">
        <v>1401</v>
      </c>
      <c r="P878" s="17">
        <v>13.66</v>
      </c>
      <c r="R878" s="17" t="e">
        <f t="shared" si="104"/>
        <v>#VALUE!</v>
      </c>
      <c r="S878" s="126">
        <v>6.16</v>
      </c>
      <c r="T878" s="15" t="s">
        <v>148</v>
      </c>
      <c r="U878" s="3" t="s">
        <v>1426</v>
      </c>
      <c r="V878" s="17">
        <f t="shared" ref="V878:V886" si="106">I878</f>
        <v>68782.5</v>
      </c>
      <c r="W878" s="3" t="s">
        <v>124</v>
      </c>
      <c r="X878" s="17">
        <f>S878*V878/1000</f>
        <v>423.7002</v>
      </c>
      <c r="AE878" s="23">
        <f t="shared" si="105"/>
        <v>0</v>
      </c>
      <c r="AG878" s="3"/>
    </row>
    <row r="879" spans="2:33" ht="24" customHeight="1">
      <c r="F879" s="17">
        <v>3</v>
      </c>
      <c r="G879" s="15" t="s">
        <v>209</v>
      </c>
      <c r="H879" s="3" t="s">
        <v>1428</v>
      </c>
      <c r="I879" s="123">
        <f>I861</f>
        <v>14.8</v>
      </c>
      <c r="J879" s="3" t="s">
        <v>209</v>
      </c>
      <c r="K879" s="17">
        <f t="shared" ref="K879:K886" si="107">F879*I879</f>
        <v>44.400000000000006</v>
      </c>
      <c r="N879" s="3" t="s">
        <v>140</v>
      </c>
      <c r="O879" s="3" t="s">
        <v>1403</v>
      </c>
      <c r="P879" s="17">
        <v>25.46</v>
      </c>
      <c r="R879" s="17" t="e">
        <f t="shared" si="104"/>
        <v>#VALUE!</v>
      </c>
      <c r="S879" s="17">
        <v>3</v>
      </c>
      <c r="T879" s="15" t="s">
        <v>209</v>
      </c>
      <c r="U879" s="3" t="s">
        <v>1428</v>
      </c>
      <c r="V879" s="17">
        <f t="shared" si="106"/>
        <v>14.8</v>
      </c>
      <c r="W879" s="3" t="s">
        <v>209</v>
      </c>
      <c r="X879" s="17">
        <f t="shared" ref="X879:X886" si="108">S879*V879</f>
        <v>44.400000000000006</v>
      </c>
      <c r="AE879" s="23">
        <f t="shared" si="105"/>
        <v>0</v>
      </c>
      <c r="AG879" s="3"/>
    </row>
    <row r="880" spans="2:33" ht="24" customHeight="1">
      <c r="F880" s="17">
        <v>12</v>
      </c>
      <c r="G880" s="15" t="s">
        <v>209</v>
      </c>
      <c r="H880" s="3" t="s">
        <v>1429</v>
      </c>
      <c r="I880" s="123">
        <f>I862</f>
        <v>2</v>
      </c>
      <c r="J880" s="3" t="s">
        <v>209</v>
      </c>
      <c r="K880" s="17">
        <f t="shared" si="107"/>
        <v>24</v>
      </c>
      <c r="N880" s="3" t="s">
        <v>209</v>
      </c>
      <c r="O880" s="3" t="s">
        <v>1404</v>
      </c>
      <c r="P880" s="17">
        <v>0.5</v>
      </c>
      <c r="R880" s="17" t="e">
        <f t="shared" si="104"/>
        <v>#VALUE!</v>
      </c>
      <c r="S880" s="17">
        <v>12</v>
      </c>
      <c r="T880" s="15" t="s">
        <v>209</v>
      </c>
      <c r="U880" s="3" t="s">
        <v>1429</v>
      </c>
      <c r="V880" s="17">
        <f t="shared" si="106"/>
        <v>2</v>
      </c>
      <c r="W880" s="3" t="s">
        <v>209</v>
      </c>
      <c r="X880" s="17">
        <f t="shared" si="108"/>
        <v>24</v>
      </c>
      <c r="AE880" s="23">
        <f t="shared" si="105"/>
        <v>0</v>
      </c>
      <c r="AG880" s="3"/>
    </row>
    <row r="881" spans="6:33" ht="24" customHeight="1">
      <c r="F881" s="17">
        <v>2</v>
      </c>
      <c r="G881" s="15" t="s">
        <v>209</v>
      </c>
      <c r="H881" s="3" t="s">
        <v>1430</v>
      </c>
      <c r="I881" s="123">
        <f>I863</f>
        <v>4.9000000000000004</v>
      </c>
      <c r="J881" s="3" t="s">
        <v>209</v>
      </c>
      <c r="K881" s="17">
        <f t="shared" si="107"/>
        <v>9.8000000000000007</v>
      </c>
      <c r="R881" s="17">
        <v>0.97</v>
      </c>
      <c r="S881" s="17">
        <v>2</v>
      </c>
      <c r="T881" s="15" t="s">
        <v>209</v>
      </c>
      <c r="U881" s="3" t="s">
        <v>1430</v>
      </c>
      <c r="V881" s="17">
        <f t="shared" si="106"/>
        <v>4.9000000000000004</v>
      </c>
      <c r="W881" s="3" t="s">
        <v>209</v>
      </c>
      <c r="X881" s="17">
        <f t="shared" si="108"/>
        <v>9.8000000000000007</v>
      </c>
      <c r="AE881" s="23">
        <f t="shared" si="105"/>
        <v>0</v>
      </c>
      <c r="AG881" s="3"/>
    </row>
    <row r="882" spans="6:33" ht="24" customHeight="1">
      <c r="F882" s="17">
        <v>6</v>
      </c>
      <c r="G882" s="15" t="s">
        <v>209</v>
      </c>
      <c r="H882" s="3" t="s">
        <v>1432</v>
      </c>
      <c r="I882" s="123">
        <f>I864</f>
        <v>4.45</v>
      </c>
      <c r="J882" s="3" t="s">
        <v>209</v>
      </c>
      <c r="K882" s="17">
        <f t="shared" si="107"/>
        <v>26.700000000000003</v>
      </c>
      <c r="R882" s="12" t="s">
        <v>117</v>
      </c>
      <c r="S882" s="17">
        <v>6</v>
      </c>
      <c r="T882" s="15" t="s">
        <v>209</v>
      </c>
      <c r="U882" s="3" t="s">
        <v>1432</v>
      </c>
      <c r="V882" s="17">
        <f t="shared" si="106"/>
        <v>4.45</v>
      </c>
      <c r="W882" s="3" t="s">
        <v>209</v>
      </c>
      <c r="X882" s="17">
        <f t="shared" si="108"/>
        <v>26.700000000000003</v>
      </c>
      <c r="AE882" s="23">
        <f t="shared" si="105"/>
        <v>0</v>
      </c>
      <c r="AG882" s="3"/>
    </row>
    <row r="883" spans="6:33" ht="24" customHeight="1">
      <c r="F883" s="17">
        <v>1</v>
      </c>
      <c r="G883" s="15" t="s">
        <v>209</v>
      </c>
      <c r="H883" s="3" t="s">
        <v>1435</v>
      </c>
      <c r="I883" s="17">
        <f>C10</f>
        <v>769</v>
      </c>
      <c r="J883" s="3" t="s">
        <v>209</v>
      </c>
      <c r="K883" s="17">
        <f t="shared" si="107"/>
        <v>769</v>
      </c>
      <c r="O883" s="4" t="s">
        <v>1405</v>
      </c>
      <c r="R883" s="17" t="e">
        <f>SUM(R871:R881)</f>
        <v>#VALUE!</v>
      </c>
      <c r="S883" s="17">
        <v>1</v>
      </c>
      <c r="T883" s="15" t="s">
        <v>209</v>
      </c>
      <c r="U883" s="3" t="s">
        <v>1435</v>
      </c>
      <c r="V883" s="17">
        <f t="shared" si="106"/>
        <v>769</v>
      </c>
      <c r="W883" s="3" t="s">
        <v>209</v>
      </c>
      <c r="X883" s="17">
        <f t="shared" si="108"/>
        <v>769</v>
      </c>
      <c r="AE883" s="23">
        <f t="shared" si="105"/>
        <v>0</v>
      </c>
      <c r="AG883" s="3"/>
    </row>
    <row r="884" spans="6:33" ht="24" customHeight="1">
      <c r="F884" s="17">
        <v>1</v>
      </c>
      <c r="G884" s="15" t="s">
        <v>209</v>
      </c>
      <c r="H884" s="3" t="s">
        <v>1436</v>
      </c>
      <c r="I884" s="17">
        <f>C12</f>
        <v>502</v>
      </c>
      <c r="J884" s="3" t="s">
        <v>209</v>
      </c>
      <c r="K884" s="17">
        <f t="shared" si="107"/>
        <v>502</v>
      </c>
      <c r="R884" s="12" t="s">
        <v>117</v>
      </c>
      <c r="S884" s="17">
        <v>1</v>
      </c>
      <c r="T884" s="15" t="s">
        <v>209</v>
      </c>
      <c r="U884" s="3" t="s">
        <v>1436</v>
      </c>
      <c r="V884" s="17">
        <f t="shared" si="106"/>
        <v>502</v>
      </c>
      <c r="W884" s="3" t="s">
        <v>209</v>
      </c>
      <c r="X884" s="17">
        <f t="shared" si="108"/>
        <v>502</v>
      </c>
      <c r="AE884" s="23" t="str">
        <f t="shared" si="105"/>
        <v>|</v>
      </c>
      <c r="AG884" s="3" t="s">
        <v>849</v>
      </c>
    </row>
    <row r="885" spans="6:33" ht="24" customHeight="1">
      <c r="F885" s="17">
        <v>1</v>
      </c>
      <c r="G885" s="15" t="s">
        <v>209</v>
      </c>
      <c r="H885" s="3" t="s">
        <v>1437</v>
      </c>
      <c r="I885" s="127">
        <v>25</v>
      </c>
      <c r="J885" s="3" t="s">
        <v>209</v>
      </c>
      <c r="K885" s="17">
        <f t="shared" si="107"/>
        <v>25</v>
      </c>
      <c r="S885" s="17">
        <v>1</v>
      </c>
      <c r="T885" s="15" t="s">
        <v>209</v>
      </c>
      <c r="U885" s="3" t="s">
        <v>1437</v>
      </c>
      <c r="V885" s="17">
        <f t="shared" si="106"/>
        <v>25</v>
      </c>
      <c r="W885" s="3" t="s">
        <v>209</v>
      </c>
      <c r="X885" s="17">
        <f t="shared" si="108"/>
        <v>25</v>
      </c>
      <c r="AE885" s="23" t="str">
        <f t="shared" si="105"/>
        <v>|</v>
      </c>
      <c r="AG885" s="3" t="s">
        <v>849</v>
      </c>
    </row>
    <row r="886" spans="6:33" ht="24" customHeight="1">
      <c r="F886" s="17">
        <v>0.5</v>
      </c>
      <c r="G886" s="15" t="s">
        <v>209</v>
      </c>
      <c r="H886" s="3" t="s">
        <v>1438</v>
      </c>
      <c r="I886" s="17">
        <f>C13</f>
        <v>412</v>
      </c>
      <c r="J886" s="3" t="s">
        <v>209</v>
      </c>
      <c r="K886" s="17">
        <f t="shared" si="107"/>
        <v>206</v>
      </c>
      <c r="M886" s="4" t="s">
        <v>1446</v>
      </c>
      <c r="N886" s="3" t="s">
        <v>122</v>
      </c>
      <c r="O886" s="3" t="s">
        <v>1447</v>
      </c>
      <c r="S886" s="17">
        <v>0.5</v>
      </c>
      <c r="T886" s="15" t="s">
        <v>209</v>
      </c>
      <c r="U886" s="3" t="s">
        <v>1438</v>
      </c>
      <c r="V886" s="17">
        <f t="shared" si="106"/>
        <v>412</v>
      </c>
      <c r="W886" s="3" t="s">
        <v>209</v>
      </c>
      <c r="X886" s="17">
        <f t="shared" si="108"/>
        <v>206</v>
      </c>
      <c r="AE886" s="23" t="str">
        <f t="shared" si="105"/>
        <v>|</v>
      </c>
      <c r="AG886" s="3" t="s">
        <v>849</v>
      </c>
    </row>
    <row r="887" spans="6:33" ht="24" customHeight="1">
      <c r="G887" s="15" t="s">
        <v>129</v>
      </c>
      <c r="H887" s="3" t="s">
        <v>1439</v>
      </c>
      <c r="J887" s="3" t="s">
        <v>129</v>
      </c>
      <c r="K887" s="17">
        <v>1.98</v>
      </c>
      <c r="O887" s="3" t="s">
        <v>1448</v>
      </c>
      <c r="S887" s="5"/>
      <c r="T887" s="15" t="s">
        <v>129</v>
      </c>
      <c r="U887" s="3" t="s">
        <v>1439</v>
      </c>
      <c r="W887" s="3" t="s">
        <v>129</v>
      </c>
      <c r="X887" s="17">
        <v>0.27</v>
      </c>
      <c r="AE887" s="23" t="str">
        <f t="shared" si="105"/>
        <v>|</v>
      </c>
      <c r="AG887" s="3" t="s">
        <v>849</v>
      </c>
    </row>
    <row r="888" spans="6:33" ht="24" customHeight="1">
      <c r="K888" s="12" t="s">
        <v>117</v>
      </c>
      <c r="O888" s="12" t="s">
        <v>117</v>
      </c>
      <c r="P888" s="12" t="s">
        <v>117</v>
      </c>
      <c r="S888" s="5"/>
      <c r="T888" s="6"/>
      <c r="W888" s="8"/>
      <c r="X888" s="12" t="s">
        <v>117</v>
      </c>
      <c r="AE888" s="23" t="str">
        <f t="shared" si="105"/>
        <v>|</v>
      </c>
      <c r="AG888" s="3" t="s">
        <v>849</v>
      </c>
    </row>
    <row r="889" spans="6:33" ht="24" customHeight="1">
      <c r="H889" s="19" t="s">
        <v>1440</v>
      </c>
      <c r="K889" s="16">
        <f>SUM(K877:K887)</f>
        <v>2189.4246385552001</v>
      </c>
      <c r="L889" s="5">
        <f>K889-1729</f>
        <v>460.42463855520009</v>
      </c>
      <c r="O889" s="3" t="s">
        <v>1449</v>
      </c>
      <c r="S889" s="5"/>
      <c r="T889" s="6"/>
      <c r="U889" s="19" t="s">
        <v>1440</v>
      </c>
      <c r="W889" s="8"/>
      <c r="X889" s="16">
        <f>SUM(X877:X887)</f>
        <v>2395.8943939258002</v>
      </c>
      <c r="AE889" s="23" t="str">
        <f t="shared" si="105"/>
        <v>|</v>
      </c>
      <c r="AG889" s="3" t="s">
        <v>849</v>
      </c>
    </row>
    <row r="890" spans="6:33" ht="24" customHeight="1">
      <c r="K890" s="12" t="s">
        <v>117</v>
      </c>
      <c r="M890" s="17">
        <v>0.5</v>
      </c>
      <c r="N890" s="4" t="s">
        <v>1</v>
      </c>
      <c r="O890" s="3" t="s">
        <v>332</v>
      </c>
      <c r="P890" s="17">
        <f>C16</f>
        <v>752</v>
      </c>
      <c r="Q890" s="4" t="s">
        <v>206</v>
      </c>
      <c r="R890" s="17">
        <f>(M890*P890)</f>
        <v>376</v>
      </c>
      <c r="AE890" s="23" t="str">
        <f t="shared" si="105"/>
        <v>|</v>
      </c>
      <c r="AG890" s="3" t="s">
        <v>849</v>
      </c>
    </row>
    <row r="891" spans="6:33" ht="24" customHeight="1">
      <c r="F891" s="4"/>
      <c r="G891" s="15" t="s">
        <v>1225</v>
      </c>
      <c r="H891" s="4" t="s">
        <v>1450</v>
      </c>
      <c r="K891" s="5">
        <f>K889-1800.2</f>
        <v>389.22463855520004</v>
      </c>
      <c r="M891" s="17">
        <v>0.25</v>
      </c>
      <c r="N891" s="4" t="s">
        <v>1</v>
      </c>
      <c r="O891" s="3" t="s">
        <v>292</v>
      </c>
      <c r="P891" s="17">
        <f>C12</f>
        <v>502</v>
      </c>
      <c r="Q891" s="4" t="s">
        <v>206</v>
      </c>
      <c r="R891" s="17">
        <f>(M891*P891)</f>
        <v>125.5</v>
      </c>
      <c r="S891" s="5"/>
      <c r="T891" s="15" t="s">
        <v>1258</v>
      </c>
      <c r="U891" s="4" t="s">
        <v>1451</v>
      </c>
      <c r="W891" s="8"/>
      <c r="AE891" s="23" t="str">
        <f t="shared" si="105"/>
        <v>|</v>
      </c>
      <c r="AG891" s="3" t="s">
        <v>849</v>
      </c>
    </row>
    <row r="892" spans="6:33" ht="24" customHeight="1">
      <c r="H892" s="4" t="s">
        <v>1434</v>
      </c>
      <c r="R892" s="12" t="s">
        <v>117</v>
      </c>
      <c r="S892" s="5"/>
      <c r="T892" s="6"/>
      <c r="U892" s="4" t="s">
        <v>1434</v>
      </c>
      <c r="W892" s="8"/>
      <c r="AE892" s="23" t="str">
        <f t="shared" si="105"/>
        <v>|</v>
      </c>
      <c r="AG892" s="3" t="s">
        <v>849</v>
      </c>
    </row>
    <row r="893" spans="6:33" ht="24" customHeight="1">
      <c r="F893" s="80">
        <v>3.5299999999999998E-2</v>
      </c>
      <c r="G893" s="15" t="s">
        <v>126</v>
      </c>
      <c r="H893" s="3" t="s">
        <v>1424</v>
      </c>
      <c r="I893" s="17">
        <f t="shared" ref="I893:I898" si="109">I877</f>
        <v>6673.2028140000002</v>
      </c>
      <c r="J893" s="3" t="s">
        <v>126</v>
      </c>
      <c r="K893" s="17">
        <f>F893*I893</f>
        <v>235.56405933419998</v>
      </c>
      <c r="O893" s="4" t="s">
        <v>1452</v>
      </c>
      <c r="R893" s="17">
        <f>SUM(R890:R891)</f>
        <v>501.5</v>
      </c>
      <c r="S893" s="80">
        <v>5.91E-2</v>
      </c>
      <c r="T893" s="15" t="s">
        <v>126</v>
      </c>
      <c r="U893" s="3" t="s">
        <v>1424</v>
      </c>
      <c r="V893" s="17">
        <f>V877</f>
        <v>6673.2028140000002</v>
      </c>
      <c r="W893" s="3" t="s">
        <v>126</v>
      </c>
      <c r="X893" s="17">
        <f>S893*V893</f>
        <v>394.38628630739998</v>
      </c>
      <c r="AE893" s="23" t="str">
        <f t="shared" si="105"/>
        <v>|</v>
      </c>
      <c r="AG893" s="3" t="s">
        <v>849</v>
      </c>
    </row>
    <row r="894" spans="6:33" ht="24" customHeight="1">
      <c r="F894" s="17">
        <v>4.59</v>
      </c>
      <c r="G894" s="15" t="s">
        <v>148</v>
      </c>
      <c r="H894" s="3" t="s">
        <v>1426</v>
      </c>
      <c r="I894" s="17">
        <f t="shared" si="109"/>
        <v>68782.5</v>
      </c>
      <c r="J894" s="3" t="s">
        <v>124</v>
      </c>
      <c r="K894" s="17">
        <f>F894*I894/1000</f>
        <v>315.71167500000001</v>
      </c>
      <c r="R894" s="12" t="s">
        <v>117</v>
      </c>
      <c r="S894" s="126">
        <v>6.58</v>
      </c>
      <c r="T894" s="15" t="s">
        <v>148</v>
      </c>
      <c r="U894" s="3" t="s">
        <v>1426</v>
      </c>
      <c r="V894" s="17">
        <f t="shared" ref="V894:V902" si="110">V878</f>
        <v>68782.5</v>
      </c>
      <c r="W894" s="3" t="s">
        <v>124</v>
      </c>
      <c r="X894" s="17">
        <f>S894*V894/1000</f>
        <v>452.58884999999998</v>
      </c>
      <c r="AE894" s="23" t="str">
        <f t="shared" si="105"/>
        <v>|</v>
      </c>
      <c r="AG894" s="3" t="s">
        <v>849</v>
      </c>
    </row>
    <row r="895" spans="6:33" ht="24" customHeight="1">
      <c r="F895" s="17">
        <v>3</v>
      </c>
      <c r="G895" s="15" t="s">
        <v>209</v>
      </c>
      <c r="H895" s="3" t="s">
        <v>1428</v>
      </c>
      <c r="I895" s="123">
        <f t="shared" si="109"/>
        <v>14.8</v>
      </c>
      <c r="J895" s="3" t="s">
        <v>209</v>
      </c>
      <c r="K895" s="17">
        <f t="shared" ref="K895:K902" si="111">F895*I895</f>
        <v>44.400000000000006</v>
      </c>
      <c r="O895" s="4" t="s">
        <v>1453</v>
      </c>
      <c r="R895" s="17">
        <f>R893/0.0283</f>
        <v>17720.848056537103</v>
      </c>
      <c r="S895" s="17">
        <v>3</v>
      </c>
      <c r="T895" s="15" t="s">
        <v>209</v>
      </c>
      <c r="U895" s="3" t="s">
        <v>1428</v>
      </c>
      <c r="V895" s="17">
        <f t="shared" si="110"/>
        <v>14.8</v>
      </c>
      <c r="W895" s="3" t="s">
        <v>209</v>
      </c>
      <c r="X895" s="17">
        <f t="shared" ref="X895:X902" si="112">S895*V895</f>
        <v>44.400000000000006</v>
      </c>
      <c r="AE895" s="23" t="str">
        <f t="shared" si="105"/>
        <v>|</v>
      </c>
      <c r="AG895" s="3" t="s">
        <v>849</v>
      </c>
    </row>
    <row r="896" spans="6:33" ht="24" customHeight="1">
      <c r="F896" s="17">
        <v>12</v>
      </c>
      <c r="G896" s="15" t="s">
        <v>209</v>
      </c>
      <c r="H896" s="3" t="s">
        <v>1429</v>
      </c>
      <c r="I896" s="123">
        <f t="shared" si="109"/>
        <v>2</v>
      </c>
      <c r="J896" s="3" t="s">
        <v>209</v>
      </c>
      <c r="K896" s="17">
        <f t="shared" si="111"/>
        <v>24</v>
      </c>
      <c r="R896" s="12" t="s">
        <v>117</v>
      </c>
      <c r="S896" s="17">
        <v>12</v>
      </c>
      <c r="T896" s="15" t="s">
        <v>209</v>
      </c>
      <c r="U896" s="3" t="s">
        <v>1429</v>
      </c>
      <c r="V896" s="17">
        <f t="shared" si="110"/>
        <v>2</v>
      </c>
      <c r="W896" s="3" t="s">
        <v>209</v>
      </c>
      <c r="X896" s="17">
        <f t="shared" si="112"/>
        <v>24</v>
      </c>
      <c r="AE896" s="23" t="str">
        <f t="shared" si="105"/>
        <v>|</v>
      </c>
      <c r="AG896" s="3" t="s">
        <v>849</v>
      </c>
    </row>
    <row r="897" spans="6:33" ht="24" customHeight="1">
      <c r="F897" s="17">
        <v>2</v>
      </c>
      <c r="G897" s="15" t="s">
        <v>209</v>
      </c>
      <c r="H897" s="17" t="str">
        <f>H881</f>
        <v>TOWER BOLT RECEIVER</v>
      </c>
      <c r="I897" s="123">
        <f t="shared" si="109"/>
        <v>4.9000000000000004</v>
      </c>
      <c r="J897" s="3" t="s">
        <v>209</v>
      </c>
      <c r="K897" s="17">
        <f t="shared" si="111"/>
        <v>9.8000000000000007</v>
      </c>
      <c r="S897" s="17">
        <v>2</v>
      </c>
      <c r="T897" s="15" t="s">
        <v>209</v>
      </c>
      <c r="U897" s="3" t="s">
        <v>1430</v>
      </c>
      <c r="V897" s="17">
        <f t="shared" si="110"/>
        <v>4.9000000000000004</v>
      </c>
      <c r="W897" s="3" t="s">
        <v>209</v>
      </c>
      <c r="X897" s="17">
        <f t="shared" si="112"/>
        <v>9.8000000000000007</v>
      </c>
      <c r="AE897" s="23" t="str">
        <f t="shared" si="105"/>
        <v>|</v>
      </c>
      <c r="AG897" s="3" t="s">
        <v>849</v>
      </c>
    </row>
    <row r="898" spans="6:33" ht="24" customHeight="1">
      <c r="F898" s="17">
        <v>6</v>
      </c>
      <c r="G898" s="15" t="s">
        <v>209</v>
      </c>
      <c r="H898" s="3" t="s">
        <v>1432</v>
      </c>
      <c r="I898" s="123">
        <f t="shared" si="109"/>
        <v>4.45</v>
      </c>
      <c r="J898" s="3" t="s">
        <v>209</v>
      </c>
      <c r="K898" s="17">
        <f t="shared" si="111"/>
        <v>26.700000000000003</v>
      </c>
      <c r="S898" s="17">
        <v>6</v>
      </c>
      <c r="T898" s="15" t="s">
        <v>209</v>
      </c>
      <c r="U898" s="3" t="s">
        <v>1432</v>
      </c>
      <c r="V898" s="17">
        <f t="shared" si="110"/>
        <v>4.45</v>
      </c>
      <c r="W898" s="3" t="s">
        <v>209</v>
      </c>
      <c r="X898" s="17">
        <f t="shared" si="112"/>
        <v>26.700000000000003</v>
      </c>
      <c r="AE898" s="23" t="str">
        <f t="shared" si="105"/>
        <v>|</v>
      </c>
      <c r="AG898" s="3" t="s">
        <v>849</v>
      </c>
    </row>
    <row r="899" spans="6:33" ht="24" customHeight="1">
      <c r="F899" s="17">
        <v>1</v>
      </c>
      <c r="G899" s="15" t="s">
        <v>209</v>
      </c>
      <c r="H899" s="3" t="s">
        <v>1435</v>
      </c>
      <c r="I899" s="17">
        <f>C10</f>
        <v>769</v>
      </c>
      <c r="J899" s="3" t="s">
        <v>209</v>
      </c>
      <c r="K899" s="17">
        <f t="shared" si="111"/>
        <v>769</v>
      </c>
      <c r="S899" s="17">
        <v>1</v>
      </c>
      <c r="T899" s="15" t="s">
        <v>209</v>
      </c>
      <c r="U899" s="3" t="s">
        <v>1435</v>
      </c>
      <c r="V899" s="17">
        <f t="shared" si="110"/>
        <v>769</v>
      </c>
      <c r="W899" s="3" t="s">
        <v>209</v>
      </c>
      <c r="X899" s="17">
        <f t="shared" si="112"/>
        <v>769</v>
      </c>
      <c r="AE899" s="23" t="str">
        <f t="shared" si="105"/>
        <v>|</v>
      </c>
      <c r="AG899" s="3" t="s">
        <v>849</v>
      </c>
    </row>
    <row r="900" spans="6:33" ht="24" customHeight="1">
      <c r="F900" s="17">
        <v>1</v>
      </c>
      <c r="G900" s="15" t="s">
        <v>209</v>
      </c>
      <c r="H900" s="3" t="s">
        <v>1436</v>
      </c>
      <c r="I900" s="17">
        <f>C12</f>
        <v>502</v>
      </c>
      <c r="J900" s="3" t="s">
        <v>209</v>
      </c>
      <c r="K900" s="17">
        <f t="shared" si="111"/>
        <v>502</v>
      </c>
      <c r="S900" s="17">
        <v>1</v>
      </c>
      <c r="T900" s="15" t="s">
        <v>209</v>
      </c>
      <c r="U900" s="3" t="s">
        <v>1436</v>
      </c>
      <c r="V900" s="17">
        <f t="shared" si="110"/>
        <v>502</v>
      </c>
      <c r="W900" s="3" t="s">
        <v>209</v>
      </c>
      <c r="X900" s="17">
        <f t="shared" si="112"/>
        <v>502</v>
      </c>
      <c r="AE900" s="23" t="str">
        <f t="shared" si="105"/>
        <v>|</v>
      </c>
      <c r="AG900" s="3" t="s">
        <v>849</v>
      </c>
    </row>
    <row r="901" spans="6:33" ht="101.25" customHeight="1">
      <c r="F901" s="17">
        <v>1</v>
      </c>
      <c r="G901" s="15" t="s">
        <v>209</v>
      </c>
      <c r="H901" s="17" t="str">
        <f>H885</f>
        <v>MOULDING CHARGES</v>
      </c>
      <c r="I901" s="78">
        <v>25</v>
      </c>
      <c r="J901" s="3" t="s">
        <v>209</v>
      </c>
      <c r="K901" s="17">
        <f t="shared" si="111"/>
        <v>25</v>
      </c>
      <c r="S901" s="17">
        <v>1</v>
      </c>
      <c r="T901" s="15" t="s">
        <v>209</v>
      </c>
      <c r="U901" s="3" t="s">
        <v>1437</v>
      </c>
      <c r="V901" s="17">
        <f t="shared" si="110"/>
        <v>25</v>
      </c>
      <c r="W901" s="3" t="s">
        <v>209</v>
      </c>
      <c r="X901" s="17">
        <f t="shared" si="112"/>
        <v>25</v>
      </c>
      <c r="AE901" s="23">
        <f t="shared" si="105"/>
        <v>0</v>
      </c>
    </row>
    <row r="902" spans="6:33" ht="24" customHeight="1">
      <c r="F902" s="17">
        <v>0.5</v>
      </c>
      <c r="G902" s="15" t="s">
        <v>209</v>
      </c>
      <c r="H902" s="3" t="s">
        <v>1438</v>
      </c>
      <c r="I902" s="17">
        <f>C13</f>
        <v>412</v>
      </c>
      <c r="J902" s="3" t="s">
        <v>209</v>
      </c>
      <c r="K902" s="17">
        <f t="shared" si="111"/>
        <v>206</v>
      </c>
      <c r="M902" s="17">
        <v>11.64</v>
      </c>
      <c r="N902" s="3" t="s">
        <v>231</v>
      </c>
      <c r="O902" s="3" t="s">
        <v>1401</v>
      </c>
      <c r="P902" s="17">
        <v>13.66</v>
      </c>
      <c r="R902" s="17">
        <f>(M902*P902)</f>
        <v>159.00240000000002</v>
      </c>
      <c r="S902" s="17">
        <v>0.5</v>
      </c>
      <c r="T902" s="15" t="s">
        <v>209</v>
      </c>
      <c r="U902" s="3" t="s">
        <v>1438</v>
      </c>
      <c r="V902" s="17">
        <f t="shared" si="110"/>
        <v>412</v>
      </c>
      <c r="W902" s="3" t="s">
        <v>209</v>
      </c>
      <c r="X902" s="17">
        <f t="shared" si="112"/>
        <v>206</v>
      </c>
      <c r="AE902" s="23">
        <f t="shared" si="105"/>
        <v>0</v>
      </c>
    </row>
    <row r="903" spans="6:33" ht="24" customHeight="1">
      <c r="G903" s="15" t="s">
        <v>129</v>
      </c>
      <c r="H903" s="3" t="s">
        <v>1439</v>
      </c>
      <c r="J903" s="3" t="s">
        <v>129</v>
      </c>
      <c r="K903" s="17">
        <v>1.39</v>
      </c>
      <c r="M903" s="81">
        <v>1.62</v>
      </c>
      <c r="N903" s="3" t="s">
        <v>140</v>
      </c>
      <c r="O903" s="3" t="s">
        <v>1403</v>
      </c>
      <c r="P903" s="17">
        <v>25.46</v>
      </c>
      <c r="R903" s="17">
        <f>(M903*P903)</f>
        <v>41.245200000000004</v>
      </c>
      <c r="S903" s="5"/>
      <c r="T903" s="15" t="s">
        <v>129</v>
      </c>
      <c r="U903" s="3" t="s">
        <v>1439</v>
      </c>
      <c r="W903" s="3" t="s">
        <v>129</v>
      </c>
      <c r="X903" s="17">
        <v>0.21</v>
      </c>
      <c r="AE903" s="23">
        <f t="shared" si="105"/>
        <v>0</v>
      </c>
    </row>
    <row r="904" spans="6:33" ht="24" customHeight="1">
      <c r="K904" s="12" t="s">
        <v>117</v>
      </c>
      <c r="M904" s="17">
        <v>48</v>
      </c>
      <c r="N904" s="3" t="s">
        <v>209</v>
      </c>
      <c r="O904" s="3" t="s">
        <v>1404</v>
      </c>
      <c r="P904" s="17">
        <v>0.5</v>
      </c>
      <c r="R904" s="17">
        <f>(M904*P904)</f>
        <v>24</v>
      </c>
      <c r="S904" s="5"/>
      <c r="T904" s="6"/>
      <c r="W904" s="8"/>
      <c r="X904" s="12" t="s">
        <v>117</v>
      </c>
      <c r="AE904" s="23">
        <f t="shared" si="105"/>
        <v>0</v>
      </c>
    </row>
    <row r="905" spans="6:33" ht="24" customHeight="1">
      <c r="H905" s="19" t="s">
        <v>1440</v>
      </c>
      <c r="K905" s="16">
        <f>SUM(K893:K903)</f>
        <v>2159.5657343342</v>
      </c>
      <c r="R905" s="17">
        <v>0.23</v>
      </c>
      <c r="S905" s="5"/>
      <c r="T905" s="6"/>
      <c r="U905" s="19" t="s">
        <v>1440</v>
      </c>
      <c r="W905" s="8"/>
      <c r="X905" s="16">
        <f>SUM(X893:X903)</f>
        <v>2454.0851363073998</v>
      </c>
      <c r="AE905" s="23">
        <f t="shared" si="105"/>
        <v>0</v>
      </c>
    </row>
    <row r="906" spans="6:33" ht="24" customHeight="1">
      <c r="K906" s="12" t="s">
        <v>117</v>
      </c>
      <c r="AE906" s="23">
        <f t="shared" si="105"/>
        <v>0</v>
      </c>
    </row>
    <row r="907" spans="6:33" ht="24" customHeight="1">
      <c r="R907" s="12" t="s">
        <v>117</v>
      </c>
      <c r="AE907" s="23">
        <f t="shared" si="105"/>
        <v>0</v>
      </c>
    </row>
    <row r="908" spans="6:33" ht="55.5" customHeight="1">
      <c r="F908" s="128">
        <v>21.3</v>
      </c>
      <c r="G908" s="15" t="s">
        <v>122</v>
      </c>
      <c r="H908" s="129" t="s">
        <v>1454</v>
      </c>
      <c r="O908" s="4" t="s">
        <v>1405</v>
      </c>
      <c r="R908" s="17">
        <f>SUM(R902:R905)</f>
        <v>224.47760000000002</v>
      </c>
      <c r="AE908" s="23">
        <f t="shared" si="105"/>
        <v>0</v>
      </c>
    </row>
    <row r="909" spans="6:33" ht="24" customHeight="1">
      <c r="H909" s="3" t="s">
        <v>1455</v>
      </c>
      <c r="AE909" s="23">
        <f t="shared" si="105"/>
        <v>0</v>
      </c>
    </row>
    <row r="910" spans="6:33" ht="24" customHeight="1">
      <c r="H910" s="12" t="s">
        <v>117</v>
      </c>
      <c r="J910" s="8" t="s">
        <v>1456</v>
      </c>
      <c r="AE910" s="23">
        <f t="shared" si="105"/>
        <v>0</v>
      </c>
    </row>
    <row r="911" spans="6:33" ht="24" customHeight="1">
      <c r="AE911" s="23">
        <f t="shared" si="105"/>
        <v>0</v>
      </c>
    </row>
    <row r="912" spans="6:33" ht="24" customHeight="1">
      <c r="H912" s="70" t="s">
        <v>1457</v>
      </c>
      <c r="J912" s="3" t="s">
        <v>140</v>
      </c>
      <c r="K912" s="29">
        <v>2014</v>
      </c>
      <c r="AE912" s="23">
        <f t="shared" si="105"/>
        <v>0</v>
      </c>
    </row>
    <row r="913" spans="6:33" ht="24" customHeight="1">
      <c r="F913" s="3" t="s">
        <v>115</v>
      </c>
      <c r="AE913" s="23">
        <f t="shared" si="105"/>
        <v>0</v>
      </c>
    </row>
    <row r="914" spans="6:33" ht="24" customHeight="1">
      <c r="H914" s="4" t="s">
        <v>1458</v>
      </c>
      <c r="K914" s="12" t="s">
        <v>155</v>
      </c>
      <c r="AE914" s="23">
        <f t="shared" si="105"/>
        <v>0</v>
      </c>
    </row>
    <row r="915" spans="6:33" ht="24" customHeight="1">
      <c r="H915" s="4" t="s">
        <v>1459</v>
      </c>
      <c r="AE915" s="23">
        <f t="shared" si="105"/>
        <v>0</v>
      </c>
    </row>
    <row r="916" spans="6:33" ht="24" customHeight="1">
      <c r="F916" s="106">
        <v>21.2</v>
      </c>
      <c r="H916" s="50" t="s">
        <v>1460</v>
      </c>
      <c r="AE916" s="23">
        <f t="shared" si="105"/>
        <v>0</v>
      </c>
    </row>
    <row r="917" spans="6:33" ht="24" customHeight="1">
      <c r="F917" s="106"/>
      <c r="H917" s="12" t="s">
        <v>117</v>
      </c>
      <c r="AE917" s="23" t="str">
        <f t="shared" si="105"/>
        <v>|</v>
      </c>
      <c r="AG917" s="3" t="s">
        <v>849</v>
      </c>
    </row>
    <row r="918" spans="6:33" ht="24" customHeight="1">
      <c r="G918" s="15" t="s">
        <v>810</v>
      </c>
      <c r="H918" s="3" t="s">
        <v>1461</v>
      </c>
      <c r="K918" s="3" t="s">
        <v>115</v>
      </c>
      <c r="AE918" s="23" t="str">
        <f t="shared" si="105"/>
        <v>|</v>
      </c>
      <c r="AG918" s="3" t="s">
        <v>849</v>
      </c>
    </row>
    <row r="919" spans="6:33" ht="24" customHeight="1">
      <c r="H919" s="12" t="s">
        <v>117</v>
      </c>
      <c r="K919" s="3" t="s">
        <v>115</v>
      </c>
      <c r="AE919" s="23" t="str">
        <f t="shared" si="105"/>
        <v>|</v>
      </c>
      <c r="AG919" s="3" t="s">
        <v>849</v>
      </c>
    </row>
    <row r="920" spans="6:33" ht="24" customHeight="1">
      <c r="F920" s="17">
        <v>1</v>
      </c>
      <c r="G920" s="15" t="s">
        <v>126</v>
      </c>
      <c r="H920" s="3" t="s">
        <v>1462</v>
      </c>
      <c r="I920" s="17">
        <f>C30</f>
        <v>10275</v>
      </c>
      <c r="J920" s="3" t="s">
        <v>126</v>
      </c>
      <c r="K920" s="17">
        <f>(F920*I920)</f>
        <v>10275</v>
      </c>
      <c r="AE920" s="23" t="str">
        <f t="shared" si="105"/>
        <v>|</v>
      </c>
      <c r="AG920" s="3" t="s">
        <v>849</v>
      </c>
    </row>
    <row r="921" spans="6:33" ht="24" customHeight="1">
      <c r="F921" s="17">
        <v>1</v>
      </c>
      <c r="G921" s="15" t="s">
        <v>126</v>
      </c>
      <c r="H921" s="3" t="s">
        <v>1461</v>
      </c>
      <c r="I921" s="17">
        <f>C88</f>
        <v>111600</v>
      </c>
      <c r="J921" s="3" t="s">
        <v>126</v>
      </c>
      <c r="K921" s="17">
        <f>(F921*I921)</f>
        <v>111600</v>
      </c>
      <c r="AE921" s="23" t="str">
        <f t="shared" si="105"/>
        <v>|</v>
      </c>
      <c r="AG921" s="3" t="s">
        <v>849</v>
      </c>
    </row>
    <row r="922" spans="6:33" ht="24" customHeight="1">
      <c r="K922" s="12" t="s">
        <v>155</v>
      </c>
      <c r="AE922" s="23">
        <f t="shared" si="105"/>
        <v>0</v>
      </c>
    </row>
    <row r="923" spans="6:33" ht="24" customHeight="1">
      <c r="H923" s="3" t="s">
        <v>1463</v>
      </c>
      <c r="K923" s="16">
        <f>SUM(K920:K921)</f>
        <v>121875</v>
      </c>
      <c r="AE923" s="23" t="str">
        <f t="shared" si="105"/>
        <v>|</v>
      </c>
      <c r="AG923" s="3" t="s">
        <v>849</v>
      </c>
    </row>
    <row r="924" spans="6:33" ht="24" customHeight="1">
      <c r="K924" s="12" t="s">
        <v>155</v>
      </c>
      <c r="AE924" s="23" t="str">
        <f t="shared" si="105"/>
        <v>|</v>
      </c>
      <c r="AG924" s="3" t="s">
        <v>849</v>
      </c>
    </row>
    <row r="925" spans="6:33" ht="24" customHeight="1">
      <c r="G925" s="15" t="s">
        <v>2</v>
      </c>
      <c r="H925" s="3" t="s">
        <v>1464</v>
      </c>
      <c r="K925" s="3" t="s">
        <v>115</v>
      </c>
      <c r="AE925" s="23" t="str">
        <f t="shared" si="105"/>
        <v>|</v>
      </c>
      <c r="AG925" s="3" t="s">
        <v>849</v>
      </c>
    </row>
    <row r="926" spans="6:33" ht="24" customHeight="1">
      <c r="H926" s="12" t="s">
        <v>117</v>
      </c>
      <c r="M926" s="4" t="s">
        <v>1465</v>
      </c>
      <c r="N926" s="15" t="s">
        <v>122</v>
      </c>
      <c r="O926" s="3" t="s">
        <v>1466</v>
      </c>
      <c r="Q926" s="8"/>
      <c r="AE926" s="23">
        <f t="shared" si="105"/>
        <v>0</v>
      </c>
      <c r="AG926" s="3"/>
    </row>
    <row r="927" spans="6:33" ht="24" customHeight="1">
      <c r="F927" s="17">
        <v>1</v>
      </c>
      <c r="G927" s="15" t="s">
        <v>126</v>
      </c>
      <c r="H927" s="3" t="s">
        <v>1462</v>
      </c>
      <c r="I927" s="17">
        <f>C30</f>
        <v>10275</v>
      </c>
      <c r="J927" s="3" t="s">
        <v>126</v>
      </c>
      <c r="K927" s="17">
        <f>(F927*I927)</f>
        <v>10275</v>
      </c>
      <c r="N927" s="6"/>
      <c r="O927" s="3" t="s">
        <v>1467</v>
      </c>
      <c r="Q927" s="8"/>
      <c r="AE927" s="23" t="str">
        <f t="shared" si="105"/>
        <v>|</v>
      </c>
      <c r="AG927" s="3" t="s">
        <v>849</v>
      </c>
    </row>
    <row r="928" spans="6:33" ht="24" customHeight="1">
      <c r="F928" s="17">
        <v>1</v>
      </c>
      <c r="G928" s="15" t="s">
        <v>126</v>
      </c>
      <c r="H928" s="3" t="s">
        <v>1461</v>
      </c>
      <c r="I928" s="17">
        <f>C89</f>
        <v>99400</v>
      </c>
      <c r="J928" s="3" t="s">
        <v>126</v>
      </c>
      <c r="K928" s="17">
        <f>(F928*I928)</f>
        <v>99400</v>
      </c>
      <c r="N928" s="6"/>
      <c r="O928" s="3" t="s">
        <v>1468</v>
      </c>
      <c r="Q928" s="8"/>
      <c r="AE928" s="23" t="str">
        <f t="shared" si="105"/>
        <v>|</v>
      </c>
      <c r="AG928" s="3" t="s">
        <v>849</v>
      </c>
    </row>
    <row r="929" spans="6:33" ht="24" customHeight="1">
      <c r="K929" s="12" t="s">
        <v>155</v>
      </c>
      <c r="N929" s="6"/>
      <c r="O929" s="12" t="s">
        <v>117</v>
      </c>
      <c r="Q929" s="8"/>
      <c r="AE929" s="23" t="str">
        <f t="shared" si="105"/>
        <v>|</v>
      </c>
      <c r="AG929" s="3" t="s">
        <v>849</v>
      </c>
    </row>
    <row r="930" spans="6:33" ht="24" customHeight="1">
      <c r="H930" s="3" t="s">
        <v>1469</v>
      </c>
      <c r="K930" s="16">
        <f>SUM(K927:K928)</f>
        <v>109675</v>
      </c>
      <c r="N930" s="6"/>
      <c r="O930" s="3" t="s">
        <v>1470</v>
      </c>
      <c r="Q930" s="8"/>
      <c r="AE930" s="23" t="str">
        <f t="shared" si="105"/>
        <v>|</v>
      </c>
      <c r="AG930" s="3" t="s">
        <v>849</v>
      </c>
    </row>
    <row r="931" spans="6:33" ht="24" customHeight="1">
      <c r="K931" s="12" t="s">
        <v>155</v>
      </c>
      <c r="N931" s="6"/>
      <c r="O931" s="3" t="s">
        <v>1471</v>
      </c>
      <c r="Q931" s="8"/>
      <c r="AE931" s="23" t="str">
        <f t="shared" si="105"/>
        <v>|</v>
      </c>
      <c r="AG931" s="3" t="s">
        <v>849</v>
      </c>
    </row>
    <row r="932" spans="6:33" ht="24" customHeight="1">
      <c r="N932" s="6"/>
      <c r="Q932" s="3" t="s">
        <v>117</v>
      </c>
      <c r="AE932" s="23" t="str">
        <f t="shared" si="105"/>
        <v>|</v>
      </c>
      <c r="AG932" s="3" t="s">
        <v>849</v>
      </c>
    </row>
    <row r="933" spans="6:33" ht="24" customHeight="1">
      <c r="F933" s="4" t="s">
        <v>1465</v>
      </c>
      <c r="G933" s="15" t="s">
        <v>122</v>
      </c>
      <c r="H933" s="3" t="s">
        <v>1472</v>
      </c>
      <c r="N933" s="6"/>
      <c r="O933" s="3" t="s">
        <v>1473</v>
      </c>
      <c r="Q933" s="8"/>
      <c r="AE933" s="23" t="str">
        <f t="shared" si="105"/>
        <v>|</v>
      </c>
      <c r="AG933" s="3" t="s">
        <v>849</v>
      </c>
    </row>
    <row r="934" spans="6:33" ht="24" customHeight="1">
      <c r="H934" s="3" t="s">
        <v>1467</v>
      </c>
      <c r="N934" s="6"/>
      <c r="O934" s="3" t="s">
        <v>1474</v>
      </c>
      <c r="Q934" s="8"/>
      <c r="R934" s="80">
        <v>2.4299999999999999E-2</v>
      </c>
      <c r="AE934" s="23" t="str">
        <f t="shared" si="105"/>
        <v>|</v>
      </c>
      <c r="AG934" s="3" t="s">
        <v>849</v>
      </c>
    </row>
    <row r="935" spans="6:33" ht="24" customHeight="1">
      <c r="H935" s="3" t="s">
        <v>1468</v>
      </c>
      <c r="N935" s="6"/>
      <c r="Q935" s="3" t="s">
        <v>115</v>
      </c>
      <c r="R935" s="12" t="s">
        <v>117</v>
      </c>
      <c r="AE935" s="23" t="str">
        <f t="shared" si="105"/>
        <v>|</v>
      </c>
      <c r="AG935" s="3" t="s">
        <v>849</v>
      </c>
    </row>
    <row r="936" spans="6:33" ht="24" customHeight="1">
      <c r="H936" s="12" t="s">
        <v>117</v>
      </c>
      <c r="N936" s="6"/>
      <c r="O936" s="3" t="s">
        <v>1475</v>
      </c>
      <c r="Q936" s="130" t="s">
        <v>115</v>
      </c>
      <c r="R936" s="80">
        <v>1.47E-2</v>
      </c>
      <c r="AE936" s="23" t="str">
        <f t="shared" si="105"/>
        <v>|</v>
      </c>
      <c r="AG936" s="3" t="s">
        <v>849</v>
      </c>
    </row>
    <row r="937" spans="6:33" ht="24" customHeight="1">
      <c r="H937" s="3" t="s">
        <v>1470</v>
      </c>
      <c r="N937" s="6"/>
      <c r="O937" s="3" t="s">
        <v>1476</v>
      </c>
      <c r="Q937" s="3" t="s">
        <v>115</v>
      </c>
      <c r="R937" s="80">
        <v>4.5999999999999999E-3</v>
      </c>
      <c r="AE937" s="23" t="str">
        <f t="shared" si="105"/>
        <v>|</v>
      </c>
      <c r="AG937" s="3" t="s">
        <v>849</v>
      </c>
    </row>
    <row r="938" spans="6:33" ht="24" customHeight="1">
      <c r="H938" s="3" t="s">
        <v>1471</v>
      </c>
      <c r="N938" s="6"/>
      <c r="Q938" s="8"/>
      <c r="R938" s="12" t="s">
        <v>117</v>
      </c>
      <c r="AE938" s="23" t="str">
        <f t="shared" si="105"/>
        <v>|</v>
      </c>
      <c r="AG938" s="3" t="s">
        <v>849</v>
      </c>
    </row>
    <row r="939" spans="6:33" ht="24" customHeight="1">
      <c r="J939" s="3" t="s">
        <v>117</v>
      </c>
      <c r="N939" s="6"/>
      <c r="Q939" s="8"/>
      <c r="R939" s="80">
        <v>1.9300000000000001E-2</v>
      </c>
      <c r="AE939" s="23" t="str">
        <f t="shared" si="105"/>
        <v>|</v>
      </c>
      <c r="AG939" s="3" t="s">
        <v>849</v>
      </c>
    </row>
    <row r="940" spans="6:33" ht="24" customHeight="1">
      <c r="H940" s="3" t="s">
        <v>1473</v>
      </c>
      <c r="N940" s="6"/>
      <c r="Q940" s="8"/>
      <c r="R940" s="12" t="s">
        <v>117</v>
      </c>
      <c r="AE940" s="23" t="str">
        <f t="shared" si="105"/>
        <v>|</v>
      </c>
      <c r="AG940" s="3" t="s">
        <v>849</v>
      </c>
    </row>
    <row r="941" spans="6:33" ht="24" customHeight="1">
      <c r="H941" s="3" t="s">
        <v>1474</v>
      </c>
      <c r="K941" s="80">
        <v>2.4299999999999999E-2</v>
      </c>
      <c r="N941" s="6"/>
      <c r="Q941" s="8"/>
      <c r="AE941" s="23" t="str">
        <f t="shared" si="105"/>
        <v>|</v>
      </c>
      <c r="AG941" s="3" t="s">
        <v>849</v>
      </c>
    </row>
    <row r="942" spans="6:33" ht="24" customHeight="1">
      <c r="J942" s="3" t="s">
        <v>115</v>
      </c>
      <c r="K942" s="12" t="s">
        <v>117</v>
      </c>
      <c r="N942" s="6"/>
      <c r="Q942" s="8"/>
      <c r="AE942" s="23" t="str">
        <f t="shared" si="105"/>
        <v>|</v>
      </c>
      <c r="AG942" s="3" t="s">
        <v>849</v>
      </c>
    </row>
    <row r="943" spans="6:33" ht="24" customHeight="1">
      <c r="H943" s="3" t="s">
        <v>1475</v>
      </c>
      <c r="J943" s="130" t="s">
        <v>115</v>
      </c>
      <c r="K943" s="80">
        <v>1.47E-2</v>
      </c>
      <c r="M943" s="80">
        <v>1.14E-2</v>
      </c>
      <c r="N943" s="15" t="s">
        <v>126</v>
      </c>
      <c r="O943" s="3" t="s">
        <v>1477</v>
      </c>
      <c r="P943" s="17">
        <f>C86</f>
        <v>34300</v>
      </c>
      <c r="Q943" s="3" t="s">
        <v>126</v>
      </c>
      <c r="R943" s="17">
        <f>(M943*P943)</f>
        <v>391.02000000000004</v>
      </c>
      <c r="AE943" s="23" t="str">
        <f t="shared" si="105"/>
        <v>|</v>
      </c>
      <c r="AG943" s="3" t="s">
        <v>849</v>
      </c>
    </row>
    <row r="944" spans="6:33" ht="24" customHeight="1">
      <c r="H944" s="3" t="s">
        <v>1476</v>
      </c>
      <c r="J944" s="3" t="s">
        <v>115</v>
      </c>
      <c r="K944" s="80">
        <v>4.5999999999999999E-3</v>
      </c>
      <c r="M944" s="80">
        <v>2.4299999999999999E-2</v>
      </c>
      <c r="N944" s="15" t="s">
        <v>126</v>
      </c>
      <c r="O944" s="3" t="s">
        <v>1478</v>
      </c>
      <c r="P944" s="17">
        <f>P943</f>
        <v>34300</v>
      </c>
      <c r="Q944" s="3" t="s">
        <v>126</v>
      </c>
      <c r="R944" s="17">
        <f>(M944*P944)</f>
        <v>833.49</v>
      </c>
      <c r="AE944" s="23" t="str">
        <f t="shared" si="105"/>
        <v>|</v>
      </c>
      <c r="AG944" s="3" t="s">
        <v>849</v>
      </c>
    </row>
    <row r="945" spans="6:33" ht="24" customHeight="1">
      <c r="K945" s="12" t="s">
        <v>117</v>
      </c>
      <c r="M945" s="80">
        <v>1.9300000000000001E-2</v>
      </c>
      <c r="N945" s="15" t="s">
        <v>126</v>
      </c>
      <c r="O945" s="3" t="s">
        <v>1479</v>
      </c>
      <c r="P945" s="17">
        <f>C87</f>
        <v>39400</v>
      </c>
      <c r="Q945" s="3" t="s">
        <v>126</v>
      </c>
      <c r="R945" s="17">
        <f>(M945*P945)</f>
        <v>760.42000000000007</v>
      </c>
      <c r="AE945" s="23" t="str">
        <f t="shared" si="105"/>
        <v>|</v>
      </c>
      <c r="AG945" s="3" t="s">
        <v>849</v>
      </c>
    </row>
    <row r="946" spans="6:33" ht="24" customHeight="1">
      <c r="K946" s="80">
        <v>1.9300000000000001E-2</v>
      </c>
      <c r="M946" s="81"/>
      <c r="N946" s="6"/>
      <c r="O946" s="3"/>
      <c r="P946" s="3" t="s">
        <v>115</v>
      </c>
      <c r="Q946" s="8"/>
      <c r="R946" s="3" t="s">
        <v>115</v>
      </c>
      <c r="AE946" s="23">
        <f t="shared" si="105"/>
        <v>0</v>
      </c>
    </row>
    <row r="947" spans="6:33" ht="24" customHeight="1">
      <c r="K947" s="12" t="s">
        <v>117</v>
      </c>
      <c r="M947" s="81">
        <v>1.823</v>
      </c>
      <c r="N947" s="15" t="s">
        <v>140</v>
      </c>
      <c r="O947" s="3" t="s">
        <v>1480</v>
      </c>
      <c r="P947" s="17">
        <f>I954</f>
        <v>1155</v>
      </c>
      <c r="Q947" s="3" t="s">
        <v>140</v>
      </c>
      <c r="R947" s="17">
        <f t="shared" ref="R947:R953" si="113">(M947*P947)</f>
        <v>2105.5650000000001</v>
      </c>
      <c r="AE947" s="23">
        <f t="shared" si="105"/>
        <v>0</v>
      </c>
    </row>
    <row r="948" spans="6:33" ht="24" customHeight="1">
      <c r="M948" s="17">
        <v>1</v>
      </c>
      <c r="N948" s="15" t="s">
        <v>1</v>
      </c>
      <c r="O948" s="3" t="s">
        <v>1481</v>
      </c>
      <c r="P948" s="17">
        <f t="shared" ref="P948:P953" si="114">I955</f>
        <v>50.9</v>
      </c>
      <c r="Q948" s="3" t="s">
        <v>209</v>
      </c>
      <c r="R948" s="17">
        <f t="shared" si="113"/>
        <v>50.9</v>
      </c>
      <c r="AE948" s="23">
        <f t="shared" si="105"/>
        <v>0</v>
      </c>
    </row>
    <row r="949" spans="6:33" ht="24" customHeight="1">
      <c r="M949" s="17">
        <v>3</v>
      </c>
      <c r="N949" s="15" t="s">
        <v>209</v>
      </c>
      <c r="O949" s="3" t="s">
        <v>1482</v>
      </c>
      <c r="P949" s="17">
        <f t="shared" si="114"/>
        <v>79.099999999999994</v>
      </c>
      <c r="Q949" s="3" t="s">
        <v>209</v>
      </c>
      <c r="R949" s="17">
        <f t="shared" si="113"/>
        <v>237.29999999999998</v>
      </c>
      <c r="AE949" s="23">
        <f t="shared" si="105"/>
        <v>0</v>
      </c>
    </row>
    <row r="950" spans="6:33" ht="24" customHeight="1">
      <c r="F950" s="80">
        <v>1.14E-2</v>
      </c>
      <c r="G950" s="15" t="s">
        <v>126</v>
      </c>
      <c r="H950" s="3" t="s">
        <v>1483</v>
      </c>
      <c r="I950" s="17">
        <f>C88</f>
        <v>111600</v>
      </c>
      <c r="J950" s="3" t="s">
        <v>126</v>
      </c>
      <c r="K950" s="17">
        <f>(F950*I950)</f>
        <v>1272.24</v>
      </c>
      <c r="M950" s="17">
        <v>2</v>
      </c>
      <c r="N950" s="15" t="s">
        <v>209</v>
      </c>
      <c r="O950" s="3" t="s">
        <v>1484</v>
      </c>
      <c r="P950" s="17">
        <f t="shared" si="114"/>
        <v>57.2</v>
      </c>
      <c r="Q950" s="3" t="s">
        <v>209</v>
      </c>
      <c r="R950" s="17">
        <f t="shared" si="113"/>
        <v>114.4</v>
      </c>
      <c r="AE950" s="23">
        <f t="shared" ref="AE950:AE1013" si="115">AG950</f>
        <v>0</v>
      </c>
    </row>
    <row r="951" spans="6:33" ht="24" customHeight="1">
      <c r="F951" s="80">
        <v>2.4299999999999999E-2</v>
      </c>
      <c r="G951" s="15" t="s">
        <v>126</v>
      </c>
      <c r="H951" s="3" t="s">
        <v>1485</v>
      </c>
      <c r="I951" s="17">
        <f>C89</f>
        <v>99400</v>
      </c>
      <c r="J951" s="3" t="s">
        <v>126</v>
      </c>
      <c r="K951" s="17">
        <f>(F951*I951)</f>
        <v>2415.42</v>
      </c>
      <c r="M951" s="17">
        <v>1</v>
      </c>
      <c r="N951" s="15" t="s">
        <v>209</v>
      </c>
      <c r="O951" s="3" t="s">
        <v>1486</v>
      </c>
      <c r="P951" s="17">
        <f t="shared" si="114"/>
        <v>159.69999999999999</v>
      </c>
      <c r="Q951" s="3" t="s">
        <v>209</v>
      </c>
      <c r="R951" s="17">
        <f t="shared" si="113"/>
        <v>159.69999999999999</v>
      </c>
      <c r="AE951" s="23">
        <f t="shared" si="115"/>
        <v>0</v>
      </c>
    </row>
    <row r="952" spans="6:33" ht="24" customHeight="1">
      <c r="F952" s="80">
        <v>1.9300000000000001E-2</v>
      </c>
      <c r="G952" s="15" t="s">
        <v>126</v>
      </c>
      <c r="H952" s="3" t="s">
        <v>1487</v>
      </c>
      <c r="I952" s="17">
        <f>C90</f>
        <v>95000</v>
      </c>
      <c r="J952" s="3" t="s">
        <v>126</v>
      </c>
      <c r="K952" s="17">
        <f>(F952*I952)</f>
        <v>1833.5</v>
      </c>
      <c r="M952" s="17">
        <v>1</v>
      </c>
      <c r="N952" s="15" t="s">
        <v>209</v>
      </c>
      <c r="O952" s="3" t="s">
        <v>1488</v>
      </c>
      <c r="P952" s="17">
        <f t="shared" si="114"/>
        <v>7.3</v>
      </c>
      <c r="Q952" s="3" t="s">
        <v>209</v>
      </c>
      <c r="R952" s="17">
        <f t="shared" si="113"/>
        <v>7.3</v>
      </c>
      <c r="AE952" s="23">
        <f t="shared" si="115"/>
        <v>0</v>
      </c>
    </row>
    <row r="953" spans="6:33" ht="24" customHeight="1">
      <c r="F953" s="81"/>
      <c r="H953" s="3" t="s">
        <v>1489</v>
      </c>
      <c r="I953" s="3" t="s">
        <v>115</v>
      </c>
      <c r="K953" s="3" t="s">
        <v>115</v>
      </c>
      <c r="M953" s="17">
        <v>1</v>
      </c>
      <c r="N953" s="15" t="s">
        <v>209</v>
      </c>
      <c r="O953" s="3" t="s">
        <v>630</v>
      </c>
      <c r="P953" s="17">
        <f t="shared" si="114"/>
        <v>43.8</v>
      </c>
      <c r="Q953" s="3" t="s">
        <v>209</v>
      </c>
      <c r="R953" s="17">
        <f t="shared" si="113"/>
        <v>43.8</v>
      </c>
      <c r="AE953" s="23">
        <f t="shared" si="115"/>
        <v>0</v>
      </c>
    </row>
    <row r="954" spans="6:33" ht="24" customHeight="1">
      <c r="F954" s="81">
        <v>1.823</v>
      </c>
      <c r="G954" s="15" t="s">
        <v>140</v>
      </c>
      <c r="H954" s="3" t="s">
        <v>1480</v>
      </c>
      <c r="I954" s="17">
        <f>C31</f>
        <v>1155</v>
      </c>
      <c r="J954" s="3" t="s">
        <v>140</v>
      </c>
      <c r="K954" s="17">
        <f t="shared" ref="K954:K961" si="116">(F954*I954)</f>
        <v>2105.5650000000001</v>
      </c>
      <c r="N954" s="6"/>
      <c r="Q954" s="8"/>
      <c r="R954" s="12" t="s">
        <v>117</v>
      </c>
      <c r="AE954" s="23">
        <f t="shared" si="115"/>
        <v>0</v>
      </c>
    </row>
    <row r="955" spans="6:33" ht="24" customHeight="1">
      <c r="F955" s="17">
        <v>1</v>
      </c>
      <c r="G955" s="15" t="s">
        <v>1</v>
      </c>
      <c r="H955" s="3" t="s">
        <v>1490</v>
      </c>
      <c r="I955" s="17">
        <f>C598</f>
        <v>50.9</v>
      </c>
      <c r="J955" s="3" t="s">
        <v>209</v>
      </c>
      <c r="K955" s="17">
        <f t="shared" si="116"/>
        <v>50.9</v>
      </c>
      <c r="N955" s="6"/>
      <c r="O955" s="3" t="s">
        <v>1491</v>
      </c>
      <c r="Q955" s="8"/>
      <c r="R955" s="17">
        <f>SUM(R943:R953)</f>
        <v>4703.8949999999995</v>
      </c>
      <c r="AE955" s="23">
        <f t="shared" si="115"/>
        <v>0</v>
      </c>
    </row>
    <row r="956" spans="6:33" ht="24" customHeight="1">
      <c r="F956" s="17">
        <v>3</v>
      </c>
      <c r="G956" s="15" t="s">
        <v>209</v>
      </c>
      <c r="H956" s="3" t="s">
        <v>1482</v>
      </c>
      <c r="I956" s="17">
        <f>C279</f>
        <v>79.099999999999994</v>
      </c>
      <c r="J956" s="3" t="s">
        <v>209</v>
      </c>
      <c r="K956" s="17">
        <f t="shared" si="116"/>
        <v>237.29999999999998</v>
      </c>
      <c r="N956" s="6"/>
      <c r="Q956" s="8"/>
      <c r="R956" s="12" t="s">
        <v>117</v>
      </c>
      <c r="AE956" s="23">
        <f t="shared" si="115"/>
        <v>0</v>
      </c>
    </row>
    <row r="957" spans="6:33" ht="24" customHeight="1">
      <c r="F957" s="17">
        <v>2</v>
      </c>
      <c r="G957" s="15" t="s">
        <v>209</v>
      </c>
      <c r="H957" s="3" t="s">
        <v>1484</v>
      </c>
      <c r="I957" s="17">
        <f>C284</f>
        <v>57.2</v>
      </c>
      <c r="J957" s="3" t="s">
        <v>209</v>
      </c>
      <c r="K957" s="17">
        <f t="shared" si="116"/>
        <v>114.4</v>
      </c>
      <c r="N957" s="6"/>
      <c r="O957" s="19" t="s">
        <v>154</v>
      </c>
      <c r="Q957" s="8"/>
      <c r="R957" s="16">
        <f>R955/M947</f>
        <v>2580.3044432254524</v>
      </c>
      <c r="AE957" s="23">
        <f t="shared" si="115"/>
        <v>0</v>
      </c>
    </row>
    <row r="958" spans="6:33" ht="24" customHeight="1">
      <c r="F958" s="17">
        <v>1</v>
      </c>
      <c r="G958" s="15" t="s">
        <v>209</v>
      </c>
      <c r="H958" s="3" t="s">
        <v>1486</v>
      </c>
      <c r="I958" s="17">
        <f>C286</f>
        <v>159.69999999999999</v>
      </c>
      <c r="J958" s="3" t="s">
        <v>209</v>
      </c>
      <c r="K958" s="17">
        <f t="shared" si="116"/>
        <v>159.69999999999999</v>
      </c>
      <c r="M958" s="3" t="s">
        <v>115</v>
      </c>
      <c r="N958" s="6"/>
      <c r="Q958" s="8"/>
      <c r="AE958" s="23">
        <f t="shared" si="115"/>
        <v>0</v>
      </c>
    </row>
    <row r="959" spans="6:33" ht="24" customHeight="1">
      <c r="F959" s="17">
        <v>1</v>
      </c>
      <c r="G959" s="15" t="s">
        <v>209</v>
      </c>
      <c r="H959" s="3" t="s">
        <v>1488</v>
      </c>
      <c r="I959" s="17">
        <f>C288</f>
        <v>7.3</v>
      </c>
      <c r="J959" s="3" t="s">
        <v>209</v>
      </c>
      <c r="K959" s="17">
        <f t="shared" si="116"/>
        <v>7.3</v>
      </c>
      <c r="N959" s="6"/>
      <c r="Q959" s="8"/>
      <c r="R959" s="12" t="s">
        <v>155</v>
      </c>
      <c r="AE959" s="23" t="str">
        <f t="shared" si="115"/>
        <v>|</v>
      </c>
      <c r="AG959" s="3" t="s">
        <v>849</v>
      </c>
    </row>
    <row r="960" spans="6:33" ht="24" customHeight="1">
      <c r="F960" s="17">
        <v>1</v>
      </c>
      <c r="G960" s="15" t="s">
        <v>209</v>
      </c>
      <c r="H960" s="3" t="s">
        <v>630</v>
      </c>
      <c r="I960" s="17">
        <f>D598</f>
        <v>43.8</v>
      </c>
      <c r="J960" s="3" t="s">
        <v>209</v>
      </c>
      <c r="K960" s="17">
        <f t="shared" si="116"/>
        <v>43.8</v>
      </c>
      <c r="AE960" s="23" t="str">
        <f t="shared" si="115"/>
        <v>|</v>
      </c>
      <c r="AG960" s="3" t="s">
        <v>849</v>
      </c>
    </row>
    <row r="961" spans="6:33" ht="24" customHeight="1">
      <c r="F961" s="17">
        <v>10</v>
      </c>
      <c r="G961" s="15" t="s">
        <v>1492</v>
      </c>
      <c r="H961" s="70" t="s">
        <v>1493</v>
      </c>
      <c r="I961" s="79">
        <v>2.37</v>
      </c>
      <c r="J961" s="8" t="s">
        <v>1494</v>
      </c>
      <c r="K961" s="17">
        <f t="shared" si="116"/>
        <v>23.700000000000003</v>
      </c>
      <c r="AE961" s="23" t="str">
        <f t="shared" si="115"/>
        <v>|</v>
      </c>
      <c r="AG961" s="3" t="s">
        <v>849</v>
      </c>
    </row>
    <row r="962" spans="6:33" ht="24" customHeight="1">
      <c r="H962" s="3" t="s">
        <v>1491</v>
      </c>
      <c r="K962" s="17">
        <f>SUM(K950:K961)</f>
        <v>8263.8249999999989</v>
      </c>
      <c r="AE962" s="23" t="str">
        <f t="shared" si="115"/>
        <v>|</v>
      </c>
      <c r="AG962" s="3" t="s">
        <v>849</v>
      </c>
    </row>
    <row r="963" spans="6:33" ht="24" customHeight="1">
      <c r="K963" s="12" t="s">
        <v>117</v>
      </c>
      <c r="AE963" s="23" t="str">
        <f t="shared" si="115"/>
        <v>|</v>
      </c>
      <c r="AG963" s="3" t="s">
        <v>849</v>
      </c>
    </row>
    <row r="964" spans="6:33" ht="24" customHeight="1">
      <c r="H964" s="19" t="s">
        <v>154</v>
      </c>
      <c r="K964" s="16">
        <f>K962/F954</f>
        <v>4533.0910586944592</v>
      </c>
      <c r="AE964" s="23" t="str">
        <f t="shared" si="115"/>
        <v>|</v>
      </c>
      <c r="AG964" s="3" t="s">
        <v>849</v>
      </c>
    </row>
    <row r="965" spans="6:33" ht="24" customHeight="1">
      <c r="F965" s="3" t="s">
        <v>115</v>
      </c>
      <c r="AE965" s="23" t="str">
        <f t="shared" si="115"/>
        <v>|</v>
      </c>
      <c r="AG965" s="3" t="s">
        <v>849</v>
      </c>
    </row>
    <row r="966" spans="6:33" ht="24" customHeight="1">
      <c r="K966" s="12" t="s">
        <v>155</v>
      </c>
      <c r="AE966" s="23" t="str">
        <f t="shared" si="115"/>
        <v>|</v>
      </c>
      <c r="AG966" s="3" t="s">
        <v>849</v>
      </c>
    </row>
    <row r="967" spans="6:33" ht="24" customHeight="1">
      <c r="AE967" s="23" t="str">
        <f t="shared" si="115"/>
        <v>|</v>
      </c>
      <c r="AG967" s="3" t="s">
        <v>849</v>
      </c>
    </row>
    <row r="968" spans="6:33" ht="24" customHeight="1">
      <c r="AE968" s="23" t="str">
        <f t="shared" si="115"/>
        <v>|</v>
      </c>
      <c r="AG968" s="3" t="s">
        <v>849</v>
      </c>
    </row>
    <row r="969" spans="6:33" ht="24" customHeight="1">
      <c r="F969" s="4" t="s">
        <v>1495</v>
      </c>
      <c r="G969" s="15" t="s">
        <v>122</v>
      </c>
      <c r="H969" s="3" t="s">
        <v>1472</v>
      </c>
      <c r="AE969" s="23" t="str">
        <f t="shared" si="115"/>
        <v>|</v>
      </c>
      <c r="AG969" s="3" t="s">
        <v>849</v>
      </c>
    </row>
    <row r="970" spans="6:33" ht="24" customHeight="1">
      <c r="H970" s="3" t="s">
        <v>1467</v>
      </c>
      <c r="AE970" s="23" t="str">
        <f t="shared" si="115"/>
        <v>|</v>
      </c>
      <c r="AG970" s="3" t="s">
        <v>849</v>
      </c>
    </row>
    <row r="971" spans="6:33" ht="24" customHeight="1">
      <c r="H971" s="3" t="s">
        <v>1496</v>
      </c>
      <c r="AE971" s="23" t="str">
        <f t="shared" si="115"/>
        <v>|</v>
      </c>
      <c r="AG971" s="3" t="s">
        <v>849</v>
      </c>
    </row>
    <row r="972" spans="6:33" ht="24" customHeight="1">
      <c r="H972" s="12" t="s">
        <v>117</v>
      </c>
      <c r="AE972" s="23" t="str">
        <f t="shared" si="115"/>
        <v>|</v>
      </c>
      <c r="AG972" s="3" t="s">
        <v>849</v>
      </c>
    </row>
    <row r="973" spans="6:33" ht="24" customHeight="1">
      <c r="AE973" s="23" t="str">
        <f t="shared" si="115"/>
        <v>|</v>
      </c>
      <c r="AG973" s="3" t="s">
        <v>849</v>
      </c>
    </row>
    <row r="974" spans="6:33" ht="24" customHeight="1">
      <c r="H974" s="3" t="s">
        <v>1497</v>
      </c>
      <c r="AE974" s="23">
        <f t="shared" si="115"/>
        <v>0</v>
      </c>
    </row>
    <row r="975" spans="6:33" ht="24" customHeight="1">
      <c r="H975" s="3" t="s">
        <v>1498</v>
      </c>
      <c r="AE975" s="23" t="str">
        <f t="shared" si="115"/>
        <v>|</v>
      </c>
      <c r="AG975" s="3" t="s">
        <v>849</v>
      </c>
    </row>
    <row r="976" spans="6:33" ht="24" customHeight="1">
      <c r="J976" s="3" t="s">
        <v>117</v>
      </c>
      <c r="AE976" s="23">
        <f t="shared" si="115"/>
        <v>0</v>
      </c>
    </row>
    <row r="977" spans="6:33" ht="24" customHeight="1">
      <c r="H977" s="3" t="s">
        <v>1499</v>
      </c>
      <c r="AE977" s="23">
        <f t="shared" si="115"/>
        <v>0</v>
      </c>
    </row>
    <row r="978" spans="6:33" ht="24" customHeight="1">
      <c r="H978" s="3" t="s">
        <v>1500</v>
      </c>
      <c r="K978" s="80">
        <v>2.1999999999999999E-2</v>
      </c>
      <c r="AE978" s="23" t="str">
        <f t="shared" si="115"/>
        <v>|</v>
      </c>
      <c r="AG978" s="3" t="s">
        <v>849</v>
      </c>
    </row>
    <row r="979" spans="6:33" ht="24" customHeight="1">
      <c r="J979" s="3" t="s">
        <v>115</v>
      </c>
      <c r="K979" s="12" t="s">
        <v>117</v>
      </c>
      <c r="AE979" s="23" t="str">
        <f t="shared" si="115"/>
        <v>|</v>
      </c>
      <c r="AG979" s="3" t="s">
        <v>849</v>
      </c>
    </row>
    <row r="980" spans="6:33" ht="24" customHeight="1">
      <c r="H980" s="3" t="s">
        <v>1501</v>
      </c>
      <c r="J980" s="130" t="s">
        <v>115</v>
      </c>
      <c r="K980" s="80">
        <v>1.3100000000000001E-2</v>
      </c>
      <c r="AE980" s="23" t="str">
        <f t="shared" si="115"/>
        <v>|</v>
      </c>
      <c r="AG980" s="3" t="s">
        <v>849</v>
      </c>
    </row>
    <row r="981" spans="6:33" ht="24" customHeight="1">
      <c r="H981" s="3" t="s">
        <v>1502</v>
      </c>
      <c r="J981" s="3" t="s">
        <v>115</v>
      </c>
      <c r="K981" s="80">
        <v>3.3999999999999998E-3</v>
      </c>
      <c r="AE981" s="23" t="str">
        <f t="shared" si="115"/>
        <v>|</v>
      </c>
      <c r="AG981" s="3" t="s">
        <v>849</v>
      </c>
    </row>
    <row r="982" spans="6:33" ht="24" customHeight="1">
      <c r="K982" s="12" t="s">
        <v>117</v>
      </c>
      <c r="AE982" s="23">
        <f t="shared" si="115"/>
        <v>0</v>
      </c>
    </row>
    <row r="983" spans="6:33" ht="24" customHeight="1">
      <c r="K983" s="80">
        <v>1.6500000000000001E-2</v>
      </c>
      <c r="AE983" s="23">
        <f t="shared" si="115"/>
        <v>0</v>
      </c>
    </row>
    <row r="984" spans="6:33" ht="24" customHeight="1">
      <c r="K984" s="12" t="s">
        <v>117</v>
      </c>
      <c r="O984" s="5" t="s">
        <v>1503</v>
      </c>
      <c r="AE984" s="23">
        <f t="shared" si="115"/>
        <v>0</v>
      </c>
    </row>
    <row r="985" spans="6:33" ht="24" customHeight="1">
      <c r="F985" s="80">
        <v>1.15E-2</v>
      </c>
      <c r="G985" s="15" t="s">
        <v>126</v>
      </c>
      <c r="H985" s="3" t="s">
        <v>1483</v>
      </c>
      <c r="I985" s="17">
        <f>C88</f>
        <v>111600</v>
      </c>
      <c r="J985" s="3" t="s">
        <v>126</v>
      </c>
      <c r="K985" s="17">
        <f>(F985*I985)</f>
        <v>1283.4000000000001</v>
      </c>
      <c r="M985" s="4" t="s">
        <v>1504</v>
      </c>
      <c r="N985" s="15"/>
      <c r="O985" s="3" t="s">
        <v>1505</v>
      </c>
      <c r="Q985" s="8"/>
      <c r="R985" s="3" t="s">
        <v>115</v>
      </c>
      <c r="AE985" s="23">
        <f t="shared" si="115"/>
        <v>0</v>
      </c>
    </row>
    <row r="986" spans="6:33" ht="24" customHeight="1">
      <c r="F986" s="80">
        <v>2.1999999999999999E-2</v>
      </c>
      <c r="G986" s="15" t="s">
        <v>126</v>
      </c>
      <c r="H986" s="3" t="s">
        <v>1485</v>
      </c>
      <c r="I986" s="17">
        <f>C89</f>
        <v>99400</v>
      </c>
      <c r="J986" s="3" t="s">
        <v>126</v>
      </c>
      <c r="K986" s="17">
        <f>(F986*I986)</f>
        <v>2186.7999999999997</v>
      </c>
      <c r="N986" s="6"/>
      <c r="O986" s="12" t="s">
        <v>117</v>
      </c>
      <c r="Q986" s="8"/>
      <c r="AE986" s="23">
        <f t="shared" si="115"/>
        <v>0</v>
      </c>
    </row>
    <row r="987" spans="6:33" ht="24" customHeight="1">
      <c r="F987" s="80">
        <v>1.6500000000000001E-2</v>
      </c>
      <c r="G987" s="15" t="s">
        <v>126</v>
      </c>
      <c r="H987" s="3" t="s">
        <v>1487</v>
      </c>
      <c r="I987" s="17">
        <f>C90</f>
        <v>95000</v>
      </c>
      <c r="J987" s="3" t="s">
        <v>126</v>
      </c>
      <c r="K987" s="17">
        <f>(F987*I987)</f>
        <v>1567.5</v>
      </c>
      <c r="M987" s="131">
        <v>1.153E-2</v>
      </c>
      <c r="N987" s="132" t="s">
        <v>126</v>
      </c>
      <c r="O987" s="133" t="s">
        <v>621</v>
      </c>
      <c r="P987" s="134">
        <f t="shared" ref="P987:P997" si="117">I1053</f>
        <v>111600</v>
      </c>
      <c r="Q987" s="133" t="s">
        <v>126</v>
      </c>
      <c r="R987" s="134">
        <f t="shared" ref="R987:R997" si="118">(M987*P987)</f>
        <v>1286.748</v>
      </c>
      <c r="AE987" s="23">
        <f t="shared" si="115"/>
        <v>0</v>
      </c>
    </row>
    <row r="988" spans="6:33" ht="24" customHeight="1">
      <c r="F988" s="80"/>
      <c r="H988" s="3" t="s">
        <v>1489</v>
      </c>
      <c r="I988" s="3" t="s">
        <v>115</v>
      </c>
      <c r="K988" s="3" t="s">
        <v>115</v>
      </c>
      <c r="M988" s="135">
        <v>1.013E-2</v>
      </c>
      <c r="N988" s="15" t="s">
        <v>126</v>
      </c>
      <c r="O988" s="3" t="s">
        <v>622</v>
      </c>
      <c r="P988" s="134">
        <f t="shared" si="117"/>
        <v>99400</v>
      </c>
      <c r="Q988" s="3" t="s">
        <v>126</v>
      </c>
      <c r="R988" s="17">
        <f t="shared" si="118"/>
        <v>1006.922</v>
      </c>
      <c r="AE988" s="23">
        <f t="shared" si="115"/>
        <v>0</v>
      </c>
    </row>
    <row r="989" spans="6:33" ht="24" customHeight="1">
      <c r="F989" s="80">
        <v>1.64</v>
      </c>
      <c r="G989" s="15" t="s">
        <v>140</v>
      </c>
      <c r="H989" s="3" t="s">
        <v>1480</v>
      </c>
      <c r="I989" s="17">
        <f>C31</f>
        <v>1155</v>
      </c>
      <c r="J989" s="3" t="s">
        <v>140</v>
      </c>
      <c r="K989" s="17">
        <f t="shared" ref="K989:K996" si="119">(F989*I989)</f>
        <v>1894.1999999999998</v>
      </c>
      <c r="M989" s="135">
        <v>0.77780000000000005</v>
      </c>
      <c r="N989" s="15" t="s">
        <v>140</v>
      </c>
      <c r="O989" s="3" t="s">
        <v>623</v>
      </c>
      <c r="P989" s="134">
        <f t="shared" si="117"/>
        <v>387.4</v>
      </c>
      <c r="Q989" s="3" t="s">
        <v>140</v>
      </c>
      <c r="R989" s="17">
        <f t="shared" si="118"/>
        <v>301.31972000000002</v>
      </c>
      <c r="AE989" s="23">
        <f t="shared" si="115"/>
        <v>0</v>
      </c>
    </row>
    <row r="990" spans="6:33" ht="24" customHeight="1">
      <c r="F990" s="17">
        <v>1</v>
      </c>
      <c r="G990" s="15" t="s">
        <v>1</v>
      </c>
      <c r="H990" s="3" t="s">
        <v>1490</v>
      </c>
      <c r="I990" s="17">
        <f>C598</f>
        <v>50.9</v>
      </c>
      <c r="J990" s="3" t="s">
        <v>209</v>
      </c>
      <c r="K990" s="17">
        <f t="shared" si="119"/>
        <v>50.9</v>
      </c>
      <c r="M990" s="135">
        <v>1.23</v>
      </c>
      <c r="N990" s="15" t="s">
        <v>140</v>
      </c>
      <c r="O990" s="3" t="s">
        <v>624</v>
      </c>
      <c r="P990" s="134">
        <f t="shared" si="117"/>
        <v>963</v>
      </c>
      <c r="Q990" s="3" t="s">
        <v>140</v>
      </c>
      <c r="R990" s="17">
        <f t="shared" si="118"/>
        <v>1184.49</v>
      </c>
      <c r="AE990" s="23">
        <f t="shared" si="115"/>
        <v>0</v>
      </c>
    </row>
    <row r="991" spans="6:33" ht="24" customHeight="1">
      <c r="F991" s="17">
        <v>3</v>
      </c>
      <c r="G991" s="15" t="s">
        <v>209</v>
      </c>
      <c r="H991" s="3" t="s">
        <v>1482</v>
      </c>
      <c r="I991" s="17">
        <f>C279</f>
        <v>79.099999999999994</v>
      </c>
      <c r="J991" s="3" t="s">
        <v>209</v>
      </c>
      <c r="K991" s="17">
        <f t="shared" si="119"/>
        <v>237.29999999999998</v>
      </c>
      <c r="M991" s="17">
        <v>2</v>
      </c>
      <c r="N991" s="15" t="s">
        <v>209</v>
      </c>
      <c r="O991" s="3" t="s">
        <v>625</v>
      </c>
      <c r="P991" s="134">
        <f t="shared" si="117"/>
        <v>57.2</v>
      </c>
      <c r="Q991" s="3" t="s">
        <v>209</v>
      </c>
      <c r="R991" s="17">
        <f t="shared" si="118"/>
        <v>114.4</v>
      </c>
      <c r="AE991" s="23">
        <f t="shared" si="115"/>
        <v>0</v>
      </c>
    </row>
    <row r="992" spans="6:33" ht="24" customHeight="1">
      <c r="F992" s="17">
        <v>2</v>
      </c>
      <c r="G992" s="15" t="s">
        <v>209</v>
      </c>
      <c r="H992" s="3" t="s">
        <v>1484</v>
      </c>
      <c r="I992" s="17">
        <f>C284</f>
        <v>57.2</v>
      </c>
      <c r="J992" s="3" t="s">
        <v>209</v>
      </c>
      <c r="K992" s="17">
        <f t="shared" si="119"/>
        <v>114.4</v>
      </c>
      <c r="M992" s="17">
        <v>3</v>
      </c>
      <c r="N992" s="15" t="s">
        <v>209</v>
      </c>
      <c r="O992" s="3" t="s">
        <v>1506</v>
      </c>
      <c r="P992" s="134">
        <f t="shared" si="117"/>
        <v>79.099999999999994</v>
      </c>
      <c r="Q992" s="3" t="s">
        <v>209</v>
      </c>
      <c r="R992" s="17">
        <f t="shared" si="118"/>
        <v>237.29999999999998</v>
      </c>
      <c r="AE992" s="23">
        <f t="shared" si="115"/>
        <v>0</v>
      </c>
    </row>
    <row r="993" spans="6:33" ht="24" customHeight="1">
      <c r="F993" s="17">
        <v>1</v>
      </c>
      <c r="G993" s="15" t="s">
        <v>209</v>
      </c>
      <c r="H993" s="3" t="s">
        <v>1486</v>
      </c>
      <c r="I993" s="17">
        <f>C286</f>
        <v>159.69999999999999</v>
      </c>
      <c r="J993" s="3" t="s">
        <v>209</v>
      </c>
      <c r="K993" s="17">
        <f t="shared" si="119"/>
        <v>159.69999999999999</v>
      </c>
      <c r="M993" s="17">
        <v>1</v>
      </c>
      <c r="N993" s="15" t="s">
        <v>209</v>
      </c>
      <c r="O993" s="3" t="s">
        <v>627</v>
      </c>
      <c r="P993" s="134">
        <f t="shared" si="117"/>
        <v>159.69999999999999</v>
      </c>
      <c r="Q993" s="3" t="s">
        <v>209</v>
      </c>
      <c r="R993" s="17">
        <f t="shared" si="118"/>
        <v>159.69999999999999</v>
      </c>
      <c r="AE993" s="23">
        <f t="shared" si="115"/>
        <v>0</v>
      </c>
    </row>
    <row r="994" spans="6:33" ht="24" customHeight="1">
      <c r="F994" s="17">
        <v>1</v>
      </c>
      <c r="G994" s="15" t="s">
        <v>209</v>
      </c>
      <c r="H994" s="3" t="s">
        <v>1488</v>
      </c>
      <c r="I994" s="17">
        <f>C288</f>
        <v>7.3</v>
      </c>
      <c r="J994" s="3" t="s">
        <v>209</v>
      </c>
      <c r="K994" s="17">
        <f t="shared" si="119"/>
        <v>7.3</v>
      </c>
      <c r="M994" s="17">
        <v>1</v>
      </c>
      <c r="N994" s="15" t="s">
        <v>209</v>
      </c>
      <c r="O994" s="3" t="s">
        <v>628</v>
      </c>
      <c r="P994" s="134">
        <f t="shared" si="117"/>
        <v>7.3</v>
      </c>
      <c r="Q994" s="3" t="s">
        <v>209</v>
      </c>
      <c r="R994" s="17">
        <f t="shared" si="118"/>
        <v>7.3</v>
      </c>
      <c r="AE994" s="23" t="str">
        <f t="shared" si="115"/>
        <v>|</v>
      </c>
      <c r="AG994" s="3" t="s">
        <v>849</v>
      </c>
    </row>
    <row r="995" spans="6:33" ht="24" customHeight="1">
      <c r="F995" s="17">
        <v>1</v>
      </c>
      <c r="G995" s="15" t="s">
        <v>209</v>
      </c>
      <c r="H995" s="3" t="s">
        <v>630</v>
      </c>
      <c r="I995" s="17">
        <f>D598</f>
        <v>43.8</v>
      </c>
      <c r="J995" s="3" t="s">
        <v>209</v>
      </c>
      <c r="K995" s="17">
        <f t="shared" si="119"/>
        <v>43.8</v>
      </c>
      <c r="M995" s="17">
        <v>1</v>
      </c>
      <c r="N995" s="15" t="s">
        <v>209</v>
      </c>
      <c r="O995" s="3" t="s">
        <v>1507</v>
      </c>
      <c r="P995" s="134">
        <f t="shared" si="117"/>
        <v>50.9</v>
      </c>
      <c r="Q995" s="3" t="s">
        <v>209</v>
      </c>
      <c r="R995" s="17">
        <f t="shared" si="118"/>
        <v>50.9</v>
      </c>
      <c r="AE995" s="23" t="str">
        <f t="shared" si="115"/>
        <v>|</v>
      </c>
      <c r="AG995" s="3" t="s">
        <v>849</v>
      </c>
    </row>
    <row r="996" spans="6:33" ht="24" customHeight="1">
      <c r="F996" s="17">
        <v>10</v>
      </c>
      <c r="G996" s="15" t="s">
        <v>1492</v>
      </c>
      <c r="H996" s="3" t="s">
        <v>1508</v>
      </c>
      <c r="I996" s="17">
        <f>I961</f>
        <v>2.37</v>
      </c>
      <c r="J996" s="3" t="s">
        <v>209</v>
      </c>
      <c r="K996" s="17">
        <f t="shared" si="119"/>
        <v>23.700000000000003</v>
      </c>
      <c r="M996" s="17">
        <v>1</v>
      </c>
      <c r="N996" s="15" t="s">
        <v>209</v>
      </c>
      <c r="O996" s="3" t="s">
        <v>630</v>
      </c>
      <c r="P996" s="134">
        <f t="shared" si="117"/>
        <v>43.8</v>
      </c>
      <c r="Q996" s="3" t="s">
        <v>209</v>
      </c>
      <c r="R996" s="17">
        <f t="shared" si="118"/>
        <v>43.8</v>
      </c>
      <c r="AE996" s="23" t="str">
        <f t="shared" si="115"/>
        <v>|</v>
      </c>
      <c r="AG996" s="3" t="s">
        <v>849</v>
      </c>
    </row>
    <row r="997" spans="6:33" ht="24" customHeight="1">
      <c r="K997" s="12" t="s">
        <v>117</v>
      </c>
      <c r="M997" s="17">
        <v>58</v>
      </c>
      <c r="N997" s="6"/>
      <c r="O997" s="3" t="s">
        <v>1509</v>
      </c>
      <c r="P997" s="134">
        <f t="shared" si="117"/>
        <v>2.37</v>
      </c>
      <c r="Q997" s="8"/>
      <c r="R997" s="17">
        <f t="shared" si="118"/>
        <v>137.46</v>
      </c>
      <c r="AE997" s="23" t="str">
        <f t="shared" si="115"/>
        <v>|</v>
      </c>
      <c r="AG997" s="3" t="s">
        <v>849</v>
      </c>
    </row>
    <row r="998" spans="6:33" ht="24" customHeight="1">
      <c r="H998" s="3" t="s">
        <v>1510</v>
      </c>
      <c r="K998" s="17">
        <f>SUM(K985:K996)</f>
        <v>7568.9999999999991</v>
      </c>
      <c r="N998" s="6"/>
      <c r="O998" s="4" t="s">
        <v>631</v>
      </c>
      <c r="Q998" s="8"/>
      <c r="R998" s="17">
        <f>SUM(R987:R997)</f>
        <v>4530.3397199999999</v>
      </c>
      <c r="AE998" s="23" t="str">
        <f t="shared" si="115"/>
        <v>|</v>
      </c>
      <c r="AG998" s="3" t="s">
        <v>849</v>
      </c>
    </row>
    <row r="999" spans="6:33" ht="24" customHeight="1">
      <c r="K999" s="12" t="s">
        <v>117</v>
      </c>
      <c r="N999" s="15" t="s">
        <v>115</v>
      </c>
      <c r="Q999" s="8"/>
      <c r="R999" s="12" t="s">
        <v>117</v>
      </c>
      <c r="AE999" s="23" t="str">
        <f t="shared" si="115"/>
        <v>|</v>
      </c>
      <c r="AG999" s="3" t="s">
        <v>849</v>
      </c>
    </row>
    <row r="1000" spans="6:33" ht="24" customHeight="1">
      <c r="H1000" s="19" t="s">
        <v>154</v>
      </c>
      <c r="K1000" s="16">
        <f>K998/F989</f>
        <v>4615.2439024390242</v>
      </c>
      <c r="N1000" s="6"/>
      <c r="O1000" s="19" t="s">
        <v>154</v>
      </c>
      <c r="Q1000" s="8"/>
      <c r="R1000" s="16">
        <f>R998/M990</f>
        <v>3683.2030243902441</v>
      </c>
      <c r="AE1000" s="23" t="str">
        <f t="shared" si="115"/>
        <v>|</v>
      </c>
      <c r="AG1000" s="3" t="s">
        <v>849</v>
      </c>
    </row>
    <row r="1001" spans="6:33" ht="24" customHeight="1">
      <c r="K1001" s="12" t="s">
        <v>155</v>
      </c>
      <c r="N1001" s="6"/>
      <c r="Q1001" s="8"/>
      <c r="R1001" s="12" t="s">
        <v>155</v>
      </c>
      <c r="AE1001" s="23" t="str">
        <f t="shared" si="115"/>
        <v>|::</v>
      </c>
      <c r="AG1001" s="3" t="s">
        <v>636</v>
      </c>
    </row>
    <row r="1002" spans="6:33" ht="24" customHeight="1">
      <c r="F1002" s="4" t="s">
        <v>1511</v>
      </c>
      <c r="G1002" s="15" t="s">
        <v>122</v>
      </c>
      <c r="H1002" s="3" t="s">
        <v>1472</v>
      </c>
      <c r="AE1002" s="23">
        <f t="shared" si="115"/>
        <v>0</v>
      </c>
    </row>
    <row r="1003" spans="6:33" ht="24" customHeight="1">
      <c r="H1003" s="3" t="s">
        <v>1467</v>
      </c>
      <c r="AE1003" s="23">
        <f t="shared" si="115"/>
        <v>0</v>
      </c>
    </row>
    <row r="1004" spans="6:33" ht="24" customHeight="1">
      <c r="H1004" s="3" t="s">
        <v>1512</v>
      </c>
      <c r="AE1004" s="23" t="str">
        <f t="shared" si="115"/>
        <v>|</v>
      </c>
      <c r="AG1004" s="3" t="s">
        <v>849</v>
      </c>
    </row>
    <row r="1005" spans="6:33" ht="24" customHeight="1">
      <c r="H1005" s="12" t="s">
        <v>117</v>
      </c>
      <c r="AE1005" s="23"/>
      <c r="AG1005" s="3"/>
    </row>
    <row r="1006" spans="6:33" ht="24" customHeight="1">
      <c r="H1006" s="3" t="s">
        <v>1513</v>
      </c>
      <c r="AE1006" s="23" t="str">
        <f t="shared" si="115"/>
        <v>|</v>
      </c>
      <c r="AG1006" s="3" t="s">
        <v>849</v>
      </c>
    </row>
    <row r="1007" spans="6:33" ht="24" customHeight="1">
      <c r="H1007" s="3" t="s">
        <v>1471</v>
      </c>
      <c r="AE1007" s="23" t="str">
        <f t="shared" si="115"/>
        <v>|</v>
      </c>
      <c r="AG1007" s="3" t="s">
        <v>849</v>
      </c>
    </row>
    <row r="1008" spans="6:33" ht="24" customHeight="1">
      <c r="J1008" s="3" t="s">
        <v>117</v>
      </c>
      <c r="AE1008" s="23" t="str">
        <f t="shared" si="115"/>
        <v>|</v>
      </c>
      <c r="AG1008" s="3" t="s">
        <v>849</v>
      </c>
    </row>
    <row r="1009" spans="6:33" ht="24" customHeight="1">
      <c r="H1009" s="3" t="s">
        <v>1514</v>
      </c>
      <c r="AE1009" s="23" t="str">
        <f t="shared" si="115"/>
        <v>|</v>
      </c>
      <c r="AG1009" s="3" t="s">
        <v>849</v>
      </c>
    </row>
    <row r="1010" spans="6:33" ht="24" customHeight="1">
      <c r="H1010" s="3" t="s">
        <v>1515</v>
      </c>
      <c r="K1010" s="80">
        <v>1.1900000000000001E-2</v>
      </c>
      <c r="AE1010" s="23" t="str">
        <f t="shared" si="115"/>
        <v>|</v>
      </c>
      <c r="AG1010" s="3" t="s">
        <v>849</v>
      </c>
    </row>
    <row r="1011" spans="6:33" ht="24" customHeight="1">
      <c r="J1011" s="3" t="s">
        <v>115</v>
      </c>
      <c r="K1011" s="12" t="s">
        <v>117</v>
      </c>
      <c r="AE1011" s="23">
        <f t="shared" si="115"/>
        <v>0</v>
      </c>
    </row>
    <row r="1012" spans="6:33" ht="24" customHeight="1">
      <c r="H1012" s="3" t="s">
        <v>1516</v>
      </c>
      <c r="J1012" s="130" t="s">
        <v>115</v>
      </c>
      <c r="K1012" s="80">
        <v>1.18E-2</v>
      </c>
      <c r="AE1012" s="23">
        <f t="shared" si="115"/>
        <v>0</v>
      </c>
    </row>
    <row r="1013" spans="6:33" ht="24" customHeight="1">
      <c r="H1013" s="3" t="s">
        <v>251</v>
      </c>
      <c r="J1013" s="3" t="s">
        <v>115</v>
      </c>
      <c r="K1013" s="136" t="s">
        <v>117</v>
      </c>
      <c r="AE1013" s="23">
        <f t="shared" si="115"/>
        <v>0</v>
      </c>
    </row>
    <row r="1014" spans="6:33" ht="24" customHeight="1">
      <c r="AE1014" s="23">
        <f t="shared" ref="AE1014:AE1034" si="120">AG1014</f>
        <v>0</v>
      </c>
    </row>
    <row r="1015" spans="6:33" ht="24" customHeight="1">
      <c r="F1015" s="80">
        <v>1.14E-2</v>
      </c>
      <c r="G1015" s="15" t="s">
        <v>126</v>
      </c>
      <c r="H1015" s="3" t="s">
        <v>1483</v>
      </c>
      <c r="I1015" s="17">
        <f>C88</f>
        <v>111600</v>
      </c>
      <c r="J1015" s="3" t="s">
        <v>126</v>
      </c>
      <c r="K1015" s="17">
        <f>(F1015*I1015)</f>
        <v>1272.24</v>
      </c>
      <c r="AE1015" s="23">
        <f t="shared" si="120"/>
        <v>0</v>
      </c>
    </row>
    <row r="1016" spans="6:33" ht="24" customHeight="1">
      <c r="F1016" s="80">
        <v>1.1900000000000001E-2</v>
      </c>
      <c r="G1016" s="15" t="s">
        <v>126</v>
      </c>
      <c r="H1016" s="3" t="s">
        <v>1485</v>
      </c>
      <c r="I1016" s="17">
        <f>C89</f>
        <v>99400</v>
      </c>
      <c r="J1016" s="3" t="s">
        <v>126</v>
      </c>
      <c r="K1016" s="17">
        <f>(F1016*I1016)</f>
        <v>1182.8600000000001</v>
      </c>
      <c r="AE1016" s="23">
        <f t="shared" si="120"/>
        <v>0</v>
      </c>
    </row>
    <row r="1017" spans="6:33" ht="24" customHeight="1">
      <c r="F1017" s="80">
        <v>1.18E-2</v>
      </c>
      <c r="G1017" s="15" t="s">
        <v>126</v>
      </c>
      <c r="H1017" s="3" t="s">
        <v>1487</v>
      </c>
      <c r="I1017" s="17">
        <f>C90</f>
        <v>95000</v>
      </c>
      <c r="J1017" s="3" t="s">
        <v>126</v>
      </c>
      <c r="K1017" s="17">
        <f>(F1017*I1017)</f>
        <v>1121</v>
      </c>
      <c r="AE1017" s="23">
        <f t="shared" si="120"/>
        <v>0</v>
      </c>
    </row>
    <row r="1018" spans="6:33" ht="24" customHeight="1">
      <c r="F1018" s="80"/>
      <c r="H1018" s="3" t="s">
        <v>1489</v>
      </c>
      <c r="I1018" s="3" t="s">
        <v>115</v>
      </c>
      <c r="K1018" s="3" t="s">
        <v>115</v>
      </c>
      <c r="AE1018" s="23">
        <f t="shared" si="120"/>
        <v>0</v>
      </c>
    </row>
    <row r="1019" spans="6:33" ht="24" customHeight="1">
      <c r="F1019" s="80">
        <v>1.2150000000000001</v>
      </c>
      <c r="G1019" s="15" t="s">
        <v>140</v>
      </c>
      <c r="H1019" s="3" t="s">
        <v>1480</v>
      </c>
      <c r="I1019" s="17">
        <f>C31</f>
        <v>1155</v>
      </c>
      <c r="J1019" s="3" t="s">
        <v>140</v>
      </c>
      <c r="K1019" s="17">
        <f t="shared" ref="K1019:K1026" si="121">(F1019*I1019)</f>
        <v>1403.325</v>
      </c>
      <c r="AE1019" s="23">
        <f t="shared" si="120"/>
        <v>0</v>
      </c>
    </row>
    <row r="1020" spans="6:33" ht="24" customHeight="1">
      <c r="F1020" s="17">
        <v>1</v>
      </c>
      <c r="G1020" s="15" t="s">
        <v>1</v>
      </c>
      <c r="H1020" s="3" t="s">
        <v>1490</v>
      </c>
      <c r="I1020" s="17">
        <f>C598</f>
        <v>50.9</v>
      </c>
      <c r="J1020" s="3" t="s">
        <v>209</v>
      </c>
      <c r="K1020" s="17">
        <f t="shared" si="121"/>
        <v>50.9</v>
      </c>
      <c r="AE1020" s="23">
        <f t="shared" si="120"/>
        <v>0</v>
      </c>
    </row>
    <row r="1021" spans="6:33" ht="24" customHeight="1">
      <c r="F1021" s="17">
        <v>3</v>
      </c>
      <c r="G1021" s="15" t="s">
        <v>209</v>
      </c>
      <c r="H1021" s="3" t="s">
        <v>1482</v>
      </c>
      <c r="I1021" s="17">
        <f>C279</f>
        <v>79.099999999999994</v>
      </c>
      <c r="J1021" s="3" t="s">
        <v>209</v>
      </c>
      <c r="K1021" s="17">
        <f t="shared" si="121"/>
        <v>237.29999999999998</v>
      </c>
      <c r="AE1021" s="23">
        <f t="shared" si="120"/>
        <v>0</v>
      </c>
    </row>
    <row r="1022" spans="6:33" ht="24" customHeight="1">
      <c r="F1022" s="17">
        <v>2</v>
      </c>
      <c r="G1022" s="15" t="s">
        <v>209</v>
      </c>
      <c r="H1022" s="3" t="s">
        <v>1484</v>
      </c>
      <c r="I1022" s="17">
        <f>C284</f>
        <v>57.2</v>
      </c>
      <c r="J1022" s="3" t="s">
        <v>209</v>
      </c>
      <c r="K1022" s="17">
        <f t="shared" si="121"/>
        <v>114.4</v>
      </c>
      <c r="AE1022" s="23">
        <f t="shared" si="120"/>
        <v>0</v>
      </c>
    </row>
    <row r="1023" spans="6:33" ht="24" customHeight="1">
      <c r="F1023" s="17">
        <v>1</v>
      </c>
      <c r="G1023" s="15" t="s">
        <v>209</v>
      </c>
      <c r="H1023" s="3" t="s">
        <v>1486</v>
      </c>
      <c r="I1023" s="17">
        <f>C286</f>
        <v>159.69999999999999</v>
      </c>
      <c r="J1023" s="3" t="s">
        <v>209</v>
      </c>
      <c r="K1023" s="17">
        <f t="shared" si="121"/>
        <v>159.69999999999999</v>
      </c>
      <c r="AE1023" s="23">
        <f t="shared" si="120"/>
        <v>0</v>
      </c>
    </row>
    <row r="1024" spans="6:33" ht="24" customHeight="1">
      <c r="F1024" s="17">
        <v>1</v>
      </c>
      <c r="G1024" s="15" t="s">
        <v>209</v>
      </c>
      <c r="H1024" s="3" t="s">
        <v>1488</v>
      </c>
      <c r="I1024" s="17">
        <f>C288</f>
        <v>7.3</v>
      </c>
      <c r="J1024" s="3" t="s">
        <v>209</v>
      </c>
      <c r="K1024" s="17">
        <f t="shared" si="121"/>
        <v>7.3</v>
      </c>
      <c r="AE1024" s="23">
        <f t="shared" si="120"/>
        <v>0</v>
      </c>
    </row>
    <row r="1025" spans="6:31" ht="24" customHeight="1">
      <c r="F1025" s="17">
        <v>1</v>
      </c>
      <c r="G1025" s="15" t="s">
        <v>209</v>
      </c>
      <c r="H1025" s="3" t="s">
        <v>630</v>
      </c>
      <c r="I1025" s="17">
        <f>D598</f>
        <v>43.8</v>
      </c>
      <c r="J1025" s="3" t="s">
        <v>209</v>
      </c>
      <c r="K1025" s="17">
        <f t="shared" si="121"/>
        <v>43.8</v>
      </c>
      <c r="AE1025" s="23">
        <f t="shared" si="120"/>
        <v>0</v>
      </c>
    </row>
    <row r="1026" spans="6:31" ht="24" customHeight="1">
      <c r="F1026" s="17">
        <v>10</v>
      </c>
      <c r="G1026" s="15" t="s">
        <v>1492</v>
      </c>
      <c r="H1026" s="3" t="s">
        <v>1508</v>
      </c>
      <c r="I1026" s="17">
        <f>I996</f>
        <v>2.37</v>
      </c>
      <c r="J1026" s="3" t="s">
        <v>209</v>
      </c>
      <c r="K1026" s="17">
        <f t="shared" si="121"/>
        <v>23.700000000000003</v>
      </c>
      <c r="M1026" s="4" t="s">
        <v>1517</v>
      </c>
      <c r="N1026" s="15" t="s">
        <v>122</v>
      </c>
      <c r="O1026" s="3" t="s">
        <v>1518</v>
      </c>
      <c r="Q1026" s="8"/>
      <c r="AE1026" s="23">
        <f t="shared" si="120"/>
        <v>0</v>
      </c>
    </row>
    <row r="1027" spans="6:31" ht="24" customHeight="1">
      <c r="K1027" s="12" t="s">
        <v>117</v>
      </c>
      <c r="N1027" s="6"/>
      <c r="O1027" s="3" t="s">
        <v>1519</v>
      </c>
      <c r="Q1027" s="8"/>
      <c r="AE1027" s="23">
        <f t="shared" si="120"/>
        <v>0</v>
      </c>
    </row>
    <row r="1028" spans="6:31" ht="24" customHeight="1">
      <c r="H1028" s="3" t="s">
        <v>1520</v>
      </c>
      <c r="K1028" s="17">
        <f>SUM(K1015:K1026)</f>
        <v>5616.5249999999996</v>
      </c>
      <c r="N1028" s="6"/>
      <c r="O1028" s="3" t="s">
        <v>1521</v>
      </c>
      <c r="Q1028" s="8"/>
      <c r="AE1028" s="23">
        <f t="shared" si="120"/>
        <v>0</v>
      </c>
    </row>
    <row r="1029" spans="6:31" ht="24" customHeight="1">
      <c r="K1029" s="12" t="s">
        <v>117</v>
      </c>
      <c r="N1029" s="6"/>
      <c r="O1029" s="3" t="s">
        <v>1522</v>
      </c>
      <c r="Q1029" s="8"/>
      <c r="AE1029" s="23">
        <f t="shared" si="120"/>
        <v>0</v>
      </c>
    </row>
    <row r="1030" spans="6:31" ht="24" customHeight="1">
      <c r="H1030" s="19" t="s">
        <v>154</v>
      </c>
      <c r="K1030" s="16">
        <f>K1028/F1019</f>
        <v>4622.6543209876536</v>
      </c>
      <c r="N1030" s="6"/>
      <c r="O1030" s="3" t="s">
        <v>1523</v>
      </c>
      <c r="Q1030" s="8"/>
      <c r="AE1030" s="23">
        <f t="shared" si="120"/>
        <v>0</v>
      </c>
    </row>
    <row r="1031" spans="6:31" ht="24" customHeight="1">
      <c r="K1031" s="12" t="s">
        <v>155</v>
      </c>
      <c r="N1031" s="6"/>
      <c r="O1031" s="3" t="s">
        <v>1524</v>
      </c>
      <c r="Q1031" s="8"/>
      <c r="AE1031" s="23">
        <f t="shared" si="120"/>
        <v>0</v>
      </c>
    </row>
    <row r="1032" spans="6:31" ht="24" customHeight="1">
      <c r="H1032" s="137" t="s">
        <v>1525</v>
      </c>
      <c r="I1032" s="138"/>
      <c r="J1032" s="139"/>
      <c r="K1032" s="137">
        <v>2211</v>
      </c>
      <c r="N1032" s="6"/>
      <c r="O1032" s="12" t="s">
        <v>117</v>
      </c>
      <c r="Q1032" s="8"/>
      <c r="AE1032" s="23">
        <f t="shared" si="120"/>
        <v>0</v>
      </c>
    </row>
    <row r="1033" spans="6:31" ht="24" customHeight="1">
      <c r="F1033" s="4" t="s">
        <v>1517</v>
      </c>
      <c r="G1033" s="15" t="s">
        <v>122</v>
      </c>
      <c r="H1033" s="3" t="s">
        <v>1518</v>
      </c>
      <c r="N1033" s="6"/>
      <c r="O1033" s="3" t="s">
        <v>1497</v>
      </c>
      <c r="Q1033" s="8"/>
      <c r="AE1033" s="23">
        <f t="shared" si="120"/>
        <v>0</v>
      </c>
    </row>
    <row r="1034" spans="6:31" ht="24" customHeight="1">
      <c r="H1034" s="3" t="s">
        <v>1519</v>
      </c>
      <c r="N1034" s="6"/>
      <c r="O1034" s="3" t="s">
        <v>1526</v>
      </c>
      <c r="Q1034" s="8"/>
      <c r="AE1034" s="23">
        <f t="shared" si="120"/>
        <v>0</v>
      </c>
    </row>
    <row r="1035" spans="6:31" ht="24" customHeight="1">
      <c r="H1035" s="3" t="s">
        <v>1521</v>
      </c>
      <c r="N1035" s="6"/>
      <c r="Q1035" s="3" t="s">
        <v>117</v>
      </c>
      <c r="AE1035" s="23"/>
    </row>
    <row r="1036" spans="6:31" ht="24" customHeight="1">
      <c r="H1036" s="3" t="s">
        <v>1522</v>
      </c>
      <c r="N1036" s="6"/>
      <c r="O1036" s="3" t="s">
        <v>1527</v>
      </c>
      <c r="Q1036" s="8"/>
      <c r="AE1036" s="23">
        <f t="shared" ref="AE1036:AE1041" si="122">AG1036</f>
        <v>0</v>
      </c>
    </row>
    <row r="1037" spans="6:31" ht="24" customHeight="1">
      <c r="H1037" s="3" t="s">
        <v>1523</v>
      </c>
      <c r="N1037" s="6"/>
      <c r="O1037" s="3" t="s">
        <v>115</v>
      </c>
      <c r="P1037" s="3" t="s">
        <v>115</v>
      </c>
      <c r="Q1037" s="8"/>
      <c r="R1037" s="130" t="s">
        <v>115</v>
      </c>
      <c r="AE1037" s="23">
        <f t="shared" si="122"/>
        <v>0</v>
      </c>
    </row>
    <row r="1038" spans="6:31" ht="24" customHeight="1">
      <c r="H1038" s="3" t="s">
        <v>1524</v>
      </c>
      <c r="N1038" s="6"/>
      <c r="Q1038" s="3" t="s">
        <v>115</v>
      </c>
      <c r="R1038" s="3" t="s">
        <v>115</v>
      </c>
      <c r="AE1038" s="23">
        <f t="shared" si="122"/>
        <v>0</v>
      </c>
    </row>
    <row r="1039" spans="6:31" ht="24" customHeight="1">
      <c r="H1039" s="12" t="s">
        <v>117</v>
      </c>
      <c r="N1039" s="6"/>
      <c r="O1039" s="3" t="s">
        <v>1528</v>
      </c>
      <c r="Q1039" s="130" t="s">
        <v>115</v>
      </c>
      <c r="R1039" s="130" t="s">
        <v>115</v>
      </c>
      <c r="AE1039" s="23">
        <f t="shared" si="122"/>
        <v>0</v>
      </c>
    </row>
    <row r="1040" spans="6:31" ht="24" customHeight="1">
      <c r="H1040" s="3" t="s">
        <v>1497</v>
      </c>
      <c r="N1040" s="6"/>
      <c r="O1040" s="3" t="s">
        <v>1529</v>
      </c>
      <c r="Q1040" s="8"/>
      <c r="R1040" s="130" t="s">
        <v>1530</v>
      </c>
      <c r="AE1040" s="23">
        <f t="shared" si="122"/>
        <v>0</v>
      </c>
    </row>
    <row r="1041" spans="6:33" ht="24" customHeight="1">
      <c r="H1041" s="3" t="s">
        <v>1526</v>
      </c>
      <c r="N1041" s="6"/>
      <c r="Q1041" s="8"/>
      <c r="R1041" s="3" t="s">
        <v>115</v>
      </c>
      <c r="AE1041" s="23">
        <f t="shared" si="122"/>
        <v>0</v>
      </c>
    </row>
    <row r="1042" spans="6:33" ht="24" customHeight="1">
      <c r="J1042" s="3" t="s">
        <v>117</v>
      </c>
      <c r="N1042" s="6"/>
      <c r="Q1042" s="8"/>
      <c r="R1042" s="130" t="s">
        <v>115</v>
      </c>
      <c r="AB1042" s="4" t="s">
        <v>1517</v>
      </c>
      <c r="AC1042" s="15" t="s">
        <v>122</v>
      </c>
      <c r="AD1042" s="3" t="s">
        <v>1531</v>
      </c>
      <c r="AF1042" s="8"/>
    </row>
    <row r="1043" spans="6:33" ht="24" customHeight="1">
      <c r="H1043" s="3" t="s">
        <v>1527</v>
      </c>
      <c r="N1043" s="6"/>
      <c r="Q1043" s="8"/>
      <c r="R1043" s="3" t="s">
        <v>115</v>
      </c>
      <c r="AC1043" s="6"/>
      <c r="AD1043" s="3" t="s">
        <v>1519</v>
      </c>
      <c r="AF1043" s="8"/>
    </row>
    <row r="1044" spans="6:33" ht="24" customHeight="1">
      <c r="H1044" s="3" t="s">
        <v>115</v>
      </c>
      <c r="I1044" s="3" t="s">
        <v>115</v>
      </c>
      <c r="K1044" s="130" t="s">
        <v>115</v>
      </c>
      <c r="M1044" s="4" t="s">
        <v>1504</v>
      </c>
      <c r="N1044" s="15"/>
      <c r="O1044" s="3" t="s">
        <v>1532</v>
      </c>
      <c r="Q1044" s="8"/>
      <c r="R1044" s="3" t="s">
        <v>115</v>
      </c>
      <c r="AC1044" s="6"/>
      <c r="AD1044" s="3" t="s">
        <v>1521</v>
      </c>
      <c r="AF1044" s="8"/>
    </row>
    <row r="1045" spans="6:33" ht="24" customHeight="1">
      <c r="J1045" s="3" t="s">
        <v>115</v>
      </c>
      <c r="K1045" s="3" t="s">
        <v>115</v>
      </c>
      <c r="N1045" s="6"/>
      <c r="O1045" s="12" t="s">
        <v>117</v>
      </c>
      <c r="Q1045" s="8"/>
      <c r="AC1045" s="6"/>
      <c r="AD1045" s="3" t="s">
        <v>1522</v>
      </c>
      <c r="AF1045" s="8"/>
    </row>
    <row r="1046" spans="6:33" s="140" customFormat="1" ht="24" customHeight="1">
      <c r="F1046" s="5"/>
      <c r="G1046" s="6"/>
      <c r="H1046" s="3" t="s">
        <v>1528</v>
      </c>
      <c r="I1046" s="5"/>
      <c r="J1046" s="130" t="s">
        <v>115</v>
      </c>
      <c r="K1046" s="130" t="s">
        <v>115</v>
      </c>
      <c r="M1046" s="131">
        <v>1.153E-2</v>
      </c>
      <c r="N1046" s="132" t="s">
        <v>126</v>
      </c>
      <c r="O1046" s="133" t="s">
        <v>1533</v>
      </c>
      <c r="P1046" s="134">
        <f>C86</f>
        <v>34300</v>
      </c>
      <c r="Q1046" s="133" t="s">
        <v>126</v>
      </c>
      <c r="R1046" s="134">
        <f t="shared" ref="R1046:R1055" si="123">(M1046*P1046)</f>
        <v>395.47899999999998</v>
      </c>
      <c r="S1046" s="141"/>
      <c r="AB1046" s="5"/>
      <c r="AC1046" s="6"/>
      <c r="AD1046" s="3" t="s">
        <v>1523</v>
      </c>
      <c r="AE1046" s="5"/>
      <c r="AF1046" s="8"/>
      <c r="AG1046" s="5"/>
    </row>
    <row r="1047" spans="6:33" ht="24" customHeight="1">
      <c r="H1047" s="3" t="s">
        <v>1529</v>
      </c>
      <c r="K1047" s="130" t="s">
        <v>1530</v>
      </c>
      <c r="M1047" s="135">
        <v>1.35E-2</v>
      </c>
      <c r="N1047" s="15" t="s">
        <v>126</v>
      </c>
      <c r="O1047" s="3" t="s">
        <v>1533</v>
      </c>
      <c r="P1047" s="17">
        <f>P1046</f>
        <v>34300</v>
      </c>
      <c r="Q1047" s="3" t="s">
        <v>126</v>
      </c>
      <c r="R1047" s="17">
        <f t="shared" si="123"/>
        <v>463.05</v>
      </c>
      <c r="S1047" s="49"/>
      <c r="AC1047" s="6"/>
      <c r="AD1047" s="3" t="s">
        <v>1534</v>
      </c>
      <c r="AF1047" s="8"/>
    </row>
    <row r="1048" spans="6:33" ht="24" customHeight="1">
      <c r="K1048" s="3" t="s">
        <v>115</v>
      </c>
      <c r="M1048" s="135">
        <v>1.016</v>
      </c>
      <c r="N1048" s="15" t="s">
        <v>140</v>
      </c>
      <c r="O1048" s="3" t="s">
        <v>623</v>
      </c>
      <c r="P1048" s="17">
        <f>I1055</f>
        <v>387.4</v>
      </c>
      <c r="Q1048" s="3" t="s">
        <v>140</v>
      </c>
      <c r="R1048" s="17">
        <f t="shared" si="123"/>
        <v>393.59839999999997</v>
      </c>
      <c r="S1048" s="49"/>
      <c r="AC1048" s="6"/>
      <c r="AD1048" s="12" t="s">
        <v>117</v>
      </c>
      <c r="AF1048" s="8"/>
    </row>
    <row r="1049" spans="6:33" ht="24" customHeight="1">
      <c r="K1049" s="130" t="s">
        <v>115</v>
      </c>
      <c r="M1049" s="135">
        <v>1.64</v>
      </c>
      <c r="N1049" s="15" t="s">
        <v>140</v>
      </c>
      <c r="O1049" s="3" t="s">
        <v>624</v>
      </c>
      <c r="P1049" s="17">
        <f t="shared" ref="P1049:P1054" si="124">I1056</f>
        <v>963</v>
      </c>
      <c r="Q1049" s="3" t="s">
        <v>140</v>
      </c>
      <c r="R1049" s="17">
        <f t="shared" si="123"/>
        <v>1579.32</v>
      </c>
      <c r="S1049" s="49"/>
      <c r="AC1049" s="6"/>
      <c r="AD1049" s="3" t="s">
        <v>1535</v>
      </c>
      <c r="AF1049" s="8"/>
    </row>
    <row r="1050" spans="6:33" ht="24" customHeight="1">
      <c r="K1050" s="3" t="s">
        <v>115</v>
      </c>
      <c r="M1050" s="17">
        <v>2</v>
      </c>
      <c r="N1050" s="15" t="s">
        <v>209</v>
      </c>
      <c r="O1050" s="3" t="s">
        <v>625</v>
      </c>
      <c r="P1050" s="17">
        <f t="shared" si="124"/>
        <v>57.2</v>
      </c>
      <c r="Q1050" s="3" t="s">
        <v>209</v>
      </c>
      <c r="R1050" s="17">
        <f t="shared" si="123"/>
        <v>114.4</v>
      </c>
      <c r="S1050" s="49"/>
      <c r="AC1050" s="6"/>
      <c r="AD1050" s="3" t="s">
        <v>1536</v>
      </c>
      <c r="AF1050" s="8"/>
    </row>
    <row r="1051" spans="6:33" ht="24" customHeight="1">
      <c r="F1051" s="4" t="s">
        <v>1504</v>
      </c>
      <c r="G1051" s="15"/>
      <c r="H1051" s="3" t="s">
        <v>1532</v>
      </c>
      <c r="K1051" s="3" t="s">
        <v>115</v>
      </c>
      <c r="M1051" s="17">
        <v>3</v>
      </c>
      <c r="N1051" s="15" t="s">
        <v>209</v>
      </c>
      <c r="O1051" s="3" t="s">
        <v>1506</v>
      </c>
      <c r="P1051" s="17">
        <f t="shared" si="124"/>
        <v>79.099999999999994</v>
      </c>
      <c r="Q1051" s="3" t="s">
        <v>209</v>
      </c>
      <c r="R1051" s="17">
        <f t="shared" si="123"/>
        <v>237.29999999999998</v>
      </c>
      <c r="S1051" s="49"/>
      <c r="AC1051" s="6"/>
      <c r="AF1051" s="3" t="s">
        <v>117</v>
      </c>
    </row>
    <row r="1052" spans="6:33" ht="24" customHeight="1">
      <c r="H1052" s="12" t="s">
        <v>117</v>
      </c>
      <c r="M1052" s="17">
        <v>1</v>
      </c>
      <c r="N1052" s="15" t="s">
        <v>209</v>
      </c>
      <c r="O1052" s="3" t="s">
        <v>627</v>
      </c>
      <c r="P1052" s="17">
        <f t="shared" si="124"/>
        <v>159.69999999999999</v>
      </c>
      <c r="Q1052" s="3" t="s">
        <v>209</v>
      </c>
      <c r="R1052" s="17">
        <f t="shared" si="123"/>
        <v>159.69999999999999</v>
      </c>
      <c r="S1052" s="49"/>
      <c r="AC1052" s="6"/>
      <c r="AD1052" s="3" t="s">
        <v>1537</v>
      </c>
      <c r="AF1052" s="8"/>
    </row>
    <row r="1053" spans="6:33" ht="24" customHeight="1">
      <c r="F1053" s="131">
        <v>1.153E-2</v>
      </c>
      <c r="G1053" s="132" t="s">
        <v>126</v>
      </c>
      <c r="H1053" s="133" t="s">
        <v>621</v>
      </c>
      <c r="I1053" s="134">
        <f>C88</f>
        <v>111600</v>
      </c>
      <c r="J1053" s="133" t="s">
        <v>126</v>
      </c>
      <c r="K1053" s="134">
        <f t="shared" ref="K1053:K1063" si="125">(F1053*I1053)</f>
        <v>1286.748</v>
      </c>
      <c r="M1053" s="17">
        <v>1</v>
      </c>
      <c r="N1053" s="15" t="s">
        <v>209</v>
      </c>
      <c r="O1053" s="3" t="s">
        <v>628</v>
      </c>
      <c r="P1053" s="17">
        <f t="shared" si="124"/>
        <v>7.3</v>
      </c>
      <c r="Q1053" s="3" t="s">
        <v>209</v>
      </c>
      <c r="R1053" s="17">
        <f t="shared" si="123"/>
        <v>7.3</v>
      </c>
      <c r="S1053" s="49"/>
      <c r="AC1053" s="6"/>
      <c r="AD1053" s="3" t="s">
        <v>115</v>
      </c>
      <c r="AE1053" s="3" t="s">
        <v>115</v>
      </c>
      <c r="AF1053" s="8"/>
      <c r="AG1053" s="130" t="s">
        <v>115</v>
      </c>
    </row>
    <row r="1054" spans="6:33" ht="24" customHeight="1">
      <c r="F1054" s="135">
        <v>1.35E-2</v>
      </c>
      <c r="G1054" s="15" t="s">
        <v>126</v>
      </c>
      <c r="H1054" s="3" t="s">
        <v>622</v>
      </c>
      <c r="I1054" s="17">
        <f>C89</f>
        <v>99400</v>
      </c>
      <c r="J1054" s="3" t="s">
        <v>126</v>
      </c>
      <c r="K1054" s="17">
        <f t="shared" si="125"/>
        <v>1341.9</v>
      </c>
      <c r="M1054" s="17">
        <v>1</v>
      </c>
      <c r="N1054" s="15" t="s">
        <v>209</v>
      </c>
      <c r="O1054" s="3" t="s">
        <v>1538</v>
      </c>
      <c r="P1054" s="17">
        <f t="shared" si="124"/>
        <v>50.9</v>
      </c>
      <c r="Q1054" s="3" t="s">
        <v>209</v>
      </c>
      <c r="R1054" s="17">
        <f t="shared" si="123"/>
        <v>50.9</v>
      </c>
      <c r="S1054" s="49"/>
      <c r="AC1054" s="6"/>
      <c r="AF1054" s="3" t="s">
        <v>115</v>
      </c>
      <c r="AG1054" s="3" t="s">
        <v>115</v>
      </c>
    </row>
    <row r="1055" spans="6:33" ht="24" customHeight="1">
      <c r="F1055" s="135">
        <v>1.016</v>
      </c>
      <c r="G1055" s="15" t="s">
        <v>140</v>
      </c>
      <c r="H1055" s="3" t="s">
        <v>623</v>
      </c>
      <c r="I1055" s="17">
        <f>C783</f>
        <v>387.4</v>
      </c>
      <c r="J1055" s="3" t="s">
        <v>140</v>
      </c>
      <c r="K1055" s="17">
        <f t="shared" si="125"/>
        <v>393.59839999999997</v>
      </c>
      <c r="M1055" s="17">
        <v>1</v>
      </c>
      <c r="N1055" s="15" t="s">
        <v>209</v>
      </c>
      <c r="O1055" s="3" t="s">
        <v>630</v>
      </c>
      <c r="P1055" s="17">
        <f>P953</f>
        <v>43.8</v>
      </c>
      <c r="Q1055" s="3" t="s">
        <v>209</v>
      </c>
      <c r="R1055" s="17">
        <f t="shared" si="123"/>
        <v>43.8</v>
      </c>
      <c r="S1055" s="49"/>
      <c r="AC1055" s="6"/>
      <c r="AD1055" s="3" t="s">
        <v>1539</v>
      </c>
      <c r="AF1055" s="130" t="s">
        <v>115</v>
      </c>
      <c r="AG1055" s="130" t="s">
        <v>115</v>
      </c>
    </row>
    <row r="1056" spans="6:33" ht="24" customHeight="1">
      <c r="F1056" s="135">
        <v>1.64</v>
      </c>
      <c r="G1056" s="15" t="s">
        <v>140</v>
      </c>
      <c r="H1056" s="3" t="s">
        <v>624</v>
      </c>
      <c r="I1056" s="17">
        <f>D30</f>
        <v>963</v>
      </c>
      <c r="J1056" s="3" t="s">
        <v>140</v>
      </c>
      <c r="K1056" s="17">
        <f t="shared" si="125"/>
        <v>1579.32</v>
      </c>
      <c r="N1056" s="6"/>
      <c r="Q1056" s="8"/>
      <c r="R1056" s="12" t="s">
        <v>117</v>
      </c>
      <c r="S1056" s="142"/>
      <c r="AC1056" s="6"/>
      <c r="AD1056" s="3" t="s">
        <v>1540</v>
      </c>
      <c r="AF1056" s="8"/>
      <c r="AG1056" s="130" t="s">
        <v>1541</v>
      </c>
    </row>
    <row r="1057" spans="6:33" ht="24" customHeight="1">
      <c r="F1057" s="17">
        <v>2</v>
      </c>
      <c r="G1057" s="15" t="s">
        <v>209</v>
      </c>
      <c r="H1057" s="3" t="s">
        <v>625</v>
      </c>
      <c r="I1057" s="17">
        <f>C284</f>
        <v>57.2</v>
      </c>
      <c r="J1057" s="3" t="s">
        <v>209</v>
      </c>
      <c r="K1057" s="17">
        <f t="shared" si="125"/>
        <v>114.4</v>
      </c>
      <c r="N1057" s="6"/>
      <c r="O1057" s="4" t="s">
        <v>1542</v>
      </c>
      <c r="Q1057" s="8"/>
      <c r="R1057" s="17">
        <f>SUM(R1046:R1055)</f>
        <v>3444.8474000000006</v>
      </c>
      <c r="S1057" s="49"/>
      <c r="AC1057" s="6"/>
      <c r="AF1057" s="8"/>
      <c r="AG1057" s="3" t="s">
        <v>115</v>
      </c>
    </row>
    <row r="1058" spans="6:33" ht="24" customHeight="1">
      <c r="F1058" s="17">
        <v>3</v>
      </c>
      <c r="G1058" s="15" t="s">
        <v>209</v>
      </c>
      <c r="H1058" s="3" t="s">
        <v>1506</v>
      </c>
      <c r="I1058" s="17">
        <f>C279</f>
        <v>79.099999999999994</v>
      </c>
      <c r="J1058" s="3" t="s">
        <v>209</v>
      </c>
      <c r="K1058" s="17">
        <f t="shared" si="125"/>
        <v>237.29999999999998</v>
      </c>
      <c r="N1058" s="15" t="s">
        <v>115</v>
      </c>
      <c r="Q1058" s="8"/>
      <c r="R1058" s="12" t="s">
        <v>117</v>
      </c>
      <c r="S1058" s="142"/>
      <c r="AC1058" s="6"/>
      <c r="AF1058" s="8"/>
      <c r="AG1058" s="130" t="s">
        <v>115</v>
      </c>
    </row>
    <row r="1059" spans="6:33" ht="24" customHeight="1">
      <c r="F1059" s="17">
        <v>1</v>
      </c>
      <c r="G1059" s="15" t="s">
        <v>209</v>
      </c>
      <c r="H1059" s="3" t="s">
        <v>627</v>
      </c>
      <c r="I1059" s="17">
        <f>C286</f>
        <v>159.69999999999999</v>
      </c>
      <c r="J1059" s="3" t="s">
        <v>209</v>
      </c>
      <c r="K1059" s="17">
        <f t="shared" si="125"/>
        <v>159.69999999999999</v>
      </c>
      <c r="N1059" s="6"/>
      <c r="O1059" s="19" t="s">
        <v>154</v>
      </c>
      <c r="Q1059" s="8"/>
      <c r="R1059" s="16">
        <f>R1057/M1049</f>
        <v>2100.5167073170737</v>
      </c>
      <c r="S1059" s="49"/>
      <c r="AC1059" s="6"/>
      <c r="AF1059" s="8"/>
      <c r="AG1059" s="3" t="s">
        <v>115</v>
      </c>
    </row>
    <row r="1060" spans="6:33" ht="24" customHeight="1">
      <c r="F1060" s="17">
        <v>1</v>
      </c>
      <c r="G1060" s="15" t="s">
        <v>209</v>
      </c>
      <c r="H1060" s="3" t="s">
        <v>628</v>
      </c>
      <c r="I1060" s="17">
        <f>C288</f>
        <v>7.3</v>
      </c>
      <c r="J1060" s="3" t="s">
        <v>209</v>
      </c>
      <c r="K1060" s="17">
        <f t="shared" si="125"/>
        <v>7.3</v>
      </c>
      <c r="N1060" s="6"/>
      <c r="Q1060" s="8"/>
      <c r="R1060" s="12" t="s">
        <v>155</v>
      </c>
      <c r="S1060" s="142" t="s">
        <v>155</v>
      </c>
      <c r="AB1060" s="4" t="s">
        <v>1504</v>
      </c>
      <c r="AC1060" s="15"/>
      <c r="AD1060" s="3" t="s">
        <v>1543</v>
      </c>
      <c r="AF1060" s="8"/>
      <c r="AG1060" s="3" t="s">
        <v>115</v>
      </c>
    </row>
    <row r="1061" spans="6:33" ht="24" customHeight="1">
      <c r="F1061" s="17">
        <v>1</v>
      </c>
      <c r="G1061" s="15" t="s">
        <v>209</v>
      </c>
      <c r="H1061" s="3" t="s">
        <v>1507</v>
      </c>
      <c r="I1061" s="17">
        <f>C598</f>
        <v>50.9</v>
      </c>
      <c r="J1061" s="3" t="s">
        <v>209</v>
      </c>
      <c r="K1061" s="17">
        <f t="shared" si="125"/>
        <v>50.9</v>
      </c>
      <c r="M1061" s="4"/>
      <c r="N1061" s="15"/>
      <c r="O1061" s="3"/>
      <c r="Q1061" s="8"/>
      <c r="R1061" s="3" t="s">
        <v>115</v>
      </c>
      <c r="AC1061" s="6"/>
      <c r="AD1061" s="12" t="s">
        <v>117</v>
      </c>
      <c r="AF1061" s="8"/>
    </row>
    <row r="1062" spans="6:33" ht="24" customHeight="1">
      <c r="F1062" s="17">
        <v>1</v>
      </c>
      <c r="G1062" s="15" t="s">
        <v>209</v>
      </c>
      <c r="H1062" s="3" t="s">
        <v>630</v>
      </c>
      <c r="I1062" s="17">
        <f>D598</f>
        <v>43.8</v>
      </c>
      <c r="J1062" s="3" t="s">
        <v>209</v>
      </c>
      <c r="K1062" s="17">
        <f t="shared" si="125"/>
        <v>43.8</v>
      </c>
      <c r="M1062" s="4" t="s">
        <v>1504</v>
      </c>
      <c r="N1062" s="15"/>
      <c r="O1062" s="3" t="s">
        <v>1544</v>
      </c>
      <c r="Q1062" s="8"/>
      <c r="R1062" s="3" t="s">
        <v>115</v>
      </c>
      <c r="AB1062" s="131">
        <v>2.3060000000000001E-2</v>
      </c>
      <c r="AC1062" s="132" t="s">
        <v>126</v>
      </c>
      <c r="AD1062" s="133" t="s">
        <v>621</v>
      </c>
      <c r="AE1062" s="134">
        <f>I1053</f>
        <v>111600</v>
      </c>
      <c r="AF1062" s="133" t="s">
        <v>126</v>
      </c>
      <c r="AG1062" s="134">
        <f t="shared" ref="AG1062:AG1072" si="126">(AB1062*AE1062)</f>
        <v>2573.4960000000001</v>
      </c>
    </row>
    <row r="1063" spans="6:33" ht="24" customHeight="1">
      <c r="F1063" s="17">
        <v>58</v>
      </c>
      <c r="G1063" s="15" t="s">
        <v>1492</v>
      </c>
      <c r="H1063" s="3" t="s">
        <v>1508</v>
      </c>
      <c r="I1063" s="5">
        <f>I1026</f>
        <v>2.37</v>
      </c>
      <c r="J1063" s="3" t="s">
        <v>209</v>
      </c>
      <c r="K1063" s="17">
        <f t="shared" si="125"/>
        <v>137.46</v>
      </c>
      <c r="N1063" s="6"/>
      <c r="O1063" s="12" t="s">
        <v>117</v>
      </c>
      <c r="Q1063" s="8"/>
      <c r="AB1063" s="135">
        <v>1.856E-2</v>
      </c>
      <c r="AC1063" s="15" t="s">
        <v>126</v>
      </c>
      <c r="AD1063" s="3" t="s">
        <v>622</v>
      </c>
      <c r="AE1063" s="134">
        <f t="shared" ref="AE1063:AE1071" si="127">I1054</f>
        <v>99400</v>
      </c>
      <c r="AF1063" s="3" t="s">
        <v>126</v>
      </c>
      <c r="AG1063" s="17">
        <f t="shared" si="126"/>
        <v>1844.864</v>
      </c>
    </row>
    <row r="1064" spans="6:33" ht="24" customHeight="1">
      <c r="H1064" s="4" t="s">
        <v>1542</v>
      </c>
      <c r="K1064" s="17">
        <f>SUM(K1053:K1063)</f>
        <v>5352.4263999999994</v>
      </c>
      <c r="M1064" s="131">
        <v>1.153E-2</v>
      </c>
      <c r="N1064" s="132" t="s">
        <v>126</v>
      </c>
      <c r="O1064" s="133" t="s">
        <v>621</v>
      </c>
      <c r="P1064" s="134">
        <f>I1053</f>
        <v>111600</v>
      </c>
      <c r="Q1064" s="133" t="s">
        <v>126</v>
      </c>
      <c r="R1064" s="134">
        <f t="shared" ref="R1064:R1074" si="128">(M1064*P1064)</f>
        <v>1286.748</v>
      </c>
      <c r="AB1064" s="135">
        <v>1.4</v>
      </c>
      <c r="AC1064" s="15" t="s">
        <v>140</v>
      </c>
      <c r="AD1064" s="3" t="s">
        <v>623</v>
      </c>
      <c r="AE1064" s="134">
        <f t="shared" si="127"/>
        <v>387.4</v>
      </c>
      <c r="AF1064" s="3" t="s">
        <v>140</v>
      </c>
      <c r="AG1064" s="17">
        <f t="shared" si="126"/>
        <v>542.3599999999999</v>
      </c>
    </row>
    <row r="1065" spans="6:33" ht="24" customHeight="1">
      <c r="G1065" s="15" t="s">
        <v>115</v>
      </c>
      <c r="K1065" s="12" t="s">
        <v>117</v>
      </c>
      <c r="M1065" s="135">
        <v>1.52E-2</v>
      </c>
      <c r="N1065" s="15" t="s">
        <v>126</v>
      </c>
      <c r="O1065" s="3" t="s">
        <v>622</v>
      </c>
      <c r="P1065" s="134">
        <f t="shared" ref="P1065:P1073" si="129">I1054</f>
        <v>99400</v>
      </c>
      <c r="Q1065" s="3" t="s">
        <v>126</v>
      </c>
      <c r="R1065" s="17">
        <f t="shared" si="128"/>
        <v>1510.88</v>
      </c>
      <c r="AB1065" s="135">
        <v>2.2549999999999999</v>
      </c>
      <c r="AC1065" s="15" t="s">
        <v>140</v>
      </c>
      <c r="AD1065" s="3" t="s">
        <v>624</v>
      </c>
      <c r="AE1065" s="134">
        <f t="shared" si="127"/>
        <v>963</v>
      </c>
      <c r="AF1065" s="3" t="s">
        <v>140</v>
      </c>
      <c r="AG1065" s="17">
        <f t="shared" si="126"/>
        <v>2171.5650000000001</v>
      </c>
    </row>
    <row r="1066" spans="6:33" ht="24" customHeight="1">
      <c r="H1066" s="19" t="s">
        <v>154</v>
      </c>
      <c r="K1066" s="16">
        <f>K1064/F1056</f>
        <v>3263.6746341463413</v>
      </c>
      <c r="M1066" s="135">
        <v>1.26</v>
      </c>
      <c r="N1066" s="15" t="s">
        <v>140</v>
      </c>
      <c r="O1066" s="3" t="s">
        <v>623</v>
      </c>
      <c r="P1066" s="134">
        <f t="shared" si="129"/>
        <v>387.4</v>
      </c>
      <c r="Q1066" s="3" t="s">
        <v>140</v>
      </c>
      <c r="R1066" s="17">
        <f t="shared" si="128"/>
        <v>488.12399999999997</v>
      </c>
      <c r="AB1066" s="17">
        <v>4</v>
      </c>
      <c r="AC1066" s="15" t="s">
        <v>209</v>
      </c>
      <c r="AD1066" s="3" t="s">
        <v>625</v>
      </c>
      <c r="AE1066" s="134">
        <f t="shared" si="127"/>
        <v>57.2</v>
      </c>
      <c r="AF1066" s="3" t="s">
        <v>209</v>
      </c>
      <c r="AG1066" s="17">
        <f t="shared" si="126"/>
        <v>228.8</v>
      </c>
    </row>
    <row r="1067" spans="6:33" ht="24" customHeight="1">
      <c r="K1067" s="12" t="s">
        <v>155</v>
      </c>
      <c r="M1067" s="135">
        <v>1.845</v>
      </c>
      <c r="N1067" s="15" t="s">
        <v>140</v>
      </c>
      <c r="O1067" s="3" t="s">
        <v>624</v>
      </c>
      <c r="P1067" s="134">
        <f t="shared" si="129"/>
        <v>963</v>
      </c>
      <c r="Q1067" s="3" t="s">
        <v>140</v>
      </c>
      <c r="R1067" s="17">
        <f t="shared" si="128"/>
        <v>1776.7349999999999</v>
      </c>
      <c r="AB1067" s="17">
        <v>6</v>
      </c>
      <c r="AC1067" s="15" t="s">
        <v>209</v>
      </c>
      <c r="AD1067" s="3" t="s">
        <v>1506</v>
      </c>
      <c r="AE1067" s="134">
        <f t="shared" si="127"/>
        <v>79.099999999999994</v>
      </c>
      <c r="AF1067" s="3" t="s">
        <v>209</v>
      </c>
      <c r="AG1067" s="17">
        <f t="shared" si="126"/>
        <v>474.59999999999997</v>
      </c>
    </row>
    <row r="1068" spans="6:33" ht="24" customHeight="1">
      <c r="F1068" s="4" t="s">
        <v>1545</v>
      </c>
      <c r="H1068" s="3" t="s">
        <v>1546</v>
      </c>
      <c r="M1068" s="17">
        <v>2</v>
      </c>
      <c r="N1068" s="15" t="s">
        <v>209</v>
      </c>
      <c r="O1068" s="3" t="s">
        <v>625</v>
      </c>
      <c r="P1068" s="134">
        <f t="shared" si="129"/>
        <v>57.2</v>
      </c>
      <c r="Q1068" s="3" t="s">
        <v>209</v>
      </c>
      <c r="R1068" s="17">
        <f t="shared" si="128"/>
        <v>114.4</v>
      </c>
      <c r="AB1068" s="17">
        <v>1</v>
      </c>
      <c r="AC1068" s="15" t="s">
        <v>209</v>
      </c>
      <c r="AD1068" s="3" t="s">
        <v>627</v>
      </c>
      <c r="AE1068" s="134">
        <f t="shared" si="127"/>
        <v>159.69999999999999</v>
      </c>
      <c r="AF1068" s="3" t="s">
        <v>209</v>
      </c>
      <c r="AG1068" s="17">
        <f t="shared" si="126"/>
        <v>159.69999999999999</v>
      </c>
    </row>
    <row r="1069" spans="6:33" ht="24" customHeight="1">
      <c r="H1069" s="3" t="s">
        <v>1547</v>
      </c>
      <c r="M1069" s="17">
        <v>3</v>
      </c>
      <c r="N1069" s="15" t="s">
        <v>209</v>
      </c>
      <c r="O1069" s="3" t="s">
        <v>1506</v>
      </c>
      <c r="P1069" s="134">
        <f t="shared" si="129"/>
        <v>79.099999999999994</v>
      </c>
      <c r="Q1069" s="3" t="s">
        <v>209</v>
      </c>
      <c r="R1069" s="17">
        <f t="shared" si="128"/>
        <v>237.29999999999998</v>
      </c>
      <c r="AB1069" s="17">
        <v>2</v>
      </c>
      <c r="AC1069" s="15" t="s">
        <v>209</v>
      </c>
      <c r="AD1069" s="3" t="s">
        <v>628</v>
      </c>
      <c r="AE1069" s="134">
        <f t="shared" si="127"/>
        <v>7.3</v>
      </c>
      <c r="AF1069" s="3" t="s">
        <v>209</v>
      </c>
      <c r="AG1069" s="17">
        <f t="shared" si="126"/>
        <v>14.6</v>
      </c>
    </row>
    <row r="1070" spans="6:33" ht="24" customHeight="1">
      <c r="H1070" s="12" t="s">
        <v>117</v>
      </c>
      <c r="M1070" s="17">
        <v>1</v>
      </c>
      <c r="N1070" s="15" t="s">
        <v>209</v>
      </c>
      <c r="O1070" s="3" t="s">
        <v>627</v>
      </c>
      <c r="P1070" s="134">
        <f t="shared" si="129"/>
        <v>159.69999999999999</v>
      </c>
      <c r="Q1070" s="3" t="s">
        <v>209</v>
      </c>
      <c r="R1070" s="17">
        <f t="shared" si="128"/>
        <v>159.69999999999999</v>
      </c>
      <c r="AB1070" s="17">
        <v>2</v>
      </c>
      <c r="AC1070" s="15" t="s">
        <v>209</v>
      </c>
      <c r="AD1070" s="3" t="s">
        <v>1507</v>
      </c>
      <c r="AE1070" s="134">
        <f t="shared" si="127"/>
        <v>50.9</v>
      </c>
      <c r="AF1070" s="3" t="s">
        <v>209</v>
      </c>
      <c r="AG1070" s="17">
        <f t="shared" si="126"/>
        <v>101.8</v>
      </c>
    </row>
    <row r="1071" spans="6:33" ht="24" customHeight="1">
      <c r="F1071" s="135">
        <v>6.6499999999999997E-3</v>
      </c>
      <c r="G1071" s="15" t="s">
        <v>642</v>
      </c>
      <c r="H1071" s="3" t="s">
        <v>1548</v>
      </c>
      <c r="I1071" s="17">
        <f>C89</f>
        <v>99400</v>
      </c>
      <c r="J1071" s="3" t="s">
        <v>126</v>
      </c>
      <c r="K1071" s="17">
        <f t="shared" ref="K1071:K1078" si="130">(F1071*I1071)</f>
        <v>661.01</v>
      </c>
      <c r="M1071" s="17">
        <v>1</v>
      </c>
      <c r="N1071" s="15" t="s">
        <v>209</v>
      </c>
      <c r="O1071" s="3" t="s">
        <v>628</v>
      </c>
      <c r="P1071" s="134">
        <f t="shared" si="129"/>
        <v>7.3</v>
      </c>
      <c r="Q1071" s="3" t="s">
        <v>209</v>
      </c>
      <c r="R1071" s="17">
        <f t="shared" si="128"/>
        <v>7.3</v>
      </c>
      <c r="AB1071" s="17">
        <v>2</v>
      </c>
      <c r="AC1071" s="15" t="s">
        <v>209</v>
      </c>
      <c r="AD1071" s="3" t="s">
        <v>630</v>
      </c>
      <c r="AE1071" s="134">
        <f t="shared" si="127"/>
        <v>43.8</v>
      </c>
      <c r="AF1071" s="3" t="s">
        <v>209</v>
      </c>
      <c r="AG1071" s="17">
        <f t="shared" si="126"/>
        <v>87.6</v>
      </c>
    </row>
    <row r="1072" spans="6:33" ht="24" customHeight="1">
      <c r="F1072" s="135">
        <v>0.32346000000000003</v>
      </c>
      <c r="G1072" s="15" t="s">
        <v>140</v>
      </c>
      <c r="H1072" s="3" t="s">
        <v>1549</v>
      </c>
      <c r="I1072" s="84">
        <v>208.8</v>
      </c>
      <c r="J1072" s="3" t="s">
        <v>126</v>
      </c>
      <c r="K1072" s="17">
        <f t="shared" si="130"/>
        <v>67.538448000000002</v>
      </c>
      <c r="M1072" s="17">
        <v>1</v>
      </c>
      <c r="N1072" s="15" t="s">
        <v>209</v>
      </c>
      <c r="O1072" s="3" t="s">
        <v>1507</v>
      </c>
      <c r="P1072" s="134">
        <f t="shared" si="129"/>
        <v>50.9</v>
      </c>
      <c r="Q1072" s="3" t="s">
        <v>209</v>
      </c>
      <c r="R1072" s="17">
        <f t="shared" si="128"/>
        <v>50.9</v>
      </c>
      <c r="AB1072" s="17">
        <v>118</v>
      </c>
      <c r="AC1072" s="15" t="s">
        <v>209</v>
      </c>
      <c r="AD1072" s="3" t="s">
        <v>1508</v>
      </c>
      <c r="AE1072" s="134">
        <f>I1063</f>
        <v>2.37</v>
      </c>
      <c r="AF1072" s="8"/>
      <c r="AG1072" s="17">
        <f t="shared" si="126"/>
        <v>279.66000000000003</v>
      </c>
    </row>
    <row r="1073" spans="6:33" ht="24" customHeight="1">
      <c r="F1073" s="135">
        <v>0.47660000000000002</v>
      </c>
      <c r="G1073" s="15" t="s">
        <v>140</v>
      </c>
      <c r="H1073" s="3" t="s">
        <v>624</v>
      </c>
      <c r="I1073" s="17">
        <f>D31</f>
        <v>1078</v>
      </c>
      <c r="J1073" s="3" t="s">
        <v>140</v>
      </c>
      <c r="K1073" s="17">
        <f t="shared" si="130"/>
        <v>513.77480000000003</v>
      </c>
      <c r="M1073" s="17">
        <v>1</v>
      </c>
      <c r="N1073" s="15" t="s">
        <v>209</v>
      </c>
      <c r="O1073" s="3" t="s">
        <v>630</v>
      </c>
      <c r="P1073" s="134">
        <f t="shared" si="129"/>
        <v>43.8</v>
      </c>
      <c r="Q1073" s="3" t="s">
        <v>209</v>
      </c>
      <c r="R1073" s="17">
        <f t="shared" si="128"/>
        <v>43.8</v>
      </c>
      <c r="AC1073" s="6"/>
      <c r="AD1073" s="4" t="s">
        <v>1550</v>
      </c>
      <c r="AF1073" s="8"/>
      <c r="AG1073" s="17">
        <f>SUM(AG1062:AG1072)</f>
        <v>8479.0450000000001</v>
      </c>
    </row>
    <row r="1074" spans="6:33" ht="24" customHeight="1">
      <c r="F1074" s="17">
        <v>3</v>
      </c>
      <c r="G1074" s="15" t="s">
        <v>209</v>
      </c>
      <c r="H1074" s="3" t="s">
        <v>1551</v>
      </c>
      <c r="I1074" s="17">
        <f>C282</f>
        <v>43.6</v>
      </c>
      <c r="J1074" s="3" t="s">
        <v>209</v>
      </c>
      <c r="K1074" s="17">
        <f t="shared" si="130"/>
        <v>130.80000000000001</v>
      </c>
      <c r="M1074" s="17">
        <v>58</v>
      </c>
      <c r="N1074" s="6"/>
      <c r="O1074" s="3" t="s">
        <v>1509</v>
      </c>
      <c r="P1074" s="134">
        <f>I1078</f>
        <v>2.37</v>
      </c>
      <c r="Q1074" s="8"/>
      <c r="R1074" s="17">
        <f t="shared" si="128"/>
        <v>137.46</v>
      </c>
      <c r="AC1074" s="15" t="s">
        <v>115</v>
      </c>
      <c r="AF1074" s="8"/>
      <c r="AG1074" s="12" t="s">
        <v>117</v>
      </c>
    </row>
    <row r="1075" spans="6:33" ht="24" customHeight="1">
      <c r="F1075" s="17">
        <v>2</v>
      </c>
      <c r="G1075" s="15" t="s">
        <v>209</v>
      </c>
      <c r="H1075" s="3" t="s">
        <v>1552</v>
      </c>
      <c r="I1075" s="17">
        <f>C285</f>
        <v>35.1</v>
      </c>
      <c r="J1075" s="3" t="s">
        <v>209</v>
      </c>
      <c r="K1075" s="17">
        <f t="shared" si="130"/>
        <v>70.2</v>
      </c>
      <c r="N1075" s="6"/>
      <c r="O1075" s="4" t="s">
        <v>1553</v>
      </c>
      <c r="Q1075" s="8"/>
      <c r="R1075" s="17">
        <f>SUM(R1064:R1074)</f>
        <v>5813.3469999999998</v>
      </c>
      <c r="AC1075" s="6"/>
      <c r="AD1075" s="19" t="s">
        <v>154</v>
      </c>
      <c r="AF1075" s="8"/>
      <c r="AG1075" s="16">
        <f>AG1073/AB1065</f>
        <v>3760.1086474501112</v>
      </c>
    </row>
    <row r="1076" spans="6:33" ht="24" customHeight="1">
      <c r="F1076" s="17">
        <v>1</v>
      </c>
      <c r="G1076" s="15" t="s">
        <v>209</v>
      </c>
      <c r="H1076" s="3" t="s">
        <v>1554</v>
      </c>
      <c r="I1076" s="123">
        <f>I1060</f>
        <v>7.3</v>
      </c>
      <c r="J1076" s="3" t="s">
        <v>209</v>
      </c>
      <c r="K1076" s="17">
        <f t="shared" si="130"/>
        <v>7.3</v>
      </c>
      <c r="N1076" s="15" t="s">
        <v>115</v>
      </c>
      <c r="Q1076" s="8"/>
      <c r="R1076" s="12" t="s">
        <v>117</v>
      </c>
      <c r="AC1076" s="6"/>
      <c r="AF1076" s="8"/>
      <c r="AG1076" s="12" t="s">
        <v>155</v>
      </c>
    </row>
    <row r="1077" spans="6:33" ht="24" customHeight="1">
      <c r="F1077" s="17">
        <v>1</v>
      </c>
      <c r="G1077" s="15" t="s">
        <v>209</v>
      </c>
      <c r="H1077" s="3" t="s">
        <v>1555</v>
      </c>
      <c r="I1077" s="17">
        <f>C292</f>
        <v>8.9</v>
      </c>
      <c r="J1077" s="3" t="s">
        <v>209</v>
      </c>
      <c r="K1077" s="17">
        <f t="shared" si="130"/>
        <v>8.9</v>
      </c>
      <c r="N1077" s="6"/>
      <c r="O1077" s="19" t="s">
        <v>154</v>
      </c>
      <c r="Q1077" s="8"/>
      <c r="R1077" s="16">
        <f>R1075/M1067</f>
        <v>3150.8655826558265</v>
      </c>
      <c r="AE1077" s="23">
        <f t="shared" ref="AE1077:AE1140" si="131">AG1077</f>
        <v>0</v>
      </c>
    </row>
    <row r="1078" spans="6:33" ht="24" customHeight="1">
      <c r="F1078" s="17">
        <v>24</v>
      </c>
      <c r="H1078" s="3" t="s">
        <v>1508</v>
      </c>
      <c r="I1078" s="5">
        <f>I1063</f>
        <v>2.37</v>
      </c>
      <c r="J1078" s="3" t="s">
        <v>209</v>
      </c>
      <c r="K1078" s="17">
        <f t="shared" si="130"/>
        <v>56.88</v>
      </c>
      <c r="N1078" s="6"/>
      <c r="Q1078" s="8"/>
      <c r="R1078" s="12" t="s">
        <v>155</v>
      </c>
      <c r="AE1078" s="23">
        <f t="shared" si="131"/>
        <v>0</v>
      </c>
    </row>
    <row r="1079" spans="6:33" ht="24" customHeight="1">
      <c r="H1079" s="4" t="s">
        <v>1556</v>
      </c>
      <c r="K1079" s="17">
        <f>SUM(K1071:K1078)</f>
        <v>1516.4032480000003</v>
      </c>
      <c r="AE1079" s="23">
        <f t="shared" si="131"/>
        <v>0</v>
      </c>
    </row>
    <row r="1080" spans="6:33" ht="24" customHeight="1">
      <c r="K1080" s="12" t="s">
        <v>117</v>
      </c>
      <c r="AE1080" s="23">
        <f t="shared" si="131"/>
        <v>0</v>
      </c>
    </row>
    <row r="1081" spans="6:33" ht="24" customHeight="1">
      <c r="H1081" s="19" t="s">
        <v>154</v>
      </c>
      <c r="I1081" s="3" t="s">
        <v>115</v>
      </c>
      <c r="K1081" s="16">
        <f>K1079/F1073</f>
        <v>3181.710549727235</v>
      </c>
      <c r="AE1081" s="23">
        <f t="shared" si="131"/>
        <v>0</v>
      </c>
    </row>
    <row r="1082" spans="6:33" ht="24" customHeight="1">
      <c r="K1082" s="12" t="s">
        <v>155</v>
      </c>
      <c r="AE1082" s="23">
        <f t="shared" si="131"/>
        <v>0</v>
      </c>
    </row>
    <row r="1083" spans="6:33" ht="24" customHeight="1">
      <c r="F1083" s="4" t="s">
        <v>1557</v>
      </c>
      <c r="G1083" s="15" t="s">
        <v>122</v>
      </c>
      <c r="H1083" s="3" t="s">
        <v>1546</v>
      </c>
      <c r="AE1083" s="23">
        <f t="shared" si="131"/>
        <v>0</v>
      </c>
    </row>
    <row r="1084" spans="6:33" ht="24" customHeight="1">
      <c r="H1084" s="3" t="s">
        <v>1558</v>
      </c>
      <c r="N1084" s="3" t="s">
        <v>1472</v>
      </c>
      <c r="AE1084" s="23">
        <f t="shared" si="131"/>
        <v>0</v>
      </c>
    </row>
    <row r="1085" spans="6:33" ht="24" customHeight="1">
      <c r="H1085" s="12" t="s">
        <v>117</v>
      </c>
      <c r="N1085" s="3" t="s">
        <v>1467</v>
      </c>
      <c r="AE1085" s="23">
        <f t="shared" si="131"/>
        <v>0</v>
      </c>
    </row>
    <row r="1086" spans="6:33" ht="24" customHeight="1">
      <c r="F1086" s="135">
        <v>5.4000000000000003E-3</v>
      </c>
      <c r="G1086" s="15" t="s">
        <v>642</v>
      </c>
      <c r="H1086" s="3" t="s">
        <v>1548</v>
      </c>
      <c r="I1086" s="17">
        <f>C89</f>
        <v>99400</v>
      </c>
      <c r="J1086" s="3" t="s">
        <v>126</v>
      </c>
      <c r="K1086" s="17">
        <f t="shared" ref="K1086:K1093" si="132">(F1086*I1086)</f>
        <v>536.76</v>
      </c>
      <c r="N1086" s="3" t="s">
        <v>1559</v>
      </c>
      <c r="AE1086" s="23">
        <f t="shared" si="131"/>
        <v>0</v>
      </c>
    </row>
    <row r="1087" spans="6:33" ht="24" customHeight="1">
      <c r="F1087" s="135">
        <v>0.23871000000000001</v>
      </c>
      <c r="G1087" s="15" t="s">
        <v>140</v>
      </c>
      <c r="H1087" s="70" t="str">
        <f>H1072</f>
        <v>frosted glass 4mmthick</v>
      </c>
      <c r="I1087" s="123">
        <f>I1072</f>
        <v>208.8</v>
      </c>
      <c r="J1087" s="3" t="s">
        <v>126</v>
      </c>
      <c r="K1087" s="17">
        <f t="shared" si="132"/>
        <v>49.842648000000004</v>
      </c>
      <c r="AE1087" s="23">
        <f t="shared" si="131"/>
        <v>0</v>
      </c>
    </row>
    <row r="1088" spans="6:33" ht="24" customHeight="1">
      <c r="F1088" s="135">
        <v>0.36199999999999999</v>
      </c>
      <c r="G1088" s="15" t="s">
        <v>140</v>
      </c>
      <c r="H1088" s="3" t="s">
        <v>624</v>
      </c>
      <c r="I1088" s="17">
        <f>D31</f>
        <v>1078</v>
      </c>
      <c r="J1088" s="3" t="s">
        <v>140</v>
      </c>
      <c r="K1088" s="17">
        <f t="shared" si="132"/>
        <v>390.23599999999999</v>
      </c>
      <c r="AE1088" s="23">
        <f t="shared" si="131"/>
        <v>0</v>
      </c>
    </row>
    <row r="1089" spans="6:31" ht="24" customHeight="1">
      <c r="F1089" s="17">
        <v>3</v>
      </c>
      <c r="G1089" s="15" t="s">
        <v>209</v>
      </c>
      <c r="H1089" s="3" t="s">
        <v>1551</v>
      </c>
      <c r="I1089" s="17">
        <f>C282</f>
        <v>43.6</v>
      </c>
      <c r="J1089" s="3" t="s">
        <v>209</v>
      </c>
      <c r="K1089" s="17">
        <f t="shared" si="132"/>
        <v>130.80000000000001</v>
      </c>
      <c r="M1089" s="80">
        <v>2.2800000000000001E-2</v>
      </c>
      <c r="N1089" s="15" t="s">
        <v>126</v>
      </c>
      <c r="O1089" s="3" t="s">
        <v>1483</v>
      </c>
      <c r="P1089" s="17">
        <f>I1053</f>
        <v>111600</v>
      </c>
      <c r="Q1089" s="3" t="s">
        <v>126</v>
      </c>
      <c r="R1089" s="17">
        <f>P1089*M1089</f>
        <v>2544.48</v>
      </c>
      <c r="AE1089" s="23">
        <f t="shared" si="131"/>
        <v>0</v>
      </c>
    </row>
    <row r="1090" spans="6:31" ht="24" customHeight="1">
      <c r="F1090" s="17">
        <v>2</v>
      </c>
      <c r="G1090" s="15" t="s">
        <v>209</v>
      </c>
      <c r="H1090" s="3" t="s">
        <v>1552</v>
      </c>
      <c r="I1090" s="17">
        <f>C285</f>
        <v>35.1</v>
      </c>
      <c r="J1090" s="3" t="s">
        <v>209</v>
      </c>
      <c r="K1090" s="17">
        <f t="shared" si="132"/>
        <v>70.2</v>
      </c>
      <c r="M1090" s="80">
        <v>4.2999999999999997E-2</v>
      </c>
      <c r="N1090" s="15" t="s">
        <v>126</v>
      </c>
      <c r="O1090" s="3" t="s">
        <v>1485</v>
      </c>
      <c r="P1090" s="17">
        <f>I1054</f>
        <v>99400</v>
      </c>
      <c r="Q1090" s="3" t="s">
        <v>126</v>
      </c>
      <c r="R1090" s="17">
        <f t="shared" ref="R1090:R1100" si="133">P1090*M1090</f>
        <v>4274.2</v>
      </c>
      <c r="AE1090" s="23">
        <f t="shared" si="131"/>
        <v>0</v>
      </c>
    </row>
    <row r="1091" spans="6:31" ht="24" customHeight="1">
      <c r="F1091" s="17">
        <v>1</v>
      </c>
      <c r="G1091" s="15" t="s">
        <v>209</v>
      </c>
      <c r="H1091" s="3" t="s">
        <v>1554</v>
      </c>
      <c r="I1091" s="123">
        <f>I1076</f>
        <v>7.3</v>
      </c>
      <c r="J1091" s="3" t="s">
        <v>209</v>
      </c>
      <c r="K1091" s="17">
        <f t="shared" si="132"/>
        <v>7.3</v>
      </c>
      <c r="M1091" s="80">
        <v>4.0800000000000003E-2</v>
      </c>
      <c r="N1091" s="15" t="s">
        <v>126</v>
      </c>
      <c r="O1091" s="3" t="s">
        <v>1487</v>
      </c>
      <c r="P1091" s="17">
        <f>I1017</f>
        <v>95000</v>
      </c>
      <c r="Q1091" s="3" t="s">
        <v>126</v>
      </c>
      <c r="R1091" s="17">
        <f t="shared" si="133"/>
        <v>3876.0000000000005</v>
      </c>
      <c r="AE1091" s="23">
        <f t="shared" si="131"/>
        <v>0</v>
      </c>
    </row>
    <row r="1092" spans="6:31" ht="24" customHeight="1">
      <c r="F1092" s="17">
        <v>1</v>
      </c>
      <c r="G1092" s="15" t="s">
        <v>209</v>
      </c>
      <c r="H1092" s="3" t="s">
        <v>1555</v>
      </c>
      <c r="I1092" s="17">
        <f>C292</f>
        <v>8.9</v>
      </c>
      <c r="J1092" s="3" t="s">
        <v>209</v>
      </c>
      <c r="K1092" s="17">
        <f t="shared" si="132"/>
        <v>8.9</v>
      </c>
      <c r="M1092" s="80"/>
      <c r="N1092" s="6"/>
      <c r="O1092" s="3" t="s">
        <v>1560</v>
      </c>
      <c r="P1092" s="17"/>
      <c r="Q1092" s="8"/>
      <c r="R1092" s="17">
        <f t="shared" si="133"/>
        <v>0</v>
      </c>
      <c r="AE1092" s="23">
        <f t="shared" si="131"/>
        <v>0</v>
      </c>
    </row>
    <row r="1093" spans="6:31" ht="24" customHeight="1">
      <c r="F1093" s="17">
        <v>10</v>
      </c>
      <c r="H1093" s="3" t="s">
        <v>1508</v>
      </c>
      <c r="I1093" s="17">
        <f>I1078</f>
        <v>2.37</v>
      </c>
      <c r="J1093" s="3" t="s">
        <v>209</v>
      </c>
      <c r="K1093" s="17">
        <f t="shared" si="132"/>
        <v>23.700000000000003</v>
      </c>
      <c r="M1093" s="80">
        <v>3.4424999999999999</v>
      </c>
      <c r="N1093" s="15" t="s">
        <v>140</v>
      </c>
      <c r="O1093" s="3" t="s">
        <v>1480</v>
      </c>
      <c r="P1093" s="17">
        <f>I1019</f>
        <v>1155</v>
      </c>
      <c r="Q1093" s="3" t="s">
        <v>140</v>
      </c>
      <c r="R1093" s="17">
        <f t="shared" si="133"/>
        <v>3976.0875000000001</v>
      </c>
      <c r="AE1093" s="23">
        <f t="shared" si="131"/>
        <v>0</v>
      </c>
    </row>
    <row r="1094" spans="6:31" ht="24" customHeight="1">
      <c r="K1094" s="12" t="s">
        <v>117</v>
      </c>
      <c r="M1094" s="17">
        <v>2</v>
      </c>
      <c r="N1094" s="15" t="s">
        <v>1</v>
      </c>
      <c r="O1094" s="3" t="s">
        <v>1490</v>
      </c>
      <c r="P1094" s="17">
        <f t="shared" ref="P1094:P1099" si="134">I1020</f>
        <v>50.9</v>
      </c>
      <c r="Q1094" s="3" t="s">
        <v>209</v>
      </c>
      <c r="R1094" s="17">
        <f t="shared" si="133"/>
        <v>101.8</v>
      </c>
      <c r="AE1094" s="23">
        <f t="shared" si="131"/>
        <v>0</v>
      </c>
    </row>
    <row r="1095" spans="6:31" ht="24" customHeight="1">
      <c r="H1095" s="4" t="s">
        <v>1561</v>
      </c>
      <c r="K1095" s="17">
        <f>SUM(K1082:K1093)</f>
        <v>1217.7386480000002</v>
      </c>
      <c r="M1095" s="17">
        <v>6</v>
      </c>
      <c r="N1095" s="15" t="s">
        <v>209</v>
      </c>
      <c r="O1095" s="3" t="s">
        <v>1482</v>
      </c>
      <c r="P1095" s="17">
        <f t="shared" si="134"/>
        <v>79.099999999999994</v>
      </c>
      <c r="Q1095" s="3" t="s">
        <v>209</v>
      </c>
      <c r="R1095" s="17">
        <f t="shared" si="133"/>
        <v>474.59999999999997</v>
      </c>
      <c r="AE1095" s="23">
        <f t="shared" si="131"/>
        <v>0</v>
      </c>
    </row>
    <row r="1096" spans="6:31" ht="24" customHeight="1">
      <c r="K1096" s="12" t="s">
        <v>117</v>
      </c>
      <c r="M1096" s="17">
        <v>4</v>
      </c>
      <c r="N1096" s="15" t="s">
        <v>209</v>
      </c>
      <c r="O1096" s="3" t="s">
        <v>1484</v>
      </c>
      <c r="P1096" s="17">
        <f t="shared" si="134"/>
        <v>57.2</v>
      </c>
      <c r="Q1096" s="3" t="s">
        <v>209</v>
      </c>
      <c r="R1096" s="17">
        <f t="shared" si="133"/>
        <v>228.8</v>
      </c>
      <c r="AE1096" s="23">
        <f t="shared" si="131"/>
        <v>0</v>
      </c>
    </row>
    <row r="1097" spans="6:31" ht="24" customHeight="1">
      <c r="H1097" s="19" t="s">
        <v>154</v>
      </c>
      <c r="I1097" s="3" t="s">
        <v>115</v>
      </c>
      <c r="K1097" s="16">
        <f>K1095/F1088</f>
        <v>3363.9189171270727</v>
      </c>
      <c r="M1097" s="17">
        <v>1</v>
      </c>
      <c r="N1097" s="15" t="s">
        <v>209</v>
      </c>
      <c r="O1097" s="3" t="s">
        <v>1486</v>
      </c>
      <c r="P1097" s="17">
        <f t="shared" si="134"/>
        <v>159.69999999999999</v>
      </c>
      <c r="Q1097" s="3" t="s">
        <v>209</v>
      </c>
      <c r="R1097" s="17">
        <f t="shared" si="133"/>
        <v>159.69999999999999</v>
      </c>
      <c r="AE1097" s="23">
        <f t="shared" si="131"/>
        <v>0</v>
      </c>
    </row>
    <row r="1098" spans="6:31" ht="24" customHeight="1">
      <c r="K1098" s="12" t="s">
        <v>155</v>
      </c>
      <c r="M1098" s="17">
        <v>2</v>
      </c>
      <c r="N1098" s="15" t="s">
        <v>209</v>
      </c>
      <c r="O1098" s="3" t="s">
        <v>1488</v>
      </c>
      <c r="P1098" s="17">
        <f t="shared" si="134"/>
        <v>7.3</v>
      </c>
      <c r="Q1098" s="3" t="s">
        <v>209</v>
      </c>
      <c r="R1098" s="17">
        <f t="shared" si="133"/>
        <v>14.6</v>
      </c>
      <c r="AE1098" s="23">
        <f t="shared" si="131"/>
        <v>0</v>
      </c>
    </row>
    <row r="1099" spans="6:31" ht="24" customHeight="1">
      <c r="F1099" s="4" t="s">
        <v>1562</v>
      </c>
      <c r="G1099" s="15" t="s">
        <v>122</v>
      </c>
      <c r="H1099" s="3" t="s">
        <v>1563</v>
      </c>
      <c r="M1099" s="17">
        <v>2</v>
      </c>
      <c r="N1099" s="15" t="s">
        <v>209</v>
      </c>
      <c r="O1099" s="3" t="s">
        <v>630</v>
      </c>
      <c r="P1099" s="17">
        <f t="shared" si="134"/>
        <v>43.8</v>
      </c>
      <c r="Q1099" s="3" t="s">
        <v>209</v>
      </c>
      <c r="R1099" s="17">
        <f t="shared" si="133"/>
        <v>87.6</v>
      </c>
      <c r="AE1099" s="23">
        <f t="shared" si="131"/>
        <v>0</v>
      </c>
    </row>
    <row r="1100" spans="6:31" ht="24" customHeight="1">
      <c r="H1100" s="3" t="s">
        <v>1564</v>
      </c>
      <c r="M1100" s="17">
        <v>10</v>
      </c>
      <c r="N1100" s="6"/>
      <c r="O1100" s="3" t="s">
        <v>1509</v>
      </c>
      <c r="P1100" s="17">
        <f>P1074</f>
        <v>2.37</v>
      </c>
      <c r="Q1100" s="8"/>
      <c r="R1100" s="17">
        <f t="shared" si="133"/>
        <v>23.700000000000003</v>
      </c>
      <c r="AE1100" s="23">
        <f t="shared" si="131"/>
        <v>0</v>
      </c>
    </row>
    <row r="1101" spans="6:31" ht="24" customHeight="1">
      <c r="H1101" s="12" t="s">
        <v>117</v>
      </c>
      <c r="N1101" s="6"/>
      <c r="O1101" s="3" t="s">
        <v>1510</v>
      </c>
      <c r="Q1101" s="8"/>
      <c r="R1101" s="17">
        <f>SUM(R1089:R1100)+0.31</f>
        <v>15761.877500000001</v>
      </c>
      <c r="AE1101" s="23">
        <f t="shared" si="131"/>
        <v>0</v>
      </c>
    </row>
    <row r="1102" spans="6:31" ht="24" customHeight="1">
      <c r="F1102" s="135">
        <v>5.3E-3</v>
      </c>
      <c r="G1102" s="15" t="s">
        <v>642</v>
      </c>
      <c r="H1102" s="3" t="s">
        <v>1548</v>
      </c>
      <c r="I1102" s="17">
        <f>C89</f>
        <v>99400</v>
      </c>
      <c r="J1102" s="3" t="s">
        <v>126</v>
      </c>
      <c r="K1102" s="17">
        <f t="shared" ref="K1102:K1108" si="135">(F1102*I1102)</f>
        <v>526.82000000000005</v>
      </c>
      <c r="N1102" s="6"/>
      <c r="Q1102" s="8"/>
      <c r="R1102" s="12" t="s">
        <v>117</v>
      </c>
      <c r="AE1102" s="23"/>
    </row>
    <row r="1103" spans="6:31" ht="24" customHeight="1">
      <c r="F1103" s="135">
        <v>0.27450000000000002</v>
      </c>
      <c r="G1103" s="15" t="s">
        <v>140</v>
      </c>
      <c r="H1103" s="3" t="str">
        <f>H1087</f>
        <v>frosted glass 4mmthick</v>
      </c>
      <c r="I1103" s="45">
        <f>I1072</f>
        <v>208.8</v>
      </c>
      <c r="J1103" s="3" t="s">
        <v>126</v>
      </c>
      <c r="K1103" s="17">
        <f t="shared" si="135"/>
        <v>57.315600000000011</v>
      </c>
      <c r="N1103" s="6"/>
      <c r="O1103" s="19" t="s">
        <v>154</v>
      </c>
      <c r="Q1103" s="8"/>
      <c r="R1103" s="16">
        <f>R1101/M1093</f>
        <v>4578.6136528685547</v>
      </c>
      <c r="AE1103" s="23">
        <f t="shared" si="131"/>
        <v>0</v>
      </c>
    </row>
    <row r="1104" spans="6:31" ht="24" customHeight="1">
      <c r="F1104" s="135">
        <v>0.4</v>
      </c>
      <c r="G1104" s="15" t="s">
        <v>140</v>
      </c>
      <c r="H1104" s="3" t="s">
        <v>624</v>
      </c>
      <c r="I1104" s="17">
        <f>D32</f>
        <v>901</v>
      </c>
      <c r="J1104" s="3" t="s">
        <v>140</v>
      </c>
      <c r="K1104" s="17">
        <f t="shared" si="135"/>
        <v>360.40000000000003</v>
      </c>
      <c r="N1104" s="6"/>
      <c r="Q1104" s="8"/>
      <c r="R1104" s="12" t="s">
        <v>155</v>
      </c>
      <c r="AE1104" s="23">
        <f t="shared" si="131"/>
        <v>0</v>
      </c>
    </row>
    <row r="1105" spans="6:31" ht="24" customHeight="1">
      <c r="F1105" s="17">
        <v>2</v>
      </c>
      <c r="G1105" s="15" t="s">
        <v>1565</v>
      </c>
      <c r="H1105" s="3" t="s">
        <v>1566</v>
      </c>
      <c r="I1105" s="17">
        <f>C305</f>
        <v>8.5</v>
      </c>
      <c r="J1105" s="3" t="s">
        <v>1565</v>
      </c>
      <c r="K1105" s="17">
        <f t="shared" si="135"/>
        <v>17</v>
      </c>
      <c r="AE1105" s="23">
        <f t="shared" si="131"/>
        <v>0</v>
      </c>
    </row>
    <row r="1106" spans="6:31" ht="24" customHeight="1">
      <c r="F1106" s="17">
        <v>1</v>
      </c>
      <c r="G1106" s="15" t="s">
        <v>209</v>
      </c>
      <c r="H1106" s="3" t="s">
        <v>1567</v>
      </c>
      <c r="I1106" s="17">
        <f>C293</f>
        <v>6.1</v>
      </c>
      <c r="J1106" s="3" t="s">
        <v>209</v>
      </c>
      <c r="K1106" s="17">
        <f t="shared" si="135"/>
        <v>6.1</v>
      </c>
      <c r="AE1106" s="23">
        <f t="shared" si="131"/>
        <v>0</v>
      </c>
    </row>
    <row r="1107" spans="6:31" ht="24" customHeight="1">
      <c r="F1107" s="17">
        <v>1</v>
      </c>
      <c r="G1107" s="15" t="s">
        <v>209</v>
      </c>
      <c r="H1107" s="3" t="s">
        <v>1568</v>
      </c>
      <c r="I1107" s="45">
        <f>C291</f>
        <v>11.8</v>
      </c>
      <c r="J1107" s="3" t="s">
        <v>209</v>
      </c>
      <c r="K1107" s="17">
        <f t="shared" si="135"/>
        <v>11.8</v>
      </c>
      <c r="O1107" s="3" t="s">
        <v>1569</v>
      </c>
      <c r="AE1107" s="23">
        <f t="shared" si="131"/>
        <v>0</v>
      </c>
    </row>
    <row r="1108" spans="6:31" ht="24" customHeight="1">
      <c r="F1108" s="17">
        <v>10</v>
      </c>
      <c r="H1108" s="3" t="s">
        <v>1508</v>
      </c>
      <c r="I1108" s="17">
        <f>I1093</f>
        <v>2.37</v>
      </c>
      <c r="J1108" s="3" t="s">
        <v>209</v>
      </c>
      <c r="K1108" s="17">
        <f t="shared" si="135"/>
        <v>23.700000000000003</v>
      </c>
      <c r="AE1108" s="23">
        <f t="shared" si="131"/>
        <v>0</v>
      </c>
    </row>
    <row r="1109" spans="6:31" ht="24" customHeight="1">
      <c r="K1109" s="12" t="s">
        <v>117</v>
      </c>
      <c r="AE1109" s="23">
        <f t="shared" si="131"/>
        <v>0</v>
      </c>
    </row>
    <row r="1110" spans="6:31" ht="24" customHeight="1">
      <c r="H1110" s="4" t="s">
        <v>1570</v>
      </c>
      <c r="K1110" s="17">
        <f>SUM(K1098:K1108)</f>
        <v>1003.1356000000002</v>
      </c>
      <c r="AE1110" s="23">
        <f t="shared" si="131"/>
        <v>0</v>
      </c>
    </row>
    <row r="1111" spans="6:31" ht="24" customHeight="1">
      <c r="K1111" s="12" t="s">
        <v>117</v>
      </c>
      <c r="M1111" s="143">
        <v>2.2800000000000001E-2</v>
      </c>
      <c r="N1111" s="144" t="s">
        <v>126</v>
      </c>
      <c r="O1111" s="113" t="s">
        <v>1571</v>
      </c>
      <c r="P1111" s="113">
        <f>P1089</f>
        <v>111600</v>
      </c>
      <c r="Q1111" s="145" t="s">
        <v>126</v>
      </c>
      <c r="R1111" s="113">
        <f>P1111*M1111</f>
        <v>2544.48</v>
      </c>
      <c r="AE1111" s="23">
        <f t="shared" si="131"/>
        <v>0</v>
      </c>
    </row>
    <row r="1112" spans="6:31" ht="24" customHeight="1">
      <c r="H1112" s="19" t="s">
        <v>154</v>
      </c>
      <c r="I1112" s="3" t="s">
        <v>115</v>
      </c>
      <c r="K1112" s="16">
        <f>K1110/F1104</f>
        <v>2507.8390000000004</v>
      </c>
      <c r="M1112" s="143">
        <v>3.5400000000000001E-2</v>
      </c>
      <c r="N1112" s="144" t="s">
        <v>126</v>
      </c>
      <c r="O1112" s="113" t="s">
        <v>1572</v>
      </c>
      <c r="P1112" s="113">
        <f>P1090</f>
        <v>99400</v>
      </c>
      <c r="Q1112" s="145" t="s">
        <v>126</v>
      </c>
      <c r="R1112" s="113">
        <f t="shared" ref="R1112:R1121" si="136">P1112*M1112</f>
        <v>3518.76</v>
      </c>
      <c r="AE1112" s="23">
        <f t="shared" si="131"/>
        <v>0</v>
      </c>
    </row>
    <row r="1113" spans="6:31" ht="24" customHeight="1">
      <c r="F1113" s="3" t="s">
        <v>115</v>
      </c>
      <c r="M1113" s="146">
        <v>3.2300000000000002E-2</v>
      </c>
      <c r="N1113" s="144" t="s">
        <v>126</v>
      </c>
      <c r="O1113" s="113" t="s">
        <v>1573</v>
      </c>
      <c r="P1113" s="113">
        <f>P1091</f>
        <v>95000</v>
      </c>
      <c r="Q1113" s="145" t="s">
        <v>126</v>
      </c>
      <c r="R1113" s="113">
        <f t="shared" si="136"/>
        <v>3068.5</v>
      </c>
      <c r="AE1113" s="23">
        <f t="shared" si="131"/>
        <v>0</v>
      </c>
    </row>
    <row r="1114" spans="6:31" ht="24" customHeight="1">
      <c r="K1114" s="12" t="s">
        <v>155</v>
      </c>
      <c r="M1114" s="147">
        <v>2.835</v>
      </c>
      <c r="N1114" s="144" t="s">
        <v>140</v>
      </c>
      <c r="O1114" s="113" t="s">
        <v>1574</v>
      </c>
      <c r="P1114" s="113">
        <f t="shared" ref="P1114:P1120" si="137">P1093</f>
        <v>1155</v>
      </c>
      <c r="Q1114" s="145" t="s">
        <v>140</v>
      </c>
      <c r="R1114" s="113">
        <f t="shared" si="136"/>
        <v>3274.4250000000002</v>
      </c>
      <c r="AE1114" s="23">
        <f t="shared" si="131"/>
        <v>0</v>
      </c>
    </row>
    <row r="1115" spans="6:31" ht="24" customHeight="1">
      <c r="F1115" s="51">
        <v>22.3</v>
      </c>
      <c r="H1115" s="3" t="s">
        <v>1575</v>
      </c>
      <c r="L1115" s="3" t="s">
        <v>115</v>
      </c>
      <c r="M1115" s="113">
        <v>2</v>
      </c>
      <c r="N1115" s="144" t="s">
        <v>1576</v>
      </c>
      <c r="O1115" s="113" t="s">
        <v>1577</v>
      </c>
      <c r="P1115" s="113">
        <f t="shared" si="137"/>
        <v>50.9</v>
      </c>
      <c r="Q1115" s="145" t="s">
        <v>227</v>
      </c>
      <c r="R1115" s="113">
        <f t="shared" si="136"/>
        <v>101.8</v>
      </c>
      <c r="AE1115" s="23">
        <f t="shared" si="131"/>
        <v>0</v>
      </c>
    </row>
    <row r="1116" spans="6:31" ht="24" customHeight="1">
      <c r="H1116" s="12" t="s">
        <v>117</v>
      </c>
      <c r="I1116" s="12" t="s">
        <v>117</v>
      </c>
      <c r="J1116" s="3" t="s">
        <v>117</v>
      </c>
      <c r="M1116" s="113">
        <v>6</v>
      </c>
      <c r="N1116" s="144" t="s">
        <v>1576</v>
      </c>
      <c r="O1116" s="113" t="s">
        <v>1578</v>
      </c>
      <c r="P1116" s="113">
        <f t="shared" si="137"/>
        <v>79.099999999999994</v>
      </c>
      <c r="Q1116" s="145" t="s">
        <v>227</v>
      </c>
      <c r="R1116" s="113">
        <f t="shared" si="136"/>
        <v>474.59999999999997</v>
      </c>
      <c r="AE1116" s="23">
        <f t="shared" si="131"/>
        <v>0</v>
      </c>
    </row>
    <row r="1117" spans="6:31" ht="24" customHeight="1">
      <c r="M1117" s="113">
        <v>4</v>
      </c>
      <c r="N1117" s="144" t="s">
        <v>1576</v>
      </c>
      <c r="O1117" s="113" t="s">
        <v>1579</v>
      </c>
      <c r="P1117" s="113">
        <f t="shared" si="137"/>
        <v>57.2</v>
      </c>
      <c r="Q1117" s="145" t="s">
        <v>227</v>
      </c>
      <c r="R1117" s="113">
        <f t="shared" si="136"/>
        <v>228.8</v>
      </c>
      <c r="AE1117" s="23"/>
    </row>
    <row r="1118" spans="6:31" ht="24" customHeight="1">
      <c r="H1118" s="3" t="s">
        <v>1580</v>
      </c>
      <c r="M1118" s="113">
        <v>1</v>
      </c>
      <c r="N1118" s="144" t="s">
        <v>1576</v>
      </c>
      <c r="O1118" s="113" t="s">
        <v>1581</v>
      </c>
      <c r="P1118" s="113">
        <f t="shared" si="137"/>
        <v>159.69999999999999</v>
      </c>
      <c r="Q1118" s="145" t="s">
        <v>227</v>
      </c>
      <c r="R1118" s="113">
        <f t="shared" si="136"/>
        <v>159.69999999999999</v>
      </c>
      <c r="AE1118" s="23">
        <f t="shared" si="131"/>
        <v>0</v>
      </c>
    </row>
    <row r="1119" spans="6:31" ht="24" customHeight="1">
      <c r="H1119" s="3" t="s">
        <v>1582</v>
      </c>
      <c r="M1119" s="113">
        <v>2</v>
      </c>
      <c r="N1119" s="144" t="s">
        <v>1576</v>
      </c>
      <c r="O1119" s="113" t="s">
        <v>628</v>
      </c>
      <c r="P1119" s="113">
        <f t="shared" si="137"/>
        <v>7.3</v>
      </c>
      <c r="Q1119" s="145" t="s">
        <v>227</v>
      </c>
      <c r="R1119" s="113">
        <f t="shared" si="136"/>
        <v>14.6</v>
      </c>
      <c r="AE1119" s="23">
        <f t="shared" si="131"/>
        <v>0</v>
      </c>
    </row>
    <row r="1120" spans="6:31" ht="24" customHeight="1">
      <c r="H1120" s="3" t="s">
        <v>1583</v>
      </c>
      <c r="M1120" s="113">
        <v>2</v>
      </c>
      <c r="N1120" s="144" t="s">
        <v>1576</v>
      </c>
      <c r="O1120" s="113" t="s">
        <v>630</v>
      </c>
      <c r="P1120" s="113">
        <f t="shared" si="137"/>
        <v>43.8</v>
      </c>
      <c r="Q1120" s="145" t="s">
        <v>227</v>
      </c>
      <c r="R1120" s="113">
        <f t="shared" si="136"/>
        <v>87.6</v>
      </c>
      <c r="AE1120" s="23">
        <f t="shared" si="131"/>
        <v>0</v>
      </c>
    </row>
    <row r="1121" spans="6:62" ht="24" customHeight="1">
      <c r="H1121" s="3" t="s">
        <v>1584</v>
      </c>
      <c r="M1121" s="17">
        <v>118</v>
      </c>
      <c r="N1121" s="6"/>
      <c r="O1121" s="3" t="s">
        <v>1509</v>
      </c>
      <c r="P1121" s="17">
        <f>P1100</f>
        <v>2.37</v>
      </c>
      <c r="Q1121" s="8"/>
      <c r="R1121" s="17">
        <f t="shared" si="136"/>
        <v>279.66000000000003</v>
      </c>
      <c r="AE1121" s="23">
        <f t="shared" si="131"/>
        <v>0</v>
      </c>
    </row>
    <row r="1122" spans="6:62" ht="24" customHeight="1">
      <c r="H1122" s="3" t="s">
        <v>1585</v>
      </c>
      <c r="M1122" s="113"/>
      <c r="N1122" s="75"/>
      <c r="O1122" s="50" t="s">
        <v>154</v>
      </c>
      <c r="P1122" s="113"/>
      <c r="Q1122" s="145"/>
      <c r="R1122" s="50">
        <f>SUM(R1111:R1121)</f>
        <v>13752.925000000001</v>
      </c>
      <c r="AE1122" s="23">
        <f t="shared" si="131"/>
        <v>0</v>
      </c>
    </row>
    <row r="1123" spans="6:62" ht="24" customHeight="1">
      <c r="J1123" s="3" t="s">
        <v>115</v>
      </c>
      <c r="K1123" s="80">
        <v>3.32E-2</v>
      </c>
      <c r="M1123" s="113"/>
      <c r="N1123" s="75"/>
      <c r="O1123" s="50"/>
      <c r="P1123" s="113"/>
      <c r="Q1123" s="145"/>
      <c r="R1123" s="148" t="s">
        <v>1586</v>
      </c>
      <c r="AE1123" s="23">
        <f t="shared" si="131"/>
        <v>0</v>
      </c>
      <c r="BJ1123" s="5" t="s">
        <v>1587</v>
      </c>
    </row>
    <row r="1124" spans="6:62" ht="24" customHeight="1">
      <c r="H1124" s="3" t="s">
        <v>1588</v>
      </c>
      <c r="J1124" s="130" t="s">
        <v>115</v>
      </c>
      <c r="K1124" s="130" t="s">
        <v>115</v>
      </c>
      <c r="M1124" s="113"/>
      <c r="N1124" s="75"/>
      <c r="O1124" s="50" t="s">
        <v>1589</v>
      </c>
      <c r="P1124" s="113"/>
      <c r="Q1124" s="145"/>
      <c r="R1124" s="50">
        <f>R1122/2.835</f>
        <v>4851.1199294532635</v>
      </c>
      <c r="AE1124" s="23">
        <f t="shared" si="131"/>
        <v>0</v>
      </c>
    </row>
    <row r="1125" spans="6:62" ht="24" customHeight="1">
      <c r="H1125" s="3" t="s">
        <v>1590</v>
      </c>
      <c r="K1125" s="130" t="s">
        <v>115</v>
      </c>
      <c r="M1125" s="113"/>
      <c r="N1125" s="75"/>
      <c r="Q1125" s="8"/>
      <c r="R1125" s="53" t="s">
        <v>1586</v>
      </c>
      <c r="AE1125" s="23">
        <f t="shared" si="131"/>
        <v>0</v>
      </c>
    </row>
    <row r="1126" spans="6:62" ht="24" customHeight="1">
      <c r="AE1126" s="23">
        <f t="shared" si="131"/>
        <v>0</v>
      </c>
    </row>
    <row r="1127" spans="6:62" ht="24" customHeight="1">
      <c r="F1127" s="135">
        <v>1.18E-2</v>
      </c>
      <c r="G1127" s="15" t="s">
        <v>126</v>
      </c>
      <c r="H1127" s="3" t="s">
        <v>621</v>
      </c>
      <c r="I1127" s="17">
        <f>C88</f>
        <v>111600</v>
      </c>
      <c r="J1127" s="3" t="s">
        <v>126</v>
      </c>
      <c r="K1127" s="17">
        <f t="shared" ref="K1127:K1136" si="138">(F1127*I1127)</f>
        <v>1316.8799999999999</v>
      </c>
      <c r="AE1127" s="23">
        <f t="shared" si="131"/>
        <v>0</v>
      </c>
    </row>
    <row r="1128" spans="6:62" ht="24" customHeight="1">
      <c r="F1128" s="135">
        <v>3.32E-2</v>
      </c>
      <c r="G1128" s="15" t="s">
        <v>126</v>
      </c>
      <c r="H1128" s="3" t="s">
        <v>622</v>
      </c>
      <c r="I1128" s="17">
        <f>C89</f>
        <v>99400</v>
      </c>
      <c r="J1128" s="3" t="s">
        <v>126</v>
      </c>
      <c r="K1128" s="17">
        <f t="shared" si="138"/>
        <v>3300.08</v>
      </c>
      <c r="AE1128" s="23">
        <f t="shared" si="131"/>
        <v>0</v>
      </c>
    </row>
    <row r="1129" spans="6:62" ht="24" customHeight="1">
      <c r="F1129" s="135">
        <v>1.8550000000000001E-2</v>
      </c>
      <c r="G1129" s="15" t="s">
        <v>126</v>
      </c>
      <c r="H1129" s="3" t="s">
        <v>1591</v>
      </c>
      <c r="I1129" s="17">
        <f>C30</f>
        <v>10275</v>
      </c>
      <c r="J1129" s="3" t="s">
        <v>126</v>
      </c>
      <c r="K1129" s="17">
        <f t="shared" si="138"/>
        <v>190.60124999999999</v>
      </c>
      <c r="AE1129" s="23">
        <f t="shared" si="131"/>
        <v>0</v>
      </c>
    </row>
    <row r="1130" spans="6:62" ht="24" customHeight="1">
      <c r="F1130" s="135">
        <v>1.46</v>
      </c>
      <c r="G1130" s="15" t="s">
        <v>140</v>
      </c>
      <c r="H1130" s="3" t="s">
        <v>1592</v>
      </c>
      <c r="I1130" s="149">
        <v>269.10000000000002</v>
      </c>
      <c r="J1130" s="3" t="s">
        <v>140</v>
      </c>
      <c r="K1130" s="17">
        <f t="shared" si="138"/>
        <v>392.88600000000002</v>
      </c>
      <c r="AE1130" s="23">
        <f t="shared" si="131"/>
        <v>0</v>
      </c>
    </row>
    <row r="1131" spans="6:62" ht="24" customHeight="1">
      <c r="F1131" s="135">
        <v>2.0499999999999998</v>
      </c>
      <c r="G1131" s="15" t="s">
        <v>140</v>
      </c>
      <c r="H1131" s="3" t="s">
        <v>1593</v>
      </c>
      <c r="I1131" s="17">
        <f>D30</f>
        <v>963</v>
      </c>
      <c r="J1131" s="3" t="s">
        <v>140</v>
      </c>
      <c r="K1131" s="17">
        <f t="shared" si="138"/>
        <v>1974.1499999999999</v>
      </c>
      <c r="AE1131" s="23">
        <f t="shared" si="131"/>
        <v>0</v>
      </c>
    </row>
    <row r="1132" spans="6:62" ht="24" customHeight="1">
      <c r="F1132" s="17">
        <v>2</v>
      </c>
      <c r="G1132" s="15" t="s">
        <v>209</v>
      </c>
      <c r="H1132" s="3" t="s">
        <v>1594</v>
      </c>
      <c r="I1132" s="24">
        <f>C285</f>
        <v>35.1</v>
      </c>
      <c r="J1132" s="3" t="s">
        <v>209</v>
      </c>
      <c r="K1132" s="17">
        <f t="shared" si="138"/>
        <v>70.2</v>
      </c>
      <c r="AE1132" s="23">
        <f t="shared" si="131"/>
        <v>0</v>
      </c>
    </row>
    <row r="1133" spans="6:62" ht="24" customHeight="1">
      <c r="F1133" s="17">
        <v>6</v>
      </c>
      <c r="G1133" s="15" t="s">
        <v>209</v>
      </c>
      <c r="H1133" s="3" t="s">
        <v>1551</v>
      </c>
      <c r="I1133" s="17">
        <f>C282</f>
        <v>43.6</v>
      </c>
      <c r="J1133" s="3" t="s">
        <v>209</v>
      </c>
      <c r="K1133" s="17">
        <f t="shared" si="138"/>
        <v>261.60000000000002</v>
      </c>
      <c r="AE1133" s="23">
        <f t="shared" si="131"/>
        <v>0</v>
      </c>
    </row>
    <row r="1134" spans="6:62" ht="24" customHeight="1">
      <c r="F1134" s="17">
        <v>2</v>
      </c>
      <c r="G1134" s="15" t="s">
        <v>209</v>
      </c>
      <c r="H1134" s="3" t="s">
        <v>1595</v>
      </c>
      <c r="I1134" s="25">
        <v>53.8</v>
      </c>
      <c r="J1134" s="3" t="s">
        <v>209</v>
      </c>
      <c r="K1134" s="17">
        <f t="shared" si="138"/>
        <v>107.6</v>
      </c>
      <c r="AE1134" s="23">
        <f t="shared" si="131"/>
        <v>0</v>
      </c>
    </row>
    <row r="1135" spans="6:62" ht="24" customHeight="1">
      <c r="F1135" s="17">
        <v>1</v>
      </c>
      <c r="G1135" s="15" t="s">
        <v>209</v>
      </c>
      <c r="H1135" s="107" t="s">
        <v>1596</v>
      </c>
      <c r="I1135" s="107">
        <v>63.2</v>
      </c>
      <c r="J1135" s="3" t="s">
        <v>209</v>
      </c>
      <c r="K1135" s="17">
        <f t="shared" si="138"/>
        <v>63.2</v>
      </c>
      <c r="AE1135" s="23">
        <f t="shared" si="131"/>
        <v>0</v>
      </c>
    </row>
    <row r="1136" spans="6:62" ht="24" customHeight="1">
      <c r="F1136" s="17">
        <v>2.52</v>
      </c>
      <c r="G1136" s="15" t="s">
        <v>140</v>
      </c>
      <c r="H1136" s="3" t="s">
        <v>1597</v>
      </c>
      <c r="I1136" s="17">
        <f>K1167</f>
        <v>157.19</v>
      </c>
      <c r="J1136" s="3" t="s">
        <v>140</v>
      </c>
      <c r="K1136" s="17">
        <f t="shared" si="138"/>
        <v>396.11880000000002</v>
      </c>
      <c r="AE1136" s="23">
        <f t="shared" si="131"/>
        <v>0</v>
      </c>
    </row>
    <row r="1137" spans="6:31" ht="24" customHeight="1">
      <c r="H1137" s="3" t="s">
        <v>1598</v>
      </c>
      <c r="I1137" s="4" t="s">
        <v>129</v>
      </c>
      <c r="K1137" s="17">
        <v>0.21</v>
      </c>
      <c r="AE1137" s="23">
        <f t="shared" si="131"/>
        <v>0</v>
      </c>
    </row>
    <row r="1138" spans="6:31" ht="24" customHeight="1">
      <c r="K1138" s="12" t="s">
        <v>117</v>
      </c>
      <c r="AE1138" s="23">
        <f t="shared" si="131"/>
        <v>0</v>
      </c>
    </row>
    <row r="1139" spans="6:31" ht="24" customHeight="1">
      <c r="H1139" s="4" t="s">
        <v>1599</v>
      </c>
      <c r="K1139" s="17">
        <f>SUM(K1127:K1137)</f>
        <v>8073.5260500000004</v>
      </c>
      <c r="M1139" s="74" t="s">
        <v>1600</v>
      </c>
      <c r="N1139" s="74"/>
      <c r="O1139" s="74"/>
      <c r="P1139" s="74"/>
      <c r="Q1139" s="74"/>
      <c r="R1139" s="74"/>
      <c r="S1139" s="74"/>
      <c r="AE1139" s="23">
        <f t="shared" si="131"/>
        <v>0</v>
      </c>
    </row>
    <row r="1140" spans="6:31" ht="24" customHeight="1">
      <c r="G1140" s="15" t="s">
        <v>115</v>
      </c>
      <c r="K1140" s="12" t="s">
        <v>117</v>
      </c>
      <c r="O1140" s="12" t="s">
        <v>117</v>
      </c>
      <c r="Q1140" s="8"/>
      <c r="AE1140" s="23">
        <f t="shared" si="131"/>
        <v>0</v>
      </c>
    </row>
    <row r="1141" spans="6:31" ht="24" customHeight="1">
      <c r="H1141" s="19" t="s">
        <v>154</v>
      </c>
      <c r="K1141" s="16">
        <f>K1139/2.52</f>
        <v>3203.7801785714287</v>
      </c>
      <c r="N1141" s="9">
        <v>0.45300000000000001</v>
      </c>
      <c r="O1141" s="3" t="s">
        <v>1382</v>
      </c>
      <c r="P1141" s="17">
        <f>C73</f>
        <v>1637.02</v>
      </c>
      <c r="Q1141" s="3" t="s">
        <v>126</v>
      </c>
      <c r="R1141" s="17">
        <f>P1141*N1141</f>
        <v>741.57006000000001</v>
      </c>
      <c r="AE1141" s="23">
        <f t="shared" ref="AE1141:AE1203" si="139">AG1141</f>
        <v>0</v>
      </c>
    </row>
    <row r="1142" spans="6:31" ht="24" customHeight="1">
      <c r="K1142" s="12" t="s">
        <v>155</v>
      </c>
      <c r="N1142" s="9">
        <v>0.30199999999999999</v>
      </c>
      <c r="O1142" s="3" t="s">
        <v>1601</v>
      </c>
      <c r="P1142" s="17">
        <f>C71</f>
        <v>1193.02</v>
      </c>
      <c r="Q1142" s="3" t="str">
        <f>Q1141</f>
        <v>CUM</v>
      </c>
      <c r="R1142" s="17">
        <f t="shared" ref="R1142:R1147" si="140">P1142*N1142</f>
        <v>360.29203999999999</v>
      </c>
      <c r="AE1142" s="23">
        <f t="shared" si="139"/>
        <v>0</v>
      </c>
    </row>
    <row r="1143" spans="6:31" ht="24" customHeight="1">
      <c r="G1143" s="15" t="s">
        <v>122</v>
      </c>
      <c r="H1143" s="3" t="s">
        <v>1602</v>
      </c>
      <c r="N1143" s="5">
        <v>0.44</v>
      </c>
      <c r="O1143" s="3" t="s">
        <v>127</v>
      </c>
      <c r="P1143" s="17">
        <f>C78</f>
        <v>1322.8</v>
      </c>
      <c r="Q1143" s="3" t="s">
        <v>126</v>
      </c>
      <c r="R1143" s="17">
        <f t="shared" si="140"/>
        <v>582.03200000000004</v>
      </c>
      <c r="AE1143" s="23">
        <f t="shared" si="139"/>
        <v>0</v>
      </c>
    </row>
    <row r="1144" spans="6:31" ht="24" customHeight="1">
      <c r="H1144" s="12" t="s">
        <v>117</v>
      </c>
      <c r="I1144" s="12" t="s">
        <v>117</v>
      </c>
      <c r="N1144" s="5">
        <v>0.37</v>
      </c>
      <c r="O1144" s="3" t="s">
        <v>1124</v>
      </c>
      <c r="P1144" s="17">
        <f>I808</f>
        <v>5800</v>
      </c>
      <c r="Q1144" s="3" t="s">
        <v>1123</v>
      </c>
      <c r="R1144" s="17">
        <f t="shared" si="140"/>
        <v>2146</v>
      </c>
      <c r="AE1144" s="23">
        <f t="shared" si="139"/>
        <v>0</v>
      </c>
    </row>
    <row r="1145" spans="6:31" ht="24" customHeight="1">
      <c r="F1145" s="17">
        <v>0.77</v>
      </c>
      <c r="G1145" s="15" t="s">
        <v>1603</v>
      </c>
      <c r="H1145" s="3" t="s">
        <v>1604</v>
      </c>
      <c r="I1145" s="17">
        <f>C194</f>
        <v>266</v>
      </c>
      <c r="J1145" s="3" t="s">
        <v>1603</v>
      </c>
      <c r="K1145" s="17">
        <f>(F1145*I1145)</f>
        <v>204.82</v>
      </c>
      <c r="N1145" s="5">
        <v>0.35</v>
      </c>
      <c r="O1145" s="3" t="s">
        <v>1131</v>
      </c>
      <c r="P1145" s="17">
        <f>C11</f>
        <v>718</v>
      </c>
      <c r="Q1145" s="3" t="s">
        <v>209</v>
      </c>
      <c r="R1145" s="17">
        <f t="shared" si="140"/>
        <v>251.29999999999998</v>
      </c>
      <c r="AE1145" s="23">
        <f t="shared" si="139"/>
        <v>0</v>
      </c>
    </row>
    <row r="1146" spans="6:31" ht="24" customHeight="1">
      <c r="F1146" s="17">
        <v>0.61</v>
      </c>
      <c r="G1146" s="15" t="s">
        <v>1603</v>
      </c>
      <c r="H1146" s="3" t="s">
        <v>1605</v>
      </c>
      <c r="I1146" s="17">
        <f>C193</f>
        <v>25</v>
      </c>
      <c r="J1146" s="3" t="s">
        <v>1603</v>
      </c>
      <c r="K1146" s="17">
        <f>(F1146*I1146)</f>
        <v>15.25</v>
      </c>
      <c r="N1146" s="5">
        <v>2.12</v>
      </c>
      <c r="O1146" s="3" t="s">
        <v>1606</v>
      </c>
      <c r="P1146" s="17">
        <f>C12</f>
        <v>502</v>
      </c>
      <c r="Q1146" s="3" t="s">
        <v>209</v>
      </c>
      <c r="R1146" s="17">
        <f t="shared" si="140"/>
        <v>1064.24</v>
      </c>
      <c r="AE1146" s="23">
        <f t="shared" si="139"/>
        <v>0</v>
      </c>
    </row>
    <row r="1147" spans="6:31" ht="24" customHeight="1">
      <c r="F1147" s="17">
        <v>0.7</v>
      </c>
      <c r="G1147" s="15" t="s">
        <v>233</v>
      </c>
      <c r="H1147" s="3" t="s">
        <v>300</v>
      </c>
      <c r="I1147" s="17">
        <f>C14</f>
        <v>615</v>
      </c>
      <c r="J1147" s="3" t="s">
        <v>206</v>
      </c>
      <c r="K1147" s="17">
        <f>(F1147*I1147)</f>
        <v>430.5</v>
      </c>
      <c r="N1147" s="5">
        <v>3.53</v>
      </c>
      <c r="O1147" s="3" t="s">
        <v>1607</v>
      </c>
      <c r="P1147" s="17">
        <f>C13</f>
        <v>412</v>
      </c>
      <c r="Q1147" s="3" t="s">
        <v>209</v>
      </c>
      <c r="R1147" s="17">
        <f t="shared" si="140"/>
        <v>1454.36</v>
      </c>
      <c r="AE1147" s="23">
        <f t="shared" si="139"/>
        <v>0</v>
      </c>
    </row>
    <row r="1148" spans="6:31" ht="24" customHeight="1">
      <c r="F1148" s="17"/>
      <c r="G1148" s="15"/>
      <c r="H1148" s="3"/>
      <c r="I1148" s="17"/>
      <c r="J1148" s="3"/>
      <c r="K1148" s="17"/>
      <c r="O1148" s="3" t="s">
        <v>689</v>
      </c>
      <c r="P1148" s="17"/>
      <c r="Q1148" s="8"/>
      <c r="R1148" s="112">
        <f>K819</f>
        <v>70.7</v>
      </c>
      <c r="AE1148" s="23"/>
    </row>
    <row r="1149" spans="6:31" ht="24" customHeight="1">
      <c r="F1149" s="17">
        <v>0.7</v>
      </c>
      <c r="G1149" s="15" t="s">
        <v>233</v>
      </c>
      <c r="H1149" s="3" t="s">
        <v>292</v>
      </c>
      <c r="I1149" s="17">
        <f>C12</f>
        <v>502</v>
      </c>
      <c r="J1149" s="3" t="s">
        <v>206</v>
      </c>
      <c r="K1149" s="17">
        <f>(F1149*I1149)</f>
        <v>351.4</v>
      </c>
      <c r="M1149" s="118" t="s">
        <v>166</v>
      </c>
      <c r="O1149" s="5" t="s">
        <v>1387</v>
      </c>
      <c r="P1149" s="91">
        <f>V1134</f>
        <v>0</v>
      </c>
      <c r="R1149" s="5">
        <v>270</v>
      </c>
      <c r="AE1149" s="23">
        <f t="shared" si="139"/>
        <v>0</v>
      </c>
    </row>
    <row r="1150" spans="6:31" ht="43.5" customHeight="1">
      <c r="G1150" s="15" t="s">
        <v>129</v>
      </c>
      <c r="H1150" s="3" t="s">
        <v>182</v>
      </c>
      <c r="J1150" s="3" t="s">
        <v>129</v>
      </c>
      <c r="K1150" s="17">
        <v>1.5</v>
      </c>
      <c r="M1150" s="118" t="s">
        <v>166</v>
      </c>
      <c r="O1150" s="5" t="s">
        <v>1390</v>
      </c>
      <c r="P1150" s="91">
        <f>V1135</f>
        <v>0</v>
      </c>
      <c r="R1150" s="5">
        <v>150</v>
      </c>
      <c r="AE1150" s="23">
        <f t="shared" si="139"/>
        <v>0</v>
      </c>
    </row>
    <row r="1151" spans="6:31" ht="24" customHeight="1">
      <c r="K1151" s="12" t="s">
        <v>117</v>
      </c>
      <c r="M1151" s="118" t="s">
        <v>166</v>
      </c>
      <c r="O1151" s="5" t="s">
        <v>236</v>
      </c>
      <c r="P1151" s="91">
        <f>V1136</f>
        <v>0</v>
      </c>
      <c r="R1151" s="5">
        <v>0.35</v>
      </c>
      <c r="AE1151" s="23">
        <f t="shared" si="139"/>
        <v>0</v>
      </c>
    </row>
    <row r="1152" spans="6:31" ht="24" customHeight="1">
      <c r="H1152" s="4" t="s">
        <v>1608</v>
      </c>
      <c r="K1152" s="17">
        <f>SUM(K1145:K1150)</f>
        <v>1003.4699999999999</v>
      </c>
      <c r="Q1152" s="8"/>
      <c r="R1152" s="5">
        <f>SUM(R1141:R1151)</f>
        <v>7090.8441000000003</v>
      </c>
      <c r="AE1152" s="23">
        <f t="shared" si="139"/>
        <v>0</v>
      </c>
    </row>
    <row r="1153" spans="6:31" ht="24" customHeight="1">
      <c r="K1153" s="12" t="s">
        <v>117</v>
      </c>
      <c r="X1153" s="50">
        <f>SUM(X1141:X1152)</f>
        <v>0</v>
      </c>
      <c r="AE1153" s="23">
        <f t="shared" si="139"/>
        <v>0</v>
      </c>
    </row>
    <row r="1154" spans="6:31" ht="24" customHeight="1">
      <c r="H1154" s="19" t="s">
        <v>154</v>
      </c>
      <c r="K1154" s="16">
        <f>(K1152/10)</f>
        <v>100.34699999999999</v>
      </c>
      <c r="AE1154" s="23">
        <f t="shared" si="139"/>
        <v>0</v>
      </c>
    </row>
    <row r="1155" spans="6:31" ht="24" customHeight="1">
      <c r="K1155" s="12" t="s">
        <v>155</v>
      </c>
      <c r="Q1155" s="8"/>
      <c r="R1155" s="112"/>
      <c r="AE1155" s="23">
        <f t="shared" si="139"/>
        <v>0</v>
      </c>
    </row>
    <row r="1156" spans="6:31" ht="24" customHeight="1">
      <c r="O1156" s="5" t="s">
        <v>1609</v>
      </c>
      <c r="Q1156" s="8"/>
      <c r="R1156" s="17">
        <f>SUM(R1152:R1155)</f>
        <v>7090.8441000000003</v>
      </c>
      <c r="AE1156" s="23">
        <f t="shared" si="139"/>
        <v>0</v>
      </c>
    </row>
    <row r="1157" spans="6:31" ht="24" customHeight="1">
      <c r="F1157" s="3" t="s">
        <v>115</v>
      </c>
      <c r="G1157" s="15" t="s">
        <v>122</v>
      </c>
      <c r="H1157" s="3" t="s">
        <v>1610</v>
      </c>
      <c r="Q1157" s="8"/>
      <c r="R1157" s="12" t="s">
        <v>117</v>
      </c>
      <c r="AE1157" s="23">
        <f t="shared" si="139"/>
        <v>0</v>
      </c>
    </row>
    <row r="1158" spans="6:31" ht="24" customHeight="1">
      <c r="H1158" s="12" t="s">
        <v>117</v>
      </c>
      <c r="I1158" s="12" t="s">
        <v>117</v>
      </c>
      <c r="O1158" s="3" t="s">
        <v>482</v>
      </c>
      <c r="Q1158" s="8"/>
      <c r="R1158" s="16">
        <f>R1156+C22</f>
        <v>7180.7440999999999</v>
      </c>
      <c r="S1158" s="9">
        <f>C22</f>
        <v>89.9</v>
      </c>
      <c r="T1158" s="9">
        <f>C23</f>
        <v>177</v>
      </c>
      <c r="AE1158" s="23">
        <f t="shared" si="139"/>
        <v>0</v>
      </c>
    </row>
    <row r="1159" spans="6:31" ht="24" customHeight="1">
      <c r="F1159" s="17">
        <v>1.2</v>
      </c>
      <c r="G1159" s="15" t="s">
        <v>1603</v>
      </c>
      <c r="H1159" s="3" t="s">
        <v>1611</v>
      </c>
      <c r="I1159" s="17">
        <f>C194</f>
        <v>266</v>
      </c>
      <c r="J1159" s="3" t="s">
        <v>1603</v>
      </c>
      <c r="K1159" s="17">
        <f>(F1159*I1159)</f>
        <v>319.2</v>
      </c>
      <c r="O1159" s="3" t="s">
        <v>486</v>
      </c>
      <c r="Q1159" s="8"/>
      <c r="R1159" s="16">
        <f>R1158+C23</f>
        <v>7357.7440999999999</v>
      </c>
      <c r="S1159" s="9">
        <f>R1156-5363.9</f>
        <v>1726.9441000000006</v>
      </c>
      <c r="AE1159" s="23">
        <f t="shared" si="139"/>
        <v>0</v>
      </c>
    </row>
    <row r="1160" spans="6:31" ht="24" customHeight="1">
      <c r="F1160" s="17">
        <v>0.9</v>
      </c>
      <c r="G1160" s="15" t="s">
        <v>1603</v>
      </c>
      <c r="H1160" s="3" t="s">
        <v>1605</v>
      </c>
      <c r="I1160" s="17">
        <f>C193</f>
        <v>25</v>
      </c>
      <c r="J1160" s="3" t="s">
        <v>1603</v>
      </c>
      <c r="K1160" s="17">
        <f>(F1160*I1160)</f>
        <v>22.5</v>
      </c>
      <c r="O1160" s="3" t="s">
        <v>489</v>
      </c>
      <c r="Q1160" s="8"/>
      <c r="R1160" s="16">
        <f>R1159+C23</f>
        <v>7534.7440999999999</v>
      </c>
      <c r="AE1160" s="23">
        <f t="shared" si="139"/>
        <v>0</v>
      </c>
    </row>
    <row r="1161" spans="6:31" ht="24" customHeight="1">
      <c r="F1161" s="17">
        <v>1.1000000000000001</v>
      </c>
      <c r="G1161" s="15" t="s">
        <v>233</v>
      </c>
      <c r="H1161" s="3" t="s">
        <v>300</v>
      </c>
      <c r="I1161" s="17">
        <f>C14</f>
        <v>615</v>
      </c>
      <c r="J1161" s="3" t="s">
        <v>206</v>
      </c>
      <c r="K1161" s="17">
        <f>(F1161*I1161)</f>
        <v>676.5</v>
      </c>
      <c r="O1161" s="3" t="s">
        <v>491</v>
      </c>
      <c r="Q1161" s="8"/>
      <c r="R1161" s="16">
        <f>R1160+C23</f>
        <v>7711.7440999999999</v>
      </c>
      <c r="AE1161" s="23">
        <f t="shared" si="139"/>
        <v>0</v>
      </c>
    </row>
    <row r="1162" spans="6:31" ht="24" customHeight="1">
      <c r="F1162" s="17">
        <v>1.1000000000000001</v>
      </c>
      <c r="G1162" s="15" t="s">
        <v>233</v>
      </c>
      <c r="H1162" s="3" t="s">
        <v>292</v>
      </c>
      <c r="I1162" s="17">
        <f>C12</f>
        <v>502</v>
      </c>
      <c r="J1162" s="3" t="s">
        <v>206</v>
      </c>
      <c r="K1162" s="17">
        <f>(F1162*I1162)</f>
        <v>552.20000000000005</v>
      </c>
      <c r="O1162" s="3" t="s">
        <v>576</v>
      </c>
      <c r="Q1162" s="8"/>
      <c r="R1162" s="16">
        <f>R1161+C23</f>
        <v>7888.7440999999999</v>
      </c>
      <c r="AE1162" s="23">
        <f t="shared" si="139"/>
        <v>0</v>
      </c>
    </row>
    <row r="1163" spans="6:31" ht="24" customHeight="1">
      <c r="G1163" s="15" t="s">
        <v>129</v>
      </c>
      <c r="H1163" s="3" t="s">
        <v>182</v>
      </c>
      <c r="J1163" s="3" t="s">
        <v>129</v>
      </c>
      <c r="K1163" s="17">
        <v>1.5</v>
      </c>
      <c r="O1163" s="3" t="s">
        <v>798</v>
      </c>
      <c r="R1163" s="16">
        <f>R1162+C23</f>
        <v>8065.7440999999999</v>
      </c>
      <c r="AE1163" s="23">
        <f t="shared" si="139"/>
        <v>0</v>
      </c>
    </row>
    <row r="1164" spans="6:31" ht="24" customHeight="1">
      <c r="K1164" s="12" t="s">
        <v>117</v>
      </c>
      <c r="O1164" s="3" t="s">
        <v>799</v>
      </c>
      <c r="R1164" s="16">
        <f>R1163+C23</f>
        <v>8242.7440999999999</v>
      </c>
      <c r="AE1164" s="23">
        <f t="shared" si="139"/>
        <v>0</v>
      </c>
    </row>
    <row r="1165" spans="6:31" ht="24" customHeight="1">
      <c r="H1165" s="4" t="s">
        <v>1608</v>
      </c>
      <c r="K1165" s="17">
        <f>SUM(K1159:K1163)</f>
        <v>1571.9</v>
      </c>
      <c r="O1165" s="3" t="s">
        <v>800</v>
      </c>
      <c r="R1165" s="16">
        <f>R1164+C23</f>
        <v>8419.7440999999999</v>
      </c>
      <c r="AE1165" s="23">
        <f t="shared" si="139"/>
        <v>0</v>
      </c>
    </row>
    <row r="1166" spans="6:31" ht="24" customHeight="1">
      <c r="K1166" s="12" t="s">
        <v>117</v>
      </c>
      <c r="O1166" s="3" t="s">
        <v>981</v>
      </c>
      <c r="R1166" s="16">
        <f>R1165+C23</f>
        <v>8596.7440999999999</v>
      </c>
      <c r="AE1166" s="23">
        <f t="shared" si="139"/>
        <v>0</v>
      </c>
    </row>
    <row r="1167" spans="6:31" ht="24" customHeight="1">
      <c r="H1167" s="19" t="s">
        <v>154</v>
      </c>
      <c r="K1167" s="16">
        <f>(K1165/10)</f>
        <v>157.19</v>
      </c>
      <c r="O1167" s="3" t="s">
        <v>802</v>
      </c>
      <c r="R1167" s="16">
        <f>R1166+C23</f>
        <v>8773.7440999999999</v>
      </c>
      <c r="AE1167" s="23">
        <f t="shared" si="139"/>
        <v>0</v>
      </c>
    </row>
    <row r="1168" spans="6:31" ht="24" customHeight="1">
      <c r="K1168" s="12" t="s">
        <v>155</v>
      </c>
      <c r="O1168" s="5" t="s">
        <v>1612</v>
      </c>
      <c r="R1168" s="16">
        <f>R1167+C23</f>
        <v>8950.7440999999999</v>
      </c>
      <c r="AE1168" s="23">
        <f t="shared" si="139"/>
        <v>0</v>
      </c>
    </row>
    <row r="1169" spans="6:33" ht="24" customHeight="1">
      <c r="R1169" s="16">
        <f>R1168+C23</f>
        <v>9127.7440999999999</v>
      </c>
      <c r="AE1169" s="23">
        <f t="shared" si="139"/>
        <v>0</v>
      </c>
    </row>
    <row r="1170" spans="6:33" ht="24" customHeight="1">
      <c r="F1170" s="106">
        <v>23.3</v>
      </c>
      <c r="H1170" s="86" t="s">
        <v>1613</v>
      </c>
      <c r="I1170" s="86" t="s">
        <v>484</v>
      </c>
      <c r="K1170" s="150">
        <v>52</v>
      </c>
      <c r="R1170" s="16">
        <f>R1169+C23</f>
        <v>9304.7440999999999</v>
      </c>
      <c r="S1170" s="5"/>
      <c r="AE1170" s="23">
        <f t="shared" si="139"/>
        <v>0</v>
      </c>
    </row>
    <row r="1171" spans="6:33" ht="24" customHeight="1">
      <c r="M1171" s="9"/>
      <c r="O1171" s="50" t="s">
        <v>1362</v>
      </c>
      <c r="R1171" s="16">
        <f>R1170+C23</f>
        <v>9481.7440999999999</v>
      </c>
      <c r="S1171" s="5"/>
      <c r="AE1171" s="23">
        <f t="shared" si="139"/>
        <v>0</v>
      </c>
    </row>
    <row r="1172" spans="6:33" ht="24" customHeight="1">
      <c r="M1172" s="9">
        <v>0.443</v>
      </c>
      <c r="N1172" s="5" t="s">
        <v>642</v>
      </c>
      <c r="O1172" s="5" t="s">
        <v>1365</v>
      </c>
      <c r="P1172" s="5">
        <f t="shared" ref="P1172:P1178" si="141">P1141</f>
        <v>1637.02</v>
      </c>
      <c r="R1172" s="5">
        <f>P1172*M1172</f>
        <v>725.19985999999994</v>
      </c>
      <c r="S1172" s="5"/>
      <c r="AE1172" s="23">
        <f t="shared" si="139"/>
        <v>0</v>
      </c>
    </row>
    <row r="1173" spans="6:33" ht="24" customHeight="1">
      <c r="F1173" s="4" t="s">
        <v>228</v>
      </c>
      <c r="G1173" s="15" t="s">
        <v>122</v>
      </c>
      <c r="H1173" s="3" t="s">
        <v>1614</v>
      </c>
      <c r="M1173" s="9">
        <v>0.29499999999999998</v>
      </c>
      <c r="N1173" s="5" t="s">
        <v>642</v>
      </c>
      <c r="O1173" s="5" t="s">
        <v>1368</v>
      </c>
      <c r="P1173" s="5">
        <f t="shared" si="141"/>
        <v>1193.02</v>
      </c>
      <c r="R1173" s="5">
        <f t="shared" ref="R1173:R1179" si="142">P1173*M1173</f>
        <v>351.9409</v>
      </c>
      <c r="S1173" s="5"/>
      <c r="AE1173" s="23">
        <f t="shared" si="139"/>
        <v>0</v>
      </c>
    </row>
    <row r="1174" spans="6:33" ht="24" customHeight="1">
      <c r="H1174" s="3" t="s">
        <v>229</v>
      </c>
      <c r="M1174" s="9">
        <v>0.43</v>
      </c>
      <c r="N1174" s="5" t="s">
        <v>642</v>
      </c>
      <c r="O1174" s="5" t="s">
        <v>1372</v>
      </c>
      <c r="P1174" s="5">
        <f t="shared" si="141"/>
        <v>1322.8</v>
      </c>
      <c r="R1174" s="5">
        <f t="shared" si="142"/>
        <v>568.80399999999997</v>
      </c>
      <c r="S1174" s="5"/>
      <c r="AE1174" s="23">
        <f t="shared" si="139"/>
        <v>0</v>
      </c>
    </row>
    <row r="1175" spans="6:33" ht="24" customHeight="1">
      <c r="H1175" s="12" t="s">
        <v>117</v>
      </c>
      <c r="I1175" s="12" t="s">
        <v>117</v>
      </c>
      <c r="M1175" s="9">
        <v>0.39</v>
      </c>
      <c r="N1175" s="5" t="s">
        <v>1123</v>
      </c>
      <c r="O1175" s="5" t="s">
        <v>1124</v>
      </c>
      <c r="P1175" s="5">
        <f t="shared" si="141"/>
        <v>5800</v>
      </c>
      <c r="R1175" s="5">
        <f t="shared" si="142"/>
        <v>2262</v>
      </c>
      <c r="S1175" s="5"/>
      <c r="AE1175" s="23">
        <f t="shared" si="139"/>
        <v>0</v>
      </c>
    </row>
    <row r="1176" spans="6:33" ht="24" customHeight="1">
      <c r="F1176" s="81">
        <v>0.53339999999999999</v>
      </c>
      <c r="G1176" s="15" t="s">
        <v>174</v>
      </c>
      <c r="H1176" s="70" t="s">
        <v>230</v>
      </c>
      <c r="I1176" s="45">
        <v>208.8</v>
      </c>
      <c r="J1176" s="3" t="s">
        <v>174</v>
      </c>
      <c r="K1176" s="17">
        <f>(F1176*I1176)</f>
        <v>111.37392</v>
      </c>
      <c r="M1176" s="9">
        <v>0.35</v>
      </c>
      <c r="N1176" s="5" t="s">
        <v>240</v>
      </c>
      <c r="O1176" s="5" t="s">
        <v>1131</v>
      </c>
      <c r="P1176" s="5">
        <f t="shared" si="141"/>
        <v>718</v>
      </c>
      <c r="Q1176" s="5">
        <f>D1174</f>
        <v>0</v>
      </c>
      <c r="R1176" s="5">
        <f t="shared" si="142"/>
        <v>251.29999999999998</v>
      </c>
      <c r="S1176" s="5"/>
      <c r="AE1176" s="23">
        <f t="shared" si="139"/>
        <v>0</v>
      </c>
    </row>
    <row r="1177" spans="6:33" ht="24" customHeight="1">
      <c r="F1177" s="17">
        <v>4.24</v>
      </c>
      <c r="G1177" s="15" t="s">
        <v>231</v>
      </c>
      <c r="H1177" s="151" t="s">
        <v>232</v>
      </c>
      <c r="I1177" s="45">
        <v>35.61</v>
      </c>
      <c r="J1177" s="3" t="s">
        <v>231</v>
      </c>
      <c r="K1177" s="17">
        <f>(F1177*I1177)</f>
        <v>150.9864</v>
      </c>
      <c r="M1177" s="9">
        <v>2.12</v>
      </c>
      <c r="N1177" s="5" t="s">
        <v>240</v>
      </c>
      <c r="O1177" s="5" t="s">
        <v>1134</v>
      </c>
      <c r="P1177" s="5">
        <f t="shared" si="141"/>
        <v>502</v>
      </c>
      <c r="R1177" s="5">
        <f t="shared" si="142"/>
        <v>1064.24</v>
      </c>
      <c r="S1177" s="5"/>
      <c r="AE1177" s="23">
        <f t="shared" si="139"/>
        <v>0</v>
      </c>
    </row>
    <row r="1178" spans="6:33" ht="24" customHeight="1">
      <c r="F1178" s="17">
        <v>16</v>
      </c>
      <c r="G1178" s="15" t="s">
        <v>233</v>
      </c>
      <c r="H1178" s="151" t="s">
        <v>234</v>
      </c>
      <c r="I1178" s="45">
        <v>1</v>
      </c>
      <c r="J1178" s="3" t="s">
        <v>227</v>
      </c>
      <c r="K1178" s="17">
        <f>(F1178*I1178)</f>
        <v>16</v>
      </c>
      <c r="M1178" s="9">
        <v>3.53</v>
      </c>
      <c r="N1178" s="5" t="s">
        <v>240</v>
      </c>
      <c r="O1178" s="5" t="s">
        <v>1138</v>
      </c>
      <c r="P1178" s="5">
        <f t="shared" si="141"/>
        <v>412</v>
      </c>
      <c r="R1178" s="5">
        <f t="shared" si="142"/>
        <v>1454.36</v>
      </c>
      <c r="S1178" s="5"/>
      <c r="AE1178" s="23">
        <f t="shared" si="139"/>
        <v>0</v>
      </c>
    </row>
    <row r="1179" spans="6:33" ht="24" customHeight="1">
      <c r="F1179" s="81">
        <v>0.53339999999999999</v>
      </c>
      <c r="G1179" s="15" t="s">
        <v>174</v>
      </c>
      <c r="H1179" s="3" t="s">
        <v>235</v>
      </c>
      <c r="I1179" s="17">
        <f>0.25/1.08*D16</f>
        <v>166.2037037037037</v>
      </c>
      <c r="J1179" s="3" t="s">
        <v>174</v>
      </c>
      <c r="K1179" s="17">
        <f>(F1179*I1179)</f>
        <v>88.653055555555554</v>
      </c>
      <c r="M1179" s="9">
        <v>1</v>
      </c>
      <c r="N1179" s="5" t="s">
        <v>642</v>
      </c>
      <c r="O1179" s="5" t="s">
        <v>1384</v>
      </c>
      <c r="P1179" s="5">
        <f>R1148</f>
        <v>70.7</v>
      </c>
      <c r="R1179" s="5">
        <f t="shared" si="142"/>
        <v>70.7</v>
      </c>
      <c r="S1179" s="5"/>
      <c r="AE1179" s="23">
        <f t="shared" si="139"/>
        <v>0</v>
      </c>
    </row>
    <row r="1180" spans="6:33" ht="24" customHeight="1">
      <c r="G1180" s="15" t="s">
        <v>129</v>
      </c>
      <c r="H1180" s="3" t="s">
        <v>236</v>
      </c>
      <c r="J1180" s="3" t="s">
        <v>129</v>
      </c>
      <c r="K1180" s="17"/>
      <c r="M1180" s="118" t="s">
        <v>166</v>
      </c>
      <c r="O1180" s="5" t="s">
        <v>1387</v>
      </c>
      <c r="P1180" s="118" t="s">
        <v>166</v>
      </c>
      <c r="R1180" s="5">
        <v>270</v>
      </c>
      <c r="S1180" s="5"/>
      <c r="AE1180" s="23">
        <f t="shared" si="139"/>
        <v>0</v>
      </c>
    </row>
    <row r="1181" spans="6:33" ht="24" customHeight="1">
      <c r="H1181" s="3" t="s">
        <v>237</v>
      </c>
      <c r="M1181" s="118" t="s">
        <v>166</v>
      </c>
      <c r="O1181" s="5" t="s">
        <v>1390</v>
      </c>
      <c r="P1181" s="118" t="s">
        <v>166</v>
      </c>
      <c r="R1181" s="5">
        <v>150</v>
      </c>
      <c r="S1181" s="5"/>
      <c r="AE1181" s="23">
        <f t="shared" si="139"/>
        <v>0</v>
      </c>
    </row>
    <row r="1182" spans="6:33" ht="24" customHeight="1">
      <c r="K1182" s="12" t="s">
        <v>117</v>
      </c>
      <c r="M1182" s="118" t="s">
        <v>166</v>
      </c>
      <c r="O1182" s="5" t="s">
        <v>236</v>
      </c>
      <c r="P1182" s="118" t="s">
        <v>166</v>
      </c>
      <c r="R1182" s="5">
        <v>0.45</v>
      </c>
      <c r="S1182" s="5">
        <f>C22</f>
        <v>89.9</v>
      </c>
      <c r="T1182" s="5">
        <f>C23</f>
        <v>177</v>
      </c>
      <c r="AE1182" s="23" t="str">
        <f t="shared" si="139"/>
        <v>|</v>
      </c>
      <c r="AG1182" s="3" t="s">
        <v>849</v>
      </c>
    </row>
    <row r="1183" spans="6:33" ht="24" customHeight="1">
      <c r="H1183" s="4" t="s">
        <v>238</v>
      </c>
      <c r="K1183" s="17">
        <f>SUM(K1176:K1180)</f>
        <v>367.01337555555557</v>
      </c>
      <c r="M1183" s="9"/>
      <c r="O1183" s="5" t="s">
        <v>1087</v>
      </c>
      <c r="R1183" s="50">
        <f>SUM(R1172:R1182)</f>
        <v>7168.9947599999987</v>
      </c>
      <c r="S1183" s="5"/>
      <c r="AE1183" s="23" t="str">
        <f t="shared" si="139"/>
        <v>|</v>
      </c>
      <c r="AG1183" s="3" t="s">
        <v>849</v>
      </c>
    </row>
    <row r="1184" spans="6:33" ht="24" customHeight="1">
      <c r="K1184" s="12" t="s">
        <v>117</v>
      </c>
      <c r="M1184" s="9"/>
      <c r="O1184" s="5" t="s">
        <v>482</v>
      </c>
      <c r="R1184" s="5">
        <f>R1183+C22</f>
        <v>7258.8947599999983</v>
      </c>
      <c r="AE1184" s="23" t="str">
        <f t="shared" si="139"/>
        <v>|</v>
      </c>
      <c r="AG1184" s="3" t="s">
        <v>849</v>
      </c>
    </row>
    <row r="1185" spans="6:37" ht="24" customHeight="1">
      <c r="H1185" s="4" t="s">
        <v>239</v>
      </c>
      <c r="K1185" s="16">
        <f>ROUND(K1183/0.5334,1)+0.1</f>
        <v>688.2</v>
      </c>
      <c r="R1185" s="5">
        <f>R1184+T1182</f>
        <v>7435.8947599999983</v>
      </c>
      <c r="AE1185" s="23" t="str">
        <f t="shared" si="139"/>
        <v>|</v>
      </c>
      <c r="AG1185" s="3" t="s">
        <v>849</v>
      </c>
    </row>
    <row r="1186" spans="6:37" ht="24" customHeight="1">
      <c r="F1186" s="3" t="s">
        <v>115</v>
      </c>
      <c r="K1186" s="12" t="s">
        <v>155</v>
      </c>
      <c r="Y1186" s="106">
        <v>15.1</v>
      </c>
      <c r="Z1186" s="15" t="s">
        <v>1011</v>
      </c>
      <c r="AA1186" s="7" t="s">
        <v>1615</v>
      </c>
      <c r="AC1186" s="10"/>
      <c r="AE1186" s="23" t="str">
        <f t="shared" si="139"/>
        <v>C.</v>
      </c>
      <c r="AF1186" s="106">
        <v>15.1</v>
      </c>
      <c r="AG1186" s="15" t="s">
        <v>1011</v>
      </c>
      <c r="AH1186" s="152" t="s">
        <v>1616</v>
      </c>
      <c r="AJ1186" s="10"/>
    </row>
    <row r="1187" spans="6:37" ht="24" customHeight="1">
      <c r="F1187" s="3" t="s">
        <v>115</v>
      </c>
      <c r="G1187" s="15" t="s">
        <v>115</v>
      </c>
      <c r="H1187" s="3" t="s">
        <v>115</v>
      </c>
      <c r="Z1187" s="6"/>
      <c r="AA1187" s="3" t="s">
        <v>950</v>
      </c>
      <c r="AC1187" s="10"/>
      <c r="AE1187" s="23">
        <f t="shared" si="139"/>
        <v>0</v>
      </c>
      <c r="AG1187" s="6"/>
      <c r="AH1187" s="3" t="s">
        <v>950</v>
      </c>
      <c r="AJ1187" s="10"/>
    </row>
    <row r="1188" spans="6:37" ht="53.25" customHeight="1">
      <c r="F1188" s="4" t="s">
        <v>392</v>
      </c>
      <c r="G1188" s="15" t="s">
        <v>122</v>
      </c>
      <c r="H1188" s="3" t="s">
        <v>1617</v>
      </c>
      <c r="Y1188" s="17">
        <v>10</v>
      </c>
      <c r="Z1188" s="15" t="s">
        <v>174</v>
      </c>
      <c r="AA1188" s="62" t="s">
        <v>1618</v>
      </c>
      <c r="AB1188" s="25">
        <v>1706</v>
      </c>
      <c r="AC1188" s="4" t="s">
        <v>174</v>
      </c>
      <c r="AD1188" s="17">
        <f>(Y1188*AB1188)</f>
        <v>17060</v>
      </c>
      <c r="AE1188" s="23" t="str">
        <f t="shared" si="139"/>
        <v>Sqm</v>
      </c>
      <c r="AF1188" s="17">
        <v>10</v>
      </c>
      <c r="AG1188" s="15" t="s">
        <v>174</v>
      </c>
      <c r="AH1188" s="62" t="s">
        <v>1619</v>
      </c>
      <c r="AI1188" s="25">
        <v>804</v>
      </c>
      <c r="AJ1188" s="4" t="s">
        <v>174</v>
      </c>
      <c r="AK1188" s="17">
        <f>(AF1188*AI1188)</f>
        <v>8040</v>
      </c>
    </row>
    <row r="1189" spans="6:37" ht="24" customHeight="1">
      <c r="H1189" s="3" t="s">
        <v>1620</v>
      </c>
      <c r="Y1189" s="17">
        <v>0.12</v>
      </c>
      <c r="Z1189" s="15" t="s">
        <v>126</v>
      </c>
      <c r="AA1189" s="3" t="s">
        <v>1018</v>
      </c>
      <c r="AB1189" s="153">
        <f>P1333</f>
        <v>4193.8</v>
      </c>
      <c r="AC1189" s="4" t="s">
        <v>126</v>
      </c>
      <c r="AD1189" s="17">
        <f>(Y1189*AB1189)</f>
        <v>503.25600000000003</v>
      </c>
      <c r="AE1189" s="23" t="str">
        <f t="shared" si="139"/>
        <v>CUM</v>
      </c>
      <c r="AF1189" s="17">
        <v>0.12</v>
      </c>
      <c r="AG1189" s="15" t="s">
        <v>126</v>
      </c>
      <c r="AH1189" s="3" t="s">
        <v>1018</v>
      </c>
      <c r="AI1189" s="25">
        <f>AB1189</f>
        <v>4193.8</v>
      </c>
      <c r="AJ1189" s="4" t="s">
        <v>126</v>
      </c>
      <c r="AK1189" s="17">
        <f>(AF1189*AI1189)</f>
        <v>503.25600000000003</v>
      </c>
    </row>
    <row r="1190" spans="6:37" ht="24" customHeight="1">
      <c r="H1190" s="12" t="s">
        <v>117</v>
      </c>
      <c r="Y1190" s="17">
        <v>1</v>
      </c>
      <c r="Z1190" s="15" t="s">
        <v>233</v>
      </c>
      <c r="AA1190" s="3" t="s">
        <v>954</v>
      </c>
      <c r="AB1190" s="153">
        <f>P1334</f>
        <v>769</v>
      </c>
      <c r="AC1190" s="4" t="s">
        <v>227</v>
      </c>
      <c r="AD1190" s="17">
        <f>(Y1190*AB1190)</f>
        <v>769</v>
      </c>
      <c r="AE1190" s="23" t="str">
        <f t="shared" si="139"/>
        <v>No.</v>
      </c>
      <c r="AF1190" s="17">
        <v>1</v>
      </c>
      <c r="AG1190" s="15" t="s">
        <v>233</v>
      </c>
      <c r="AH1190" s="3" t="s">
        <v>954</v>
      </c>
      <c r="AI1190" s="25">
        <f>AB1190</f>
        <v>769</v>
      </c>
      <c r="AJ1190" s="4" t="s">
        <v>227</v>
      </c>
      <c r="AK1190" s="17">
        <f>(AF1190*AI1190)</f>
        <v>769</v>
      </c>
    </row>
    <row r="1191" spans="6:37" ht="24" customHeight="1">
      <c r="F1191" s="17">
        <v>1</v>
      </c>
      <c r="G1191" s="15" t="s">
        <v>148</v>
      </c>
      <c r="H1191" s="3" t="s">
        <v>1621</v>
      </c>
      <c r="I1191" s="154">
        <v>60.9</v>
      </c>
      <c r="J1191" s="3" t="s">
        <v>148</v>
      </c>
      <c r="K1191" s="16">
        <f>(F1191*I1191)</f>
        <v>60.9</v>
      </c>
      <c r="Y1191" s="17">
        <v>1</v>
      </c>
      <c r="Z1191" s="15" t="s">
        <v>233</v>
      </c>
      <c r="AA1191" s="3" t="s">
        <v>1622</v>
      </c>
      <c r="AB1191" s="153">
        <f>P1335</f>
        <v>502</v>
      </c>
      <c r="AC1191" s="4" t="s">
        <v>227</v>
      </c>
      <c r="AD1191" s="17">
        <f>(Y1191*AB1191)</f>
        <v>502</v>
      </c>
      <c r="AE1191" s="23" t="str">
        <f t="shared" si="139"/>
        <v>No.</v>
      </c>
      <c r="AF1191" s="17">
        <v>1</v>
      </c>
      <c r="AG1191" s="15" t="s">
        <v>233</v>
      </c>
      <c r="AH1191" s="3" t="s">
        <v>1622</v>
      </c>
      <c r="AI1191" s="25">
        <f>AE10</f>
        <v>718</v>
      </c>
      <c r="AJ1191" s="4" t="s">
        <v>227</v>
      </c>
      <c r="AK1191" s="17">
        <f>(AF1191*AI1191)</f>
        <v>718</v>
      </c>
    </row>
    <row r="1192" spans="6:37" ht="24" customHeight="1">
      <c r="K1192" s="12" t="s">
        <v>155</v>
      </c>
      <c r="Y1192" s="17"/>
      <c r="Z1192" s="15" t="s">
        <v>129</v>
      </c>
      <c r="AA1192" s="3" t="s">
        <v>958</v>
      </c>
      <c r="AC1192" s="4" t="s">
        <v>129</v>
      </c>
      <c r="AD1192" s="17">
        <v>0.33</v>
      </c>
      <c r="AF1192" s="17"/>
      <c r="AG1192" s="15" t="s">
        <v>129</v>
      </c>
      <c r="AH1192" s="3" t="s">
        <v>958</v>
      </c>
      <c r="AJ1192" s="4" t="s">
        <v>129</v>
      </c>
      <c r="AK1192" s="17">
        <v>0.33</v>
      </c>
    </row>
    <row r="1193" spans="6:37" ht="24" customHeight="1">
      <c r="F1193" s="4">
        <v>39</v>
      </c>
      <c r="H1193" s="70" t="s">
        <v>1623</v>
      </c>
      <c r="I1193" s="25">
        <v>54.5</v>
      </c>
      <c r="J1193" s="3" t="s">
        <v>148</v>
      </c>
      <c r="K1193" s="155">
        <f>I1193</f>
        <v>54.5</v>
      </c>
      <c r="Y1193" s="17"/>
      <c r="Z1193" s="6"/>
      <c r="AA1193" s="3" t="s">
        <v>960</v>
      </c>
      <c r="AD1193" s="10"/>
      <c r="AE1193" s="12" t="s">
        <v>117</v>
      </c>
      <c r="AF1193" s="17"/>
      <c r="AG1193" s="6"/>
      <c r="AH1193" s="3" t="s">
        <v>960</v>
      </c>
      <c r="AK1193" s="10"/>
    </row>
    <row r="1194" spans="6:37" ht="24" customHeight="1">
      <c r="F1194" s="4" t="s">
        <v>396</v>
      </c>
      <c r="G1194" s="15" t="s">
        <v>122</v>
      </c>
      <c r="H1194" s="3" t="s">
        <v>1624</v>
      </c>
      <c r="I1194" s="3" t="s">
        <v>115</v>
      </c>
      <c r="J1194" s="3" t="s">
        <v>206</v>
      </c>
      <c r="K1194" s="156">
        <v>9.6</v>
      </c>
      <c r="Y1194" s="17"/>
      <c r="Z1194" s="6"/>
      <c r="AA1194" s="4" t="s">
        <v>1028</v>
      </c>
      <c r="AC1194" s="10"/>
      <c r="AD1194" s="17">
        <f>SUM(AD1188:AD1193)</f>
        <v>18834.586000000003</v>
      </c>
      <c r="AE1194" s="17">
        <f>SUM(AE1188:AE1192)</f>
        <v>0</v>
      </c>
      <c r="AF1194" s="17"/>
      <c r="AG1194" s="6"/>
      <c r="AH1194" s="4" t="s">
        <v>1028</v>
      </c>
      <c r="AJ1194" s="10"/>
      <c r="AK1194" s="17">
        <f>SUM(AK1188:AK1193)</f>
        <v>10030.585999999999</v>
      </c>
    </row>
    <row r="1195" spans="6:37" ht="24" customHeight="1">
      <c r="H1195" s="3" t="s">
        <v>1625</v>
      </c>
      <c r="K1195" s="12" t="s">
        <v>155</v>
      </c>
      <c r="Z1195" s="6"/>
      <c r="AC1195" s="10"/>
      <c r="AD1195" s="12" t="s">
        <v>117</v>
      </c>
      <c r="AE1195" s="12" t="s">
        <v>117</v>
      </c>
      <c r="AG1195" s="6"/>
      <c r="AJ1195" s="10"/>
      <c r="AK1195" s="12" t="s">
        <v>117</v>
      </c>
    </row>
    <row r="1196" spans="6:37" ht="24" customHeight="1">
      <c r="Z1196" s="6"/>
      <c r="AA1196" s="4" t="s">
        <v>1033</v>
      </c>
      <c r="AD1196" s="16">
        <f>AD1194/10</f>
        <v>1883.4586000000004</v>
      </c>
      <c r="AG1196" s="6"/>
      <c r="AH1196" s="4" t="s">
        <v>1033</v>
      </c>
      <c r="AK1196" s="16">
        <f>AK1194/10</f>
        <v>1003.0586</v>
      </c>
    </row>
    <row r="1197" spans="6:37" ht="24" customHeight="1">
      <c r="F1197" s="4" t="s">
        <v>408</v>
      </c>
      <c r="G1197" s="15" t="s">
        <v>122</v>
      </c>
      <c r="H1197" s="3" t="s">
        <v>1626</v>
      </c>
      <c r="Z1197" s="6"/>
      <c r="AA1197" s="3" t="s">
        <v>482</v>
      </c>
      <c r="AC1197" s="10">
        <f>C22*0.01</f>
        <v>0.89900000000000002</v>
      </c>
      <c r="AD1197" s="17">
        <f>AD1196+AC1197</f>
        <v>1884.3576000000003</v>
      </c>
      <c r="AG1197" s="6"/>
      <c r="AH1197" s="3" t="s">
        <v>482</v>
      </c>
      <c r="AJ1197" s="10">
        <f>AC1197</f>
        <v>0.89900000000000002</v>
      </c>
      <c r="AK1197" s="17">
        <f>AK1196+AJ1197</f>
        <v>1003.9576</v>
      </c>
    </row>
    <row r="1198" spans="6:37" ht="24" customHeight="1">
      <c r="H1198" s="3" t="s">
        <v>1627</v>
      </c>
      <c r="Z1198" s="6"/>
      <c r="AA1198" s="3" t="s">
        <v>486</v>
      </c>
      <c r="AC1198" s="10">
        <f>C23*0.01</f>
        <v>1.77</v>
      </c>
      <c r="AD1198" s="17">
        <f>AD1197+AC1198</f>
        <v>1886.1276000000003</v>
      </c>
      <c r="AG1198" s="6"/>
      <c r="AH1198" s="3" t="s">
        <v>486</v>
      </c>
      <c r="AJ1198" s="10">
        <f t="shared" ref="AJ1198:AJ1206" si="143">AC1198</f>
        <v>1.77</v>
      </c>
      <c r="AK1198" s="17">
        <f>AK1197+AJ1198</f>
        <v>1005.7275999999999</v>
      </c>
    </row>
    <row r="1199" spans="6:37" ht="24" customHeight="1">
      <c r="H1199" s="12" t="s">
        <v>117</v>
      </c>
      <c r="Z1199" s="6"/>
      <c r="AA1199" s="3" t="s">
        <v>489</v>
      </c>
      <c r="AC1199" s="10">
        <f t="shared" ref="AC1199:AC1208" si="144">AC1198</f>
        <v>1.77</v>
      </c>
      <c r="AD1199" s="17">
        <f t="shared" ref="AD1199:AD1208" si="145">+AD1198+AC1199</f>
        <v>1887.8976000000002</v>
      </c>
      <c r="AG1199" s="6"/>
      <c r="AH1199" s="3" t="s">
        <v>489</v>
      </c>
      <c r="AJ1199" s="10">
        <f t="shared" si="143"/>
        <v>1.77</v>
      </c>
      <c r="AK1199" s="17">
        <f t="shared" ref="AK1199:AK1206" si="146">+AK1198+AJ1199</f>
        <v>1007.4975999999999</v>
      </c>
    </row>
    <row r="1200" spans="6:37" ht="24" customHeight="1">
      <c r="F1200" s="17">
        <v>0.22</v>
      </c>
      <c r="G1200" s="15" t="s">
        <v>126</v>
      </c>
      <c r="H1200" s="3" t="s">
        <v>134</v>
      </c>
      <c r="I1200" s="17">
        <f>K40</f>
        <v>3497.8</v>
      </c>
      <c r="J1200" s="3" t="s">
        <v>126</v>
      </c>
      <c r="K1200" s="17">
        <f>(F1200*I1200)</f>
        <v>769.51600000000008</v>
      </c>
      <c r="Z1200" s="6"/>
      <c r="AA1200" s="3" t="s">
        <v>491</v>
      </c>
      <c r="AC1200" s="10">
        <f t="shared" si="144"/>
        <v>1.77</v>
      </c>
      <c r="AD1200" s="17">
        <f t="shared" si="145"/>
        <v>1889.6676000000002</v>
      </c>
      <c r="AG1200" s="6"/>
      <c r="AH1200" s="3" t="s">
        <v>491</v>
      </c>
      <c r="AJ1200" s="10">
        <f t="shared" si="143"/>
        <v>1.77</v>
      </c>
      <c r="AK1200" s="17">
        <f t="shared" si="146"/>
        <v>1009.2675999999999</v>
      </c>
    </row>
    <row r="1201" spans="6:37" ht="24" customHeight="1">
      <c r="F1201" s="17">
        <v>2.2000000000000002</v>
      </c>
      <c r="G1201" s="15" t="s">
        <v>1</v>
      </c>
      <c r="H1201" s="3" t="s">
        <v>144</v>
      </c>
      <c r="I1201" s="17">
        <f>(C10)</f>
        <v>769</v>
      </c>
      <c r="J1201" s="3" t="s">
        <v>1</v>
      </c>
      <c r="K1201" s="17">
        <f>(F1201*I1201)</f>
        <v>1691.8000000000002</v>
      </c>
      <c r="Z1201" s="6"/>
      <c r="AA1201" s="3" t="s">
        <v>871</v>
      </c>
      <c r="AC1201" s="10">
        <f t="shared" si="144"/>
        <v>1.77</v>
      </c>
      <c r="AD1201" s="17">
        <f t="shared" si="145"/>
        <v>1891.4376000000002</v>
      </c>
      <c r="AG1201" s="6"/>
      <c r="AH1201" s="3" t="s">
        <v>871</v>
      </c>
      <c r="AJ1201" s="10">
        <f t="shared" si="143"/>
        <v>1.77</v>
      </c>
      <c r="AK1201" s="17">
        <f t="shared" si="146"/>
        <v>1011.0375999999999</v>
      </c>
    </row>
    <row r="1202" spans="6:37" ht="24" customHeight="1">
      <c r="F1202" s="17">
        <v>0.5</v>
      </c>
      <c r="G1202" s="15" t="s">
        <v>1</v>
      </c>
      <c r="H1202" s="3" t="s">
        <v>1628</v>
      </c>
      <c r="I1202" s="17">
        <f>(C12)</f>
        <v>502</v>
      </c>
      <c r="J1202" s="3" t="s">
        <v>1</v>
      </c>
      <c r="K1202" s="17">
        <f>(F1202*I1202)</f>
        <v>251</v>
      </c>
      <c r="Z1202" s="6"/>
      <c r="AA1202" s="5">
        <v>5</v>
      </c>
      <c r="AC1202" s="10">
        <f t="shared" si="144"/>
        <v>1.77</v>
      </c>
      <c r="AD1202" s="17">
        <f t="shared" si="145"/>
        <v>1893.2076000000002</v>
      </c>
      <c r="AE1202" s="23">
        <f t="shared" si="139"/>
        <v>0</v>
      </c>
      <c r="AG1202" s="6"/>
      <c r="AH1202" s="5">
        <v>5</v>
      </c>
      <c r="AJ1202" s="10">
        <f t="shared" si="143"/>
        <v>1.77</v>
      </c>
      <c r="AK1202" s="17">
        <f t="shared" si="146"/>
        <v>1012.8075999999999</v>
      </c>
    </row>
    <row r="1203" spans="6:37" ht="24" customHeight="1">
      <c r="F1203" s="17">
        <v>3.2</v>
      </c>
      <c r="G1203" s="15" t="s">
        <v>1</v>
      </c>
      <c r="H1203" s="3" t="s">
        <v>147</v>
      </c>
      <c r="I1203" s="17">
        <f>(C13)</f>
        <v>412</v>
      </c>
      <c r="J1203" s="3" t="s">
        <v>1</v>
      </c>
      <c r="K1203" s="17">
        <f>(F1203*I1203)</f>
        <v>1318.4</v>
      </c>
      <c r="AA1203" s="5">
        <v>6</v>
      </c>
      <c r="AC1203" s="10">
        <f t="shared" si="144"/>
        <v>1.77</v>
      </c>
      <c r="AD1203" s="17">
        <f t="shared" si="145"/>
        <v>1894.9776000000002</v>
      </c>
      <c r="AE1203" s="23">
        <f t="shared" si="139"/>
        <v>0</v>
      </c>
      <c r="AH1203" s="5">
        <v>6</v>
      </c>
      <c r="AJ1203" s="10">
        <f t="shared" si="143"/>
        <v>1.77</v>
      </c>
      <c r="AK1203" s="17">
        <f t="shared" si="146"/>
        <v>1014.5775999999998</v>
      </c>
    </row>
    <row r="1204" spans="6:37" ht="24" customHeight="1">
      <c r="F1204" s="17"/>
      <c r="G1204" s="15"/>
      <c r="H1204" s="3"/>
      <c r="I1204" s="17"/>
      <c r="J1204" s="3"/>
      <c r="K1204" s="17"/>
      <c r="AA1204" s="5">
        <v>7</v>
      </c>
      <c r="AC1204" s="10">
        <f t="shared" si="144"/>
        <v>1.77</v>
      </c>
      <c r="AD1204" s="17">
        <f t="shared" si="145"/>
        <v>1896.7476000000001</v>
      </c>
      <c r="AE1204" s="23"/>
      <c r="AH1204" s="5">
        <v>7</v>
      </c>
      <c r="AJ1204" s="10">
        <f t="shared" si="143"/>
        <v>1.77</v>
      </c>
      <c r="AK1204" s="17">
        <f t="shared" si="146"/>
        <v>1016.3475999999998</v>
      </c>
    </row>
    <row r="1205" spans="6:37" ht="24" customHeight="1">
      <c r="F1205" s="17"/>
      <c r="G1205" s="15"/>
      <c r="H1205" s="3"/>
      <c r="I1205" s="17"/>
      <c r="J1205" s="3"/>
      <c r="K1205" s="17"/>
      <c r="AA1205" s="5">
        <v>8</v>
      </c>
      <c r="AC1205" s="10">
        <f t="shared" si="144"/>
        <v>1.77</v>
      </c>
      <c r="AD1205" s="17">
        <f t="shared" si="145"/>
        <v>1898.5176000000001</v>
      </c>
      <c r="AE1205" s="23"/>
      <c r="AH1205" s="5">
        <v>8</v>
      </c>
      <c r="AJ1205" s="10">
        <f t="shared" si="143"/>
        <v>1.77</v>
      </c>
      <c r="AK1205" s="17">
        <f t="shared" si="146"/>
        <v>1018.1175999999998</v>
      </c>
    </row>
    <row r="1206" spans="6:37" ht="24" customHeight="1">
      <c r="F1206" s="17"/>
      <c r="G1206" s="15"/>
      <c r="H1206" s="3"/>
      <c r="I1206" s="17"/>
      <c r="J1206" s="3"/>
      <c r="K1206" s="17"/>
      <c r="AA1206" s="5">
        <v>9</v>
      </c>
      <c r="AC1206" s="10">
        <f t="shared" si="144"/>
        <v>1.77</v>
      </c>
      <c r="AD1206" s="17">
        <f t="shared" si="145"/>
        <v>1900.2876000000001</v>
      </c>
      <c r="AE1206" s="23"/>
      <c r="AH1206" s="5">
        <v>9</v>
      </c>
      <c r="AJ1206" s="10">
        <f t="shared" si="143"/>
        <v>1.77</v>
      </c>
      <c r="AK1206" s="17">
        <f t="shared" si="146"/>
        <v>1019.8875999999998</v>
      </c>
    </row>
    <row r="1207" spans="6:37" ht="24" customHeight="1">
      <c r="F1207" s="17"/>
      <c r="G1207" s="15"/>
      <c r="H1207" s="3"/>
      <c r="I1207" s="17"/>
      <c r="J1207" s="3"/>
      <c r="K1207" s="17"/>
      <c r="AA1207" s="5">
        <v>10</v>
      </c>
      <c r="AC1207" s="10">
        <f t="shared" si="144"/>
        <v>1.77</v>
      </c>
      <c r="AD1207" s="17">
        <f t="shared" si="145"/>
        <v>1902.0576000000001</v>
      </c>
      <c r="AE1207" s="23"/>
      <c r="AG1207" s="3"/>
    </row>
    <row r="1208" spans="6:37" ht="24" customHeight="1">
      <c r="F1208" s="17"/>
      <c r="G1208" s="15"/>
      <c r="H1208" s="3"/>
      <c r="I1208" s="17"/>
      <c r="J1208" s="3"/>
      <c r="K1208" s="17"/>
      <c r="AA1208" s="5">
        <v>11</v>
      </c>
      <c r="AC1208" s="10">
        <f t="shared" si="144"/>
        <v>1.77</v>
      </c>
      <c r="AD1208" s="17">
        <f t="shared" si="145"/>
        <v>1903.8276000000001</v>
      </c>
      <c r="AE1208" s="23"/>
      <c r="AG1208" s="3"/>
    </row>
    <row r="1209" spans="6:37" ht="24" customHeight="1">
      <c r="G1209" s="15" t="s">
        <v>129</v>
      </c>
      <c r="H1209" s="3" t="s">
        <v>1629</v>
      </c>
      <c r="I1209" s="3" t="s">
        <v>115</v>
      </c>
      <c r="J1209" s="3" t="s">
        <v>129</v>
      </c>
      <c r="K1209" s="17">
        <v>5</v>
      </c>
      <c r="N1209" s="6"/>
      <c r="Q1209" s="10"/>
      <c r="Y1209" s="51">
        <v>29.5</v>
      </c>
      <c r="Z1209" s="15" t="s">
        <v>122</v>
      </c>
      <c r="AA1209" s="7" t="s">
        <v>1630</v>
      </c>
      <c r="AE1209" s="23" t="str">
        <f t="shared" ref="AE1209:AE1277" si="147">AG1209</f>
        <v>|</v>
      </c>
      <c r="AG1209" s="3" t="s">
        <v>849</v>
      </c>
    </row>
    <row r="1210" spans="6:37" ht="24" customHeight="1">
      <c r="K1210" s="12" t="s">
        <v>117</v>
      </c>
      <c r="N1210" s="6"/>
      <c r="Q1210" s="10"/>
      <c r="Z1210" s="6"/>
      <c r="AA1210" s="7" t="s">
        <v>1631</v>
      </c>
      <c r="AE1210" s="23" t="str">
        <f t="shared" si="147"/>
        <v>|</v>
      </c>
      <c r="AG1210" s="3" t="s">
        <v>849</v>
      </c>
    </row>
    <row r="1211" spans="6:37" ht="24" customHeight="1">
      <c r="H1211" s="3" t="s">
        <v>153</v>
      </c>
      <c r="K1211" s="17">
        <f>SUM(K1200:K1209)</f>
        <v>4035.7160000000003</v>
      </c>
      <c r="N1211" s="6"/>
      <c r="Q1211" s="10"/>
      <c r="Z1211" s="6"/>
      <c r="AA1211" s="3"/>
      <c r="AE1211" s="23" t="str">
        <f t="shared" si="147"/>
        <v>|</v>
      </c>
      <c r="AG1211" s="3" t="s">
        <v>849</v>
      </c>
    </row>
    <row r="1212" spans="6:37" ht="36.75" customHeight="1">
      <c r="F1212" s="5" t="s">
        <v>115</v>
      </c>
      <c r="K1212" s="12" t="s">
        <v>117</v>
      </c>
      <c r="N1212" s="6"/>
      <c r="O1212" s="157" t="s">
        <v>1632</v>
      </c>
      <c r="Q1212" s="10"/>
      <c r="Z1212" s="6"/>
      <c r="AA1212" s="12" t="s">
        <v>117</v>
      </c>
      <c r="AB1212" s="12" t="s">
        <v>117</v>
      </c>
      <c r="AC1212" s="8">
        <f>54.96*10.764</f>
        <v>591.58943999999997</v>
      </c>
      <c r="AE1212" s="23" t="str">
        <f t="shared" si="147"/>
        <v>|</v>
      </c>
      <c r="AG1212" s="3" t="s">
        <v>849</v>
      </c>
    </row>
    <row r="1213" spans="6:37" ht="30" customHeight="1">
      <c r="H1213" s="19" t="s">
        <v>154</v>
      </c>
      <c r="K1213" s="16">
        <f>(K1211/10)</f>
        <v>403.57160000000005</v>
      </c>
      <c r="N1213" s="6"/>
      <c r="Q1213" s="10"/>
      <c r="Y1213" s="17">
        <v>10</v>
      </c>
      <c r="Z1213" s="15" t="s">
        <v>140</v>
      </c>
      <c r="AA1213" s="66" t="s">
        <v>1633</v>
      </c>
      <c r="AB1213" s="45">
        <v>591.59</v>
      </c>
      <c r="AC1213" s="3" t="s">
        <v>140</v>
      </c>
      <c r="AD1213" s="17">
        <f>(Y1213*AB1213)</f>
        <v>5915.9000000000005</v>
      </c>
      <c r="AE1213" s="23" t="str">
        <f t="shared" si="147"/>
        <v>|</v>
      </c>
      <c r="AG1213" s="3" t="s">
        <v>849</v>
      </c>
    </row>
    <row r="1214" spans="6:37" ht="24" customHeight="1">
      <c r="K1214" s="12" t="s">
        <v>155</v>
      </c>
      <c r="N1214" s="6"/>
      <c r="Q1214" s="10"/>
      <c r="S1214" s="158" t="s">
        <v>1634</v>
      </c>
      <c r="Y1214" s="17">
        <v>0.21</v>
      </c>
      <c r="Z1214" s="15" t="s">
        <v>126</v>
      </c>
      <c r="AA1214" s="3" t="s">
        <v>142</v>
      </c>
      <c r="AB1214" s="24">
        <f t="shared" ref="AB1214:AB1226" si="148">AB1242</f>
        <v>4193.8</v>
      </c>
      <c r="AC1214" s="3" t="s">
        <v>126</v>
      </c>
      <c r="AD1214" s="17">
        <f>(Y1214*AB1214)</f>
        <v>880.69799999999998</v>
      </c>
      <c r="AE1214" s="23" t="str">
        <f t="shared" si="147"/>
        <v>|</v>
      </c>
      <c r="AG1214" s="3" t="s">
        <v>849</v>
      </c>
    </row>
    <row r="1215" spans="6:37" ht="24" customHeight="1">
      <c r="F1215" s="4" t="s">
        <v>1635</v>
      </c>
      <c r="G1215" s="15" t="s">
        <v>122</v>
      </c>
      <c r="H1215" s="3" t="s">
        <v>1636</v>
      </c>
      <c r="M1215" s="17">
        <v>10</v>
      </c>
      <c r="N1215" s="15" t="s">
        <v>140</v>
      </c>
      <c r="O1215" s="70" t="s">
        <v>1637</v>
      </c>
      <c r="P1215" s="44">
        <v>599</v>
      </c>
      <c r="Q1215" s="4" t="s">
        <v>140</v>
      </c>
      <c r="R1215" s="17">
        <f>M1215*P1215</f>
        <v>5990</v>
      </c>
      <c r="S1215" s="9">
        <v>694.02</v>
      </c>
      <c r="T1215" s="5">
        <f>S1215*M1215</f>
        <v>6940.2</v>
      </c>
      <c r="Z1215" s="6"/>
      <c r="AA1215" s="3" t="s">
        <v>160</v>
      </c>
      <c r="AB1215" s="24" t="str">
        <f t="shared" si="148"/>
        <v/>
      </c>
      <c r="AC1215" s="8"/>
      <c r="AD1215" s="3" t="s">
        <v>115</v>
      </c>
      <c r="AE1215" s="23" t="str">
        <f t="shared" si="147"/>
        <v>|</v>
      </c>
      <c r="AG1215" s="3" t="s">
        <v>849</v>
      </c>
    </row>
    <row r="1216" spans="6:37" ht="24" customHeight="1">
      <c r="H1216" s="3" t="s">
        <v>1638</v>
      </c>
      <c r="M1216" s="17">
        <v>0.21</v>
      </c>
      <c r="N1216" s="15" t="s">
        <v>126</v>
      </c>
      <c r="O1216" s="3" t="s">
        <v>142</v>
      </c>
      <c r="P1216" s="17">
        <f>I1220</f>
        <v>4193.8</v>
      </c>
      <c r="Q1216" s="4" t="s">
        <v>126</v>
      </c>
      <c r="R1216" s="17">
        <f t="shared" ref="R1216:R1225" si="149">(M1216*P1216)</f>
        <v>880.69799999999998</v>
      </c>
      <c r="T1216" s="5">
        <f>R1216</f>
        <v>880.69799999999998</v>
      </c>
      <c r="Y1216" s="17">
        <v>1.1000000000000001</v>
      </c>
      <c r="Z1216" s="15" t="s">
        <v>1</v>
      </c>
      <c r="AA1216" s="3" t="s">
        <v>144</v>
      </c>
      <c r="AB1216" s="24">
        <f t="shared" si="148"/>
        <v>769</v>
      </c>
      <c r="AC1216" s="3" t="s">
        <v>1</v>
      </c>
      <c r="AD1216" s="17">
        <f>(Y1216*AB1216)</f>
        <v>845.90000000000009</v>
      </c>
      <c r="AE1216" s="23" t="str">
        <f t="shared" si="147"/>
        <v>|</v>
      </c>
      <c r="AG1216" s="3" t="s">
        <v>849</v>
      </c>
    </row>
    <row r="1217" spans="6:33" ht="24" customHeight="1">
      <c r="H1217" s="12" t="s">
        <v>117</v>
      </c>
      <c r="M1217" s="17">
        <v>1.1000000000000001</v>
      </c>
      <c r="N1217" s="15" t="s">
        <v>1</v>
      </c>
      <c r="O1217" s="3" t="s">
        <v>144</v>
      </c>
      <c r="P1217" s="17">
        <f>I1222</f>
        <v>769</v>
      </c>
      <c r="Q1217" s="4" t="s">
        <v>1</v>
      </c>
      <c r="R1217" s="17">
        <f t="shared" si="149"/>
        <v>845.90000000000009</v>
      </c>
      <c r="T1217" s="5">
        <f t="shared" ref="T1217:T1225" si="150">R1217</f>
        <v>845.90000000000009</v>
      </c>
      <c r="Y1217" s="17">
        <v>1.1000000000000001</v>
      </c>
      <c r="Z1217" s="15" t="s">
        <v>1</v>
      </c>
      <c r="AA1217" s="3" t="s">
        <v>145</v>
      </c>
      <c r="AB1217" s="24">
        <f t="shared" si="148"/>
        <v>718</v>
      </c>
      <c r="AC1217" s="3" t="s">
        <v>1</v>
      </c>
      <c r="AD1217" s="17">
        <f>(Y1217*AB1217)</f>
        <v>789.80000000000007</v>
      </c>
      <c r="AE1217" s="23" t="str">
        <f t="shared" si="147"/>
        <v>|</v>
      </c>
      <c r="AG1217" s="3" t="s">
        <v>849</v>
      </c>
    </row>
    <row r="1218" spans="6:33" ht="24" customHeight="1">
      <c r="F1218" s="17">
        <v>160</v>
      </c>
      <c r="G1218" s="15" t="s">
        <v>1576</v>
      </c>
      <c r="H1218" s="3" t="s">
        <v>1639</v>
      </c>
      <c r="I1218" s="17">
        <f>(C137)</f>
        <v>11559</v>
      </c>
      <c r="J1218" s="3" t="s">
        <v>498</v>
      </c>
      <c r="K1218" s="17">
        <f>(F1218*I1218)/1000</f>
        <v>1849.44</v>
      </c>
      <c r="M1218" s="17">
        <v>1.1000000000000001</v>
      </c>
      <c r="N1218" s="15" t="s">
        <v>1</v>
      </c>
      <c r="O1218" s="3" t="s">
        <v>145</v>
      </c>
      <c r="P1218" s="17">
        <f>I1223</f>
        <v>718</v>
      </c>
      <c r="Q1218" s="4" t="s">
        <v>1</v>
      </c>
      <c r="R1218" s="17">
        <f t="shared" si="149"/>
        <v>789.80000000000007</v>
      </c>
      <c r="T1218" s="5">
        <f t="shared" si="150"/>
        <v>789.80000000000007</v>
      </c>
      <c r="Y1218" s="17">
        <v>2.2000000000000002</v>
      </c>
      <c r="Z1218" s="15" t="s">
        <v>1</v>
      </c>
      <c r="AA1218" s="3" t="s">
        <v>146</v>
      </c>
      <c r="AB1218" s="24">
        <f t="shared" si="148"/>
        <v>502</v>
      </c>
      <c r="AC1218" s="3" t="s">
        <v>1</v>
      </c>
      <c r="AD1218" s="17">
        <f>(Y1218*AB1218)</f>
        <v>1104.4000000000001</v>
      </c>
      <c r="AE1218" s="23" t="str">
        <f t="shared" si="147"/>
        <v>|</v>
      </c>
      <c r="AG1218" s="3" t="s">
        <v>849</v>
      </c>
    </row>
    <row r="1219" spans="6:33" ht="24" customHeight="1">
      <c r="H1219" s="3" t="s">
        <v>1640</v>
      </c>
      <c r="I1219" s="3" t="s">
        <v>115</v>
      </c>
      <c r="K1219" s="3" t="s">
        <v>115</v>
      </c>
      <c r="M1219" s="17">
        <v>2.2000000000000002</v>
      </c>
      <c r="N1219" s="15" t="s">
        <v>1</v>
      </c>
      <c r="O1219" s="3" t="s">
        <v>146</v>
      </c>
      <c r="P1219" s="17">
        <f>I1224</f>
        <v>502</v>
      </c>
      <c r="Q1219" s="4" t="s">
        <v>1</v>
      </c>
      <c r="R1219" s="17">
        <f t="shared" si="149"/>
        <v>1104.4000000000001</v>
      </c>
      <c r="T1219" s="5">
        <f t="shared" si="150"/>
        <v>1104.4000000000001</v>
      </c>
      <c r="Y1219" s="17">
        <v>2.2000000000000002</v>
      </c>
      <c r="Z1219" s="15" t="s">
        <v>1</v>
      </c>
      <c r="AA1219" s="3" t="s">
        <v>147</v>
      </c>
      <c r="AB1219" s="24">
        <f t="shared" si="148"/>
        <v>412</v>
      </c>
      <c r="AC1219" s="3" t="s">
        <v>1</v>
      </c>
      <c r="AD1219" s="17">
        <f>(Y1219*AB1219)</f>
        <v>906.40000000000009</v>
      </c>
      <c r="AE1219" s="23" t="str">
        <f t="shared" si="147"/>
        <v>|</v>
      </c>
      <c r="AG1219" s="3" t="s">
        <v>849</v>
      </c>
    </row>
    <row r="1220" spans="6:33" ht="24" customHeight="1">
      <c r="F1220" s="17">
        <v>0.21</v>
      </c>
      <c r="G1220" s="15" t="s">
        <v>126</v>
      </c>
      <c r="H1220" s="3" t="s">
        <v>142</v>
      </c>
      <c r="I1220" s="17">
        <f>(K32)</f>
        <v>4193.8</v>
      </c>
      <c r="J1220" s="3" t="s">
        <v>126</v>
      </c>
      <c r="K1220" s="17">
        <f>(F1220*I1220)</f>
        <v>880.69799999999998</v>
      </c>
      <c r="M1220" s="17">
        <v>2.2000000000000002</v>
      </c>
      <c r="N1220" s="15" t="s">
        <v>1</v>
      </c>
      <c r="O1220" s="3" t="s">
        <v>147</v>
      </c>
      <c r="P1220" s="17">
        <f>I1225</f>
        <v>412</v>
      </c>
      <c r="Q1220" s="4" t="s">
        <v>1</v>
      </c>
      <c r="R1220" s="17">
        <f t="shared" si="149"/>
        <v>906.40000000000009</v>
      </c>
      <c r="T1220" s="5">
        <f t="shared" si="150"/>
        <v>906.40000000000009</v>
      </c>
      <c r="Y1220" s="49">
        <v>20</v>
      </c>
      <c r="Z1220" s="15" t="s">
        <v>148</v>
      </c>
      <c r="AA1220" s="3" t="s">
        <v>125</v>
      </c>
      <c r="AB1220" s="24">
        <f t="shared" si="148"/>
        <v>5800</v>
      </c>
      <c r="AC1220" s="3" t="s">
        <v>124</v>
      </c>
      <c r="AD1220" s="17">
        <f>(Y1220*AB1220)/1000</f>
        <v>116</v>
      </c>
      <c r="AE1220" s="23" t="str">
        <f t="shared" si="147"/>
        <v>|</v>
      </c>
      <c r="AG1220" s="3" t="s">
        <v>849</v>
      </c>
    </row>
    <row r="1221" spans="6:33" ht="24" customHeight="1">
      <c r="H1221" s="3" t="s">
        <v>160</v>
      </c>
      <c r="I1221" s="3" t="s">
        <v>115</v>
      </c>
      <c r="K1221" s="3" t="s">
        <v>115</v>
      </c>
      <c r="M1221" s="49">
        <v>20</v>
      </c>
      <c r="N1221" s="15" t="s">
        <v>148</v>
      </c>
      <c r="O1221" s="3" t="s">
        <v>125</v>
      </c>
      <c r="P1221" s="17">
        <f>I1226</f>
        <v>5800</v>
      </c>
      <c r="Q1221" s="4" t="s">
        <v>124</v>
      </c>
      <c r="R1221" s="17">
        <f>(M1221*P1221)/1000</f>
        <v>116</v>
      </c>
      <c r="T1221" s="5">
        <f t="shared" si="150"/>
        <v>116</v>
      </c>
      <c r="Y1221" s="49">
        <v>2</v>
      </c>
      <c r="Z1221" s="15" t="s">
        <v>148</v>
      </c>
      <c r="AA1221" s="3" t="s">
        <v>1641</v>
      </c>
      <c r="AB1221" s="24">
        <f t="shared" si="148"/>
        <v>36.1</v>
      </c>
      <c r="AC1221" s="3" t="s">
        <v>148</v>
      </c>
      <c r="AD1221" s="17">
        <f>(Y1221*AB1221)</f>
        <v>72.2</v>
      </c>
      <c r="AE1221" s="23" t="str">
        <f t="shared" si="147"/>
        <v>|</v>
      </c>
      <c r="AG1221" s="3" t="s">
        <v>849</v>
      </c>
    </row>
    <row r="1222" spans="6:33" ht="24" customHeight="1">
      <c r="F1222" s="17">
        <v>1.1000000000000001</v>
      </c>
      <c r="G1222" s="15" t="s">
        <v>1</v>
      </c>
      <c r="H1222" s="3" t="s">
        <v>144</v>
      </c>
      <c r="I1222" s="17">
        <f>(C10)</f>
        <v>769</v>
      </c>
      <c r="J1222" s="3" t="s">
        <v>1</v>
      </c>
      <c r="K1222" s="17">
        <f>(F1222*I1222)</f>
        <v>845.90000000000009</v>
      </c>
      <c r="M1222" s="49">
        <v>2</v>
      </c>
      <c r="N1222" s="15" t="s">
        <v>148</v>
      </c>
      <c r="O1222" s="70" t="s">
        <v>1642</v>
      </c>
      <c r="P1222" s="25">
        <f>(22.2+26.8)/2</f>
        <v>24.5</v>
      </c>
      <c r="Q1222" s="4" t="s">
        <v>148</v>
      </c>
      <c r="R1222" s="17">
        <f t="shared" si="149"/>
        <v>49</v>
      </c>
      <c r="T1222" s="5">
        <f t="shared" si="150"/>
        <v>49</v>
      </c>
      <c r="Y1222" s="17">
        <v>1.6</v>
      </c>
      <c r="Z1222" s="15" t="s">
        <v>1</v>
      </c>
      <c r="AA1222" s="3" t="s">
        <v>145</v>
      </c>
      <c r="AB1222" s="24">
        <f t="shared" si="148"/>
        <v>718</v>
      </c>
      <c r="AC1222" s="3" t="s">
        <v>1</v>
      </c>
      <c r="AD1222" s="17">
        <f>(Y1222*AB1222)</f>
        <v>1148.8</v>
      </c>
      <c r="AE1222" s="23" t="str">
        <f t="shared" si="147"/>
        <v>|</v>
      </c>
      <c r="AG1222" s="3" t="s">
        <v>849</v>
      </c>
    </row>
    <row r="1223" spans="6:33" ht="24" customHeight="1">
      <c r="F1223" s="17">
        <v>1.1000000000000001</v>
      </c>
      <c r="G1223" s="15" t="s">
        <v>1</v>
      </c>
      <c r="H1223" s="3" t="s">
        <v>145</v>
      </c>
      <c r="I1223" s="17">
        <f>(C11)</f>
        <v>718</v>
      </c>
      <c r="J1223" s="3" t="s">
        <v>1</v>
      </c>
      <c r="K1223" s="17">
        <f>(F1223*I1223)</f>
        <v>789.80000000000007</v>
      </c>
      <c r="M1223" s="17">
        <v>1.6</v>
      </c>
      <c r="N1223" s="15" t="s">
        <v>1</v>
      </c>
      <c r="O1223" s="3" t="s">
        <v>145</v>
      </c>
      <c r="P1223" s="17">
        <f>P1218</f>
        <v>718</v>
      </c>
      <c r="Q1223" s="4" t="s">
        <v>1</v>
      </c>
      <c r="R1223" s="17">
        <f t="shared" si="149"/>
        <v>1148.8</v>
      </c>
      <c r="T1223" s="5">
        <f t="shared" si="150"/>
        <v>1148.8</v>
      </c>
      <c r="Y1223" s="17">
        <v>0.5</v>
      </c>
      <c r="Z1223" s="15" t="s">
        <v>1</v>
      </c>
      <c r="AA1223" s="3" t="s">
        <v>146</v>
      </c>
      <c r="AB1223" s="24">
        <f t="shared" si="148"/>
        <v>502</v>
      </c>
      <c r="AC1223" s="3" t="s">
        <v>1</v>
      </c>
      <c r="AD1223" s="17">
        <f>(Y1223*AB1223)</f>
        <v>251</v>
      </c>
      <c r="AE1223" s="23" t="str">
        <f t="shared" si="147"/>
        <v>|</v>
      </c>
      <c r="AG1223" s="3" t="s">
        <v>849</v>
      </c>
    </row>
    <row r="1224" spans="6:33" ht="24" customHeight="1">
      <c r="F1224" s="17">
        <v>2.2000000000000002</v>
      </c>
      <c r="G1224" s="15" t="s">
        <v>1</v>
      </c>
      <c r="H1224" s="3" t="s">
        <v>146</v>
      </c>
      <c r="I1224" s="17">
        <f>(C12)</f>
        <v>502</v>
      </c>
      <c r="J1224" s="3" t="s">
        <v>1</v>
      </c>
      <c r="K1224" s="17">
        <f>(F1224*I1224)</f>
        <v>1104.4000000000001</v>
      </c>
      <c r="M1224" s="17">
        <v>0.5</v>
      </c>
      <c r="N1224" s="15" t="s">
        <v>1</v>
      </c>
      <c r="O1224" s="3" t="s">
        <v>146</v>
      </c>
      <c r="P1224" s="17">
        <f>P1219</f>
        <v>502</v>
      </c>
      <c r="Q1224" s="4" t="s">
        <v>1</v>
      </c>
      <c r="R1224" s="17">
        <f t="shared" si="149"/>
        <v>251</v>
      </c>
      <c r="T1224" s="5">
        <f t="shared" si="150"/>
        <v>251</v>
      </c>
      <c r="Y1224" s="17">
        <v>1.1000000000000001</v>
      </c>
      <c r="Z1224" s="15" t="s">
        <v>1</v>
      </c>
      <c r="AA1224" s="3" t="s">
        <v>147</v>
      </c>
      <c r="AB1224" s="24">
        <f t="shared" si="148"/>
        <v>412</v>
      </c>
      <c r="AC1224" s="3" t="s">
        <v>1</v>
      </c>
      <c r="AD1224" s="17">
        <f>(Y1224*AB1224)</f>
        <v>453.20000000000005</v>
      </c>
      <c r="AE1224" s="23" t="str">
        <f t="shared" si="147"/>
        <v>|</v>
      </c>
      <c r="AG1224" s="3" t="s">
        <v>849</v>
      </c>
    </row>
    <row r="1225" spans="6:33" ht="24" customHeight="1">
      <c r="F1225" s="17">
        <v>2.2000000000000002</v>
      </c>
      <c r="G1225" s="15" t="s">
        <v>1</v>
      </c>
      <c r="H1225" s="3" t="s">
        <v>147</v>
      </c>
      <c r="I1225" s="17">
        <f>(C13)</f>
        <v>412</v>
      </c>
      <c r="J1225" s="3" t="s">
        <v>1</v>
      </c>
      <c r="K1225" s="17">
        <f>(F1225*I1225)</f>
        <v>906.40000000000009</v>
      </c>
      <c r="M1225" s="17">
        <v>1.1000000000000001</v>
      </c>
      <c r="N1225" s="15" t="s">
        <v>1</v>
      </c>
      <c r="O1225" s="3" t="s">
        <v>147</v>
      </c>
      <c r="P1225" s="17">
        <f>P1220</f>
        <v>412</v>
      </c>
      <c r="Q1225" s="4" t="s">
        <v>1</v>
      </c>
      <c r="R1225" s="17">
        <f t="shared" si="149"/>
        <v>453.20000000000005</v>
      </c>
      <c r="T1225" s="5">
        <f t="shared" si="150"/>
        <v>453.20000000000005</v>
      </c>
      <c r="Z1225" s="15" t="s">
        <v>129</v>
      </c>
      <c r="AA1225" s="3" t="s">
        <v>130</v>
      </c>
      <c r="AB1225" s="24">
        <f t="shared" si="148"/>
        <v>0</v>
      </c>
      <c r="AC1225" s="3" t="s">
        <v>129</v>
      </c>
      <c r="AD1225" s="17">
        <v>0</v>
      </c>
      <c r="AE1225" s="23" t="str">
        <f t="shared" si="147"/>
        <v>|</v>
      </c>
      <c r="AG1225" s="3" t="s">
        <v>849</v>
      </c>
    </row>
    <row r="1226" spans="6:33" ht="24" customHeight="1">
      <c r="F1226" s="49">
        <v>22</v>
      </c>
      <c r="G1226" s="15" t="s">
        <v>148</v>
      </c>
      <c r="H1226" s="3" t="s">
        <v>125</v>
      </c>
      <c r="I1226" s="17">
        <f>(C67)</f>
        <v>5800</v>
      </c>
      <c r="J1226" s="3" t="s">
        <v>124</v>
      </c>
      <c r="K1226" s="17">
        <f>(F1226*I1226)/1000</f>
        <v>127.6</v>
      </c>
      <c r="N1226" s="15" t="s">
        <v>129</v>
      </c>
      <c r="O1226" s="3" t="s">
        <v>130</v>
      </c>
      <c r="Q1226" s="4" t="s">
        <v>129</v>
      </c>
      <c r="R1226" s="17">
        <v>4.5999999999999996</v>
      </c>
      <c r="S1226" s="9">
        <f>3.27-0.52</f>
        <v>2.75</v>
      </c>
      <c r="T1226" s="5">
        <v>2.74</v>
      </c>
      <c r="Z1226" s="6"/>
      <c r="AB1226" s="24">
        <f t="shared" si="148"/>
        <v>0</v>
      </c>
      <c r="AC1226" s="8"/>
      <c r="AD1226" s="12" t="s">
        <v>117</v>
      </c>
      <c r="AE1226" s="23" t="str">
        <f t="shared" si="147"/>
        <v>|</v>
      </c>
      <c r="AG1226" s="3" t="s">
        <v>849</v>
      </c>
    </row>
    <row r="1227" spans="6:33" ht="24" customHeight="1">
      <c r="F1227" s="17">
        <v>1.6</v>
      </c>
      <c r="G1227" s="15" t="s">
        <v>1</v>
      </c>
      <c r="H1227" s="3" t="s">
        <v>145</v>
      </c>
      <c r="I1227" s="17">
        <f>(C11)</f>
        <v>718</v>
      </c>
      <c r="J1227" s="3" t="s">
        <v>1</v>
      </c>
      <c r="K1227" s="17">
        <f>(F1227*I1227)</f>
        <v>1148.8</v>
      </c>
      <c r="N1227" s="6"/>
      <c r="Q1227" s="10"/>
      <c r="R1227" s="12" t="s">
        <v>117</v>
      </c>
      <c r="Z1227" s="6"/>
      <c r="AA1227" s="3" t="s">
        <v>153</v>
      </c>
      <c r="AC1227" s="8"/>
      <c r="AD1227" s="17">
        <f>SUM(AD1213:AD1225)</f>
        <v>12484.298000000001</v>
      </c>
      <c r="AE1227" s="23" t="str">
        <f t="shared" si="147"/>
        <v>|::</v>
      </c>
      <c r="AG1227" s="3" t="s">
        <v>636</v>
      </c>
    </row>
    <row r="1228" spans="6:33" ht="24" customHeight="1">
      <c r="F1228" s="17">
        <v>0.5</v>
      </c>
      <c r="G1228" s="15" t="s">
        <v>1</v>
      </c>
      <c r="H1228" s="3" t="s">
        <v>146</v>
      </c>
      <c r="I1228" s="17">
        <f>(C12)</f>
        <v>502</v>
      </c>
      <c r="J1228" s="3" t="s">
        <v>1</v>
      </c>
      <c r="K1228" s="17">
        <f>(F1228*I1228)</f>
        <v>251</v>
      </c>
      <c r="N1228" s="6"/>
      <c r="O1228" s="3" t="s">
        <v>153</v>
      </c>
      <c r="Q1228" s="10"/>
      <c r="R1228" s="17">
        <f>SUM(R1215:R1226)</f>
        <v>12539.797999999999</v>
      </c>
      <c r="T1228" s="17">
        <f>SUM(T1215:T1227)</f>
        <v>13488.137999999999</v>
      </c>
      <c r="Z1228" s="6"/>
      <c r="AC1228" s="8"/>
      <c r="AD1228" s="12" t="s">
        <v>117</v>
      </c>
      <c r="AE1228" s="23">
        <f t="shared" si="147"/>
        <v>0</v>
      </c>
    </row>
    <row r="1229" spans="6:33" ht="24" customHeight="1">
      <c r="F1229" s="17">
        <v>1.1000000000000001</v>
      </c>
      <c r="G1229" s="15" t="s">
        <v>1</v>
      </c>
      <c r="H1229" s="3" t="s">
        <v>147</v>
      </c>
      <c r="I1229" s="17">
        <f>(C13)</f>
        <v>412</v>
      </c>
      <c r="J1229" s="3" t="s">
        <v>1</v>
      </c>
      <c r="K1229" s="17">
        <f>(F1229*I1229)</f>
        <v>453.20000000000005</v>
      </c>
      <c r="N1229" s="6"/>
      <c r="Q1229" s="10"/>
      <c r="R1229" s="12" t="s">
        <v>117</v>
      </c>
      <c r="Z1229" s="6"/>
      <c r="AA1229" s="19" t="s">
        <v>154</v>
      </c>
      <c r="AC1229" s="8"/>
      <c r="AD1229" s="16">
        <f>(AD1227/10)</f>
        <v>1248.4298000000001</v>
      </c>
      <c r="AE1229" s="23">
        <f t="shared" si="147"/>
        <v>0</v>
      </c>
    </row>
    <row r="1230" spans="6:33" ht="24" customHeight="1">
      <c r="F1230" s="3" t="s">
        <v>251</v>
      </c>
      <c r="H1230" s="3" t="s">
        <v>1643</v>
      </c>
      <c r="I1230" s="3" t="s">
        <v>115</v>
      </c>
      <c r="K1230" s="3" t="s">
        <v>115</v>
      </c>
      <c r="N1230" s="6"/>
      <c r="O1230" s="7" t="s">
        <v>154</v>
      </c>
      <c r="Q1230" s="10"/>
      <c r="R1230" s="16">
        <f>(R1228/10)</f>
        <v>1253.9797999999998</v>
      </c>
      <c r="S1230" s="9">
        <f>R1230-975.62</f>
        <v>278.35979999999984</v>
      </c>
      <c r="T1230" s="16">
        <f>(T1228/10)</f>
        <v>1348.8137999999999</v>
      </c>
      <c r="Z1230" s="6"/>
      <c r="AC1230" s="8"/>
      <c r="AD1230" s="12" t="s">
        <v>155</v>
      </c>
      <c r="AE1230" s="23" t="str">
        <f t="shared" si="147"/>
        <v>|</v>
      </c>
      <c r="AG1230" s="3" t="s">
        <v>849</v>
      </c>
    </row>
    <row r="1231" spans="6:33" ht="24" customHeight="1">
      <c r="F1231" s="17">
        <v>1</v>
      </c>
      <c r="G1231" s="15" t="s">
        <v>129</v>
      </c>
      <c r="H1231" s="3" t="s">
        <v>1644</v>
      </c>
      <c r="I1231" s="17">
        <f>(C57)</f>
        <v>35</v>
      </c>
      <c r="J1231" s="3" t="s">
        <v>129</v>
      </c>
      <c r="K1231" s="17">
        <f>(F1231*I1231)</f>
        <v>35</v>
      </c>
      <c r="N1231" s="6"/>
      <c r="O1231" s="157" t="s">
        <v>1645</v>
      </c>
      <c r="P1231" s="50" t="s">
        <v>1646</v>
      </c>
      <c r="Q1231" s="10"/>
      <c r="AE1231" s="23" t="str">
        <f t="shared" si="147"/>
        <v>|</v>
      </c>
      <c r="AG1231" s="3" t="s">
        <v>849</v>
      </c>
    </row>
    <row r="1232" spans="6:33" ht="24" customHeight="1">
      <c r="F1232" s="17">
        <v>1</v>
      </c>
      <c r="G1232" s="15" t="s">
        <v>129</v>
      </c>
      <c r="H1232" s="3" t="s">
        <v>1647</v>
      </c>
      <c r="I1232" s="17">
        <f>(C58)</f>
        <v>15</v>
      </c>
      <c r="J1232" s="3" t="s">
        <v>129</v>
      </c>
      <c r="K1232" s="17">
        <f>(F1232*I1232)</f>
        <v>15</v>
      </c>
      <c r="N1232" s="6"/>
      <c r="Q1232" s="10"/>
      <c r="AE1232" s="23" t="str">
        <f t="shared" si="147"/>
        <v>|</v>
      </c>
      <c r="AG1232" s="3" t="s">
        <v>849</v>
      </c>
    </row>
    <row r="1233" spans="6:33" ht="24" customHeight="1">
      <c r="F1233" s="17">
        <v>1</v>
      </c>
      <c r="G1233" s="15" t="s">
        <v>129</v>
      </c>
      <c r="H1233" s="3" t="s">
        <v>1648</v>
      </c>
      <c r="I1233" s="17">
        <f>(C28)</f>
        <v>84.8</v>
      </c>
      <c r="J1233" s="3" t="s">
        <v>129</v>
      </c>
      <c r="K1233" s="17">
        <f>(F1233*I1233)</f>
        <v>84.8</v>
      </c>
      <c r="M1233" s="159"/>
      <c r="N1233" s="160"/>
      <c r="O1233" s="159"/>
      <c r="P1233" s="159"/>
      <c r="Q1233" s="10"/>
      <c r="AE1233" s="23" t="str">
        <f t="shared" si="147"/>
        <v>|</v>
      </c>
      <c r="AG1233" s="3" t="s">
        <v>849</v>
      </c>
    </row>
    <row r="1234" spans="6:33" ht="24" customHeight="1">
      <c r="F1234" s="17">
        <v>1.1000000000000001</v>
      </c>
      <c r="G1234" s="15" t="s">
        <v>1</v>
      </c>
      <c r="H1234" s="3" t="s">
        <v>1649</v>
      </c>
      <c r="I1234" s="17">
        <f>(C29)</f>
        <v>592</v>
      </c>
      <c r="J1234" s="3" t="s">
        <v>1</v>
      </c>
      <c r="K1234" s="17">
        <f>(F1234*I1234)</f>
        <v>651.20000000000005</v>
      </c>
      <c r="M1234" s="17">
        <v>10</v>
      </c>
      <c r="N1234" s="15" t="s">
        <v>140</v>
      </c>
      <c r="O1234" s="3" t="s">
        <v>1650</v>
      </c>
      <c r="P1234" s="161">
        <v>597</v>
      </c>
      <c r="Q1234" s="4" t="s">
        <v>140</v>
      </c>
      <c r="R1234" s="17">
        <f>M1234*P1234</f>
        <v>5970</v>
      </c>
      <c r="T1234" s="6"/>
      <c r="U1234" s="157" t="s">
        <v>1651</v>
      </c>
      <c r="W1234" s="10"/>
      <c r="AE1234" s="23" t="str">
        <f t="shared" si="147"/>
        <v>|</v>
      </c>
      <c r="AG1234" s="3" t="s">
        <v>849</v>
      </c>
    </row>
    <row r="1235" spans="6:33" ht="24" customHeight="1">
      <c r="F1235" s="17">
        <v>2.2000000000000002</v>
      </c>
      <c r="G1235" s="15" t="s">
        <v>1</v>
      </c>
      <c r="H1235" s="3" t="s">
        <v>1652</v>
      </c>
      <c r="I1235" s="17">
        <f>(C13)</f>
        <v>412</v>
      </c>
      <c r="J1235" s="3" t="s">
        <v>1</v>
      </c>
      <c r="K1235" s="17">
        <f>(F1235*I1235)</f>
        <v>906.40000000000009</v>
      </c>
      <c r="M1235" s="17">
        <v>0.21</v>
      </c>
      <c r="N1235" s="15" t="s">
        <v>126</v>
      </c>
      <c r="O1235" s="3" t="s">
        <v>142</v>
      </c>
      <c r="P1235" s="17">
        <f>P1258</f>
        <v>4193.8</v>
      </c>
      <c r="Q1235" s="4" t="s">
        <v>126</v>
      </c>
      <c r="R1235" s="17">
        <f>(M1235*P1235)</f>
        <v>880.69799999999998</v>
      </c>
      <c r="T1235" s="6"/>
      <c r="W1235" s="10"/>
      <c r="AE1235" s="23" t="str">
        <f t="shared" si="147"/>
        <v>|</v>
      </c>
      <c r="AG1235" s="3" t="s">
        <v>849</v>
      </c>
    </row>
    <row r="1236" spans="6:33" ht="24" customHeight="1">
      <c r="G1236" s="15" t="s">
        <v>129</v>
      </c>
      <c r="H1236" s="3" t="s">
        <v>130</v>
      </c>
      <c r="J1236" s="3" t="s">
        <v>129</v>
      </c>
      <c r="K1236" s="17">
        <v>0</v>
      </c>
      <c r="M1236" s="17">
        <v>1.1000000000000001</v>
      </c>
      <c r="N1236" s="15" t="s">
        <v>1</v>
      </c>
      <c r="O1236" s="3" t="s">
        <v>144</v>
      </c>
      <c r="P1236" s="17">
        <f t="shared" ref="P1236:P1244" si="151">P1259</f>
        <v>769</v>
      </c>
      <c r="Q1236" s="4" t="s">
        <v>1</v>
      </c>
      <c r="R1236" s="17">
        <f>(M1236*P1236)</f>
        <v>845.90000000000009</v>
      </c>
      <c r="T1236" s="6"/>
      <c r="W1236" s="10"/>
      <c r="AE1236" s="23" t="str">
        <f t="shared" si="147"/>
        <v>|</v>
      </c>
      <c r="AG1236" s="3" t="s">
        <v>849</v>
      </c>
    </row>
    <row r="1237" spans="6:33" ht="24" customHeight="1">
      <c r="K1237" s="12" t="s">
        <v>117</v>
      </c>
      <c r="M1237" s="17">
        <v>1.1000000000000001</v>
      </c>
      <c r="N1237" s="15" t="s">
        <v>1</v>
      </c>
      <c r="O1237" s="3" t="s">
        <v>145</v>
      </c>
      <c r="P1237" s="17">
        <f t="shared" si="151"/>
        <v>718</v>
      </c>
      <c r="Q1237" s="4" t="s">
        <v>1</v>
      </c>
      <c r="R1237" s="17">
        <f>(M1237*P1237)</f>
        <v>789.80000000000007</v>
      </c>
      <c r="S1237" s="49">
        <v>10</v>
      </c>
      <c r="T1237" s="15" t="s">
        <v>140</v>
      </c>
      <c r="U1237" s="3" t="s">
        <v>1653</v>
      </c>
      <c r="V1237" s="104">
        <v>700</v>
      </c>
      <c r="W1237" s="4" t="s">
        <v>140</v>
      </c>
      <c r="X1237" s="17">
        <f>S1237*V1237</f>
        <v>7000</v>
      </c>
      <c r="Y1237" s="51">
        <v>29.5</v>
      </c>
      <c r="Z1237" s="15" t="s">
        <v>122</v>
      </c>
      <c r="AA1237" s="7" t="s">
        <v>1654</v>
      </c>
      <c r="AE1237" s="23" t="str">
        <f t="shared" si="147"/>
        <v>|</v>
      </c>
      <c r="AG1237" s="3" t="s">
        <v>849</v>
      </c>
    </row>
    <row r="1238" spans="6:33" ht="24" customHeight="1">
      <c r="H1238" s="3" t="s">
        <v>153</v>
      </c>
      <c r="K1238" s="17">
        <f>SUM(K1218:K1236)</f>
        <v>10049.637999999999</v>
      </c>
      <c r="M1238" s="17">
        <v>2.2000000000000002</v>
      </c>
      <c r="N1238" s="15" t="s">
        <v>1</v>
      </c>
      <c r="O1238" s="3" t="s">
        <v>146</v>
      </c>
      <c r="P1238" s="17">
        <f t="shared" si="151"/>
        <v>502</v>
      </c>
      <c r="Q1238" s="4" t="s">
        <v>1</v>
      </c>
      <c r="R1238" s="17">
        <f>(M1238*P1238)</f>
        <v>1104.4000000000001</v>
      </c>
      <c r="S1238" s="49">
        <v>0.21</v>
      </c>
      <c r="T1238" s="15" t="s">
        <v>126</v>
      </c>
      <c r="U1238" s="3" t="s">
        <v>142</v>
      </c>
      <c r="V1238" s="17">
        <f t="shared" ref="V1238:V1247" si="152">P1258</f>
        <v>4193.8</v>
      </c>
      <c r="W1238" s="4" t="s">
        <v>126</v>
      </c>
      <c r="X1238" s="17">
        <f>(S1238*V1238)</f>
        <v>880.69799999999998</v>
      </c>
      <c r="Z1238" s="6"/>
      <c r="AA1238" s="3"/>
      <c r="AE1238" s="23" t="str">
        <f t="shared" si="147"/>
        <v>|</v>
      </c>
      <c r="AG1238" s="3" t="s">
        <v>849</v>
      </c>
    </row>
    <row r="1239" spans="6:33" ht="24" customHeight="1">
      <c r="K1239" s="12" t="s">
        <v>117</v>
      </c>
      <c r="M1239" s="17">
        <v>2.2000000000000002</v>
      </c>
      <c r="N1239" s="15" t="s">
        <v>1</v>
      </c>
      <c r="O1239" s="3" t="s">
        <v>147</v>
      </c>
      <c r="P1239" s="17">
        <f t="shared" si="151"/>
        <v>412</v>
      </c>
      <c r="Q1239" s="4" t="s">
        <v>1</v>
      </c>
      <c r="R1239" s="17">
        <f>(M1239*P1239)</f>
        <v>906.40000000000009</v>
      </c>
      <c r="S1239" s="49">
        <v>1.1000000000000001</v>
      </c>
      <c r="T1239" s="15" t="s">
        <v>1</v>
      </c>
      <c r="U1239" s="3" t="s">
        <v>144</v>
      </c>
      <c r="V1239" s="17">
        <f t="shared" si="152"/>
        <v>769</v>
      </c>
      <c r="W1239" s="4" t="s">
        <v>1</v>
      </c>
      <c r="X1239" s="17">
        <f>(S1239*V1239)</f>
        <v>845.90000000000009</v>
      </c>
      <c r="Z1239" s="6"/>
      <c r="AA1239" s="3"/>
      <c r="AE1239" s="23" t="str">
        <f t="shared" si="147"/>
        <v>|</v>
      </c>
      <c r="AG1239" s="3" t="s">
        <v>849</v>
      </c>
    </row>
    <row r="1240" spans="6:33" ht="24" customHeight="1">
      <c r="F1240" s="3" t="s">
        <v>115</v>
      </c>
      <c r="M1240" s="49">
        <v>20</v>
      </c>
      <c r="N1240" s="15" t="s">
        <v>148</v>
      </c>
      <c r="O1240" s="3" t="s">
        <v>125</v>
      </c>
      <c r="P1240" s="17">
        <f t="shared" si="151"/>
        <v>5800</v>
      </c>
      <c r="Q1240" s="4" t="s">
        <v>124</v>
      </c>
      <c r="R1240" s="17">
        <f>(M1240*P1240)/1000</f>
        <v>116</v>
      </c>
      <c r="S1240" s="49">
        <v>1.1000000000000001</v>
      </c>
      <c r="T1240" s="15" t="s">
        <v>1</v>
      </c>
      <c r="U1240" s="3" t="s">
        <v>145</v>
      </c>
      <c r="V1240" s="17">
        <f t="shared" si="152"/>
        <v>718</v>
      </c>
      <c r="W1240" s="4" t="s">
        <v>1</v>
      </c>
      <c r="X1240" s="17">
        <f>(S1240*V1240)</f>
        <v>789.80000000000007</v>
      </c>
      <c r="Z1240" s="6"/>
      <c r="AA1240" s="12" t="s">
        <v>117</v>
      </c>
      <c r="AB1240" s="12" t="s">
        <v>117</v>
      </c>
      <c r="AC1240" s="8"/>
      <c r="AE1240" s="23" t="str">
        <f t="shared" si="147"/>
        <v>|</v>
      </c>
      <c r="AG1240" s="3" t="s">
        <v>849</v>
      </c>
    </row>
    <row r="1241" spans="6:33" ht="45.75" customHeight="1">
      <c r="H1241" s="19" t="s">
        <v>154</v>
      </c>
      <c r="K1241" s="16">
        <f>(K1238/10)</f>
        <v>1004.9637999999999</v>
      </c>
      <c r="M1241" s="49">
        <v>2</v>
      </c>
      <c r="N1241" s="15" t="s">
        <v>148</v>
      </c>
      <c r="O1241" s="3" t="s">
        <v>1655</v>
      </c>
      <c r="P1241" s="17">
        <f t="shared" si="151"/>
        <v>36.1</v>
      </c>
      <c r="Q1241" s="4" t="s">
        <v>148</v>
      </c>
      <c r="R1241" s="17">
        <f>(M1241*P1241)</f>
        <v>72.2</v>
      </c>
      <c r="S1241" s="49">
        <v>2.2000000000000002</v>
      </c>
      <c r="T1241" s="15" t="s">
        <v>1</v>
      </c>
      <c r="U1241" s="3" t="s">
        <v>146</v>
      </c>
      <c r="V1241" s="17">
        <f t="shared" si="152"/>
        <v>502</v>
      </c>
      <c r="W1241" s="4" t="s">
        <v>1</v>
      </c>
      <c r="X1241" s="17">
        <f>(S1241*V1241)</f>
        <v>1104.4000000000001</v>
      </c>
      <c r="Y1241" s="17">
        <v>10</v>
      </c>
      <c r="Z1241" s="15" t="s">
        <v>140</v>
      </c>
      <c r="AA1241" s="66" t="s">
        <v>1656</v>
      </c>
      <c r="AB1241" s="25">
        <v>756</v>
      </c>
      <c r="AC1241" s="3" t="s">
        <v>140</v>
      </c>
      <c r="AD1241" s="17">
        <f>(Y1241*AB1241)</f>
        <v>7560</v>
      </c>
      <c r="AE1241" s="23" t="str">
        <f t="shared" si="147"/>
        <v>|</v>
      </c>
      <c r="AG1241" s="3" t="s">
        <v>849</v>
      </c>
    </row>
    <row r="1242" spans="6:33" ht="24" customHeight="1">
      <c r="F1242" s="3" t="s">
        <v>115</v>
      </c>
      <c r="M1242" s="17">
        <v>1.6</v>
      </c>
      <c r="N1242" s="15" t="s">
        <v>1</v>
      </c>
      <c r="O1242" s="3" t="s">
        <v>145</v>
      </c>
      <c r="P1242" s="17">
        <f t="shared" si="151"/>
        <v>718</v>
      </c>
      <c r="Q1242" s="4" t="s">
        <v>1</v>
      </c>
      <c r="R1242" s="17">
        <f>(M1242*P1242)</f>
        <v>1148.8</v>
      </c>
      <c r="S1242" s="49">
        <v>2.2000000000000002</v>
      </c>
      <c r="T1242" s="15" t="s">
        <v>1</v>
      </c>
      <c r="U1242" s="3" t="s">
        <v>147</v>
      </c>
      <c r="V1242" s="17">
        <f t="shared" si="152"/>
        <v>412</v>
      </c>
      <c r="W1242" s="4" t="s">
        <v>1</v>
      </c>
      <c r="X1242" s="17">
        <f>(S1242*V1242)</f>
        <v>906.40000000000009</v>
      </c>
      <c r="Y1242" s="17">
        <v>0.21</v>
      </c>
      <c r="Z1242" s="15" t="s">
        <v>126</v>
      </c>
      <c r="AA1242" s="3" t="s">
        <v>142</v>
      </c>
      <c r="AB1242" s="17">
        <f>V1238</f>
        <v>4193.8</v>
      </c>
      <c r="AC1242" s="3" t="s">
        <v>126</v>
      </c>
      <c r="AD1242" s="17">
        <f>(Y1242*AB1242)</f>
        <v>880.69799999999998</v>
      </c>
      <c r="AE1242" s="23" t="str">
        <f t="shared" si="147"/>
        <v>|</v>
      </c>
      <c r="AG1242" s="3" t="s">
        <v>849</v>
      </c>
    </row>
    <row r="1243" spans="6:33" ht="24" customHeight="1">
      <c r="K1243" s="12" t="s">
        <v>155</v>
      </c>
      <c r="M1243" s="17">
        <v>0.5</v>
      </c>
      <c r="N1243" s="15" t="s">
        <v>1</v>
      </c>
      <c r="O1243" s="3" t="s">
        <v>146</v>
      </c>
      <c r="P1243" s="17">
        <f t="shared" si="151"/>
        <v>502</v>
      </c>
      <c r="Q1243" s="4" t="s">
        <v>1</v>
      </c>
      <c r="R1243" s="17">
        <f>(M1243*P1243)</f>
        <v>251</v>
      </c>
      <c r="S1243" s="49">
        <v>20</v>
      </c>
      <c r="T1243" s="15" t="s">
        <v>148</v>
      </c>
      <c r="U1243" s="3" t="s">
        <v>125</v>
      </c>
      <c r="V1243" s="17">
        <f t="shared" si="152"/>
        <v>5800</v>
      </c>
      <c r="W1243" s="4" t="s">
        <v>124</v>
      </c>
      <c r="X1243" s="17">
        <f>(S1243*V1243)/1000</f>
        <v>116</v>
      </c>
      <c r="Z1243" s="6"/>
      <c r="AA1243" s="3" t="s">
        <v>160</v>
      </c>
      <c r="AB1243" s="3" t="s">
        <v>115</v>
      </c>
      <c r="AC1243" s="8"/>
      <c r="AD1243" s="3" t="s">
        <v>115</v>
      </c>
      <c r="AE1243" s="23" t="str">
        <f t="shared" si="147"/>
        <v>|</v>
      </c>
      <c r="AG1243" s="3" t="s">
        <v>849</v>
      </c>
    </row>
    <row r="1244" spans="6:33" ht="24" customHeight="1">
      <c r="F1244" s="51">
        <v>29.5</v>
      </c>
      <c r="G1244" s="15" t="s">
        <v>122</v>
      </c>
      <c r="H1244" s="3" t="s">
        <v>156</v>
      </c>
      <c r="M1244" s="17">
        <v>1.1000000000000001</v>
      </c>
      <c r="N1244" s="15" t="s">
        <v>1</v>
      </c>
      <c r="O1244" s="3" t="s">
        <v>147</v>
      </c>
      <c r="P1244" s="17">
        <f t="shared" si="151"/>
        <v>412</v>
      </c>
      <c r="Q1244" s="4" t="s">
        <v>1</v>
      </c>
      <c r="R1244" s="17">
        <f>(M1244*P1244)</f>
        <v>453.20000000000005</v>
      </c>
      <c r="S1244" s="49">
        <v>2</v>
      </c>
      <c r="T1244" s="15" t="s">
        <v>148</v>
      </c>
      <c r="U1244" s="3" t="s">
        <v>1655</v>
      </c>
      <c r="V1244" s="17">
        <f t="shared" si="152"/>
        <v>36.1</v>
      </c>
      <c r="W1244" s="4" t="s">
        <v>148</v>
      </c>
      <c r="X1244" s="17">
        <f>(S1244*V1244)</f>
        <v>72.2</v>
      </c>
      <c r="Y1244" s="17">
        <v>1.1000000000000001</v>
      </c>
      <c r="Z1244" s="15" t="s">
        <v>1</v>
      </c>
      <c r="AA1244" s="3" t="s">
        <v>144</v>
      </c>
      <c r="AB1244" s="17">
        <f>V1239</f>
        <v>769</v>
      </c>
      <c r="AC1244" s="3" t="s">
        <v>1</v>
      </c>
      <c r="AD1244" s="17">
        <f>(Y1244*AB1244)</f>
        <v>845.90000000000009</v>
      </c>
      <c r="AE1244" s="23" t="str">
        <f t="shared" si="147"/>
        <v>|</v>
      </c>
      <c r="AG1244" s="3" t="s">
        <v>849</v>
      </c>
    </row>
    <row r="1245" spans="6:33" ht="24" customHeight="1">
      <c r="H1245" s="3" t="s">
        <v>157</v>
      </c>
      <c r="N1245" s="15" t="s">
        <v>129</v>
      </c>
      <c r="O1245" s="3" t="s">
        <v>130</v>
      </c>
      <c r="Q1245" s="4" t="s">
        <v>129</v>
      </c>
      <c r="R1245" s="17">
        <v>0</v>
      </c>
      <c r="S1245" s="49">
        <v>1.6</v>
      </c>
      <c r="T1245" s="15" t="s">
        <v>1</v>
      </c>
      <c r="U1245" s="3" t="s">
        <v>145</v>
      </c>
      <c r="V1245" s="17">
        <f t="shared" si="152"/>
        <v>718</v>
      </c>
      <c r="W1245" s="4" t="s">
        <v>1</v>
      </c>
      <c r="X1245" s="17">
        <f>(S1245*V1245)</f>
        <v>1148.8</v>
      </c>
      <c r="Y1245" s="17">
        <v>1.1000000000000001</v>
      </c>
      <c r="Z1245" s="15" t="s">
        <v>1</v>
      </c>
      <c r="AA1245" s="3" t="s">
        <v>145</v>
      </c>
      <c r="AB1245" s="17">
        <f>V1240</f>
        <v>718</v>
      </c>
      <c r="AC1245" s="3" t="s">
        <v>1</v>
      </c>
      <c r="AD1245" s="17">
        <f>(Y1245*AB1245)</f>
        <v>789.80000000000007</v>
      </c>
      <c r="AE1245" s="23" t="str">
        <f t="shared" si="147"/>
        <v>|</v>
      </c>
      <c r="AG1245" s="3" t="s">
        <v>849</v>
      </c>
    </row>
    <row r="1246" spans="6:33" ht="24" customHeight="1">
      <c r="H1246" s="3" t="s">
        <v>158</v>
      </c>
      <c r="N1246" s="6"/>
      <c r="Q1246" s="10"/>
      <c r="R1246" s="12"/>
      <c r="S1246" s="49">
        <v>0.5</v>
      </c>
      <c r="T1246" s="15" t="s">
        <v>1</v>
      </c>
      <c r="U1246" s="3" t="s">
        <v>146</v>
      </c>
      <c r="V1246" s="17">
        <f t="shared" si="152"/>
        <v>502</v>
      </c>
      <c r="W1246" s="4" t="s">
        <v>1</v>
      </c>
      <c r="X1246" s="17">
        <f>(S1246*V1246)</f>
        <v>251</v>
      </c>
      <c r="Y1246" s="17">
        <v>2.2000000000000002</v>
      </c>
      <c r="Z1246" s="15" t="s">
        <v>1</v>
      </c>
      <c r="AA1246" s="3" t="s">
        <v>146</v>
      </c>
      <c r="AB1246" s="17">
        <f>V1241</f>
        <v>502</v>
      </c>
      <c r="AC1246" s="3" t="s">
        <v>1</v>
      </c>
      <c r="AD1246" s="17">
        <f>(Y1246*AB1246)</f>
        <v>1104.4000000000001</v>
      </c>
      <c r="AE1246" s="23" t="str">
        <f t="shared" si="147"/>
        <v>|</v>
      </c>
      <c r="AG1246" s="3" t="s">
        <v>849</v>
      </c>
    </row>
    <row r="1247" spans="6:33" ht="24" customHeight="1">
      <c r="H1247" s="12" t="s">
        <v>117</v>
      </c>
      <c r="I1247" s="12" t="s">
        <v>117</v>
      </c>
      <c r="N1247" s="6"/>
      <c r="O1247" s="3" t="s">
        <v>153</v>
      </c>
      <c r="Q1247" s="10"/>
      <c r="R1247" s="17">
        <f>SUM(R1234:R1245)</f>
        <v>12538.397999999999</v>
      </c>
      <c r="S1247" s="49">
        <v>1.1000000000000001</v>
      </c>
      <c r="T1247" s="15" t="s">
        <v>1</v>
      </c>
      <c r="U1247" s="3" t="s">
        <v>147</v>
      </c>
      <c r="V1247" s="17">
        <f t="shared" si="152"/>
        <v>412</v>
      </c>
      <c r="W1247" s="4" t="s">
        <v>1</v>
      </c>
      <c r="X1247" s="17">
        <f>(S1247*V1247)</f>
        <v>453.20000000000005</v>
      </c>
      <c r="Y1247" s="17">
        <v>2.2000000000000002</v>
      </c>
      <c r="Z1247" s="15" t="s">
        <v>1</v>
      </c>
      <c r="AA1247" s="3" t="s">
        <v>147</v>
      </c>
      <c r="AB1247" s="17">
        <f>V1242</f>
        <v>412</v>
      </c>
      <c r="AC1247" s="3" t="s">
        <v>1</v>
      </c>
      <c r="AD1247" s="17">
        <f>(Y1247*AB1247)</f>
        <v>906.40000000000009</v>
      </c>
      <c r="AE1247" s="23" t="str">
        <f t="shared" si="147"/>
        <v>|</v>
      </c>
      <c r="AG1247" s="3" t="s">
        <v>849</v>
      </c>
    </row>
    <row r="1248" spans="6:33" ht="24" customHeight="1">
      <c r="F1248" s="17">
        <v>10</v>
      </c>
      <c r="G1248" s="15" t="s">
        <v>140</v>
      </c>
      <c r="H1248" s="3" t="s">
        <v>159</v>
      </c>
      <c r="I1248" s="24">
        <f>C601</f>
        <v>346.14</v>
      </c>
      <c r="J1248" s="3" t="s">
        <v>140</v>
      </c>
      <c r="K1248" s="17">
        <f>(F1248*I1248)</f>
        <v>3461.3999999999996</v>
      </c>
      <c r="N1248" s="6"/>
      <c r="Q1248" s="10"/>
      <c r="R1248" s="12" t="s">
        <v>117</v>
      </c>
      <c r="T1248" s="15" t="s">
        <v>129</v>
      </c>
      <c r="U1248" s="3" t="s">
        <v>130</v>
      </c>
      <c r="W1248" s="4" t="s">
        <v>129</v>
      </c>
      <c r="X1248" s="17">
        <v>0.18</v>
      </c>
      <c r="Y1248" s="49">
        <v>20</v>
      </c>
      <c r="Z1248" s="15" t="s">
        <v>148</v>
      </c>
      <c r="AA1248" s="3" t="s">
        <v>125</v>
      </c>
      <c r="AB1248" s="17">
        <f>V1243</f>
        <v>5800</v>
      </c>
      <c r="AC1248" s="3" t="s">
        <v>124</v>
      </c>
      <c r="AD1248" s="17">
        <f>(Y1248*AB1248)/1000</f>
        <v>116</v>
      </c>
      <c r="AE1248" s="23" t="str">
        <f t="shared" si="147"/>
        <v>|</v>
      </c>
      <c r="AG1248" s="3" t="s">
        <v>849</v>
      </c>
    </row>
    <row r="1249" spans="6:33" ht="24" customHeight="1">
      <c r="F1249" s="17">
        <v>0.21</v>
      </c>
      <c r="G1249" s="15" t="s">
        <v>126</v>
      </c>
      <c r="H1249" s="3" t="s">
        <v>142</v>
      </c>
      <c r="I1249" s="17">
        <f>(K32)</f>
        <v>4193.8</v>
      </c>
      <c r="J1249" s="3" t="s">
        <v>126</v>
      </c>
      <c r="K1249" s="17">
        <f>(F1249*I1249)</f>
        <v>880.69799999999998</v>
      </c>
      <c r="N1249" s="6"/>
      <c r="O1249" s="7" t="s">
        <v>154</v>
      </c>
      <c r="Q1249" s="10"/>
      <c r="R1249" s="16">
        <f>(R1247/10)</f>
        <v>1253.8398</v>
      </c>
      <c r="T1249" s="6"/>
      <c r="W1249" s="10"/>
      <c r="X1249" s="12" t="s">
        <v>117</v>
      </c>
      <c r="Y1249" s="49">
        <v>2</v>
      </c>
      <c r="Z1249" s="15" t="s">
        <v>148</v>
      </c>
      <c r="AA1249" s="3" t="s">
        <v>1641</v>
      </c>
      <c r="AB1249" s="17">
        <v>36.1</v>
      </c>
      <c r="AC1249" s="3" t="s">
        <v>148</v>
      </c>
      <c r="AD1249" s="17">
        <f>(Y1249*AB1249)</f>
        <v>72.2</v>
      </c>
      <c r="AE1249" s="23">
        <f t="shared" si="147"/>
        <v>0</v>
      </c>
    </row>
    <row r="1250" spans="6:33" ht="24" customHeight="1">
      <c r="H1250" s="3" t="s">
        <v>160</v>
      </c>
      <c r="I1250" s="3" t="s">
        <v>115</v>
      </c>
      <c r="K1250" s="3" t="s">
        <v>115</v>
      </c>
      <c r="N1250" s="6"/>
      <c r="Q1250" s="10"/>
      <c r="R1250" s="12"/>
      <c r="T1250" s="6"/>
      <c r="U1250" s="3" t="s">
        <v>153</v>
      </c>
      <c r="W1250" s="10"/>
      <c r="X1250" s="17">
        <f>SUM(X1237:X1248)</f>
        <v>13568.578</v>
      </c>
      <c r="Y1250" s="17">
        <v>1.6</v>
      </c>
      <c r="Z1250" s="15" t="s">
        <v>1</v>
      </c>
      <c r="AA1250" s="3" t="s">
        <v>145</v>
      </c>
      <c r="AB1250" s="17">
        <f>V1245</f>
        <v>718</v>
      </c>
      <c r="AC1250" s="3" t="s">
        <v>1</v>
      </c>
      <c r="AD1250" s="17">
        <f>(Y1250*AB1250)</f>
        <v>1148.8</v>
      </c>
      <c r="AE1250" s="23" t="str">
        <f t="shared" si="147"/>
        <v>|</v>
      </c>
      <c r="AG1250" s="3" t="s">
        <v>849</v>
      </c>
    </row>
    <row r="1251" spans="6:33" ht="24" customHeight="1">
      <c r="F1251" s="17">
        <v>1.1000000000000001</v>
      </c>
      <c r="G1251" s="15" t="s">
        <v>1</v>
      </c>
      <c r="H1251" s="3" t="s">
        <v>144</v>
      </c>
      <c r="I1251" s="17">
        <f>(C10)</f>
        <v>769</v>
      </c>
      <c r="J1251" s="3" t="s">
        <v>1</v>
      </c>
      <c r="K1251" s="17">
        <f>(F1251*I1251)</f>
        <v>845.90000000000009</v>
      </c>
      <c r="N1251" s="6"/>
      <c r="Q1251" s="10"/>
      <c r="R1251" s="12"/>
      <c r="T1251" s="6"/>
      <c r="W1251" s="10"/>
      <c r="X1251" s="12" t="s">
        <v>117</v>
      </c>
      <c r="Y1251" s="17">
        <v>0.5</v>
      </c>
      <c r="Z1251" s="15" t="s">
        <v>1</v>
      </c>
      <c r="AA1251" s="3" t="s">
        <v>146</v>
      </c>
      <c r="AB1251" s="17">
        <f>V1246</f>
        <v>502</v>
      </c>
      <c r="AC1251" s="3" t="s">
        <v>1</v>
      </c>
      <c r="AD1251" s="17">
        <f>(Y1251*AB1251)</f>
        <v>251</v>
      </c>
      <c r="AE1251" s="23">
        <f t="shared" si="147"/>
        <v>0</v>
      </c>
    </row>
    <row r="1252" spans="6:33" ht="24" customHeight="1">
      <c r="F1252" s="17">
        <v>1.1000000000000001</v>
      </c>
      <c r="G1252" s="15" t="s">
        <v>1</v>
      </c>
      <c r="H1252" s="3" t="s">
        <v>145</v>
      </c>
      <c r="I1252" s="17">
        <f>(C11)</f>
        <v>718</v>
      </c>
      <c r="J1252" s="3" t="s">
        <v>1</v>
      </c>
      <c r="K1252" s="17">
        <f>(F1252*I1252)</f>
        <v>789.80000000000007</v>
      </c>
      <c r="N1252" s="6"/>
      <c r="Q1252" s="10"/>
      <c r="R1252" s="12"/>
      <c r="T1252" s="6"/>
      <c r="U1252" s="7" t="s">
        <v>154</v>
      </c>
      <c r="W1252" s="10"/>
      <c r="X1252" s="16">
        <f>(X1250/10)</f>
        <v>1356.8578</v>
      </c>
      <c r="Y1252" s="17">
        <v>1.1000000000000001</v>
      </c>
      <c r="Z1252" s="15" t="s">
        <v>1</v>
      </c>
      <c r="AA1252" s="3" t="s">
        <v>147</v>
      </c>
      <c r="AB1252" s="17">
        <f>V1247</f>
        <v>412</v>
      </c>
      <c r="AC1252" s="3" t="s">
        <v>1</v>
      </c>
      <c r="AD1252" s="17">
        <f>(Y1252*AB1252)</f>
        <v>453.20000000000005</v>
      </c>
      <c r="AE1252" s="23" t="str">
        <f t="shared" si="147"/>
        <v>|</v>
      </c>
      <c r="AG1252" s="3" t="s">
        <v>849</v>
      </c>
    </row>
    <row r="1253" spans="6:33" ht="24" customHeight="1">
      <c r="F1253" s="17">
        <v>2.2000000000000002</v>
      </c>
      <c r="G1253" s="15" t="s">
        <v>1</v>
      </c>
      <c r="H1253" s="3" t="s">
        <v>146</v>
      </c>
      <c r="I1253" s="17">
        <f>(C12)</f>
        <v>502</v>
      </c>
      <c r="J1253" s="3" t="s">
        <v>1</v>
      </c>
      <c r="K1253" s="17">
        <f>(F1253*I1253)</f>
        <v>1104.4000000000001</v>
      </c>
      <c r="N1253" s="6"/>
      <c r="Q1253" s="10"/>
      <c r="R1253" s="12"/>
      <c r="Z1253" s="15" t="s">
        <v>129</v>
      </c>
      <c r="AA1253" s="3" t="s">
        <v>130</v>
      </c>
      <c r="AB1253" s="17">
        <f>V1248</f>
        <v>0</v>
      </c>
      <c r="AC1253" s="3" t="s">
        <v>129</v>
      </c>
      <c r="AD1253" s="17">
        <v>0</v>
      </c>
      <c r="AE1253" s="23" t="str">
        <f t="shared" si="147"/>
        <v>|</v>
      </c>
      <c r="AG1253" s="3" t="s">
        <v>849</v>
      </c>
    </row>
    <row r="1254" spans="6:33" ht="24" customHeight="1">
      <c r="F1254" s="17">
        <v>2.2000000000000002</v>
      </c>
      <c r="G1254" s="15" t="s">
        <v>1</v>
      </c>
      <c r="H1254" s="3" t="s">
        <v>147</v>
      </c>
      <c r="I1254" s="17">
        <f>(C13)</f>
        <v>412</v>
      </c>
      <c r="J1254" s="3" t="s">
        <v>1</v>
      </c>
      <c r="K1254" s="17">
        <f>(F1254*I1254)</f>
        <v>906.40000000000009</v>
      </c>
      <c r="M1254" s="162"/>
      <c r="N1254" s="163"/>
      <c r="O1254" s="164" t="s">
        <v>1657</v>
      </c>
      <c r="P1254" s="162"/>
      <c r="Q1254" s="165" t="s">
        <v>1658</v>
      </c>
      <c r="R1254" s="162"/>
      <c r="Z1254" s="6"/>
      <c r="AC1254" s="8"/>
      <c r="AD1254" s="12" t="s">
        <v>117</v>
      </c>
      <c r="AE1254" s="23" t="str">
        <f t="shared" si="147"/>
        <v>|</v>
      </c>
      <c r="AG1254" s="3" t="s">
        <v>849</v>
      </c>
    </row>
    <row r="1255" spans="6:33" ht="24" customHeight="1">
      <c r="F1255" s="49">
        <v>20</v>
      </c>
      <c r="G1255" s="15" t="s">
        <v>148</v>
      </c>
      <c r="H1255" s="3" t="s">
        <v>125</v>
      </c>
      <c r="I1255" s="17">
        <f>(C67)</f>
        <v>5800</v>
      </c>
      <c r="J1255" s="3" t="s">
        <v>124</v>
      </c>
      <c r="K1255" s="17">
        <f>(F1255*I1255)/1000</f>
        <v>116</v>
      </c>
      <c r="M1255" s="162"/>
      <c r="N1255" s="163"/>
      <c r="O1255" s="162"/>
      <c r="P1255" s="162"/>
      <c r="Q1255" s="165"/>
      <c r="R1255" s="162"/>
      <c r="Z1255" s="6"/>
      <c r="AA1255" s="3" t="s">
        <v>153</v>
      </c>
      <c r="AC1255" s="8"/>
      <c r="AD1255" s="17">
        <f>SUM(AD1241:AD1253)</f>
        <v>14128.397999999999</v>
      </c>
      <c r="AE1255" s="23" t="str">
        <f t="shared" si="147"/>
        <v>|</v>
      </c>
      <c r="AG1255" s="3" t="s">
        <v>849</v>
      </c>
    </row>
    <row r="1256" spans="6:33" ht="24" customHeight="1">
      <c r="F1256" s="49">
        <v>2</v>
      </c>
      <c r="G1256" s="15" t="s">
        <v>148</v>
      </c>
      <c r="H1256" s="52" t="s">
        <v>161</v>
      </c>
      <c r="I1256" s="107">
        <v>36.1</v>
      </c>
      <c r="J1256" s="3" t="s">
        <v>148</v>
      </c>
      <c r="K1256" s="17">
        <f>(F1256*I1256)</f>
        <v>72.2</v>
      </c>
      <c r="M1256" s="166"/>
      <c r="N1256" s="167"/>
      <c r="O1256" s="166"/>
      <c r="P1256" s="166"/>
      <c r="Q1256" s="165"/>
      <c r="R1256" s="162"/>
      <c r="Z1256" s="6"/>
      <c r="AC1256" s="8"/>
      <c r="AD1256" s="12" t="s">
        <v>117</v>
      </c>
      <c r="AE1256" s="23" t="str">
        <f t="shared" si="147"/>
        <v>|</v>
      </c>
      <c r="AG1256" s="3" t="s">
        <v>849</v>
      </c>
    </row>
    <row r="1257" spans="6:33" ht="24" customHeight="1">
      <c r="F1257" s="17">
        <v>1.6</v>
      </c>
      <c r="G1257" s="15" t="s">
        <v>1</v>
      </c>
      <c r="H1257" s="3" t="s">
        <v>145</v>
      </c>
      <c r="I1257" s="17">
        <f>(C11)</f>
        <v>718</v>
      </c>
      <c r="J1257" s="3" t="s">
        <v>1</v>
      </c>
      <c r="K1257" s="17">
        <f>(F1257*I1257)</f>
        <v>1148.8</v>
      </c>
      <c r="M1257" s="168">
        <v>10</v>
      </c>
      <c r="N1257" s="169" t="s">
        <v>140</v>
      </c>
      <c r="O1257" s="170" t="s">
        <v>1659</v>
      </c>
      <c r="P1257" s="171">
        <v>421.3</v>
      </c>
      <c r="Q1257" s="172" t="s">
        <v>140</v>
      </c>
      <c r="R1257" s="173">
        <f>M1257*P1257</f>
        <v>4213</v>
      </c>
      <c r="Z1257" s="6"/>
      <c r="AA1257" s="19" t="s">
        <v>154</v>
      </c>
      <c r="AC1257" s="8"/>
      <c r="AD1257" s="16">
        <f>(AD1255/10)</f>
        <v>1412.8398</v>
      </c>
      <c r="AE1257" s="174" t="s">
        <v>1660</v>
      </c>
      <c r="AG1257" s="3" t="s">
        <v>849</v>
      </c>
    </row>
    <row r="1258" spans="6:33" ht="24" customHeight="1">
      <c r="F1258" s="17">
        <v>0.5</v>
      </c>
      <c r="G1258" s="15" t="s">
        <v>1</v>
      </c>
      <c r="H1258" s="3" t="s">
        <v>146</v>
      </c>
      <c r="I1258" s="17">
        <f>(C12)</f>
        <v>502</v>
      </c>
      <c r="J1258" s="3" t="s">
        <v>1</v>
      </c>
      <c r="K1258" s="17">
        <f>(F1258*I1258)</f>
        <v>251</v>
      </c>
      <c r="M1258" s="173">
        <v>0.21</v>
      </c>
      <c r="N1258" s="175" t="s">
        <v>126</v>
      </c>
      <c r="O1258" s="176" t="s">
        <v>142</v>
      </c>
      <c r="P1258" s="173">
        <f t="shared" ref="P1258:P1263" si="153">P1216</f>
        <v>4193.8</v>
      </c>
      <c r="Q1258" s="172" t="s">
        <v>126</v>
      </c>
      <c r="R1258" s="173">
        <f t="shared" ref="R1258:R1267" si="154">(M1258*P1258)</f>
        <v>880.69799999999998</v>
      </c>
      <c r="Z1258" s="6"/>
      <c r="AC1258" s="8"/>
      <c r="AD1258" s="12" t="s">
        <v>155</v>
      </c>
      <c r="AE1258" s="23" t="str">
        <f t="shared" si="147"/>
        <v>|</v>
      </c>
      <c r="AG1258" s="3" t="s">
        <v>849</v>
      </c>
    </row>
    <row r="1259" spans="6:33" ht="24" customHeight="1">
      <c r="F1259" s="17">
        <v>1.1000000000000001</v>
      </c>
      <c r="G1259" s="15" t="s">
        <v>1</v>
      </c>
      <c r="H1259" s="3" t="s">
        <v>147</v>
      </c>
      <c r="I1259" s="17">
        <f>(C13)</f>
        <v>412</v>
      </c>
      <c r="J1259" s="3" t="s">
        <v>1</v>
      </c>
      <c r="K1259" s="17">
        <f>(F1259*I1259)</f>
        <v>453.20000000000005</v>
      </c>
      <c r="M1259" s="173">
        <v>1.1000000000000001</v>
      </c>
      <c r="N1259" s="175" t="s">
        <v>1</v>
      </c>
      <c r="O1259" s="176" t="s">
        <v>144</v>
      </c>
      <c r="P1259" s="173">
        <f t="shared" si="153"/>
        <v>769</v>
      </c>
      <c r="Q1259" s="172" t="s">
        <v>1</v>
      </c>
      <c r="R1259" s="173">
        <f t="shared" si="154"/>
        <v>845.90000000000009</v>
      </c>
      <c r="Y1259" s="51">
        <v>29.4</v>
      </c>
      <c r="Z1259" s="15" t="s">
        <v>122</v>
      </c>
      <c r="AA1259" s="3" t="s">
        <v>1661</v>
      </c>
      <c r="AE1259" s="23" t="str">
        <f t="shared" si="147"/>
        <v>|</v>
      </c>
      <c r="AG1259" s="3" t="s">
        <v>849</v>
      </c>
    </row>
    <row r="1260" spans="6:33" ht="24" customHeight="1">
      <c r="G1260" s="15" t="s">
        <v>129</v>
      </c>
      <c r="H1260" s="3" t="s">
        <v>130</v>
      </c>
      <c r="J1260" s="3" t="s">
        <v>129</v>
      </c>
      <c r="K1260" s="17">
        <v>0</v>
      </c>
      <c r="M1260" s="173">
        <v>1.1000000000000001</v>
      </c>
      <c r="N1260" s="175" t="s">
        <v>1</v>
      </c>
      <c r="O1260" s="176" t="s">
        <v>145</v>
      </c>
      <c r="P1260" s="173">
        <f t="shared" si="153"/>
        <v>718</v>
      </c>
      <c r="Q1260" s="172" t="s">
        <v>1</v>
      </c>
      <c r="R1260" s="173">
        <f t="shared" si="154"/>
        <v>789.80000000000007</v>
      </c>
      <c r="Z1260" s="6"/>
      <c r="AA1260" s="3" t="s">
        <v>1662</v>
      </c>
      <c r="AE1260" s="23" t="str">
        <f t="shared" si="147"/>
        <v>|</v>
      </c>
      <c r="AG1260" s="3" t="s">
        <v>849</v>
      </c>
    </row>
    <row r="1261" spans="6:33" ht="24" customHeight="1">
      <c r="K1261" s="12" t="s">
        <v>117</v>
      </c>
      <c r="M1261" s="173">
        <v>2.2000000000000002</v>
      </c>
      <c r="N1261" s="175" t="s">
        <v>1</v>
      </c>
      <c r="O1261" s="176" t="s">
        <v>146</v>
      </c>
      <c r="P1261" s="173">
        <f t="shared" si="153"/>
        <v>502</v>
      </c>
      <c r="Q1261" s="172" t="s">
        <v>1</v>
      </c>
      <c r="R1261" s="173">
        <f t="shared" si="154"/>
        <v>1104.4000000000001</v>
      </c>
      <c r="Z1261" s="6"/>
      <c r="AA1261" s="12" t="s">
        <v>117</v>
      </c>
      <c r="AE1261" s="23" t="str">
        <f t="shared" si="147"/>
        <v>|</v>
      </c>
      <c r="AG1261" s="3" t="s">
        <v>849</v>
      </c>
    </row>
    <row r="1262" spans="6:33" ht="24" customHeight="1">
      <c r="H1262" s="3" t="s">
        <v>153</v>
      </c>
      <c r="K1262" s="17">
        <f>SUM(K1248:K1260)</f>
        <v>10029.798000000001</v>
      </c>
      <c r="M1262" s="173">
        <v>2.2000000000000002</v>
      </c>
      <c r="N1262" s="175" t="s">
        <v>1</v>
      </c>
      <c r="O1262" s="176" t="s">
        <v>147</v>
      </c>
      <c r="P1262" s="173">
        <f t="shared" si="153"/>
        <v>412</v>
      </c>
      <c r="Q1262" s="172" t="s">
        <v>1</v>
      </c>
      <c r="R1262" s="173">
        <f t="shared" si="154"/>
        <v>906.40000000000009</v>
      </c>
      <c r="Y1262" s="17">
        <v>1.86</v>
      </c>
      <c r="Z1262" s="15" t="s">
        <v>140</v>
      </c>
      <c r="AA1262" s="3" t="s">
        <v>1663</v>
      </c>
      <c r="AB1262" s="24">
        <f>AB1241</f>
        <v>756</v>
      </c>
      <c r="AC1262" s="3" t="str">
        <f>J1269</f>
        <v>SQM</v>
      </c>
      <c r="AD1262" s="17">
        <f t="shared" ref="AD1262:AD1267" si="155">(Y1262*AB1262)</f>
        <v>1406.16</v>
      </c>
      <c r="AE1262" s="23" t="str">
        <f t="shared" si="147"/>
        <v>|</v>
      </c>
      <c r="AG1262" s="3" t="s">
        <v>849</v>
      </c>
    </row>
    <row r="1263" spans="6:33" ht="24" customHeight="1">
      <c r="K1263" s="12" t="s">
        <v>117</v>
      </c>
      <c r="M1263" s="177">
        <v>20</v>
      </c>
      <c r="N1263" s="175" t="s">
        <v>148</v>
      </c>
      <c r="O1263" s="176" t="s">
        <v>125</v>
      </c>
      <c r="P1263" s="173">
        <f t="shared" si="153"/>
        <v>5800</v>
      </c>
      <c r="Q1263" s="172" t="s">
        <v>124</v>
      </c>
      <c r="R1263" s="173">
        <f>(M1263*P1263)/1000</f>
        <v>116</v>
      </c>
      <c r="Y1263" s="17">
        <v>0.4</v>
      </c>
      <c r="Z1263" s="15" t="s">
        <v>148</v>
      </c>
      <c r="AA1263" s="3" t="s">
        <v>1641</v>
      </c>
      <c r="AB1263" s="84">
        <f>AB1249</f>
        <v>36.1</v>
      </c>
      <c r="AC1263" s="3" t="str">
        <f>J1270</f>
        <v>Kg</v>
      </c>
      <c r="AD1263" s="17">
        <f t="shared" si="155"/>
        <v>14.440000000000001</v>
      </c>
      <c r="AE1263" s="23">
        <f t="shared" si="147"/>
        <v>0</v>
      </c>
    </row>
    <row r="1264" spans="6:33" ht="24" customHeight="1">
      <c r="H1264" s="19" t="s">
        <v>154</v>
      </c>
      <c r="K1264" s="16">
        <f>(K1262/10)</f>
        <v>1002.9798000000001</v>
      </c>
      <c r="M1264" s="177">
        <v>2</v>
      </c>
      <c r="N1264" s="175" t="s">
        <v>148</v>
      </c>
      <c r="O1264" s="176" t="s">
        <v>1655</v>
      </c>
      <c r="P1264" s="173">
        <f>I1256</f>
        <v>36.1</v>
      </c>
      <c r="Q1264" s="172" t="s">
        <v>148</v>
      </c>
      <c r="R1264" s="173">
        <f t="shared" si="154"/>
        <v>72.2</v>
      </c>
      <c r="Y1264" s="17">
        <v>0.02</v>
      </c>
      <c r="Z1264" s="15" t="s">
        <v>126</v>
      </c>
      <c r="AA1264" s="3" t="s">
        <v>1664</v>
      </c>
      <c r="AB1264" s="17">
        <f>I1271</f>
        <v>5585.8</v>
      </c>
      <c r="AC1264" s="3" t="str">
        <f>J1271</f>
        <v>CUM</v>
      </c>
      <c r="AD1264" s="17">
        <f t="shared" si="155"/>
        <v>111.71600000000001</v>
      </c>
      <c r="AE1264" s="23">
        <f t="shared" si="147"/>
        <v>0</v>
      </c>
    </row>
    <row r="1265" spans="6:33" ht="24" customHeight="1">
      <c r="K1265" s="12" t="s">
        <v>155</v>
      </c>
      <c r="M1265" s="173">
        <v>1.6</v>
      </c>
      <c r="N1265" s="175" t="s">
        <v>1</v>
      </c>
      <c r="O1265" s="176" t="s">
        <v>145</v>
      </c>
      <c r="P1265" s="173">
        <f>P1223</f>
        <v>718</v>
      </c>
      <c r="Q1265" s="172" t="s">
        <v>1</v>
      </c>
      <c r="R1265" s="173">
        <f t="shared" si="154"/>
        <v>1148.8</v>
      </c>
      <c r="Y1265" s="17">
        <v>1</v>
      </c>
      <c r="Z1265" s="15" t="s">
        <v>1</v>
      </c>
      <c r="AA1265" s="3" t="s">
        <v>144</v>
      </c>
      <c r="AB1265" s="17">
        <f>I1272</f>
        <v>769</v>
      </c>
      <c r="AC1265" s="3" t="str">
        <f>J1272</f>
        <v>NO</v>
      </c>
      <c r="AD1265" s="17">
        <f t="shared" si="155"/>
        <v>769</v>
      </c>
      <c r="AE1265" s="23" t="str">
        <f t="shared" si="147"/>
        <v/>
      </c>
      <c r="AG1265" s="3" t="s">
        <v>115</v>
      </c>
    </row>
    <row r="1266" spans="6:33" ht="24" customHeight="1">
      <c r="F1266" s="51">
        <v>29.4</v>
      </c>
      <c r="G1266" s="15" t="s">
        <v>122</v>
      </c>
      <c r="H1266" s="3" t="s">
        <v>1665</v>
      </c>
      <c r="M1266" s="173">
        <v>0.5</v>
      </c>
      <c r="N1266" s="175" t="s">
        <v>1</v>
      </c>
      <c r="O1266" s="176" t="s">
        <v>146</v>
      </c>
      <c r="P1266" s="173">
        <f>P1224</f>
        <v>502</v>
      </c>
      <c r="Q1266" s="172" t="s">
        <v>1</v>
      </c>
      <c r="R1266" s="173">
        <f t="shared" si="154"/>
        <v>251</v>
      </c>
      <c r="Y1266" s="17">
        <v>1</v>
      </c>
      <c r="Z1266" s="15" t="s">
        <v>1</v>
      </c>
      <c r="AA1266" s="3" t="s">
        <v>1666</v>
      </c>
      <c r="AB1266" s="17">
        <f>I1273</f>
        <v>502</v>
      </c>
      <c r="AC1266" s="3" t="str">
        <f>J1273</f>
        <v>NO</v>
      </c>
      <c r="AD1266" s="17">
        <f t="shared" si="155"/>
        <v>502</v>
      </c>
      <c r="AE1266" s="23">
        <f t="shared" si="147"/>
        <v>0</v>
      </c>
    </row>
    <row r="1267" spans="6:33" ht="24" customHeight="1">
      <c r="H1267" s="3" t="s">
        <v>1667</v>
      </c>
      <c r="M1267" s="173">
        <v>1.1000000000000001</v>
      </c>
      <c r="N1267" s="175" t="s">
        <v>1</v>
      </c>
      <c r="O1267" s="176" t="s">
        <v>147</v>
      </c>
      <c r="P1267" s="173">
        <f>P1225</f>
        <v>412</v>
      </c>
      <c r="Q1267" s="172" t="s">
        <v>1</v>
      </c>
      <c r="R1267" s="173">
        <f t="shared" si="154"/>
        <v>453.20000000000005</v>
      </c>
      <c r="Z1267" s="15" t="s">
        <v>129</v>
      </c>
      <c r="AA1267" s="3" t="s">
        <v>130</v>
      </c>
      <c r="AC1267" s="3" t="s">
        <v>129</v>
      </c>
      <c r="AD1267" s="17">
        <f t="shared" si="155"/>
        <v>0</v>
      </c>
      <c r="AE1267" s="23">
        <f t="shared" si="147"/>
        <v>0</v>
      </c>
    </row>
    <row r="1268" spans="6:33" ht="24" customHeight="1">
      <c r="H1268" s="12" t="s">
        <v>117</v>
      </c>
      <c r="M1268" s="162"/>
      <c r="N1268" s="175" t="s">
        <v>129</v>
      </c>
      <c r="O1268" s="176" t="s">
        <v>130</v>
      </c>
      <c r="P1268" s="162"/>
      <c r="Q1268" s="172" t="s">
        <v>129</v>
      </c>
      <c r="R1268" s="173">
        <v>0</v>
      </c>
      <c r="Z1268" s="6"/>
      <c r="AC1268" s="8"/>
      <c r="AD1268" s="12" t="s">
        <v>117</v>
      </c>
      <c r="AE1268" s="23">
        <f t="shared" si="147"/>
        <v>0</v>
      </c>
    </row>
    <row r="1269" spans="6:33" ht="24" customHeight="1">
      <c r="F1269" s="17">
        <v>1.86</v>
      </c>
      <c r="G1269" s="15" t="s">
        <v>140</v>
      </c>
      <c r="H1269" s="3" t="s">
        <v>1668</v>
      </c>
      <c r="I1269" s="24">
        <f>C602</f>
        <v>385</v>
      </c>
      <c r="J1269" s="3" t="s">
        <v>140</v>
      </c>
      <c r="K1269" s="17">
        <f>(F1269*I1269)</f>
        <v>716.1</v>
      </c>
      <c r="M1269" s="162"/>
      <c r="N1269" s="163"/>
      <c r="O1269" s="162"/>
      <c r="P1269" s="162"/>
      <c r="Q1269" s="165"/>
      <c r="R1269" s="178"/>
      <c r="Z1269" s="6"/>
      <c r="AA1269" s="3" t="s">
        <v>1669</v>
      </c>
      <c r="AC1269" s="8"/>
      <c r="AD1269" s="17">
        <f>SUM(AD1262:AD1267)</f>
        <v>2803.3160000000003</v>
      </c>
      <c r="AE1269" s="23">
        <f t="shared" si="147"/>
        <v>0</v>
      </c>
    </row>
    <row r="1270" spans="6:33" ht="24" customHeight="1">
      <c r="F1270" s="17">
        <v>0.4</v>
      </c>
      <c r="G1270" s="15" t="s">
        <v>148</v>
      </c>
      <c r="H1270" s="3" t="s">
        <v>1641</v>
      </c>
      <c r="I1270" s="123">
        <f>I1256</f>
        <v>36.1</v>
      </c>
      <c r="J1270" s="3" t="s">
        <v>148</v>
      </c>
      <c r="K1270" s="17">
        <f>(F1270*I1270)</f>
        <v>14.440000000000001</v>
      </c>
      <c r="M1270" s="162"/>
      <c r="N1270" s="163"/>
      <c r="O1270" s="176" t="s">
        <v>153</v>
      </c>
      <c r="P1270" s="162"/>
      <c r="Q1270" s="165"/>
      <c r="R1270" s="173">
        <f>SUM(R1257:R1268)</f>
        <v>10781.398000000001</v>
      </c>
      <c r="Z1270" s="6"/>
      <c r="AC1270" s="8"/>
      <c r="AD1270" s="12" t="s">
        <v>117</v>
      </c>
      <c r="AE1270" s="23">
        <f t="shared" si="147"/>
        <v>0</v>
      </c>
    </row>
    <row r="1271" spans="6:33" ht="24" customHeight="1">
      <c r="F1271" s="17">
        <v>0.02</v>
      </c>
      <c r="G1271" s="15" t="s">
        <v>126</v>
      </c>
      <c r="H1271" s="3" t="s">
        <v>1664</v>
      </c>
      <c r="I1271" s="17">
        <f>K23</f>
        <v>5585.8</v>
      </c>
      <c r="J1271" s="3" t="s">
        <v>126</v>
      </c>
      <c r="K1271" s="17">
        <f>(F1271*I1271)</f>
        <v>111.71600000000001</v>
      </c>
      <c r="M1271" s="162"/>
      <c r="N1271" s="163"/>
      <c r="O1271" s="162"/>
      <c r="P1271" s="162"/>
      <c r="Q1271" s="165"/>
      <c r="R1271" s="178" t="s">
        <v>117</v>
      </c>
      <c r="Z1271" s="6"/>
      <c r="AA1271" s="19" t="s">
        <v>154</v>
      </c>
      <c r="AC1271" s="8"/>
      <c r="AD1271" s="16">
        <f>(AD1269/1.86)</f>
        <v>1507.1591397849463</v>
      </c>
      <c r="AE1271" s="23">
        <f t="shared" si="147"/>
        <v>0</v>
      </c>
    </row>
    <row r="1272" spans="6:33" ht="24" customHeight="1">
      <c r="F1272" s="17">
        <v>1</v>
      </c>
      <c r="G1272" s="15" t="s">
        <v>1</v>
      </c>
      <c r="H1272" s="3" t="s">
        <v>144</v>
      </c>
      <c r="I1272" s="17">
        <f>C10</f>
        <v>769</v>
      </c>
      <c r="J1272" s="3" t="s">
        <v>1</v>
      </c>
      <c r="K1272" s="17">
        <f>(F1272*I1272)</f>
        <v>769</v>
      </c>
      <c r="M1272" s="162"/>
      <c r="N1272" s="163"/>
      <c r="O1272" s="179" t="s">
        <v>154</v>
      </c>
      <c r="P1272" s="162"/>
      <c r="Q1272" s="165"/>
      <c r="R1272" s="180">
        <f>(R1270/10)</f>
        <v>1078.1398000000002</v>
      </c>
      <c r="Z1272" s="6"/>
      <c r="AC1272" s="8"/>
      <c r="AD1272" s="12" t="s">
        <v>155</v>
      </c>
      <c r="AE1272" s="23">
        <f t="shared" si="147"/>
        <v>0</v>
      </c>
    </row>
    <row r="1273" spans="6:33" ht="24" customHeight="1">
      <c r="F1273" s="17">
        <v>1</v>
      </c>
      <c r="G1273" s="15" t="s">
        <v>1</v>
      </c>
      <c r="H1273" s="3" t="s">
        <v>1666</v>
      </c>
      <c r="I1273" s="17">
        <f>C12</f>
        <v>502</v>
      </c>
      <c r="J1273" s="3" t="s">
        <v>1</v>
      </c>
      <c r="K1273" s="17">
        <f>(F1273*I1273)</f>
        <v>502</v>
      </c>
      <c r="S1273" s="51">
        <v>29.5</v>
      </c>
      <c r="T1273" s="15" t="s">
        <v>122</v>
      </c>
      <c r="U1273" s="3" t="s">
        <v>1670</v>
      </c>
      <c r="W1273" s="8"/>
      <c r="AE1273" s="23">
        <f t="shared" si="147"/>
        <v>0</v>
      </c>
    </row>
    <row r="1274" spans="6:33" ht="24" customHeight="1">
      <c r="G1274" s="15" t="s">
        <v>129</v>
      </c>
      <c r="H1274" s="3" t="s">
        <v>130</v>
      </c>
      <c r="J1274" s="3" t="s">
        <v>129</v>
      </c>
      <c r="K1274" s="17"/>
      <c r="S1274" s="5"/>
      <c r="T1274" s="6"/>
      <c r="U1274" s="3"/>
      <c r="W1274" s="8"/>
      <c r="AE1274" s="23">
        <f t="shared" si="147"/>
        <v>0</v>
      </c>
    </row>
    <row r="1275" spans="6:33" ht="24" customHeight="1">
      <c r="K1275" s="12" t="s">
        <v>117</v>
      </c>
      <c r="S1275" s="5"/>
      <c r="T1275" s="6"/>
      <c r="U1275" s="3"/>
      <c r="W1275" s="8"/>
      <c r="AC1275" s="8"/>
      <c r="AE1275" s="23">
        <f t="shared" si="147"/>
        <v>0</v>
      </c>
    </row>
    <row r="1276" spans="6:33" ht="24" customHeight="1">
      <c r="H1276" s="3" t="s">
        <v>1669</v>
      </c>
      <c r="K1276" s="17">
        <f>SUM(K1269:K1274)</f>
        <v>2113.2560000000003</v>
      </c>
      <c r="S1276" s="5"/>
      <c r="T1276" s="6"/>
      <c r="U1276" s="12" t="s">
        <v>117</v>
      </c>
      <c r="V1276" s="12" t="s">
        <v>117</v>
      </c>
      <c r="W1276" s="8"/>
      <c r="AC1276" s="8"/>
      <c r="AE1276" s="23">
        <f t="shared" si="147"/>
        <v>0</v>
      </c>
    </row>
    <row r="1277" spans="6:33" ht="40.5" customHeight="1">
      <c r="K1277" s="12" t="s">
        <v>117</v>
      </c>
      <c r="S1277" s="17">
        <v>10</v>
      </c>
      <c r="T1277" s="15" t="s">
        <v>140</v>
      </c>
      <c r="U1277" s="66" t="s">
        <v>1671</v>
      </c>
      <c r="V1277" s="24">
        <v>538.21</v>
      </c>
      <c r="W1277" s="3" t="s">
        <v>140</v>
      </c>
      <c r="X1277" s="17">
        <f>(S1277*V1277)</f>
        <v>5382.1</v>
      </c>
      <c r="AC1277" s="8"/>
      <c r="AE1277" s="23">
        <f t="shared" si="147"/>
        <v>0</v>
      </c>
    </row>
    <row r="1278" spans="6:33" ht="24" customHeight="1">
      <c r="H1278" s="19" t="s">
        <v>154</v>
      </c>
      <c r="K1278" s="16">
        <f>(K1276/1.86)</f>
        <v>1136.1591397849463</v>
      </c>
      <c r="S1278" s="17">
        <v>0.21</v>
      </c>
      <c r="T1278" s="15" t="s">
        <v>126</v>
      </c>
      <c r="U1278" s="3" t="s">
        <v>142</v>
      </c>
      <c r="V1278" s="24">
        <f t="shared" ref="V1278:V1288" si="156">I1249</f>
        <v>4193.8</v>
      </c>
      <c r="W1278" s="3" t="s">
        <v>126</v>
      </c>
      <c r="X1278" s="17">
        <f>(S1278*V1278)</f>
        <v>880.69799999999998</v>
      </c>
      <c r="AE1278" s="23">
        <f t="shared" ref="AE1278:AE1341" si="157">AG1278</f>
        <v>0</v>
      </c>
    </row>
    <row r="1279" spans="6:33" ht="24" customHeight="1">
      <c r="K1279" s="12" t="s">
        <v>155</v>
      </c>
      <c r="S1279" s="5"/>
      <c r="T1279" s="6"/>
      <c r="U1279" s="3" t="s">
        <v>160</v>
      </c>
      <c r="V1279" s="24" t="str">
        <f t="shared" si="156"/>
        <v/>
      </c>
      <c r="W1279" s="8"/>
      <c r="X1279" s="3" t="s">
        <v>115</v>
      </c>
      <c r="AE1279" s="23">
        <f t="shared" si="157"/>
        <v>0</v>
      </c>
    </row>
    <row r="1280" spans="6:33" ht="24" customHeight="1">
      <c r="F1280" s="51"/>
      <c r="G1280" s="15" t="s">
        <v>122</v>
      </c>
      <c r="H1280" s="3" t="s">
        <v>1672</v>
      </c>
      <c r="S1280" s="17">
        <v>1.1000000000000001</v>
      </c>
      <c r="T1280" s="15" t="s">
        <v>1</v>
      </c>
      <c r="U1280" s="3" t="s">
        <v>144</v>
      </c>
      <c r="V1280" s="24">
        <f t="shared" si="156"/>
        <v>769</v>
      </c>
      <c r="W1280" s="3" t="s">
        <v>1</v>
      </c>
      <c r="X1280" s="17">
        <f>(S1280*V1280)</f>
        <v>845.90000000000009</v>
      </c>
      <c r="AE1280" s="23">
        <f t="shared" si="157"/>
        <v>0</v>
      </c>
    </row>
    <row r="1281" spans="6:31" ht="24" customHeight="1">
      <c r="H1281" s="3"/>
      <c r="S1281" s="17">
        <v>1.1000000000000001</v>
      </c>
      <c r="T1281" s="15" t="s">
        <v>1</v>
      </c>
      <c r="U1281" s="3" t="s">
        <v>145</v>
      </c>
      <c r="V1281" s="24">
        <f t="shared" si="156"/>
        <v>718</v>
      </c>
      <c r="W1281" s="3" t="s">
        <v>1</v>
      </c>
      <c r="X1281" s="17">
        <f>(S1281*V1281)</f>
        <v>789.80000000000007</v>
      </c>
      <c r="AE1281" s="23">
        <f t="shared" si="157"/>
        <v>0</v>
      </c>
    </row>
    <row r="1282" spans="6:31" ht="24" customHeight="1">
      <c r="H1282" s="12" t="s">
        <v>117</v>
      </c>
      <c r="S1282" s="17">
        <v>2.2000000000000002</v>
      </c>
      <c r="T1282" s="15" t="s">
        <v>1</v>
      </c>
      <c r="U1282" s="3" t="s">
        <v>146</v>
      </c>
      <c r="V1282" s="24">
        <f t="shared" si="156"/>
        <v>502</v>
      </c>
      <c r="W1282" s="3" t="s">
        <v>1</v>
      </c>
      <c r="X1282" s="17">
        <f>(S1282*V1282)</f>
        <v>1104.4000000000001</v>
      </c>
      <c r="AE1282" s="23">
        <f t="shared" si="157"/>
        <v>0</v>
      </c>
    </row>
    <row r="1283" spans="6:31" ht="24" customHeight="1">
      <c r="F1283" s="17">
        <v>1.86</v>
      </c>
      <c r="G1283" s="15" t="s">
        <v>140</v>
      </c>
      <c r="H1283" s="3" t="s">
        <v>1673</v>
      </c>
      <c r="I1283" s="24">
        <v>699.4</v>
      </c>
      <c r="J1283" s="3" t="s">
        <v>140</v>
      </c>
      <c r="K1283" s="17">
        <f>(F1283*I1283)</f>
        <v>1300.884</v>
      </c>
      <c r="S1283" s="17">
        <v>2.2000000000000002</v>
      </c>
      <c r="T1283" s="15" t="s">
        <v>1</v>
      </c>
      <c r="U1283" s="3" t="s">
        <v>147</v>
      </c>
      <c r="V1283" s="24">
        <f t="shared" si="156"/>
        <v>412</v>
      </c>
      <c r="W1283" s="3" t="s">
        <v>1</v>
      </c>
      <c r="X1283" s="17">
        <f>(S1283*V1283)</f>
        <v>906.40000000000009</v>
      </c>
      <c r="AE1283" s="23">
        <f t="shared" si="157"/>
        <v>0</v>
      </c>
    </row>
    <row r="1284" spans="6:31" ht="24" customHeight="1">
      <c r="F1284" s="17">
        <v>0.4</v>
      </c>
      <c r="G1284" s="15" t="s">
        <v>148</v>
      </c>
      <c r="H1284" s="3" t="s">
        <v>1124</v>
      </c>
      <c r="I1284" s="181">
        <f>C67</f>
        <v>5800</v>
      </c>
      <c r="J1284" s="3" t="s">
        <v>148</v>
      </c>
      <c r="K1284" s="17">
        <f>(F1284*I1284)</f>
        <v>2320</v>
      </c>
      <c r="S1284" s="49">
        <v>20</v>
      </c>
      <c r="T1284" s="15" t="s">
        <v>148</v>
      </c>
      <c r="U1284" s="3" t="s">
        <v>125</v>
      </c>
      <c r="V1284" s="24">
        <f t="shared" si="156"/>
        <v>5800</v>
      </c>
      <c r="W1284" s="3" t="s">
        <v>124</v>
      </c>
      <c r="X1284" s="17">
        <f>(S1284*V1284)/1000</f>
        <v>116</v>
      </c>
      <c r="AE1284" s="23">
        <f t="shared" si="157"/>
        <v>0</v>
      </c>
    </row>
    <row r="1285" spans="6:31" ht="24" customHeight="1">
      <c r="F1285" s="17">
        <v>0.02</v>
      </c>
      <c r="G1285" s="15" t="s">
        <v>126</v>
      </c>
      <c r="H1285" s="3" t="s">
        <v>1664</v>
      </c>
      <c r="I1285" s="17">
        <f>I1271</f>
        <v>5585.8</v>
      </c>
      <c r="J1285" s="3" t="s">
        <v>126</v>
      </c>
      <c r="K1285" s="17">
        <f>(F1285*I1285)</f>
        <v>111.71600000000001</v>
      </c>
      <c r="S1285" s="49">
        <v>2</v>
      </c>
      <c r="T1285" s="15" t="s">
        <v>148</v>
      </c>
      <c r="U1285" s="3" t="s">
        <v>1641</v>
      </c>
      <c r="V1285" s="24">
        <f t="shared" si="156"/>
        <v>36.1</v>
      </c>
      <c r="W1285" s="3" t="s">
        <v>148</v>
      </c>
      <c r="X1285" s="17">
        <f>(S1285*V1285)</f>
        <v>72.2</v>
      </c>
      <c r="AE1285" s="23">
        <f t="shared" si="157"/>
        <v>0</v>
      </c>
    </row>
    <row r="1286" spans="6:31" ht="24" customHeight="1">
      <c r="F1286" s="17">
        <v>1</v>
      </c>
      <c r="G1286" s="15" t="s">
        <v>1</v>
      </c>
      <c r="H1286" s="3" t="s">
        <v>144</v>
      </c>
      <c r="I1286" s="17">
        <f>I1272</f>
        <v>769</v>
      </c>
      <c r="J1286" s="3" t="s">
        <v>1</v>
      </c>
      <c r="K1286" s="17">
        <f>(F1286*I1286)</f>
        <v>769</v>
      </c>
      <c r="S1286" s="17">
        <v>1.6</v>
      </c>
      <c r="T1286" s="15" t="s">
        <v>1</v>
      </c>
      <c r="U1286" s="3" t="s">
        <v>145</v>
      </c>
      <c r="V1286" s="24">
        <f t="shared" si="156"/>
        <v>718</v>
      </c>
      <c r="W1286" s="3" t="s">
        <v>1</v>
      </c>
      <c r="X1286" s="17">
        <f>(S1286*V1286)</f>
        <v>1148.8</v>
      </c>
      <c r="AE1286" s="23">
        <f t="shared" si="157"/>
        <v>0</v>
      </c>
    </row>
    <row r="1287" spans="6:31" ht="24" customHeight="1">
      <c r="F1287" s="17">
        <v>1</v>
      </c>
      <c r="G1287" s="15" t="s">
        <v>1</v>
      </c>
      <c r="H1287" s="3" t="s">
        <v>1666</v>
      </c>
      <c r="I1287" s="17">
        <f>I1273</f>
        <v>502</v>
      </c>
      <c r="J1287" s="3" t="s">
        <v>1</v>
      </c>
      <c r="K1287" s="17">
        <f>(F1287*I1287)</f>
        <v>502</v>
      </c>
      <c r="S1287" s="17">
        <v>0.5</v>
      </c>
      <c r="T1287" s="15" t="s">
        <v>1</v>
      </c>
      <c r="U1287" s="3" t="s">
        <v>146</v>
      </c>
      <c r="V1287" s="24">
        <f t="shared" si="156"/>
        <v>502</v>
      </c>
      <c r="W1287" s="3" t="s">
        <v>1</v>
      </c>
      <c r="X1287" s="17">
        <f>(S1287*V1287)</f>
        <v>251</v>
      </c>
      <c r="AE1287" s="23">
        <f t="shared" si="157"/>
        <v>0</v>
      </c>
    </row>
    <row r="1288" spans="6:31" ht="24" customHeight="1">
      <c r="G1288" s="15" t="s">
        <v>129</v>
      </c>
      <c r="H1288" s="3" t="s">
        <v>130</v>
      </c>
      <c r="J1288" s="3" t="s">
        <v>129</v>
      </c>
      <c r="K1288" s="17"/>
      <c r="S1288" s="17">
        <v>1.1000000000000001</v>
      </c>
      <c r="T1288" s="15" t="s">
        <v>1</v>
      </c>
      <c r="U1288" s="3" t="s">
        <v>147</v>
      </c>
      <c r="V1288" s="24">
        <f t="shared" si="156"/>
        <v>412</v>
      </c>
      <c r="W1288" s="3" t="s">
        <v>1</v>
      </c>
      <c r="X1288" s="17">
        <f>(S1288*V1288)</f>
        <v>453.20000000000005</v>
      </c>
      <c r="AE1288" s="23">
        <f t="shared" si="157"/>
        <v>0</v>
      </c>
    </row>
    <row r="1289" spans="6:31" ht="24" customHeight="1">
      <c r="K1289" s="12" t="s">
        <v>117</v>
      </c>
      <c r="S1289" s="5"/>
      <c r="T1289" s="15" t="s">
        <v>129</v>
      </c>
      <c r="U1289" s="3" t="s">
        <v>130</v>
      </c>
      <c r="W1289" s="3" t="s">
        <v>129</v>
      </c>
      <c r="X1289" s="17">
        <v>0</v>
      </c>
      <c r="AE1289" s="23">
        <f t="shared" si="157"/>
        <v>0</v>
      </c>
    </row>
    <row r="1290" spans="6:31" ht="24" customHeight="1">
      <c r="H1290" s="3" t="s">
        <v>1669</v>
      </c>
      <c r="K1290" s="17">
        <f>SUM(K1283:K1288)</f>
        <v>5003.6000000000004</v>
      </c>
      <c r="S1290" s="5"/>
      <c r="T1290" s="6"/>
      <c r="W1290" s="8"/>
      <c r="X1290" s="12" t="s">
        <v>117</v>
      </c>
      <c r="AE1290" s="23">
        <f t="shared" si="157"/>
        <v>0</v>
      </c>
    </row>
    <row r="1291" spans="6:31" ht="24" customHeight="1">
      <c r="K1291" s="12" t="s">
        <v>117</v>
      </c>
      <c r="S1291" s="5"/>
      <c r="T1291" s="6"/>
      <c r="U1291" s="3" t="s">
        <v>153</v>
      </c>
      <c r="W1291" s="8"/>
      <c r="X1291" s="17">
        <f>SUM(X1277:X1289)</f>
        <v>11950.498000000001</v>
      </c>
      <c r="AE1291" s="23">
        <f t="shared" si="157"/>
        <v>0</v>
      </c>
    </row>
    <row r="1292" spans="6:31" ht="24" customHeight="1">
      <c r="H1292" s="19" t="s">
        <v>154</v>
      </c>
      <c r="K1292" s="16">
        <f>(K1290/1.86)</f>
        <v>2690.1075268817203</v>
      </c>
      <c r="S1292" s="5"/>
      <c r="T1292" s="6"/>
      <c r="W1292" s="8"/>
      <c r="X1292" s="12" t="s">
        <v>117</v>
      </c>
      <c r="AE1292" s="23">
        <f t="shared" si="157"/>
        <v>0</v>
      </c>
    </row>
    <row r="1293" spans="6:31" ht="24" customHeight="1">
      <c r="K1293" s="12" t="s">
        <v>155</v>
      </c>
      <c r="U1293" s="19" t="s">
        <v>154</v>
      </c>
      <c r="W1293" s="8"/>
      <c r="X1293" s="16">
        <f>(X1291/10)</f>
        <v>1195.0498000000002</v>
      </c>
      <c r="AE1293" s="23">
        <f t="shared" si="157"/>
        <v>0</v>
      </c>
    </row>
    <row r="1294" spans="6:31" ht="24" customHeight="1">
      <c r="K1294" s="12"/>
      <c r="W1294" s="8"/>
      <c r="X1294" s="12" t="s">
        <v>155</v>
      </c>
      <c r="AE1294" s="23">
        <f t="shared" si="157"/>
        <v>0</v>
      </c>
    </row>
    <row r="1295" spans="6:31" ht="24" customHeight="1">
      <c r="K1295" s="12"/>
      <c r="AE1295" s="23">
        <f t="shared" si="157"/>
        <v>0</v>
      </c>
    </row>
    <row r="1296" spans="6:31" ht="24" customHeight="1">
      <c r="K1296" s="12"/>
      <c r="M1296" s="4"/>
      <c r="N1296" s="15" t="s">
        <v>122</v>
      </c>
      <c r="O1296" s="3" t="s">
        <v>1674</v>
      </c>
      <c r="Q1296" s="10"/>
      <c r="S1296" s="106">
        <v>15.1</v>
      </c>
      <c r="T1296" s="15" t="s">
        <v>1011</v>
      </c>
      <c r="U1296" s="3" t="s">
        <v>1675</v>
      </c>
      <c r="W1296" s="10"/>
      <c r="AE1296" s="23">
        <f t="shared" si="157"/>
        <v>0</v>
      </c>
    </row>
    <row r="1297" spans="6:31" ht="24" customHeight="1">
      <c r="K1297" s="12"/>
      <c r="N1297" s="6"/>
      <c r="O1297" s="3" t="s">
        <v>178</v>
      </c>
      <c r="Q1297" s="10"/>
      <c r="S1297" s="5"/>
      <c r="T1297" s="6"/>
      <c r="U1297" s="3" t="s">
        <v>950</v>
      </c>
      <c r="W1297" s="10"/>
      <c r="AE1297" s="23">
        <f t="shared" si="157"/>
        <v>0</v>
      </c>
    </row>
    <row r="1298" spans="6:31" ht="24" customHeight="1">
      <c r="F1298" s="4" t="s">
        <v>416</v>
      </c>
      <c r="G1298" s="15" t="s">
        <v>122</v>
      </c>
      <c r="H1298" s="3" t="s">
        <v>1626</v>
      </c>
      <c r="N1298" s="6"/>
      <c r="O1298" s="7" t="s">
        <v>1676</v>
      </c>
      <c r="Q1298" s="10"/>
      <c r="S1298" s="17">
        <v>10</v>
      </c>
      <c r="T1298" s="15" t="s">
        <v>174</v>
      </c>
      <c r="U1298" s="3" t="s">
        <v>1677</v>
      </c>
      <c r="V1298" s="25">
        <v>1506.6</v>
      </c>
      <c r="W1298" s="4" t="s">
        <v>174</v>
      </c>
      <c r="X1298" s="17">
        <f t="shared" ref="X1298:X1304" si="158">(S1298*V1298)</f>
        <v>15066</v>
      </c>
      <c r="AE1298" s="23">
        <f t="shared" si="157"/>
        <v>0</v>
      </c>
    </row>
    <row r="1299" spans="6:31" ht="24" customHeight="1">
      <c r="H1299" s="3" t="s">
        <v>1678</v>
      </c>
      <c r="N1299" s="6"/>
      <c r="O1299" s="12" t="s">
        <v>117</v>
      </c>
      <c r="Q1299" s="10"/>
      <c r="S1299" s="17">
        <v>0.21</v>
      </c>
      <c r="T1299" s="15" t="s">
        <v>126</v>
      </c>
      <c r="U1299" s="3" t="s">
        <v>1018</v>
      </c>
      <c r="V1299" s="112">
        <f>P1333</f>
        <v>4193.8</v>
      </c>
      <c r="W1299" s="4" t="s">
        <v>126</v>
      </c>
      <c r="X1299" s="17">
        <f t="shared" si="158"/>
        <v>880.69799999999998</v>
      </c>
      <c r="AE1299" s="23">
        <f t="shared" si="157"/>
        <v>0</v>
      </c>
    </row>
    <row r="1300" spans="6:31" ht="24" customHeight="1">
      <c r="H1300" s="3" t="s">
        <v>1679</v>
      </c>
      <c r="M1300" s="17">
        <v>3.2</v>
      </c>
      <c r="N1300" s="15" t="s">
        <v>148</v>
      </c>
      <c r="O1300" s="70" t="s">
        <v>1680</v>
      </c>
      <c r="P1300" s="23">
        <v>225</v>
      </c>
      <c r="Q1300" s="4" t="s">
        <v>148</v>
      </c>
      <c r="R1300" s="17">
        <f>(M1300*P1300)</f>
        <v>720</v>
      </c>
      <c r="S1300" s="17">
        <v>1.1000000000000001</v>
      </c>
      <c r="T1300" s="15" t="s">
        <v>233</v>
      </c>
      <c r="U1300" s="3" t="s">
        <v>954</v>
      </c>
      <c r="V1300" s="112">
        <f>P1334</f>
        <v>769</v>
      </c>
      <c r="W1300" s="4" t="s">
        <v>227</v>
      </c>
      <c r="X1300" s="17">
        <f t="shared" si="158"/>
        <v>845.90000000000009</v>
      </c>
      <c r="AE1300" s="23">
        <f t="shared" si="157"/>
        <v>0</v>
      </c>
    </row>
    <row r="1301" spans="6:31" ht="24" customHeight="1">
      <c r="H1301" s="3" t="s">
        <v>1681</v>
      </c>
      <c r="M1301" s="17">
        <v>0.98</v>
      </c>
      <c r="N1301" s="15" t="s">
        <v>171</v>
      </c>
      <c r="O1301" s="3" t="s">
        <v>1682</v>
      </c>
      <c r="P1301" s="17">
        <f>P1320</f>
        <v>144.69999999999999</v>
      </c>
      <c r="Q1301" s="4" t="s">
        <v>171</v>
      </c>
      <c r="R1301" s="17">
        <f t="shared" ref="R1301:R1306" si="159">(M1301*P1301)</f>
        <v>141.80599999999998</v>
      </c>
      <c r="S1301" s="17">
        <v>1.1000000000000001</v>
      </c>
      <c r="T1301" s="15" t="s">
        <v>233</v>
      </c>
      <c r="U1301" s="3" t="s">
        <v>1622</v>
      </c>
      <c r="V1301" s="112">
        <f>P1260</f>
        <v>718</v>
      </c>
      <c r="W1301" s="4" t="s">
        <v>227</v>
      </c>
      <c r="X1301" s="17">
        <f t="shared" si="158"/>
        <v>789.80000000000007</v>
      </c>
      <c r="AE1301" s="23">
        <f t="shared" si="157"/>
        <v>0</v>
      </c>
    </row>
    <row r="1302" spans="6:31" ht="24" customHeight="1">
      <c r="H1302" s="12" t="s">
        <v>117</v>
      </c>
      <c r="M1302" s="17">
        <v>0.5</v>
      </c>
      <c r="N1302" s="15" t="s">
        <v>1</v>
      </c>
      <c r="O1302" s="3" t="s">
        <v>181</v>
      </c>
      <c r="P1302" s="17">
        <f>AE13</f>
        <v>615</v>
      </c>
      <c r="Q1302" s="15" t="s">
        <v>1</v>
      </c>
      <c r="R1302" s="17">
        <f t="shared" si="159"/>
        <v>307.5</v>
      </c>
      <c r="S1302" s="17">
        <v>2.2000000000000002</v>
      </c>
      <c r="T1302" s="15" t="s">
        <v>233</v>
      </c>
      <c r="U1302" s="3" t="s">
        <v>956</v>
      </c>
      <c r="V1302" s="112">
        <f>P1335</f>
        <v>502</v>
      </c>
      <c r="W1302" s="4" t="s">
        <v>227</v>
      </c>
      <c r="X1302" s="17">
        <f t="shared" si="158"/>
        <v>1104.4000000000001</v>
      </c>
      <c r="AE1302" s="23">
        <f t="shared" si="157"/>
        <v>0</v>
      </c>
    </row>
    <row r="1303" spans="6:31" ht="24" customHeight="1">
      <c r="F1303" s="17">
        <v>0.24</v>
      </c>
      <c r="G1303" s="15" t="s">
        <v>126</v>
      </c>
      <c r="H1303" s="3" t="s">
        <v>1683</v>
      </c>
      <c r="I1303" s="17">
        <f>(C70)</f>
        <v>965.68999999999994</v>
      </c>
      <c r="J1303" s="3" t="s">
        <v>126</v>
      </c>
      <c r="K1303" s="17">
        <f>(F1303*I1303)</f>
        <v>231.76559999999998</v>
      </c>
      <c r="M1303" s="17">
        <v>0.7</v>
      </c>
      <c r="N1303" s="15" t="s">
        <v>1</v>
      </c>
      <c r="O1303" s="3" t="s">
        <v>1684</v>
      </c>
      <c r="P1303" s="17">
        <f>AE14</f>
        <v>595</v>
      </c>
      <c r="Q1303" s="15" t="s">
        <v>1</v>
      </c>
      <c r="R1303" s="17">
        <f t="shared" si="159"/>
        <v>416.5</v>
      </c>
      <c r="S1303" s="17">
        <v>2.2000000000000002</v>
      </c>
      <c r="T1303" s="15" t="s">
        <v>233</v>
      </c>
      <c r="U1303" s="3" t="s">
        <v>1685</v>
      </c>
      <c r="V1303" s="112">
        <f>P1305</f>
        <v>412</v>
      </c>
      <c r="W1303" s="4" t="s">
        <v>227</v>
      </c>
      <c r="X1303" s="17">
        <f t="shared" si="158"/>
        <v>906.40000000000009</v>
      </c>
      <c r="AE1303" s="23">
        <f t="shared" si="157"/>
        <v>0</v>
      </c>
    </row>
    <row r="1304" spans="6:31" ht="24" customHeight="1">
      <c r="F1304" s="49">
        <v>0.11700000000000001</v>
      </c>
      <c r="G1304" s="15" t="s">
        <v>124</v>
      </c>
      <c r="H1304" s="3" t="s">
        <v>125</v>
      </c>
      <c r="I1304" s="17">
        <f>(C67)</f>
        <v>5800</v>
      </c>
      <c r="J1304" s="3" t="s">
        <v>124</v>
      </c>
      <c r="K1304" s="17">
        <f>(F1304*I1304)</f>
        <v>678.6</v>
      </c>
      <c r="M1304" s="17">
        <v>0.5</v>
      </c>
      <c r="N1304" s="15" t="s">
        <v>1</v>
      </c>
      <c r="O1304" s="3" t="s">
        <v>146</v>
      </c>
      <c r="P1304" s="17">
        <f>I1306</f>
        <v>502</v>
      </c>
      <c r="Q1304" s="15" t="s">
        <v>1</v>
      </c>
      <c r="R1304" s="17">
        <f t="shared" si="159"/>
        <v>251</v>
      </c>
      <c r="S1304" s="17">
        <v>10</v>
      </c>
      <c r="T1304" s="15" t="s">
        <v>129</v>
      </c>
      <c r="U1304" s="3" t="s">
        <v>1686</v>
      </c>
      <c r="V1304" s="112">
        <v>153.47</v>
      </c>
      <c r="W1304" s="4" t="s">
        <v>129</v>
      </c>
      <c r="X1304" s="17">
        <f t="shared" si="158"/>
        <v>1534.7</v>
      </c>
      <c r="AE1304" s="23">
        <f t="shared" si="157"/>
        <v>0</v>
      </c>
    </row>
    <row r="1305" spans="6:31" ht="24" customHeight="1">
      <c r="F1305" s="17">
        <v>0.5</v>
      </c>
      <c r="G1305" s="15" t="s">
        <v>1</v>
      </c>
      <c r="H1305" s="3" t="s">
        <v>144</v>
      </c>
      <c r="I1305" s="17">
        <f>(C10)</f>
        <v>769</v>
      </c>
      <c r="J1305" s="3" t="s">
        <v>1</v>
      </c>
      <c r="K1305" s="17">
        <f>(F1305*I1305)</f>
        <v>384.5</v>
      </c>
      <c r="M1305" s="17">
        <v>0.8</v>
      </c>
      <c r="N1305" s="15" t="s">
        <v>1</v>
      </c>
      <c r="O1305" s="3" t="s">
        <v>147</v>
      </c>
      <c r="P1305" s="17">
        <f>I1307</f>
        <v>412</v>
      </c>
      <c r="Q1305" s="15" t="s">
        <v>1</v>
      </c>
      <c r="R1305" s="17">
        <f t="shared" si="159"/>
        <v>329.6</v>
      </c>
      <c r="S1305" s="5"/>
      <c r="T1305" s="6"/>
      <c r="U1305" s="3"/>
      <c r="V1305" s="112">
        <f>P1337</f>
        <v>0</v>
      </c>
      <c r="W1305" s="10"/>
      <c r="X1305" s="12" t="s">
        <v>117</v>
      </c>
      <c r="AE1305" s="23">
        <f t="shared" si="157"/>
        <v>0</v>
      </c>
    </row>
    <row r="1306" spans="6:31" ht="24" customHeight="1">
      <c r="F1306" s="17">
        <v>1.1000000000000001</v>
      </c>
      <c r="G1306" s="15" t="s">
        <v>1</v>
      </c>
      <c r="H1306" s="3" t="s">
        <v>1628</v>
      </c>
      <c r="I1306" s="17">
        <f>(C12)</f>
        <v>502</v>
      </c>
      <c r="J1306" s="3" t="s">
        <v>1</v>
      </c>
      <c r="K1306" s="17">
        <f>(F1306*I1306)</f>
        <v>552.20000000000005</v>
      </c>
      <c r="M1306" s="17">
        <v>10</v>
      </c>
      <c r="N1306" s="15" t="s">
        <v>174</v>
      </c>
      <c r="O1306" s="3" t="s">
        <v>1687</v>
      </c>
      <c r="P1306" s="24">
        <f>C460</f>
        <v>3.2</v>
      </c>
      <c r="Q1306" s="15" t="s">
        <v>174</v>
      </c>
      <c r="R1306" s="17">
        <f t="shared" si="159"/>
        <v>32</v>
      </c>
      <c r="S1306" s="5"/>
      <c r="T1306" s="6"/>
      <c r="U1306" s="4" t="s">
        <v>1028</v>
      </c>
      <c r="V1306" s="112"/>
      <c r="W1306" s="10"/>
      <c r="X1306" s="17">
        <f>SUM(X1298:X1304)</f>
        <v>21127.898000000005</v>
      </c>
      <c r="AE1306" s="23">
        <f t="shared" si="157"/>
        <v>0</v>
      </c>
    </row>
    <row r="1307" spans="6:31" ht="24" customHeight="1">
      <c r="F1307" s="17">
        <v>4.3</v>
      </c>
      <c r="G1307" s="15" t="s">
        <v>1</v>
      </c>
      <c r="H1307" s="3" t="s">
        <v>147</v>
      </c>
      <c r="I1307" s="17">
        <f>(C13)</f>
        <v>412</v>
      </c>
      <c r="J1307" s="3" t="s">
        <v>1</v>
      </c>
      <c r="K1307" s="17">
        <f>(F1307*I1307)</f>
        <v>1771.6</v>
      </c>
      <c r="N1307" s="15" t="s">
        <v>129</v>
      </c>
      <c r="O1307" s="3" t="s">
        <v>182</v>
      </c>
      <c r="P1307" s="3" t="s">
        <v>115</v>
      </c>
      <c r="Q1307" s="4" t="s">
        <v>129</v>
      </c>
      <c r="R1307" s="17">
        <v>0</v>
      </c>
      <c r="S1307" s="5"/>
      <c r="T1307" s="6"/>
      <c r="W1307" s="10"/>
      <c r="X1307" s="12" t="s">
        <v>117</v>
      </c>
      <c r="AE1307" s="23">
        <f t="shared" si="157"/>
        <v>0</v>
      </c>
    </row>
    <row r="1308" spans="6:31" ht="24" customHeight="1">
      <c r="G1308" s="15" t="s">
        <v>129</v>
      </c>
      <c r="H1308" s="3" t="s">
        <v>130</v>
      </c>
      <c r="J1308" s="3" t="s">
        <v>129</v>
      </c>
      <c r="K1308" s="17">
        <v>0</v>
      </c>
      <c r="N1308" s="6"/>
      <c r="Q1308" s="10"/>
      <c r="R1308" s="12" t="s">
        <v>117</v>
      </c>
      <c r="S1308" s="5"/>
      <c r="T1308" s="6"/>
      <c r="U1308" s="4" t="s">
        <v>1033</v>
      </c>
      <c r="W1308" s="10"/>
      <c r="X1308" s="16">
        <f>X1306/10</f>
        <v>2112.7898000000005</v>
      </c>
      <c r="AE1308" s="23">
        <f t="shared" si="157"/>
        <v>0</v>
      </c>
    </row>
    <row r="1309" spans="6:31" ht="24" customHeight="1">
      <c r="K1309" s="12" t="s">
        <v>117</v>
      </c>
      <c r="N1309" s="6"/>
      <c r="O1309" s="3" t="s">
        <v>153</v>
      </c>
      <c r="Q1309" s="10"/>
      <c r="R1309" s="17">
        <f>SUM(R1300:R1307)</f>
        <v>2198.4059999999999</v>
      </c>
      <c r="S1309" s="5"/>
      <c r="T1309" s="6"/>
      <c r="U1309" s="3" t="s">
        <v>482</v>
      </c>
      <c r="W1309" s="10">
        <f>X1313+Y1308</f>
        <v>2115.0098000000007</v>
      </c>
      <c r="X1309" s="17">
        <f>X1308+Y1306</f>
        <v>2112.7898000000005</v>
      </c>
      <c r="AE1309" s="23">
        <f t="shared" si="157"/>
        <v>0</v>
      </c>
    </row>
    <row r="1310" spans="6:31" ht="24" customHeight="1">
      <c r="H1310" s="3" t="s">
        <v>153</v>
      </c>
      <c r="K1310" s="17">
        <f>SUM(K1303:K1308)</f>
        <v>3618.6656000000003</v>
      </c>
      <c r="N1310" s="6"/>
      <c r="Q1310" s="10"/>
      <c r="R1310" s="12" t="s">
        <v>117</v>
      </c>
      <c r="S1310" s="5"/>
      <c r="T1310" s="6"/>
      <c r="U1310" s="3" t="s">
        <v>486</v>
      </c>
      <c r="W1310" s="10">
        <f>W1309+Y1308</f>
        <v>2115.0098000000007</v>
      </c>
      <c r="X1310" s="17">
        <f>X1309+1.11</f>
        <v>2113.8998000000006</v>
      </c>
      <c r="AE1310" s="23">
        <f t="shared" si="157"/>
        <v>0</v>
      </c>
    </row>
    <row r="1311" spans="6:31" ht="24" customHeight="1">
      <c r="K1311" s="12" t="s">
        <v>117</v>
      </c>
      <c r="N1311" s="6"/>
      <c r="O1311" s="7" t="s">
        <v>154</v>
      </c>
      <c r="Q1311" s="10"/>
      <c r="R1311" s="16">
        <f>(R1309/10)</f>
        <v>219.84059999999999</v>
      </c>
      <c r="S1311" s="5"/>
      <c r="T1311" s="6"/>
      <c r="U1311" s="3" t="s">
        <v>489</v>
      </c>
      <c r="W1311" s="10"/>
      <c r="X1311" s="17">
        <f>X1310+1.11</f>
        <v>2115.0098000000007</v>
      </c>
      <c r="AE1311" s="23">
        <f t="shared" si="157"/>
        <v>0</v>
      </c>
    </row>
    <row r="1312" spans="6:31" ht="24" customHeight="1">
      <c r="H1312" s="19" t="s">
        <v>154</v>
      </c>
      <c r="K1312" s="16">
        <f>(K1310/10)</f>
        <v>361.86656000000005</v>
      </c>
      <c r="M1312" s="3" t="s">
        <v>115</v>
      </c>
      <c r="N1312" s="6"/>
      <c r="Q1312" s="10"/>
      <c r="S1312" s="5"/>
      <c r="T1312" s="6"/>
      <c r="U1312" s="3" t="s">
        <v>491</v>
      </c>
      <c r="W1312" s="10"/>
      <c r="X1312" s="17">
        <f>X1311+Y1308</f>
        <v>2115.0098000000007</v>
      </c>
      <c r="AE1312" s="23">
        <f t="shared" si="157"/>
        <v>0</v>
      </c>
    </row>
    <row r="1313" spans="6:31" ht="24" customHeight="1">
      <c r="F1313" s="3" t="s">
        <v>115</v>
      </c>
      <c r="N1313" s="6"/>
      <c r="Q1313" s="10"/>
      <c r="R1313" s="12" t="s">
        <v>155</v>
      </c>
      <c r="S1313" s="5"/>
      <c r="T1313" s="6"/>
      <c r="U1313" s="3" t="s">
        <v>871</v>
      </c>
      <c r="W1313" s="10"/>
      <c r="X1313" s="17">
        <f>X1312+Y1308</f>
        <v>2115.0098000000007</v>
      </c>
      <c r="AE1313" s="23">
        <f t="shared" si="157"/>
        <v>0</v>
      </c>
    </row>
    <row r="1314" spans="6:31" ht="24" customHeight="1">
      <c r="K1314" s="12" t="s">
        <v>155</v>
      </c>
      <c r="N1314" s="6"/>
      <c r="Q1314" s="10"/>
      <c r="S1314" s="5"/>
      <c r="T1314" s="6"/>
      <c r="W1314" s="10"/>
      <c r="AE1314" s="23">
        <f t="shared" si="157"/>
        <v>0</v>
      </c>
    </row>
    <row r="1315" spans="6:31" ht="24" customHeight="1">
      <c r="F1315" s="4" t="s">
        <v>1688</v>
      </c>
      <c r="G1315" s="15" t="s">
        <v>122</v>
      </c>
      <c r="H1315" s="7" t="s">
        <v>1689</v>
      </c>
      <c r="M1315" s="4" t="s">
        <v>1690</v>
      </c>
      <c r="N1315" s="15" t="s">
        <v>122</v>
      </c>
      <c r="O1315" s="3" t="s">
        <v>1691</v>
      </c>
      <c r="Q1315" s="10"/>
      <c r="AE1315" s="23">
        <f t="shared" si="157"/>
        <v>0</v>
      </c>
    </row>
    <row r="1316" spans="6:31" ht="24" customHeight="1">
      <c r="H1316" s="3" t="s">
        <v>1692</v>
      </c>
      <c r="N1316" s="6"/>
      <c r="O1316" s="3" t="s">
        <v>178</v>
      </c>
      <c r="Q1316" s="10"/>
      <c r="S1316" s="106">
        <v>15.1</v>
      </c>
      <c r="T1316" s="15" t="s">
        <v>1011</v>
      </c>
      <c r="U1316" s="3" t="s">
        <v>1693</v>
      </c>
      <c r="W1316" s="10"/>
      <c r="AE1316" s="23">
        <f t="shared" si="157"/>
        <v>0</v>
      </c>
    </row>
    <row r="1317" spans="6:31" ht="24" customHeight="1">
      <c r="H1317" s="3" t="s">
        <v>1694</v>
      </c>
      <c r="N1317" s="6"/>
      <c r="O1317" s="7" t="s">
        <v>172</v>
      </c>
      <c r="Q1317" s="10"/>
      <c r="S1317" s="5"/>
      <c r="T1317" s="6"/>
      <c r="U1317" s="3" t="s">
        <v>950</v>
      </c>
      <c r="W1317" s="10"/>
      <c r="AE1317" s="23">
        <f t="shared" si="157"/>
        <v>0</v>
      </c>
    </row>
    <row r="1318" spans="6:31" ht="24" customHeight="1">
      <c r="H1318" s="3" t="s">
        <v>1695</v>
      </c>
      <c r="N1318" s="6"/>
      <c r="O1318" s="12" t="s">
        <v>117</v>
      </c>
      <c r="Q1318" s="10"/>
      <c r="S1318" s="17">
        <v>10</v>
      </c>
      <c r="T1318" s="15" t="s">
        <v>174</v>
      </c>
      <c r="U1318" s="3" t="s">
        <v>1696</v>
      </c>
      <c r="V1318" s="25">
        <f>AB1188</f>
        <v>1706</v>
      </c>
      <c r="W1318" s="4" t="s">
        <v>174</v>
      </c>
      <c r="X1318" s="17">
        <f>(S1318*V1318)</f>
        <v>17060</v>
      </c>
      <c r="AE1318" s="23">
        <f t="shared" si="157"/>
        <v>0</v>
      </c>
    </row>
    <row r="1319" spans="6:31" ht="24" customHeight="1">
      <c r="H1319" s="3" t="s">
        <v>1697</v>
      </c>
      <c r="M1319" s="17">
        <v>1.4</v>
      </c>
      <c r="N1319" s="15" t="s">
        <v>171</v>
      </c>
      <c r="O1319" s="182" t="s">
        <v>1698</v>
      </c>
      <c r="P1319" s="44">
        <v>289.8</v>
      </c>
      <c r="Q1319" s="4" t="s">
        <v>171</v>
      </c>
      <c r="R1319" s="17">
        <f>(M1319*P1319)</f>
        <v>405.71999999999997</v>
      </c>
      <c r="S1319" s="17">
        <v>0.21</v>
      </c>
      <c r="T1319" s="15" t="s">
        <v>126</v>
      </c>
      <c r="U1319" s="3" t="s">
        <v>1018</v>
      </c>
      <c r="V1319" s="112">
        <f>V1299</f>
        <v>4193.8</v>
      </c>
      <c r="W1319" s="4" t="s">
        <v>126</v>
      </c>
      <c r="X1319" s="17">
        <f t="shared" ref="X1319:X1324" si="160">(S1319*V1319)</f>
        <v>880.69799999999998</v>
      </c>
      <c r="AE1319" s="23">
        <f t="shared" si="157"/>
        <v>0</v>
      </c>
    </row>
    <row r="1320" spans="6:31" ht="24" customHeight="1">
      <c r="H1320" s="12" t="s">
        <v>117</v>
      </c>
      <c r="M1320" s="17">
        <v>0.98</v>
      </c>
      <c r="N1320" s="15" t="s">
        <v>171</v>
      </c>
      <c r="O1320" s="70" t="s">
        <v>1699</v>
      </c>
      <c r="P1320" s="24">
        <f>C196</f>
        <v>144.69999999999999</v>
      </c>
      <c r="Q1320" s="4" t="s">
        <v>171</v>
      </c>
      <c r="R1320" s="17">
        <f>(M1320*P1320)</f>
        <v>141.80599999999998</v>
      </c>
      <c r="S1320" s="17">
        <v>1.1000000000000001</v>
      </c>
      <c r="T1320" s="15" t="s">
        <v>233</v>
      </c>
      <c r="U1320" s="3" t="s">
        <v>954</v>
      </c>
      <c r="V1320" s="25">
        <f t="shared" ref="V1320:V1325" si="161">V1300</f>
        <v>769</v>
      </c>
      <c r="W1320" s="4" t="s">
        <v>227</v>
      </c>
      <c r="X1320" s="17">
        <f t="shared" si="160"/>
        <v>845.90000000000009</v>
      </c>
      <c r="AE1320" s="23">
        <f t="shared" si="157"/>
        <v>0</v>
      </c>
    </row>
    <row r="1321" spans="6:31" ht="24" customHeight="1">
      <c r="F1321" s="17">
        <v>12.8</v>
      </c>
      <c r="G1321" s="15" t="s">
        <v>126</v>
      </c>
      <c r="H1321" s="3" t="s">
        <v>1700</v>
      </c>
      <c r="I1321" s="17">
        <f>(C82)</f>
        <v>960.65</v>
      </c>
      <c r="J1321" s="3" t="s">
        <v>126</v>
      </c>
      <c r="K1321" s="17">
        <f>(F1321*I1321)</f>
        <v>12296.32</v>
      </c>
      <c r="M1321" s="17">
        <v>2.2000000000000002</v>
      </c>
      <c r="N1321" s="15" t="s">
        <v>1</v>
      </c>
      <c r="O1321" s="3" t="s">
        <v>181</v>
      </c>
      <c r="P1321" s="17">
        <f>P1302</f>
        <v>615</v>
      </c>
      <c r="Q1321" s="4" t="s">
        <v>1</v>
      </c>
      <c r="R1321" s="17">
        <f>(M1321*P1321)</f>
        <v>1353</v>
      </c>
      <c r="S1321" s="17">
        <v>1.1000000000000001</v>
      </c>
      <c r="T1321" s="15" t="s">
        <v>233</v>
      </c>
      <c r="U1321" s="3" t="s">
        <v>1622</v>
      </c>
      <c r="V1321" s="25">
        <f t="shared" si="161"/>
        <v>718</v>
      </c>
      <c r="W1321" s="4" t="s">
        <v>227</v>
      </c>
      <c r="X1321" s="17">
        <f t="shared" si="160"/>
        <v>789.80000000000007</v>
      </c>
      <c r="AE1321" s="23">
        <f t="shared" si="157"/>
        <v>0</v>
      </c>
    </row>
    <row r="1322" spans="6:31" ht="24" customHeight="1">
      <c r="F1322" s="17">
        <v>5</v>
      </c>
      <c r="G1322" s="15" t="s">
        <v>126</v>
      </c>
      <c r="H1322" s="3" t="s">
        <v>1701</v>
      </c>
      <c r="I1322" s="17">
        <f>(C85)</f>
        <v>955</v>
      </c>
      <c r="J1322" s="3" t="s">
        <v>126</v>
      </c>
      <c r="K1322" s="17">
        <f>(F1322*I1322)</f>
        <v>4775</v>
      </c>
      <c r="N1322" s="15" t="s">
        <v>129</v>
      </c>
      <c r="O1322" s="3" t="s">
        <v>182</v>
      </c>
      <c r="P1322" s="3" t="s">
        <v>115</v>
      </c>
      <c r="Q1322" s="4" t="s">
        <v>129</v>
      </c>
      <c r="R1322" s="17">
        <v>2.5499999999999998</v>
      </c>
      <c r="S1322" s="17">
        <v>2.2000000000000002</v>
      </c>
      <c r="T1322" s="15" t="s">
        <v>233</v>
      </c>
      <c r="U1322" s="3" t="s">
        <v>956</v>
      </c>
      <c r="V1322" s="25">
        <f t="shared" si="161"/>
        <v>502</v>
      </c>
      <c r="W1322" s="4" t="s">
        <v>227</v>
      </c>
      <c r="X1322" s="17">
        <f t="shared" si="160"/>
        <v>1104.4000000000001</v>
      </c>
      <c r="AE1322" s="23">
        <f t="shared" si="157"/>
        <v>0</v>
      </c>
    </row>
    <row r="1323" spans="6:31" ht="24" customHeight="1">
      <c r="F1323" s="17">
        <v>1.8</v>
      </c>
      <c r="G1323" s="15" t="s">
        <v>1</v>
      </c>
      <c r="H1323" s="3" t="s">
        <v>144</v>
      </c>
      <c r="I1323" s="17">
        <f>(C10)</f>
        <v>769</v>
      </c>
      <c r="J1323" s="3" t="s">
        <v>1</v>
      </c>
      <c r="K1323" s="17">
        <f>(F1323*I1323)</f>
        <v>1384.2</v>
      </c>
      <c r="N1323" s="6"/>
      <c r="Q1323" s="10"/>
      <c r="R1323" s="12"/>
      <c r="S1323" s="17">
        <v>2.2000000000000002</v>
      </c>
      <c r="T1323" s="15" t="s">
        <v>233</v>
      </c>
      <c r="U1323" s="3" t="s">
        <v>1685</v>
      </c>
      <c r="V1323" s="25">
        <f t="shared" si="161"/>
        <v>412</v>
      </c>
      <c r="W1323" s="4" t="s">
        <v>227</v>
      </c>
      <c r="X1323" s="17">
        <f t="shared" si="160"/>
        <v>906.40000000000009</v>
      </c>
      <c r="AE1323" s="23">
        <f t="shared" si="157"/>
        <v>0</v>
      </c>
    </row>
    <row r="1324" spans="6:31" ht="24" customHeight="1">
      <c r="F1324" s="17">
        <v>17.7</v>
      </c>
      <c r="G1324" s="15" t="s">
        <v>1</v>
      </c>
      <c r="H1324" s="3" t="s">
        <v>1628</v>
      </c>
      <c r="I1324" s="17">
        <f>(C12)</f>
        <v>502</v>
      </c>
      <c r="J1324" s="3" t="s">
        <v>1</v>
      </c>
      <c r="K1324" s="17">
        <f>(F1324*I1324)</f>
        <v>8885.4</v>
      </c>
      <c r="N1324" s="6"/>
      <c r="O1324" s="3" t="s">
        <v>153</v>
      </c>
      <c r="Q1324" s="10"/>
      <c r="R1324" s="17">
        <f>SUM(R1319:R1322)</f>
        <v>1903.0759999999998</v>
      </c>
      <c r="S1324" s="17">
        <v>10</v>
      </c>
      <c r="T1324" s="15" t="s">
        <v>129</v>
      </c>
      <c r="U1324" s="3" t="s">
        <v>1686</v>
      </c>
      <c r="V1324" s="25">
        <f t="shared" si="161"/>
        <v>153.47</v>
      </c>
      <c r="W1324" s="4" t="s">
        <v>129</v>
      </c>
      <c r="X1324" s="17">
        <f t="shared" si="160"/>
        <v>1534.7</v>
      </c>
      <c r="AE1324" s="23">
        <f t="shared" si="157"/>
        <v>0</v>
      </c>
    </row>
    <row r="1325" spans="6:31" ht="24" customHeight="1">
      <c r="F1325" s="17">
        <v>14.1</v>
      </c>
      <c r="G1325" s="15" t="s">
        <v>1</v>
      </c>
      <c r="H1325" s="3" t="s">
        <v>147</v>
      </c>
      <c r="I1325" s="17">
        <f>(C13)</f>
        <v>412</v>
      </c>
      <c r="J1325" s="3" t="s">
        <v>1</v>
      </c>
      <c r="K1325" s="17">
        <f>(F1325*I1325)</f>
        <v>5809.2</v>
      </c>
      <c r="N1325" s="6"/>
      <c r="Q1325" s="10"/>
      <c r="R1325" s="12" t="s">
        <v>117</v>
      </c>
      <c r="S1325" s="5"/>
      <c r="T1325" s="6"/>
      <c r="U1325" s="3"/>
      <c r="V1325" s="25">
        <f t="shared" si="161"/>
        <v>0</v>
      </c>
      <c r="W1325" s="10"/>
      <c r="X1325" s="12" t="s">
        <v>117</v>
      </c>
      <c r="AE1325" s="23">
        <f t="shared" si="157"/>
        <v>0</v>
      </c>
    </row>
    <row r="1326" spans="6:31" ht="24" customHeight="1">
      <c r="G1326" s="15" t="s">
        <v>129</v>
      </c>
      <c r="H1326" s="3" t="s">
        <v>130</v>
      </c>
      <c r="J1326" s="3" t="s">
        <v>129</v>
      </c>
      <c r="K1326" s="17">
        <v>0</v>
      </c>
      <c r="N1326" s="6"/>
      <c r="O1326" s="3" t="s">
        <v>154</v>
      </c>
      <c r="Q1326" s="10"/>
      <c r="R1326" s="16">
        <f>(R1324/10)</f>
        <v>190.30759999999998</v>
      </c>
      <c r="S1326" s="5">
        <f>R1326-157</f>
        <v>33.307599999999979</v>
      </c>
      <c r="T1326" s="6"/>
      <c r="U1326" s="4" t="s">
        <v>1028</v>
      </c>
      <c r="W1326" s="10"/>
      <c r="X1326" s="17">
        <f>SUM(X1318:X1324)</f>
        <v>23121.898000000005</v>
      </c>
      <c r="AE1326" s="23">
        <f t="shared" si="157"/>
        <v>0</v>
      </c>
    </row>
    <row r="1327" spans="6:31" ht="24" customHeight="1">
      <c r="K1327" s="12" t="s">
        <v>117</v>
      </c>
      <c r="M1327" s="3" t="s">
        <v>115</v>
      </c>
      <c r="N1327" s="6"/>
      <c r="Q1327" s="10"/>
      <c r="S1327" s="5"/>
      <c r="T1327" s="6"/>
      <c r="W1327" s="10"/>
      <c r="X1327" s="12" t="s">
        <v>117</v>
      </c>
      <c r="AE1327" s="23">
        <f t="shared" si="157"/>
        <v>0</v>
      </c>
    </row>
    <row r="1328" spans="6:31" ht="24" customHeight="1">
      <c r="H1328" s="3" t="s">
        <v>455</v>
      </c>
      <c r="K1328" s="17">
        <f>SUM(K1321:K1327)</f>
        <v>33150.119999999995</v>
      </c>
      <c r="N1328" s="6"/>
      <c r="Q1328" s="10"/>
      <c r="R1328" s="12" t="s">
        <v>155</v>
      </c>
      <c r="S1328" s="5"/>
      <c r="T1328" s="6"/>
      <c r="U1328" s="4" t="s">
        <v>1033</v>
      </c>
      <c r="W1328" s="10"/>
      <c r="X1328" s="16">
        <f>X1326/10</f>
        <v>2312.1898000000006</v>
      </c>
      <c r="AE1328" s="23">
        <f t="shared" si="157"/>
        <v>0</v>
      </c>
    </row>
    <row r="1329" spans="6:31" ht="24" customHeight="1">
      <c r="K1329" s="12" t="s">
        <v>117</v>
      </c>
      <c r="N1329" s="6"/>
      <c r="Q1329" s="10"/>
      <c r="AE1329" s="23">
        <f t="shared" si="157"/>
        <v>0</v>
      </c>
    </row>
    <row r="1330" spans="6:31" ht="24" customHeight="1">
      <c r="H1330" s="19" t="s">
        <v>383</v>
      </c>
      <c r="K1330" s="16">
        <f>(K1328/10)</f>
        <v>3315.0119999999997</v>
      </c>
      <c r="M1330" s="106">
        <v>15.1</v>
      </c>
      <c r="N1330" s="15" t="s">
        <v>1011</v>
      </c>
      <c r="O1330" s="3" t="s">
        <v>1693</v>
      </c>
      <c r="Q1330" s="10"/>
      <c r="T1330" s="7" t="s">
        <v>139</v>
      </c>
      <c r="AE1330" s="23">
        <f t="shared" si="157"/>
        <v>0</v>
      </c>
    </row>
    <row r="1331" spans="6:31" ht="24" customHeight="1">
      <c r="K1331" s="12" t="s">
        <v>155</v>
      </c>
      <c r="N1331" s="6"/>
      <c r="O1331" s="3" t="s">
        <v>950</v>
      </c>
      <c r="Q1331" s="10"/>
      <c r="S1331" s="17">
        <v>10</v>
      </c>
      <c r="T1331" s="15" t="s">
        <v>140</v>
      </c>
      <c r="U1331" s="3" t="s">
        <v>141</v>
      </c>
      <c r="V1331" s="25">
        <v>464</v>
      </c>
      <c r="W1331" s="3" t="s">
        <v>140</v>
      </c>
      <c r="X1331" s="17">
        <f>(S1331*V1331)</f>
        <v>4640</v>
      </c>
      <c r="Z1331" s="5">
        <v>9</v>
      </c>
      <c r="AA1331" s="5" t="s">
        <v>1702</v>
      </c>
      <c r="AB1331" s="5">
        <f>AC44</f>
        <v>1038.52</v>
      </c>
      <c r="AC1331" s="5">
        <f>AB1331*Z1331</f>
        <v>9346.68</v>
      </c>
      <c r="AE1331" s="23">
        <f t="shared" si="157"/>
        <v>0</v>
      </c>
    </row>
    <row r="1332" spans="6:31" ht="38.25" customHeight="1">
      <c r="M1332" s="17">
        <v>10</v>
      </c>
      <c r="N1332" s="15" t="s">
        <v>174</v>
      </c>
      <c r="O1332" s="183" t="s">
        <v>1703</v>
      </c>
      <c r="P1332" s="25">
        <v>1595</v>
      </c>
      <c r="Q1332" s="4" t="s">
        <v>174</v>
      </c>
      <c r="R1332" s="17">
        <f>(M1332*P1332)</f>
        <v>15950</v>
      </c>
      <c r="S1332" s="17">
        <v>0.21</v>
      </c>
      <c r="T1332" s="15" t="s">
        <v>126</v>
      </c>
      <c r="U1332" s="3" t="s">
        <v>142</v>
      </c>
      <c r="V1332" s="17">
        <f>P1333</f>
        <v>4193.8</v>
      </c>
      <c r="W1332" s="3" t="s">
        <v>126</v>
      </c>
      <c r="X1332" s="17">
        <f>(S1332*V1332)</f>
        <v>880.69799999999998</v>
      </c>
      <c r="Z1332" s="5">
        <v>4.5</v>
      </c>
      <c r="AA1332" s="3" t="s">
        <v>1664</v>
      </c>
      <c r="AB1332" s="5">
        <f>K23</f>
        <v>5585.8</v>
      </c>
      <c r="AC1332" s="5">
        <f>AB1332*Z1332</f>
        <v>25136.100000000002</v>
      </c>
      <c r="AE1332" s="23">
        <f t="shared" si="157"/>
        <v>0</v>
      </c>
    </row>
    <row r="1333" spans="6:31" ht="24" customHeight="1">
      <c r="G1333" s="15" t="s">
        <v>558</v>
      </c>
      <c r="H1333" s="3" t="s">
        <v>1704</v>
      </c>
      <c r="M1333" s="17">
        <v>0.12</v>
      </c>
      <c r="N1333" s="15" t="s">
        <v>126</v>
      </c>
      <c r="O1333" s="3" t="s">
        <v>1018</v>
      </c>
      <c r="P1333" s="17">
        <f>K32</f>
        <v>4193.8</v>
      </c>
      <c r="Q1333" s="4" t="s">
        <v>126</v>
      </c>
      <c r="R1333" s="17">
        <f>(M1333*P1333)</f>
        <v>503.25600000000003</v>
      </c>
      <c r="S1333" s="5">
        <v>10</v>
      </c>
      <c r="T1333" s="6"/>
      <c r="U1333" s="3" t="s">
        <v>143</v>
      </c>
      <c r="V1333" s="112">
        <f>K1344</f>
        <v>245.15520000000001</v>
      </c>
      <c r="W1333" s="8"/>
      <c r="X1333" s="17">
        <f>(S1333*V1333)</f>
        <v>2451.5520000000001</v>
      </c>
      <c r="Z1333" s="5">
        <v>1.8</v>
      </c>
      <c r="AA1333" s="3" t="s">
        <v>145</v>
      </c>
      <c r="AB1333" s="5">
        <f>V1335</f>
        <v>718</v>
      </c>
      <c r="AC1333" s="5">
        <f>AB1333*Z1333</f>
        <v>1292.4000000000001</v>
      </c>
      <c r="AE1333" s="23">
        <f t="shared" si="157"/>
        <v>0</v>
      </c>
    </row>
    <row r="1334" spans="6:31" ht="31.5" customHeight="1">
      <c r="H1334" s="3" t="s">
        <v>1705</v>
      </c>
      <c r="M1334" s="17">
        <v>1</v>
      </c>
      <c r="N1334" s="15" t="s">
        <v>233</v>
      </c>
      <c r="O1334" s="3" t="s">
        <v>954</v>
      </c>
      <c r="P1334" s="17">
        <f>I1305</f>
        <v>769</v>
      </c>
      <c r="Q1334" s="4" t="s">
        <v>227</v>
      </c>
      <c r="R1334" s="17">
        <f>(M1334*P1334)</f>
        <v>769</v>
      </c>
      <c r="S1334" s="17">
        <v>1.1000000000000001</v>
      </c>
      <c r="T1334" s="184" t="s">
        <v>1</v>
      </c>
      <c r="U1334" s="3" t="s">
        <v>144</v>
      </c>
      <c r="V1334" s="17">
        <f>AE9</f>
        <v>769</v>
      </c>
      <c r="W1334" s="4" t="s">
        <v>1</v>
      </c>
      <c r="X1334" s="17">
        <f t="shared" ref="X1334:X1341" si="162">S1334*V1334</f>
        <v>845.90000000000009</v>
      </c>
      <c r="Z1334" s="5">
        <v>17.7</v>
      </c>
      <c r="AA1334" s="3" t="s">
        <v>146</v>
      </c>
      <c r="AB1334" s="5">
        <f>V1336</f>
        <v>502</v>
      </c>
      <c r="AC1334" s="5">
        <f>AB1334*Z1334</f>
        <v>8885.4</v>
      </c>
      <c r="AE1334" s="23">
        <f t="shared" si="157"/>
        <v>0</v>
      </c>
    </row>
    <row r="1335" spans="6:31" ht="38.25" customHeight="1">
      <c r="H1335" s="12" t="s">
        <v>117</v>
      </c>
      <c r="L1335" s="5">
        <f>SUM(K1355:K1360)</f>
        <v>6427.3779999999997</v>
      </c>
      <c r="M1335" s="17">
        <v>1</v>
      </c>
      <c r="N1335" s="15" t="s">
        <v>233</v>
      </c>
      <c r="O1335" s="3" t="s">
        <v>956</v>
      </c>
      <c r="P1335" s="17">
        <f>I1306</f>
        <v>502</v>
      </c>
      <c r="Q1335" s="4" t="s">
        <v>227</v>
      </c>
      <c r="R1335" s="17">
        <f>(M1335*P1335)</f>
        <v>502</v>
      </c>
      <c r="S1335" s="17">
        <v>2.1</v>
      </c>
      <c r="T1335" s="184" t="s">
        <v>1</v>
      </c>
      <c r="U1335" s="3" t="s">
        <v>145</v>
      </c>
      <c r="V1335" s="17">
        <f>AE10</f>
        <v>718</v>
      </c>
      <c r="W1335" s="4" t="s">
        <v>1</v>
      </c>
      <c r="X1335" s="17">
        <f t="shared" si="162"/>
        <v>1507.8</v>
      </c>
      <c r="Z1335" s="5">
        <v>14.1</v>
      </c>
      <c r="AA1335" s="3" t="s">
        <v>147</v>
      </c>
      <c r="AB1335" s="5">
        <f>V1337</f>
        <v>412</v>
      </c>
      <c r="AC1335" s="5">
        <f>AB1335*Z1335</f>
        <v>5809.2</v>
      </c>
      <c r="AE1335" s="23">
        <f t="shared" si="157"/>
        <v>0</v>
      </c>
    </row>
    <row r="1336" spans="6:31" ht="24" customHeight="1">
      <c r="F1336" s="17">
        <v>0.04</v>
      </c>
      <c r="G1336" s="15" t="s">
        <v>126</v>
      </c>
      <c r="H1336" s="3" t="s">
        <v>1706</v>
      </c>
      <c r="I1336" s="17">
        <f>(K32)</f>
        <v>4193.8</v>
      </c>
      <c r="J1336" s="3" t="s">
        <v>126</v>
      </c>
      <c r="K1336" s="17">
        <f>(F1336*I1336)</f>
        <v>167.75200000000001</v>
      </c>
      <c r="N1336" s="15" t="s">
        <v>129</v>
      </c>
      <c r="O1336" s="3" t="s">
        <v>958</v>
      </c>
      <c r="Q1336" s="4" t="s">
        <v>129</v>
      </c>
      <c r="R1336" s="17">
        <v>0.33</v>
      </c>
      <c r="S1336" s="17">
        <v>2.2000000000000002</v>
      </c>
      <c r="T1336" s="184" t="s">
        <v>1</v>
      </c>
      <c r="U1336" s="3" t="s">
        <v>146</v>
      </c>
      <c r="V1336" s="17">
        <f>AE11</f>
        <v>502</v>
      </c>
      <c r="W1336" s="4" t="s">
        <v>1</v>
      </c>
      <c r="X1336" s="17">
        <f t="shared" si="162"/>
        <v>1104.4000000000001</v>
      </c>
      <c r="AC1336" s="5">
        <f>SUM(AC1331:AC1335)</f>
        <v>50469.78</v>
      </c>
      <c r="AE1336" s="23">
        <f t="shared" si="157"/>
        <v>0</v>
      </c>
    </row>
    <row r="1337" spans="6:31" ht="24" customHeight="1">
      <c r="F1337" s="17">
        <v>2.2000000000000002</v>
      </c>
      <c r="G1337" s="15" t="s">
        <v>1</v>
      </c>
      <c r="H1337" s="3" t="s">
        <v>145</v>
      </c>
      <c r="I1337" s="17">
        <f>(C11)</f>
        <v>718</v>
      </c>
      <c r="J1337" s="3" t="s">
        <v>1</v>
      </c>
      <c r="K1337" s="17">
        <f>(F1337*I1337)</f>
        <v>1579.6000000000001</v>
      </c>
      <c r="L1337" s="5">
        <f>SUM(K1355:K1360)</f>
        <v>6427.3779999999997</v>
      </c>
      <c r="N1337" s="6"/>
      <c r="O1337" s="3" t="s">
        <v>960</v>
      </c>
      <c r="Q1337" s="10"/>
      <c r="R1337" s="12" t="s">
        <v>117</v>
      </c>
      <c r="S1337" s="17">
        <v>1.1000000000000001</v>
      </c>
      <c r="T1337" s="184" t="s">
        <v>1</v>
      </c>
      <c r="U1337" s="3" t="s">
        <v>147</v>
      </c>
      <c r="V1337" s="17">
        <f>AE12</f>
        <v>412</v>
      </c>
      <c r="W1337" s="4" t="s">
        <v>1</v>
      </c>
      <c r="X1337" s="17">
        <f t="shared" si="162"/>
        <v>453.20000000000005</v>
      </c>
      <c r="AC1337" s="5">
        <f>AC1336/10</f>
        <v>5046.9780000000001</v>
      </c>
      <c r="AE1337" s="23">
        <f t="shared" si="157"/>
        <v>0</v>
      </c>
    </row>
    <row r="1338" spans="6:31" ht="24" customHeight="1">
      <c r="F1338" s="17">
        <v>0.5</v>
      </c>
      <c r="G1338" s="15" t="s">
        <v>1</v>
      </c>
      <c r="H1338" s="3" t="s">
        <v>146</v>
      </c>
      <c r="I1338" s="17">
        <f>(C12)</f>
        <v>502</v>
      </c>
      <c r="J1338" s="3" t="s">
        <v>1</v>
      </c>
      <c r="K1338" s="17">
        <f>(F1338*I1338)</f>
        <v>251</v>
      </c>
      <c r="N1338" s="6"/>
      <c r="O1338" s="4" t="s">
        <v>1028</v>
      </c>
      <c r="Q1338" s="10"/>
      <c r="R1338" s="17">
        <f>SUM(R1332:R1336)</f>
        <v>17724.586000000003</v>
      </c>
      <c r="S1338" s="49">
        <v>6.5</v>
      </c>
      <c r="T1338" s="184" t="s">
        <v>148</v>
      </c>
      <c r="U1338" s="3" t="s">
        <v>149</v>
      </c>
      <c r="V1338" s="17">
        <v>17.18</v>
      </c>
      <c r="W1338" s="4" t="s">
        <v>124</v>
      </c>
      <c r="X1338" s="17">
        <f t="shared" si="162"/>
        <v>111.67</v>
      </c>
      <c r="AE1338" s="23">
        <f t="shared" si="157"/>
        <v>0</v>
      </c>
    </row>
    <row r="1339" spans="6:31" ht="24" customHeight="1">
      <c r="F1339" s="17">
        <v>1.1000000000000001</v>
      </c>
      <c r="G1339" s="15" t="s">
        <v>1</v>
      </c>
      <c r="H1339" s="3" t="s">
        <v>147</v>
      </c>
      <c r="I1339" s="17">
        <f>(C13)</f>
        <v>412</v>
      </c>
      <c r="J1339" s="3" t="s">
        <v>1</v>
      </c>
      <c r="K1339" s="17">
        <f>(F1339*I1339)</f>
        <v>453.20000000000005</v>
      </c>
      <c r="N1339" s="6"/>
      <c r="Q1339" s="10"/>
      <c r="R1339" s="12" t="s">
        <v>117</v>
      </c>
      <c r="S1339" s="49">
        <v>3</v>
      </c>
      <c r="T1339" s="184" t="s">
        <v>148</v>
      </c>
      <c r="U1339" s="3" t="s">
        <v>150</v>
      </c>
      <c r="V1339" s="25">
        <f>C610</f>
        <v>26.8</v>
      </c>
      <c r="W1339" s="4" t="s">
        <v>148</v>
      </c>
      <c r="X1339" s="17">
        <f t="shared" si="162"/>
        <v>80.400000000000006</v>
      </c>
      <c r="AE1339" s="23">
        <f t="shared" si="157"/>
        <v>0</v>
      </c>
    </row>
    <row r="1340" spans="6:31" ht="24" customHeight="1">
      <c r="G1340" s="15" t="s">
        <v>129</v>
      </c>
      <c r="H1340" s="3" t="s">
        <v>130</v>
      </c>
      <c r="J1340" s="3" t="s">
        <v>129</v>
      </c>
      <c r="K1340" s="17">
        <v>0</v>
      </c>
      <c r="N1340" s="6"/>
      <c r="O1340" s="4" t="s">
        <v>1033</v>
      </c>
      <c r="Q1340" s="10"/>
      <c r="R1340" s="16">
        <f>R1338/10</f>
        <v>1772.4586000000004</v>
      </c>
      <c r="S1340" s="17">
        <v>2.15</v>
      </c>
      <c r="T1340" s="184" t="s">
        <v>1</v>
      </c>
      <c r="U1340" s="3" t="s">
        <v>151</v>
      </c>
      <c r="V1340" s="17">
        <v>45.8</v>
      </c>
      <c r="W1340" s="4" t="s">
        <v>1</v>
      </c>
      <c r="X1340" s="17">
        <f t="shared" si="162"/>
        <v>98.469999999999985</v>
      </c>
      <c r="AE1340" s="23">
        <f t="shared" si="157"/>
        <v>0</v>
      </c>
    </row>
    <row r="1341" spans="6:31" ht="24" customHeight="1">
      <c r="K1341" s="12" t="s">
        <v>117</v>
      </c>
      <c r="N1341" s="6"/>
      <c r="O1341" s="3" t="s">
        <v>482</v>
      </c>
      <c r="Q1341" s="10">
        <f>R1345+S1302</f>
        <v>1781.4886000000004</v>
      </c>
      <c r="R1341" s="17">
        <f>R1340+S1299</f>
        <v>1772.6686000000004</v>
      </c>
      <c r="S1341" s="185">
        <v>0.4</v>
      </c>
      <c r="T1341" s="186" t="s">
        <v>1</v>
      </c>
      <c r="U1341" s="187" t="s">
        <v>152</v>
      </c>
      <c r="V1341" s="185"/>
      <c r="W1341" s="188" t="s">
        <v>1</v>
      </c>
      <c r="X1341" s="17">
        <f t="shared" si="162"/>
        <v>0</v>
      </c>
      <c r="AE1341" s="23">
        <f t="shared" si="157"/>
        <v>0</v>
      </c>
    </row>
    <row r="1342" spans="6:31" ht="24" customHeight="1">
      <c r="H1342" s="3" t="s">
        <v>153</v>
      </c>
      <c r="K1342" s="17">
        <f>SUM(K1336:K1340)</f>
        <v>2451.5520000000001</v>
      </c>
      <c r="N1342" s="6"/>
      <c r="O1342" s="3" t="s">
        <v>486</v>
      </c>
      <c r="Q1342" s="10">
        <f>Q1341+S1302</f>
        <v>1783.6886000000004</v>
      </c>
      <c r="R1342" s="17">
        <f>R1341+1.11</f>
        <v>1773.7786000000003</v>
      </c>
      <c r="S1342" s="17"/>
      <c r="T1342" s="184"/>
      <c r="U1342" s="3"/>
      <c r="V1342" s="17"/>
      <c r="W1342" s="4" t="s">
        <v>1</v>
      </c>
      <c r="X1342" s="17">
        <f>(S1342*V1342)</f>
        <v>0</v>
      </c>
      <c r="AE1342" s="23">
        <f t="shared" ref="AE1342:AE1405" si="163">AG1342</f>
        <v>0</v>
      </c>
    </row>
    <row r="1343" spans="6:31" ht="24" customHeight="1">
      <c r="K1343" s="12" t="s">
        <v>117</v>
      </c>
      <c r="N1343" s="6"/>
      <c r="O1343" s="3" t="s">
        <v>489</v>
      </c>
      <c r="Q1343" s="10"/>
      <c r="R1343" s="17">
        <f>R1342+1.11</f>
        <v>1774.8886000000002</v>
      </c>
      <c r="S1343" s="5"/>
      <c r="T1343" s="184" t="s">
        <v>129</v>
      </c>
      <c r="U1343" s="3" t="s">
        <v>130</v>
      </c>
      <c r="V1343" s="17"/>
      <c r="W1343" s="4" t="s">
        <v>129</v>
      </c>
      <c r="X1343" s="17">
        <v>0.8</v>
      </c>
      <c r="AE1343" s="23">
        <f t="shared" si="163"/>
        <v>0</v>
      </c>
    </row>
    <row r="1344" spans="6:31" ht="24" customHeight="1">
      <c r="H1344" s="19" t="s">
        <v>154</v>
      </c>
      <c r="K1344" s="16">
        <f>(K1342/10)</f>
        <v>245.15520000000001</v>
      </c>
      <c r="N1344" s="6"/>
      <c r="O1344" s="3" t="s">
        <v>491</v>
      </c>
      <c r="Q1344" s="10"/>
      <c r="R1344" s="17">
        <f>R1343+S1302</f>
        <v>1777.0886000000003</v>
      </c>
      <c r="S1344" s="5"/>
      <c r="T1344" s="189"/>
      <c r="W1344" s="10"/>
      <c r="X1344" s="12" t="s">
        <v>117</v>
      </c>
      <c r="AE1344" s="23">
        <f t="shared" si="163"/>
        <v>0</v>
      </c>
    </row>
    <row r="1345" spans="6:31" ht="24" customHeight="1">
      <c r="K1345" s="12" t="s">
        <v>155</v>
      </c>
      <c r="N1345" s="6"/>
      <c r="O1345" s="3" t="s">
        <v>871</v>
      </c>
      <c r="Q1345" s="10"/>
      <c r="R1345" s="17">
        <f>R1344+S1302</f>
        <v>1779.2886000000003</v>
      </c>
      <c r="S1345" s="5"/>
      <c r="T1345" s="189"/>
      <c r="U1345" s="3" t="s">
        <v>153</v>
      </c>
      <c r="W1345" s="10"/>
      <c r="X1345" s="17">
        <f>SUM(X1331:X1344)</f>
        <v>12174.889999999998</v>
      </c>
      <c r="AE1345" s="23">
        <f t="shared" si="163"/>
        <v>0</v>
      </c>
    </row>
    <row r="1346" spans="6:31" ht="24" customHeight="1">
      <c r="N1346" s="6"/>
      <c r="Q1346" s="10"/>
      <c r="S1346" s="5"/>
      <c r="T1346" s="189"/>
      <c r="W1346" s="10"/>
      <c r="X1346" s="12" t="s">
        <v>117</v>
      </c>
      <c r="AE1346" s="23">
        <f t="shared" si="163"/>
        <v>0</v>
      </c>
    </row>
    <row r="1347" spans="6:31" ht="24" customHeight="1">
      <c r="F1347" s="51">
        <v>32.1</v>
      </c>
      <c r="G1347" s="15" t="s">
        <v>122</v>
      </c>
      <c r="H1347" s="3" t="s">
        <v>1707</v>
      </c>
      <c r="N1347" s="6"/>
      <c r="Q1347" s="8"/>
      <c r="S1347" s="5"/>
      <c r="T1347" s="189"/>
      <c r="U1347" s="3" t="s">
        <v>154</v>
      </c>
      <c r="W1347" s="10"/>
      <c r="X1347" s="16">
        <f>(X1345/10)</f>
        <v>1217.4889999999998</v>
      </c>
      <c r="Y1347" s="5">
        <f>0.8-0.77</f>
        <v>3.0000000000000027E-2</v>
      </c>
      <c r="AE1347" s="23">
        <f t="shared" si="163"/>
        <v>0</v>
      </c>
    </row>
    <row r="1348" spans="6:31" ht="24" customHeight="1">
      <c r="H1348" s="3" t="s">
        <v>1708</v>
      </c>
      <c r="N1348" s="6"/>
      <c r="Q1348" s="8"/>
      <c r="S1348" s="5"/>
      <c r="T1348" s="189"/>
      <c r="W1348" s="10"/>
      <c r="X1348" s="12" t="s">
        <v>155</v>
      </c>
      <c r="AE1348" s="23">
        <f t="shared" si="163"/>
        <v>0</v>
      </c>
    </row>
    <row r="1349" spans="6:31" ht="24" customHeight="1">
      <c r="H1349" s="3" t="s">
        <v>1709</v>
      </c>
      <c r="N1349" s="6"/>
      <c r="Q1349" s="8"/>
      <c r="AE1349" s="23">
        <f t="shared" si="163"/>
        <v>0</v>
      </c>
    </row>
    <row r="1350" spans="6:31" ht="24" customHeight="1">
      <c r="H1350" s="3" t="s">
        <v>1710</v>
      </c>
      <c r="N1350" s="6"/>
      <c r="Q1350" s="8"/>
      <c r="Y1350" s="81">
        <v>3.02</v>
      </c>
      <c r="Z1350" s="15" t="s">
        <v>654</v>
      </c>
      <c r="AA1350" s="3" t="s">
        <v>1711</v>
      </c>
      <c r="AB1350" s="17">
        <f t="shared" ref="AB1350:AB1361" si="164">V1352</f>
        <v>287</v>
      </c>
      <c r="AC1350" s="15" t="s">
        <v>654</v>
      </c>
      <c r="AD1350" s="17">
        <f t="shared" ref="AD1350:AD1361" si="165">AB1350*Y1350</f>
        <v>866.74</v>
      </c>
      <c r="AE1350" s="23">
        <f t="shared" si="163"/>
        <v>0</v>
      </c>
    </row>
    <row r="1351" spans="6:31" ht="24" customHeight="1">
      <c r="H1351" s="3" t="s">
        <v>1712</v>
      </c>
      <c r="N1351" s="6"/>
      <c r="O1351" s="5" t="s">
        <v>1713</v>
      </c>
      <c r="Q1351" s="10"/>
      <c r="T1351" s="6"/>
      <c r="U1351" s="157" t="s">
        <v>1714</v>
      </c>
      <c r="W1351" s="8"/>
      <c r="Y1351" s="81">
        <v>2.19</v>
      </c>
      <c r="Z1351" s="15" t="s">
        <v>654</v>
      </c>
      <c r="AA1351" s="3" t="s">
        <v>1711</v>
      </c>
      <c r="AB1351" s="17">
        <f t="shared" si="164"/>
        <v>287</v>
      </c>
      <c r="AC1351" s="15" t="s">
        <v>654</v>
      </c>
      <c r="AD1351" s="17">
        <f t="shared" si="165"/>
        <v>628.53</v>
      </c>
      <c r="AE1351" s="23">
        <f t="shared" si="163"/>
        <v>0</v>
      </c>
    </row>
    <row r="1352" spans="6:31" ht="24" customHeight="1">
      <c r="H1352" s="12" t="s">
        <v>117</v>
      </c>
      <c r="N1352" s="6"/>
      <c r="Q1352" s="10"/>
      <c r="S1352" s="49">
        <v>3.72</v>
      </c>
      <c r="T1352" s="15" t="s">
        <v>654</v>
      </c>
      <c r="U1352" s="3" t="s">
        <v>1711</v>
      </c>
      <c r="V1352" s="17">
        <f>P1391</f>
        <v>287</v>
      </c>
      <c r="W1352" s="15" t="s">
        <v>654</v>
      </c>
      <c r="X1352" s="17">
        <f>V1352*S1352</f>
        <v>1067.6400000000001</v>
      </c>
      <c r="Y1352" s="81">
        <v>4.96</v>
      </c>
      <c r="Z1352" s="15" t="s">
        <v>654</v>
      </c>
      <c r="AA1352" s="3" t="s">
        <v>1711</v>
      </c>
      <c r="AB1352" s="17">
        <f t="shared" si="164"/>
        <v>287</v>
      </c>
      <c r="AC1352" s="15" t="s">
        <v>654</v>
      </c>
      <c r="AD1352" s="17">
        <f t="shared" si="165"/>
        <v>1423.52</v>
      </c>
      <c r="AE1352" s="23">
        <f t="shared" si="163"/>
        <v>0</v>
      </c>
    </row>
    <row r="1353" spans="6:31" ht="24" customHeight="1">
      <c r="F1353" s="17">
        <v>190</v>
      </c>
      <c r="G1353" s="15" t="s">
        <v>1576</v>
      </c>
      <c r="H1353" s="3" t="s">
        <v>1715</v>
      </c>
      <c r="I1353" s="17">
        <f>(C83)</f>
        <v>16106</v>
      </c>
      <c r="J1353" s="3" t="s">
        <v>498</v>
      </c>
      <c r="K1353" s="17">
        <f>(F1353*I1353)/1000</f>
        <v>3060.14</v>
      </c>
      <c r="M1353" s="5">
        <v>70</v>
      </c>
      <c r="N1353" s="6" t="s">
        <v>231</v>
      </c>
      <c r="O1353" s="190" t="s">
        <v>1716</v>
      </c>
      <c r="P1353" s="79">
        <v>33</v>
      </c>
      <c r="Q1353" s="10" t="s">
        <v>231</v>
      </c>
      <c r="R1353" s="5">
        <f>P1353*M1353</f>
        <v>2310</v>
      </c>
      <c r="S1353" s="49">
        <v>3.87</v>
      </c>
      <c r="T1353" s="15" t="s">
        <v>654</v>
      </c>
      <c r="U1353" s="3" t="s">
        <v>1711</v>
      </c>
      <c r="V1353" s="17">
        <f t="shared" ref="V1353:V1363" si="166">P1392</f>
        <v>287</v>
      </c>
      <c r="W1353" s="15" t="s">
        <v>654</v>
      </c>
      <c r="X1353" s="17">
        <f t="shared" ref="X1353:X1363" si="167">V1353*S1353</f>
        <v>1110.69</v>
      </c>
      <c r="Y1353" s="81">
        <v>0.85</v>
      </c>
      <c r="Z1353" s="15" t="s">
        <v>654</v>
      </c>
      <c r="AA1353" s="3" t="s">
        <v>1711</v>
      </c>
      <c r="AB1353" s="17">
        <f t="shared" si="164"/>
        <v>287</v>
      </c>
      <c r="AC1353" s="15" t="s">
        <v>654</v>
      </c>
      <c r="AD1353" s="17">
        <f t="shared" si="165"/>
        <v>243.95</v>
      </c>
      <c r="AE1353" s="23">
        <f t="shared" si="163"/>
        <v>0</v>
      </c>
    </row>
    <row r="1354" spans="6:31" ht="24" customHeight="1">
      <c r="F1354" s="17">
        <v>0.12</v>
      </c>
      <c r="G1354" s="15" t="s">
        <v>126</v>
      </c>
      <c r="H1354" s="3" t="s">
        <v>142</v>
      </c>
      <c r="I1354" s="17">
        <f>(K32)</f>
        <v>4193.8</v>
      </c>
      <c r="J1354" s="3" t="s">
        <v>126</v>
      </c>
      <c r="K1354" s="15">
        <f t="shared" ref="K1354:K1360" si="168">(F1354*I1354)</f>
        <v>503.25600000000003</v>
      </c>
      <c r="N1354" s="6"/>
      <c r="Q1354" s="10"/>
      <c r="S1354" s="49">
        <v>7.46</v>
      </c>
      <c r="T1354" s="15" t="s">
        <v>654</v>
      </c>
      <c r="U1354" s="3" t="s">
        <v>1711</v>
      </c>
      <c r="V1354" s="17">
        <f t="shared" si="166"/>
        <v>287</v>
      </c>
      <c r="W1354" s="15" t="s">
        <v>654</v>
      </c>
      <c r="X1354" s="17">
        <f t="shared" si="167"/>
        <v>2141.02</v>
      </c>
      <c r="Y1354" s="81">
        <v>0.73199999999999998</v>
      </c>
      <c r="Z1354" s="15" t="s">
        <v>110</v>
      </c>
      <c r="AA1354" s="3" t="s">
        <v>1717</v>
      </c>
      <c r="AB1354" s="17">
        <f>V1356</f>
        <v>208.8</v>
      </c>
      <c r="AC1354" s="15" t="s">
        <v>110</v>
      </c>
      <c r="AD1354" s="17">
        <f t="shared" si="165"/>
        <v>152.8416</v>
      </c>
      <c r="AE1354" s="23">
        <f t="shared" si="163"/>
        <v>0</v>
      </c>
    </row>
    <row r="1355" spans="6:31" ht="24" customHeight="1">
      <c r="F1355" s="17">
        <v>10</v>
      </c>
      <c r="G1355" s="15" t="s">
        <v>140</v>
      </c>
      <c r="H1355" s="3" t="s">
        <v>1718</v>
      </c>
      <c r="I1355" s="17">
        <f>(K1344)</f>
        <v>245.15520000000001</v>
      </c>
      <c r="J1355" s="3" t="s">
        <v>140</v>
      </c>
      <c r="K1355" s="15">
        <f t="shared" si="168"/>
        <v>2451.5520000000001</v>
      </c>
      <c r="M1355" s="5">
        <v>0.3</v>
      </c>
      <c r="N1355" s="6" t="s">
        <v>429</v>
      </c>
      <c r="O1355" s="190" t="s">
        <v>1719</v>
      </c>
      <c r="P1355" s="79">
        <v>17600</v>
      </c>
      <c r="Q1355" s="10" t="s">
        <v>429</v>
      </c>
      <c r="R1355" s="5">
        <f>P1355*M1355</f>
        <v>5280</v>
      </c>
      <c r="S1355" s="49">
        <v>1.28</v>
      </c>
      <c r="T1355" s="15" t="s">
        <v>654</v>
      </c>
      <c r="U1355" s="3" t="s">
        <v>1711</v>
      </c>
      <c r="V1355" s="17">
        <f t="shared" si="166"/>
        <v>287</v>
      </c>
      <c r="W1355" s="15" t="s">
        <v>654</v>
      </c>
      <c r="X1355" s="17">
        <f t="shared" si="167"/>
        <v>367.36</v>
      </c>
      <c r="Y1355" s="81">
        <v>6.8719999999999999</v>
      </c>
      <c r="Z1355" s="15" t="s">
        <v>231</v>
      </c>
      <c r="AA1355" s="3" t="s">
        <v>1720</v>
      </c>
      <c r="AB1355" s="17">
        <f t="shared" si="164"/>
        <v>28.6</v>
      </c>
      <c r="AC1355" s="15" t="s">
        <v>231</v>
      </c>
      <c r="AD1355" s="17">
        <f t="shared" si="165"/>
        <v>196.53919999999999</v>
      </c>
      <c r="AE1355" s="23">
        <f t="shared" si="163"/>
        <v>0</v>
      </c>
    </row>
    <row r="1356" spans="6:31" ht="24" customHeight="1">
      <c r="F1356" s="49">
        <v>1.54</v>
      </c>
      <c r="G1356" s="15" t="s">
        <v>148</v>
      </c>
      <c r="H1356" s="3" t="s">
        <v>1721</v>
      </c>
      <c r="I1356" s="24">
        <f>C653</f>
        <v>41.9</v>
      </c>
      <c r="J1356" s="3" t="s">
        <v>148</v>
      </c>
      <c r="K1356" s="17">
        <f t="shared" si="168"/>
        <v>64.525999999999996</v>
      </c>
      <c r="N1356" s="6"/>
      <c r="Q1356" s="10"/>
      <c r="S1356" s="49">
        <v>1.107</v>
      </c>
      <c r="T1356" s="15" t="s">
        <v>110</v>
      </c>
      <c r="U1356" s="3" t="s">
        <v>1717</v>
      </c>
      <c r="V1356" s="17">
        <f t="shared" si="166"/>
        <v>208.8</v>
      </c>
      <c r="W1356" s="15" t="s">
        <v>110</v>
      </c>
      <c r="X1356" s="17">
        <f t="shared" si="167"/>
        <v>231.14160000000001</v>
      </c>
      <c r="Y1356" s="81">
        <v>8</v>
      </c>
      <c r="Z1356" s="15" t="s">
        <v>1</v>
      </c>
      <c r="AA1356" s="3" t="s">
        <v>1722</v>
      </c>
      <c r="AB1356" s="17">
        <f t="shared" si="164"/>
        <v>63.5</v>
      </c>
      <c r="AC1356" s="15" t="s">
        <v>1</v>
      </c>
      <c r="AD1356" s="17">
        <f t="shared" si="165"/>
        <v>508</v>
      </c>
      <c r="AE1356" s="23">
        <f t="shared" si="163"/>
        <v>0</v>
      </c>
    </row>
    <row r="1357" spans="6:31" ht="24" customHeight="1">
      <c r="F1357" s="17">
        <v>1.1000000000000001</v>
      </c>
      <c r="G1357" s="15" t="s">
        <v>1</v>
      </c>
      <c r="H1357" s="3" t="s">
        <v>144</v>
      </c>
      <c r="I1357" s="17">
        <f>(C10)</f>
        <v>769</v>
      </c>
      <c r="J1357" s="3" t="s">
        <v>1</v>
      </c>
      <c r="K1357" s="17">
        <f t="shared" si="168"/>
        <v>845.90000000000009</v>
      </c>
      <c r="N1357" s="6"/>
      <c r="O1357" s="5" t="s">
        <v>1723</v>
      </c>
      <c r="Q1357" s="10"/>
      <c r="R1357" s="5">
        <f>SUM(R1353:R1355)</f>
        <v>7590</v>
      </c>
      <c r="S1357" s="49">
        <v>10.343999999999999</v>
      </c>
      <c r="T1357" s="15" t="s">
        <v>231</v>
      </c>
      <c r="U1357" s="3" t="s">
        <v>1720</v>
      </c>
      <c r="V1357" s="17">
        <f t="shared" si="166"/>
        <v>28.6</v>
      </c>
      <c r="W1357" s="15" t="s">
        <v>231</v>
      </c>
      <c r="X1357" s="17">
        <f t="shared" si="167"/>
        <v>295.83839999999998</v>
      </c>
      <c r="Y1357" s="81">
        <v>4</v>
      </c>
      <c r="Z1357" s="15" t="s">
        <v>1</v>
      </c>
      <c r="AA1357" s="3" t="s">
        <v>1724</v>
      </c>
      <c r="AB1357" s="17">
        <f t="shared" si="164"/>
        <v>50.9</v>
      </c>
      <c r="AC1357" s="15" t="s">
        <v>1</v>
      </c>
      <c r="AD1357" s="17">
        <f t="shared" si="165"/>
        <v>203.6</v>
      </c>
      <c r="AE1357" s="23">
        <f t="shared" si="163"/>
        <v>0</v>
      </c>
    </row>
    <row r="1358" spans="6:31" ht="24" customHeight="1">
      <c r="F1358" s="17">
        <v>2.1</v>
      </c>
      <c r="G1358" s="15" t="s">
        <v>1</v>
      </c>
      <c r="H1358" s="3" t="s">
        <v>145</v>
      </c>
      <c r="I1358" s="17">
        <f>(C11)</f>
        <v>718</v>
      </c>
      <c r="J1358" s="3" t="s">
        <v>1</v>
      </c>
      <c r="K1358" s="17">
        <f t="shared" si="168"/>
        <v>1507.8</v>
      </c>
      <c r="N1358" s="6"/>
      <c r="O1358" s="191" t="s">
        <v>1725</v>
      </c>
      <c r="Q1358" s="10"/>
      <c r="R1358" s="50">
        <f>R1357/10</f>
        <v>759</v>
      </c>
      <c r="S1358" s="49">
        <v>12</v>
      </c>
      <c r="T1358" s="15" t="s">
        <v>1</v>
      </c>
      <c r="U1358" s="3" t="s">
        <v>1726</v>
      </c>
      <c r="V1358" s="17">
        <f t="shared" si="166"/>
        <v>63.5</v>
      </c>
      <c r="W1358" s="15" t="s">
        <v>1</v>
      </c>
      <c r="X1358" s="17">
        <f t="shared" si="167"/>
        <v>762</v>
      </c>
      <c r="Y1358" s="81">
        <v>4</v>
      </c>
      <c r="Z1358" s="15" t="s">
        <v>1</v>
      </c>
      <c r="AA1358" s="3" t="s">
        <v>1727</v>
      </c>
      <c r="AB1358" s="17">
        <f t="shared" si="164"/>
        <v>30</v>
      </c>
      <c r="AC1358" s="15" t="s">
        <v>1</v>
      </c>
      <c r="AD1358" s="17">
        <f t="shared" si="165"/>
        <v>120</v>
      </c>
      <c r="AE1358" s="23">
        <f t="shared" si="163"/>
        <v>0</v>
      </c>
    </row>
    <row r="1359" spans="6:31" ht="24" customHeight="1">
      <c r="F1359" s="17">
        <v>2.2000000000000002</v>
      </c>
      <c r="G1359" s="15" t="s">
        <v>1</v>
      </c>
      <c r="H1359" s="3" t="s">
        <v>146</v>
      </c>
      <c r="I1359" s="17">
        <f>(C12)</f>
        <v>502</v>
      </c>
      <c r="J1359" s="3" t="s">
        <v>1</v>
      </c>
      <c r="K1359" s="17">
        <f t="shared" si="168"/>
        <v>1104.4000000000001</v>
      </c>
      <c r="N1359" s="6"/>
      <c r="Q1359" s="10"/>
      <c r="S1359" s="49">
        <v>6</v>
      </c>
      <c r="T1359" s="15" t="s">
        <v>1</v>
      </c>
      <c r="U1359" s="3" t="s">
        <v>1724</v>
      </c>
      <c r="V1359" s="17">
        <f t="shared" si="166"/>
        <v>50.9</v>
      </c>
      <c r="W1359" s="15" t="s">
        <v>1</v>
      </c>
      <c r="X1359" s="17">
        <f t="shared" si="167"/>
        <v>305.39999999999998</v>
      </c>
      <c r="Y1359" s="81">
        <v>4</v>
      </c>
      <c r="Z1359" s="15" t="s">
        <v>1</v>
      </c>
      <c r="AA1359" s="3" t="s">
        <v>1728</v>
      </c>
      <c r="AB1359" s="17">
        <f t="shared" si="164"/>
        <v>20</v>
      </c>
      <c r="AC1359" s="15" t="s">
        <v>1</v>
      </c>
      <c r="AD1359" s="17">
        <f t="shared" si="165"/>
        <v>80</v>
      </c>
      <c r="AE1359" s="23">
        <f t="shared" si="163"/>
        <v>0</v>
      </c>
    </row>
    <row r="1360" spans="6:31" ht="24" customHeight="1">
      <c r="F1360" s="17">
        <v>1.1000000000000001</v>
      </c>
      <c r="G1360" s="15" t="s">
        <v>1</v>
      </c>
      <c r="H1360" s="3" t="s">
        <v>147</v>
      </c>
      <c r="I1360" s="17">
        <f>(C13)</f>
        <v>412</v>
      </c>
      <c r="J1360" s="3" t="s">
        <v>1</v>
      </c>
      <c r="K1360" s="17">
        <f t="shared" si="168"/>
        <v>453.20000000000005</v>
      </c>
      <c r="M1360" s="5">
        <v>2</v>
      </c>
      <c r="N1360" s="6" t="s">
        <v>240</v>
      </c>
      <c r="O1360" s="5" t="s">
        <v>1606</v>
      </c>
      <c r="P1360" s="5">
        <f>C12</f>
        <v>502</v>
      </c>
      <c r="Q1360" s="10" t="s">
        <v>1729</v>
      </c>
      <c r="R1360" s="5">
        <f>P1360*M1360</f>
        <v>1004</v>
      </c>
      <c r="S1360" s="49">
        <v>6</v>
      </c>
      <c r="T1360" s="15" t="s">
        <v>1</v>
      </c>
      <c r="U1360" s="3" t="s">
        <v>1727</v>
      </c>
      <c r="V1360" s="17">
        <f t="shared" si="166"/>
        <v>30</v>
      </c>
      <c r="W1360" s="15" t="s">
        <v>1</v>
      </c>
      <c r="X1360" s="17">
        <f t="shared" si="167"/>
        <v>180</v>
      </c>
      <c r="Y1360" s="81">
        <v>4</v>
      </c>
      <c r="Z1360" s="15" t="s">
        <v>1</v>
      </c>
      <c r="AA1360" s="3" t="s">
        <v>1730</v>
      </c>
      <c r="AB1360" s="17">
        <f t="shared" si="164"/>
        <v>15</v>
      </c>
      <c r="AC1360" s="15" t="s">
        <v>1</v>
      </c>
      <c r="AD1360" s="17">
        <f t="shared" si="165"/>
        <v>60</v>
      </c>
      <c r="AE1360" s="23">
        <f t="shared" si="163"/>
        <v>0</v>
      </c>
    </row>
    <row r="1361" spans="6:31" ht="24" customHeight="1">
      <c r="G1361" s="15" t="s">
        <v>129</v>
      </c>
      <c r="H1361" s="3" t="s">
        <v>130</v>
      </c>
      <c r="J1361" s="3" t="s">
        <v>129</v>
      </c>
      <c r="K1361" s="17">
        <v>0</v>
      </c>
      <c r="N1361" s="6"/>
      <c r="Q1361" s="10"/>
      <c r="S1361" s="49">
        <v>6</v>
      </c>
      <c r="T1361" s="15" t="s">
        <v>1</v>
      </c>
      <c r="U1361" s="3" t="s">
        <v>1728</v>
      </c>
      <c r="V1361" s="17">
        <f t="shared" si="166"/>
        <v>20</v>
      </c>
      <c r="W1361" s="15" t="s">
        <v>1</v>
      </c>
      <c r="X1361" s="17">
        <f t="shared" si="167"/>
        <v>120</v>
      </c>
      <c r="Y1361" s="81">
        <v>0.94499999999999995</v>
      </c>
      <c r="Z1361" s="15" t="s">
        <v>174</v>
      </c>
      <c r="AA1361" s="3" t="s">
        <v>1731</v>
      </c>
      <c r="AB1361" s="17">
        <f t="shared" si="164"/>
        <v>1540</v>
      </c>
      <c r="AC1361" s="15" t="s">
        <v>174</v>
      </c>
      <c r="AD1361" s="17">
        <f t="shared" si="165"/>
        <v>1455.3</v>
      </c>
      <c r="AE1361" s="23">
        <f t="shared" si="163"/>
        <v>0</v>
      </c>
    </row>
    <row r="1362" spans="6:31" ht="24" customHeight="1">
      <c r="K1362" s="12" t="s">
        <v>117</v>
      </c>
      <c r="N1362" s="6"/>
      <c r="O1362" s="5" t="s">
        <v>1732</v>
      </c>
      <c r="P1362" s="5" t="s">
        <v>166</v>
      </c>
      <c r="Q1362" s="10"/>
      <c r="R1362" s="5">
        <v>11.5</v>
      </c>
      <c r="S1362" s="49">
        <v>4</v>
      </c>
      <c r="T1362" s="15" t="s">
        <v>1</v>
      </c>
      <c r="U1362" s="3" t="s">
        <v>1730</v>
      </c>
      <c r="V1362" s="17">
        <f t="shared" si="166"/>
        <v>15</v>
      </c>
      <c r="W1362" s="15" t="s">
        <v>1</v>
      </c>
      <c r="X1362" s="17">
        <f t="shared" si="167"/>
        <v>60</v>
      </c>
      <c r="Z1362" s="6"/>
      <c r="AA1362" s="3" t="s">
        <v>1733</v>
      </c>
      <c r="AC1362" s="10"/>
      <c r="AD1362" s="17">
        <v>0.81</v>
      </c>
      <c r="AE1362" s="23">
        <f t="shared" si="163"/>
        <v>0</v>
      </c>
    </row>
    <row r="1363" spans="6:31" ht="24" customHeight="1">
      <c r="H1363" s="3" t="s">
        <v>153</v>
      </c>
      <c r="K1363" s="17">
        <f>SUM(K1353:K1361)</f>
        <v>9990.7739999999994</v>
      </c>
      <c r="N1363" s="6"/>
      <c r="O1363" s="191" t="s">
        <v>1734</v>
      </c>
      <c r="Q1363" s="10"/>
      <c r="R1363" s="5">
        <f>SUM(R1358:R1362)</f>
        <v>1774.5</v>
      </c>
      <c r="S1363" s="49">
        <v>1.4179999999999999</v>
      </c>
      <c r="T1363" s="15" t="s">
        <v>174</v>
      </c>
      <c r="U1363" s="3" t="s">
        <v>1731</v>
      </c>
      <c r="V1363" s="17">
        <f t="shared" si="166"/>
        <v>1540</v>
      </c>
      <c r="W1363" s="15" t="s">
        <v>174</v>
      </c>
      <c r="X1363" s="17">
        <f t="shared" si="167"/>
        <v>2183.7199999999998</v>
      </c>
      <c r="AA1363" s="14" t="s">
        <v>1735</v>
      </c>
      <c r="AD1363" s="16">
        <f>SUM(AD1350:AD1362)</f>
        <v>5939.8308000000006</v>
      </c>
      <c r="AE1363" s="23">
        <f t="shared" si="163"/>
        <v>0</v>
      </c>
    </row>
    <row r="1364" spans="6:31" ht="24" customHeight="1">
      <c r="K1364" s="12" t="s">
        <v>117</v>
      </c>
      <c r="N1364" s="6"/>
      <c r="Q1364" s="10"/>
      <c r="T1364" s="6"/>
      <c r="U1364" s="3" t="s">
        <v>1733</v>
      </c>
      <c r="W1364" s="10"/>
      <c r="X1364" s="17"/>
      <c r="AE1364" s="23">
        <f t="shared" si="163"/>
        <v>0</v>
      </c>
    </row>
    <row r="1365" spans="6:31" ht="24" customHeight="1">
      <c r="H1365" s="19" t="s">
        <v>154</v>
      </c>
      <c r="K1365" s="16">
        <f>(K1363/10)</f>
        <v>999.0773999999999</v>
      </c>
      <c r="N1365" s="6"/>
      <c r="O1365" s="191" t="s">
        <v>1736</v>
      </c>
      <c r="Q1365" s="10"/>
      <c r="R1365" s="50">
        <f>R1363/6</f>
        <v>295.75</v>
      </c>
      <c r="U1365" s="14" t="s">
        <v>1735</v>
      </c>
      <c r="X1365" s="16">
        <f>SUM(X1352:X1364)</f>
        <v>8824.81</v>
      </c>
      <c r="AE1365" s="23">
        <f t="shared" si="163"/>
        <v>0</v>
      </c>
    </row>
    <row r="1366" spans="6:31" ht="24" customHeight="1">
      <c r="K1366" s="12" t="s">
        <v>155</v>
      </c>
      <c r="N1366" s="6"/>
      <c r="Q1366" s="10"/>
      <c r="Z1366" s="6"/>
      <c r="AA1366" s="157" t="s">
        <v>1737</v>
      </c>
      <c r="AC1366" s="8"/>
      <c r="AE1366" s="23">
        <f t="shared" si="163"/>
        <v>0</v>
      </c>
    </row>
    <row r="1367" spans="6:31" ht="24" customHeight="1">
      <c r="K1367" s="12"/>
      <c r="N1367" s="6"/>
      <c r="Q1367" s="8"/>
      <c r="Y1367" s="81">
        <v>3.72</v>
      </c>
      <c r="Z1367" s="15" t="s">
        <v>654</v>
      </c>
      <c r="AA1367" s="3" t="s">
        <v>1711</v>
      </c>
      <c r="AB1367" s="17">
        <f>AB1350</f>
        <v>287</v>
      </c>
      <c r="AC1367" s="15" t="s">
        <v>654</v>
      </c>
      <c r="AD1367" s="17">
        <f t="shared" ref="AD1367:AD1378" si="169">AB1367*Y1367</f>
        <v>1067.6400000000001</v>
      </c>
      <c r="AE1367" s="23">
        <f t="shared" si="163"/>
        <v>0</v>
      </c>
    </row>
    <row r="1368" spans="6:31" ht="24" customHeight="1">
      <c r="K1368" s="12"/>
      <c r="M1368" s="51">
        <v>29.5</v>
      </c>
      <c r="N1368" s="15" t="s">
        <v>122</v>
      </c>
      <c r="O1368" s="3" t="s">
        <v>1738</v>
      </c>
      <c r="Q1368" s="10"/>
      <c r="T1368" s="6"/>
      <c r="U1368" s="157" t="s">
        <v>1739</v>
      </c>
      <c r="W1368" s="8"/>
      <c r="Y1368" s="81">
        <v>2.69</v>
      </c>
      <c r="Z1368" s="15" t="s">
        <v>654</v>
      </c>
      <c r="AA1368" s="3" t="s">
        <v>1711</v>
      </c>
      <c r="AB1368" s="17">
        <f t="shared" ref="AB1368:AB1378" si="170">AB1351</f>
        <v>287</v>
      </c>
      <c r="AC1368" s="15" t="s">
        <v>654</v>
      </c>
      <c r="AD1368" s="17">
        <f t="shared" si="169"/>
        <v>772.03</v>
      </c>
      <c r="AE1368" s="23">
        <f t="shared" si="163"/>
        <v>0</v>
      </c>
    </row>
    <row r="1369" spans="6:31" ht="24" customHeight="1">
      <c r="F1369" s="51">
        <v>32.200000000000003</v>
      </c>
      <c r="G1369" s="15" t="s">
        <v>122</v>
      </c>
      <c r="H1369" s="3" t="s">
        <v>1707</v>
      </c>
      <c r="K1369" s="12"/>
      <c r="N1369" s="6"/>
      <c r="O1369" s="3" t="s">
        <v>157</v>
      </c>
      <c r="Q1369" s="10"/>
      <c r="S1369" s="49">
        <v>3.49</v>
      </c>
      <c r="T1369" s="15" t="s">
        <v>654</v>
      </c>
      <c r="U1369" s="3" t="s">
        <v>1711</v>
      </c>
      <c r="V1369" s="17">
        <f>P1408</f>
        <v>287</v>
      </c>
      <c r="W1369" s="15" t="s">
        <v>654</v>
      </c>
      <c r="X1369" s="17">
        <f>V1369*S1369</f>
        <v>1001.6300000000001</v>
      </c>
      <c r="Y1369" s="81">
        <v>6.15</v>
      </c>
      <c r="Z1369" s="15" t="s">
        <v>654</v>
      </c>
      <c r="AA1369" s="3" t="s">
        <v>1711</v>
      </c>
      <c r="AB1369" s="17">
        <f t="shared" si="170"/>
        <v>287</v>
      </c>
      <c r="AC1369" s="15" t="s">
        <v>654</v>
      </c>
      <c r="AD1369" s="17">
        <f t="shared" si="169"/>
        <v>1765.0500000000002</v>
      </c>
      <c r="AE1369" s="23">
        <f t="shared" si="163"/>
        <v>0</v>
      </c>
    </row>
    <row r="1370" spans="6:31" ht="24" customHeight="1">
      <c r="H1370" s="3" t="s">
        <v>1708</v>
      </c>
      <c r="K1370" s="12"/>
      <c r="N1370" s="6"/>
      <c r="O1370" s="3" t="s">
        <v>158</v>
      </c>
      <c r="Q1370" s="10"/>
      <c r="S1370" s="49">
        <v>2.5299999999999998</v>
      </c>
      <c r="T1370" s="15" t="s">
        <v>654</v>
      </c>
      <c r="U1370" s="3" t="s">
        <v>1711</v>
      </c>
      <c r="V1370" s="17">
        <f t="shared" ref="V1370:V1380" si="171">P1409</f>
        <v>287</v>
      </c>
      <c r="W1370" s="15" t="s">
        <v>654</v>
      </c>
      <c r="X1370" s="17">
        <f t="shared" ref="X1370:X1380" si="172">V1370*S1370</f>
        <v>726.1099999999999</v>
      </c>
      <c r="Y1370" s="81">
        <v>1.07</v>
      </c>
      <c r="Z1370" s="15" t="s">
        <v>654</v>
      </c>
      <c r="AA1370" s="3" t="s">
        <v>1711</v>
      </c>
      <c r="AB1370" s="17">
        <f t="shared" si="170"/>
        <v>287</v>
      </c>
      <c r="AC1370" s="15" t="s">
        <v>654</v>
      </c>
      <c r="AD1370" s="17">
        <f t="shared" si="169"/>
        <v>307.09000000000003</v>
      </c>
      <c r="AE1370" s="23">
        <f t="shared" si="163"/>
        <v>0</v>
      </c>
    </row>
    <row r="1371" spans="6:31" ht="24" customHeight="1">
      <c r="H1371" s="3" t="s">
        <v>1709</v>
      </c>
      <c r="K1371" s="12"/>
      <c r="N1371" s="6"/>
      <c r="O1371" s="12" t="s">
        <v>117</v>
      </c>
      <c r="P1371" s="12" t="s">
        <v>117</v>
      </c>
      <c r="Q1371" s="10"/>
      <c r="R1371" s="17"/>
      <c r="S1371" s="49">
        <v>5.75</v>
      </c>
      <c r="T1371" s="15" t="s">
        <v>654</v>
      </c>
      <c r="U1371" s="3" t="s">
        <v>1711</v>
      </c>
      <c r="V1371" s="17">
        <f t="shared" si="171"/>
        <v>287</v>
      </c>
      <c r="W1371" s="15" t="s">
        <v>654</v>
      </c>
      <c r="X1371" s="17">
        <f t="shared" si="172"/>
        <v>1650.25</v>
      </c>
      <c r="Y1371" s="81">
        <v>1.153</v>
      </c>
      <c r="Z1371" s="15" t="s">
        <v>110</v>
      </c>
      <c r="AA1371" s="3" t="s">
        <v>1717</v>
      </c>
      <c r="AB1371" s="17">
        <f t="shared" si="170"/>
        <v>208.8</v>
      </c>
      <c r="AC1371" s="15" t="s">
        <v>110</v>
      </c>
      <c r="AD1371" s="17">
        <f t="shared" si="169"/>
        <v>240.74640000000002</v>
      </c>
      <c r="AE1371" s="23">
        <f t="shared" si="163"/>
        <v>0</v>
      </c>
    </row>
    <row r="1372" spans="6:31" ht="24" customHeight="1">
      <c r="H1372" s="3" t="s">
        <v>1710</v>
      </c>
      <c r="K1372" s="12"/>
      <c r="M1372" s="17">
        <v>10</v>
      </c>
      <c r="N1372" s="15" t="s">
        <v>140</v>
      </c>
      <c r="O1372" s="3" t="s">
        <v>1740</v>
      </c>
      <c r="P1372" s="112">
        <f>P1332</f>
        <v>1595</v>
      </c>
      <c r="Q1372" s="4" t="s">
        <v>140</v>
      </c>
      <c r="R1372" s="17">
        <f>M1372*P1372</f>
        <v>15950</v>
      </c>
      <c r="S1372" s="49">
        <v>1</v>
      </c>
      <c r="T1372" s="15" t="s">
        <v>654</v>
      </c>
      <c r="U1372" s="3" t="s">
        <v>1711</v>
      </c>
      <c r="V1372" s="17">
        <f t="shared" si="171"/>
        <v>287</v>
      </c>
      <c r="W1372" s="15" t="s">
        <v>654</v>
      </c>
      <c r="X1372" s="17">
        <f t="shared" si="172"/>
        <v>287</v>
      </c>
      <c r="Y1372" s="81">
        <v>8.6720000000000006</v>
      </c>
      <c r="Z1372" s="15" t="s">
        <v>231</v>
      </c>
      <c r="AA1372" s="3" t="s">
        <v>1720</v>
      </c>
      <c r="AB1372" s="17">
        <f t="shared" si="170"/>
        <v>28.6</v>
      </c>
      <c r="AC1372" s="15" t="s">
        <v>231</v>
      </c>
      <c r="AD1372" s="17">
        <f t="shared" si="169"/>
        <v>248.01920000000004</v>
      </c>
      <c r="AE1372" s="23">
        <f t="shared" si="163"/>
        <v>0</v>
      </c>
    </row>
    <row r="1373" spans="6:31" ht="24" customHeight="1">
      <c r="H1373" s="3" t="s">
        <v>1712</v>
      </c>
      <c r="K1373" s="12"/>
      <c r="M1373" s="17">
        <v>0.21</v>
      </c>
      <c r="N1373" s="15" t="s">
        <v>126</v>
      </c>
      <c r="O1373" s="3" t="s">
        <v>142</v>
      </c>
      <c r="P1373" s="17">
        <f>P1333</f>
        <v>4193.8</v>
      </c>
      <c r="Q1373" s="4" t="s">
        <v>126</v>
      </c>
      <c r="R1373" s="17">
        <f>(M1373*P1373)</f>
        <v>880.69799999999998</v>
      </c>
      <c r="S1373" s="49">
        <v>0.96699999999999997</v>
      </c>
      <c r="T1373" s="15" t="s">
        <v>110</v>
      </c>
      <c r="U1373" s="3" t="s">
        <v>1717</v>
      </c>
      <c r="V1373" s="17">
        <f t="shared" si="171"/>
        <v>208.8</v>
      </c>
      <c r="W1373" s="15" t="s">
        <v>110</v>
      </c>
      <c r="X1373" s="17">
        <f t="shared" si="172"/>
        <v>201.90960000000001</v>
      </c>
      <c r="Y1373" s="81">
        <v>8</v>
      </c>
      <c r="Z1373" s="15" t="s">
        <v>1</v>
      </c>
      <c r="AA1373" s="3" t="s">
        <v>1722</v>
      </c>
      <c r="AB1373" s="17">
        <f t="shared" si="170"/>
        <v>63.5</v>
      </c>
      <c r="AC1373" s="15" t="s">
        <v>1</v>
      </c>
      <c r="AD1373" s="17">
        <f t="shared" si="169"/>
        <v>508</v>
      </c>
      <c r="AE1373" s="23">
        <f t="shared" si="163"/>
        <v>0</v>
      </c>
    </row>
    <row r="1374" spans="6:31" ht="24" customHeight="1">
      <c r="H1374" s="12" t="s">
        <v>117</v>
      </c>
      <c r="K1374" s="12"/>
      <c r="N1374" s="6"/>
      <c r="O1374" s="3" t="s">
        <v>160</v>
      </c>
      <c r="P1374" s="3" t="s">
        <v>115</v>
      </c>
      <c r="Q1374" s="10"/>
      <c r="R1374" s="3" t="s">
        <v>115</v>
      </c>
      <c r="S1374" s="49">
        <v>8.0719999999999992</v>
      </c>
      <c r="T1374" s="15" t="s">
        <v>231</v>
      </c>
      <c r="U1374" s="3" t="s">
        <v>1720</v>
      </c>
      <c r="V1374" s="17">
        <f t="shared" si="171"/>
        <v>28.6</v>
      </c>
      <c r="W1374" s="15" t="s">
        <v>231</v>
      </c>
      <c r="X1374" s="17">
        <f t="shared" si="172"/>
        <v>230.85919999999999</v>
      </c>
      <c r="Y1374" s="81">
        <v>4</v>
      </c>
      <c r="Z1374" s="15" t="s">
        <v>1</v>
      </c>
      <c r="AA1374" s="3" t="s">
        <v>1724</v>
      </c>
      <c r="AB1374" s="17">
        <f t="shared" si="170"/>
        <v>50.9</v>
      </c>
      <c r="AC1374" s="15" t="s">
        <v>1</v>
      </c>
      <c r="AD1374" s="17">
        <f t="shared" si="169"/>
        <v>203.6</v>
      </c>
      <c r="AE1374" s="23">
        <f t="shared" si="163"/>
        <v>0</v>
      </c>
    </row>
    <row r="1375" spans="6:31" ht="24" customHeight="1">
      <c r="F1375" s="17">
        <v>190</v>
      </c>
      <c r="G1375" s="15" t="s">
        <v>1576</v>
      </c>
      <c r="H1375" s="3" t="s">
        <v>1741</v>
      </c>
      <c r="I1375" s="192">
        <f>E83</f>
        <v>8710</v>
      </c>
      <c r="J1375" s="3" t="s">
        <v>498</v>
      </c>
      <c r="K1375" s="17">
        <f>(F1375*I1375)/1000</f>
        <v>1654.9</v>
      </c>
      <c r="M1375" s="17">
        <v>1.1000000000000001</v>
      </c>
      <c r="N1375" s="15" t="s">
        <v>1</v>
      </c>
      <c r="O1375" s="3" t="s">
        <v>144</v>
      </c>
      <c r="P1375" s="17">
        <f>AE9</f>
        <v>769</v>
      </c>
      <c r="Q1375" s="4" t="s">
        <v>1</v>
      </c>
      <c r="R1375" s="17">
        <f>(M1375*P1375)</f>
        <v>845.90000000000009</v>
      </c>
      <c r="S1375" s="49">
        <v>8</v>
      </c>
      <c r="T1375" s="15" t="s">
        <v>1</v>
      </c>
      <c r="U1375" s="3" t="s">
        <v>1722</v>
      </c>
      <c r="V1375" s="17">
        <f t="shared" si="171"/>
        <v>63.5</v>
      </c>
      <c r="W1375" s="15" t="s">
        <v>1</v>
      </c>
      <c r="X1375" s="17">
        <f t="shared" si="172"/>
        <v>508</v>
      </c>
      <c r="Y1375" s="81">
        <v>4</v>
      </c>
      <c r="Z1375" s="15" t="s">
        <v>1</v>
      </c>
      <c r="AA1375" s="3" t="s">
        <v>1727</v>
      </c>
      <c r="AB1375" s="17">
        <f t="shared" si="170"/>
        <v>30</v>
      </c>
      <c r="AC1375" s="15" t="s">
        <v>1</v>
      </c>
      <c r="AD1375" s="17">
        <f t="shared" si="169"/>
        <v>120</v>
      </c>
      <c r="AE1375" s="23">
        <f t="shared" si="163"/>
        <v>0</v>
      </c>
    </row>
    <row r="1376" spans="6:31" ht="24" customHeight="1">
      <c r="F1376" s="17">
        <v>0.12</v>
      </c>
      <c r="G1376" s="15" t="s">
        <v>126</v>
      </c>
      <c r="H1376" s="3" t="s">
        <v>142</v>
      </c>
      <c r="I1376" s="5">
        <f>K32</f>
        <v>4193.8</v>
      </c>
      <c r="J1376" s="3" t="s">
        <v>126</v>
      </c>
      <c r="K1376" s="17">
        <f t="shared" ref="K1376:K1382" si="173">(F1376*I1376)</f>
        <v>503.25600000000003</v>
      </c>
      <c r="M1376" s="17">
        <v>1.1000000000000001</v>
      </c>
      <c r="N1376" s="15" t="s">
        <v>1</v>
      </c>
      <c r="O1376" s="3" t="s">
        <v>145</v>
      </c>
      <c r="P1376" s="17">
        <f>AE10</f>
        <v>718</v>
      </c>
      <c r="Q1376" s="4" t="s">
        <v>1</v>
      </c>
      <c r="R1376" s="17">
        <f>(M1376*P1376)</f>
        <v>789.80000000000007</v>
      </c>
      <c r="S1376" s="49">
        <v>4</v>
      </c>
      <c r="T1376" s="15" t="s">
        <v>1</v>
      </c>
      <c r="U1376" s="3" t="s">
        <v>1724</v>
      </c>
      <c r="V1376" s="17">
        <f t="shared" si="171"/>
        <v>50.9</v>
      </c>
      <c r="W1376" s="15" t="s">
        <v>1</v>
      </c>
      <c r="X1376" s="17">
        <f t="shared" si="172"/>
        <v>203.6</v>
      </c>
      <c r="Y1376" s="81">
        <v>4</v>
      </c>
      <c r="Z1376" s="15" t="s">
        <v>1</v>
      </c>
      <c r="AA1376" s="3" t="s">
        <v>1728</v>
      </c>
      <c r="AB1376" s="17">
        <f t="shared" si="170"/>
        <v>20</v>
      </c>
      <c r="AC1376" s="15" t="s">
        <v>1</v>
      </c>
      <c r="AD1376" s="17">
        <f t="shared" si="169"/>
        <v>80</v>
      </c>
      <c r="AE1376" s="23">
        <f t="shared" si="163"/>
        <v>0</v>
      </c>
    </row>
    <row r="1377" spans="6:31" ht="24" customHeight="1">
      <c r="F1377" s="17">
        <v>10</v>
      </c>
      <c r="G1377" s="15" t="s">
        <v>140</v>
      </c>
      <c r="H1377" s="3" t="s">
        <v>1718</v>
      </c>
      <c r="I1377" s="5">
        <f>K1344</f>
        <v>245.15520000000001</v>
      </c>
      <c r="J1377" s="3" t="s">
        <v>140</v>
      </c>
      <c r="K1377" s="17">
        <f t="shared" si="173"/>
        <v>2451.5520000000001</v>
      </c>
      <c r="M1377" s="17">
        <v>2.2000000000000002</v>
      </c>
      <c r="N1377" s="15" t="s">
        <v>1</v>
      </c>
      <c r="O1377" s="3" t="s">
        <v>146</v>
      </c>
      <c r="P1377" s="17">
        <f>AE11</f>
        <v>502</v>
      </c>
      <c r="Q1377" s="4" t="s">
        <v>1</v>
      </c>
      <c r="R1377" s="17">
        <f>(M1377*P1377)</f>
        <v>1104.4000000000001</v>
      </c>
      <c r="S1377" s="49">
        <v>4</v>
      </c>
      <c r="T1377" s="15" t="s">
        <v>1</v>
      </c>
      <c r="U1377" s="3" t="s">
        <v>1727</v>
      </c>
      <c r="V1377" s="17">
        <f t="shared" si="171"/>
        <v>30</v>
      </c>
      <c r="W1377" s="15" t="s">
        <v>1</v>
      </c>
      <c r="X1377" s="17">
        <f t="shared" si="172"/>
        <v>120</v>
      </c>
      <c r="Y1377" s="81">
        <v>4</v>
      </c>
      <c r="Z1377" s="15" t="s">
        <v>1</v>
      </c>
      <c r="AA1377" s="3" t="s">
        <v>1730</v>
      </c>
      <c r="AB1377" s="17">
        <f t="shared" si="170"/>
        <v>15</v>
      </c>
      <c r="AC1377" s="15" t="s">
        <v>1</v>
      </c>
      <c r="AD1377" s="17">
        <f t="shared" si="169"/>
        <v>60</v>
      </c>
      <c r="AE1377" s="23">
        <f t="shared" si="163"/>
        <v>0</v>
      </c>
    </row>
    <row r="1378" spans="6:31" ht="24" customHeight="1">
      <c r="F1378" s="17">
        <v>5.8</v>
      </c>
      <c r="G1378" s="15" t="s">
        <v>148</v>
      </c>
      <c r="H1378" s="3" t="s">
        <v>1721</v>
      </c>
      <c r="I1378" s="5">
        <f>C653</f>
        <v>41.9</v>
      </c>
      <c r="J1378" s="3" t="s">
        <v>148</v>
      </c>
      <c r="K1378" s="17">
        <f t="shared" si="173"/>
        <v>243.01999999999998</v>
      </c>
      <c r="M1378" s="17">
        <v>2.2000000000000002</v>
      </c>
      <c r="N1378" s="15" t="s">
        <v>1</v>
      </c>
      <c r="O1378" s="3" t="s">
        <v>147</v>
      </c>
      <c r="P1378" s="17">
        <f>AE12</f>
        <v>412</v>
      </c>
      <c r="Q1378" s="4" t="s">
        <v>1</v>
      </c>
      <c r="R1378" s="17">
        <f>(M1378*P1378)</f>
        <v>906.40000000000009</v>
      </c>
      <c r="S1378" s="49">
        <v>4</v>
      </c>
      <c r="T1378" s="15" t="s">
        <v>1</v>
      </c>
      <c r="U1378" s="3" t="s">
        <v>1728</v>
      </c>
      <c r="V1378" s="17">
        <f t="shared" si="171"/>
        <v>20</v>
      </c>
      <c r="W1378" s="15" t="s">
        <v>1</v>
      </c>
      <c r="X1378" s="17">
        <f t="shared" si="172"/>
        <v>80</v>
      </c>
      <c r="Y1378" s="81">
        <v>1.42</v>
      </c>
      <c r="Z1378" s="15" t="s">
        <v>174</v>
      </c>
      <c r="AA1378" s="3" t="s">
        <v>1731</v>
      </c>
      <c r="AB1378" s="17">
        <f t="shared" si="170"/>
        <v>1540</v>
      </c>
      <c r="AC1378" s="15" t="s">
        <v>174</v>
      </c>
      <c r="AD1378" s="17">
        <f t="shared" si="169"/>
        <v>2186.7999999999997</v>
      </c>
      <c r="AE1378" s="23">
        <f t="shared" si="163"/>
        <v>0</v>
      </c>
    </row>
    <row r="1379" spans="6:31" ht="24" customHeight="1">
      <c r="F1379" s="17">
        <v>1.1000000000000001</v>
      </c>
      <c r="G1379" s="15" t="s">
        <v>1</v>
      </c>
      <c r="H1379" s="3" t="s">
        <v>144</v>
      </c>
      <c r="I1379" s="5">
        <f>C10</f>
        <v>769</v>
      </c>
      <c r="J1379" s="3" t="s">
        <v>1</v>
      </c>
      <c r="K1379" s="17">
        <f t="shared" si="173"/>
        <v>845.90000000000009</v>
      </c>
      <c r="M1379" s="49">
        <v>20</v>
      </c>
      <c r="N1379" s="15" t="s">
        <v>148</v>
      </c>
      <c r="O1379" s="3" t="s">
        <v>125</v>
      </c>
      <c r="P1379" s="17">
        <f>AC31</f>
        <v>5800</v>
      </c>
      <c r="Q1379" s="4" t="s">
        <v>124</v>
      </c>
      <c r="R1379" s="17">
        <f>(M1379*P1379)/1000</f>
        <v>116</v>
      </c>
      <c r="S1379" s="49">
        <v>4</v>
      </c>
      <c r="T1379" s="15" t="s">
        <v>1</v>
      </c>
      <c r="U1379" s="3" t="s">
        <v>1730</v>
      </c>
      <c r="V1379" s="17">
        <f t="shared" si="171"/>
        <v>15</v>
      </c>
      <c r="W1379" s="15" t="s">
        <v>1</v>
      </c>
      <c r="X1379" s="17">
        <f t="shared" si="172"/>
        <v>60</v>
      </c>
      <c r="Z1379" s="6"/>
      <c r="AA1379" s="3" t="s">
        <v>1733</v>
      </c>
      <c r="AC1379" s="10"/>
      <c r="AD1379" s="17">
        <v>0.85</v>
      </c>
      <c r="AE1379" s="23">
        <f t="shared" si="163"/>
        <v>0</v>
      </c>
    </row>
    <row r="1380" spans="6:31" ht="24" customHeight="1">
      <c r="F1380" s="17">
        <v>2.1</v>
      </c>
      <c r="G1380" s="15" t="s">
        <v>1</v>
      </c>
      <c r="H1380" s="3" t="s">
        <v>145</v>
      </c>
      <c r="I1380" s="5">
        <f>C11</f>
        <v>718</v>
      </c>
      <c r="J1380" s="3" t="s">
        <v>1</v>
      </c>
      <c r="K1380" s="17">
        <f t="shared" si="173"/>
        <v>1507.8</v>
      </c>
      <c r="M1380" s="49">
        <v>2</v>
      </c>
      <c r="N1380" s="15" t="s">
        <v>148</v>
      </c>
      <c r="O1380" s="3" t="s">
        <v>1641</v>
      </c>
      <c r="P1380" s="102">
        <f>P1264</f>
        <v>36.1</v>
      </c>
      <c r="Q1380" s="4" t="s">
        <v>148</v>
      </c>
      <c r="R1380" s="17">
        <f>(M1380*P1380)</f>
        <v>72.2</v>
      </c>
      <c r="S1380" s="49">
        <v>1.2150000000000001</v>
      </c>
      <c r="T1380" s="15" t="s">
        <v>174</v>
      </c>
      <c r="U1380" s="3" t="s">
        <v>1731</v>
      </c>
      <c r="V1380" s="17">
        <f t="shared" si="171"/>
        <v>1540</v>
      </c>
      <c r="W1380" s="15" t="s">
        <v>174</v>
      </c>
      <c r="X1380" s="17">
        <f t="shared" si="172"/>
        <v>1871.1000000000001</v>
      </c>
      <c r="AA1380" s="14" t="s">
        <v>1735</v>
      </c>
      <c r="AD1380" s="16">
        <f>SUM(AD1367:AD1379)</f>
        <v>7559.8256000000001</v>
      </c>
      <c r="AE1380" s="23">
        <f t="shared" si="163"/>
        <v>0</v>
      </c>
    </row>
    <row r="1381" spans="6:31" ht="24" customHeight="1">
      <c r="F1381" s="17">
        <v>2.2000000000000002</v>
      </c>
      <c r="G1381" s="15" t="s">
        <v>1</v>
      </c>
      <c r="H1381" s="3" t="s">
        <v>146</v>
      </c>
      <c r="I1381" s="5">
        <f>C12</f>
        <v>502</v>
      </c>
      <c r="J1381" s="3" t="s">
        <v>1</v>
      </c>
      <c r="K1381" s="17">
        <f t="shared" si="173"/>
        <v>1104.4000000000001</v>
      </c>
      <c r="M1381" s="17">
        <v>1.6</v>
      </c>
      <c r="N1381" s="15" t="s">
        <v>1</v>
      </c>
      <c r="O1381" s="3" t="s">
        <v>145</v>
      </c>
      <c r="P1381" s="17">
        <f>P1265</f>
        <v>718</v>
      </c>
      <c r="Q1381" s="4" t="s">
        <v>1</v>
      </c>
      <c r="R1381" s="17">
        <f>(M1381*P1381)</f>
        <v>1148.8</v>
      </c>
      <c r="T1381" s="6"/>
      <c r="U1381" s="3" t="s">
        <v>1733</v>
      </c>
      <c r="W1381" s="10"/>
      <c r="X1381" s="17">
        <v>0.23</v>
      </c>
      <c r="AE1381" s="23">
        <f t="shared" si="163"/>
        <v>0</v>
      </c>
    </row>
    <row r="1382" spans="6:31" ht="24" customHeight="1">
      <c r="F1382" s="17">
        <v>1.1000000000000001</v>
      </c>
      <c r="G1382" s="15" t="s">
        <v>1</v>
      </c>
      <c r="H1382" s="3" t="s">
        <v>147</v>
      </c>
      <c r="I1382" s="5">
        <f>C13</f>
        <v>412</v>
      </c>
      <c r="J1382" s="3" t="s">
        <v>1</v>
      </c>
      <c r="K1382" s="17">
        <f t="shared" si="173"/>
        <v>453.20000000000005</v>
      </c>
      <c r="M1382" s="17">
        <v>0.5</v>
      </c>
      <c r="N1382" s="15" t="s">
        <v>1</v>
      </c>
      <c r="O1382" s="3" t="s">
        <v>146</v>
      </c>
      <c r="P1382" s="17">
        <f>P1266</f>
        <v>502</v>
      </c>
      <c r="Q1382" s="4" t="s">
        <v>1</v>
      </c>
      <c r="R1382" s="17">
        <f>(M1382*P1382)</f>
        <v>251</v>
      </c>
      <c r="U1382" s="14" t="s">
        <v>1735</v>
      </c>
      <c r="X1382" s="16">
        <f>SUM(X1369:X1381)</f>
        <v>6940.6887999999999</v>
      </c>
      <c r="AE1382" s="23">
        <f t="shared" si="163"/>
        <v>0</v>
      </c>
    </row>
    <row r="1383" spans="6:31" ht="24" customHeight="1">
      <c r="G1383" s="15" t="s">
        <v>129</v>
      </c>
      <c r="H1383" s="3" t="s">
        <v>130</v>
      </c>
      <c r="J1383" s="3" t="s">
        <v>129</v>
      </c>
      <c r="K1383" s="17">
        <v>0</v>
      </c>
      <c r="M1383" s="17">
        <v>1.1000000000000001</v>
      </c>
      <c r="N1383" s="15" t="s">
        <v>1</v>
      </c>
      <c r="O1383" s="3" t="s">
        <v>147</v>
      </c>
      <c r="P1383" s="17">
        <f>P1267</f>
        <v>412</v>
      </c>
      <c r="Q1383" s="4" t="s">
        <v>1</v>
      </c>
      <c r="R1383" s="17">
        <f>(M1383*P1383)</f>
        <v>453.20000000000005</v>
      </c>
      <c r="Z1383" s="6"/>
      <c r="AA1383" s="157" t="s">
        <v>1742</v>
      </c>
      <c r="AC1383" s="8"/>
      <c r="AE1383" s="23">
        <f t="shared" si="163"/>
        <v>0</v>
      </c>
    </row>
    <row r="1384" spans="6:31" ht="24" customHeight="1">
      <c r="K1384" s="12" t="s">
        <v>117</v>
      </c>
      <c r="N1384" s="15" t="s">
        <v>129</v>
      </c>
      <c r="O1384" s="3" t="s">
        <v>130</v>
      </c>
      <c r="P1384" s="17"/>
      <c r="Q1384" s="4" t="s">
        <v>129</v>
      </c>
      <c r="R1384" s="17">
        <v>0.28000000000000003</v>
      </c>
      <c r="Y1384" s="81">
        <v>2.87</v>
      </c>
      <c r="Z1384" s="15" t="s">
        <v>654</v>
      </c>
      <c r="AA1384" s="3" t="s">
        <v>1711</v>
      </c>
      <c r="AB1384" s="17">
        <f>AB1367</f>
        <v>287</v>
      </c>
      <c r="AC1384" s="15" t="s">
        <v>654</v>
      </c>
      <c r="AD1384" s="17">
        <f t="shared" ref="AD1384:AD1395" si="174">AB1384*Y1384</f>
        <v>823.69</v>
      </c>
      <c r="AE1384" s="23">
        <f t="shared" si="163"/>
        <v>0</v>
      </c>
    </row>
    <row r="1385" spans="6:31" ht="24" customHeight="1">
      <c r="H1385" s="3" t="s">
        <v>153</v>
      </c>
      <c r="K1385" s="17">
        <f>SUM(K1375:K1383)</f>
        <v>8764.0280000000021</v>
      </c>
      <c r="N1385" s="6"/>
      <c r="Q1385" s="10"/>
      <c r="R1385" s="12" t="s">
        <v>117</v>
      </c>
      <c r="T1385" s="6"/>
      <c r="U1385" s="157" t="s">
        <v>1743</v>
      </c>
      <c r="W1385" s="8"/>
      <c r="Y1385" s="81">
        <v>0.56000000000000005</v>
      </c>
      <c r="Z1385" s="15" t="s">
        <v>654</v>
      </c>
      <c r="AA1385" s="3" t="s">
        <v>1711</v>
      </c>
      <c r="AB1385" s="17">
        <f t="shared" ref="AB1385:AB1395" si="175">AB1368</f>
        <v>287</v>
      </c>
      <c r="AC1385" s="15" t="s">
        <v>654</v>
      </c>
      <c r="AD1385" s="17">
        <f t="shared" si="174"/>
        <v>160.72000000000003</v>
      </c>
      <c r="AE1385" s="23">
        <f t="shared" si="163"/>
        <v>0</v>
      </c>
    </row>
    <row r="1386" spans="6:31" ht="24" customHeight="1">
      <c r="K1386" s="12" t="s">
        <v>117</v>
      </c>
      <c r="N1386" s="6"/>
      <c r="O1386" s="3" t="s">
        <v>153</v>
      </c>
      <c r="Q1386" s="10"/>
      <c r="R1386" s="17">
        <f>SUM(R1372:R1384)</f>
        <v>22518.678000000004</v>
      </c>
      <c r="S1386" s="49">
        <v>4.88</v>
      </c>
      <c r="T1386" s="15" t="s">
        <v>654</v>
      </c>
      <c r="U1386" s="3" t="s">
        <v>1711</v>
      </c>
      <c r="V1386" s="17">
        <f>V1369</f>
        <v>287</v>
      </c>
      <c r="W1386" s="15" t="s">
        <v>654</v>
      </c>
      <c r="X1386" s="17">
        <f>V1386*S1386</f>
        <v>1400.56</v>
      </c>
      <c r="Y1386" s="81">
        <v>2.98</v>
      </c>
      <c r="Z1386" s="15" t="s">
        <v>654</v>
      </c>
      <c r="AA1386" s="3" t="s">
        <v>1711</v>
      </c>
      <c r="AB1386" s="17">
        <f t="shared" si="175"/>
        <v>287</v>
      </c>
      <c r="AC1386" s="15" t="s">
        <v>654</v>
      </c>
      <c r="AD1386" s="17">
        <f t="shared" si="174"/>
        <v>855.26</v>
      </c>
      <c r="AE1386" s="23">
        <f t="shared" si="163"/>
        <v>0</v>
      </c>
    </row>
    <row r="1387" spans="6:31" ht="24" customHeight="1">
      <c r="H1387" s="19" t="s">
        <v>154</v>
      </c>
      <c r="K1387" s="16">
        <f>(K1385/10)</f>
        <v>876.40280000000018</v>
      </c>
      <c r="N1387" s="6"/>
      <c r="Q1387" s="10"/>
      <c r="R1387" s="12" t="s">
        <v>117</v>
      </c>
      <c r="S1387" s="49">
        <v>6.57</v>
      </c>
      <c r="T1387" s="15" t="s">
        <v>654</v>
      </c>
      <c r="U1387" s="3" t="s">
        <v>1711</v>
      </c>
      <c r="V1387" s="17">
        <f t="shared" ref="V1387:V1397" si="176">V1370</f>
        <v>287</v>
      </c>
      <c r="W1387" s="15" t="s">
        <v>654</v>
      </c>
      <c r="X1387" s="17">
        <f t="shared" ref="X1387:X1397" si="177">V1387*S1387</f>
        <v>1885.5900000000001</v>
      </c>
      <c r="Y1387" s="81">
        <v>0.52</v>
      </c>
      <c r="Z1387" s="15" t="s">
        <v>654</v>
      </c>
      <c r="AA1387" s="3" t="s">
        <v>1711</v>
      </c>
      <c r="AB1387" s="17">
        <f t="shared" si="175"/>
        <v>287</v>
      </c>
      <c r="AC1387" s="15" t="s">
        <v>654</v>
      </c>
      <c r="AD1387" s="17">
        <f t="shared" si="174"/>
        <v>149.24</v>
      </c>
      <c r="AE1387" s="23">
        <f t="shared" si="163"/>
        <v>0</v>
      </c>
    </row>
    <row r="1388" spans="6:31" ht="24" customHeight="1">
      <c r="K1388" s="12" t="s">
        <v>155</v>
      </c>
      <c r="N1388" s="6"/>
      <c r="O1388" s="3" t="s">
        <v>154</v>
      </c>
      <c r="Q1388" s="10"/>
      <c r="R1388" s="17">
        <f>(R1386/10)</f>
        <v>2251.8678000000004</v>
      </c>
      <c r="S1388" s="49">
        <v>11.56</v>
      </c>
      <c r="T1388" s="15" t="s">
        <v>654</v>
      </c>
      <c r="U1388" s="3" t="s">
        <v>1711</v>
      </c>
      <c r="V1388" s="17">
        <f t="shared" si="176"/>
        <v>287</v>
      </c>
      <c r="W1388" s="15" t="s">
        <v>654</v>
      </c>
      <c r="X1388" s="17">
        <f t="shared" si="177"/>
        <v>3317.7200000000003</v>
      </c>
      <c r="Y1388" s="81">
        <v>0.53300000000000003</v>
      </c>
      <c r="Z1388" s="15" t="s">
        <v>110</v>
      </c>
      <c r="AA1388" s="3" t="s">
        <v>1717</v>
      </c>
      <c r="AB1388" s="17">
        <f t="shared" si="175"/>
        <v>208.8</v>
      </c>
      <c r="AC1388" s="15" t="s">
        <v>110</v>
      </c>
      <c r="AD1388" s="17">
        <f t="shared" si="174"/>
        <v>111.29040000000001</v>
      </c>
      <c r="AE1388" s="23">
        <f t="shared" si="163"/>
        <v>0</v>
      </c>
    </row>
    <row r="1389" spans="6:31" ht="24" customHeight="1">
      <c r="K1389" s="12"/>
      <c r="N1389" s="6"/>
      <c r="Q1389" s="10"/>
      <c r="R1389" s="12" t="s">
        <v>155</v>
      </c>
      <c r="S1389" s="49">
        <v>2.0099999999999998</v>
      </c>
      <c r="T1389" s="15" t="s">
        <v>654</v>
      </c>
      <c r="U1389" s="3" t="s">
        <v>1711</v>
      </c>
      <c r="V1389" s="17">
        <f t="shared" si="176"/>
        <v>287</v>
      </c>
      <c r="W1389" s="15" t="s">
        <v>654</v>
      </c>
      <c r="X1389" s="17">
        <f t="shared" si="177"/>
        <v>576.86999999999989</v>
      </c>
      <c r="Y1389" s="81">
        <v>4.1959999999999997</v>
      </c>
      <c r="Z1389" s="15" t="s">
        <v>231</v>
      </c>
      <c r="AA1389" s="3" t="s">
        <v>1720</v>
      </c>
      <c r="AB1389" s="17">
        <f t="shared" si="175"/>
        <v>28.6</v>
      </c>
      <c r="AC1389" s="15" t="s">
        <v>231</v>
      </c>
      <c r="AD1389" s="17">
        <f t="shared" si="174"/>
        <v>120.0056</v>
      </c>
      <c r="AE1389" s="23">
        <f t="shared" si="163"/>
        <v>0</v>
      </c>
    </row>
    <row r="1390" spans="6:31" ht="24" customHeight="1">
      <c r="F1390" s="4" t="s">
        <v>1744</v>
      </c>
      <c r="G1390" s="15" t="s">
        <v>122</v>
      </c>
      <c r="H1390" s="3" t="s">
        <v>1745</v>
      </c>
      <c r="N1390" s="6"/>
      <c r="O1390" s="157" t="s">
        <v>1746</v>
      </c>
      <c r="Q1390" s="8"/>
      <c r="S1390" s="49">
        <v>1.96</v>
      </c>
      <c r="T1390" s="15" t="s">
        <v>110</v>
      </c>
      <c r="U1390" s="3" t="s">
        <v>1717</v>
      </c>
      <c r="V1390" s="17">
        <f t="shared" si="176"/>
        <v>208.8</v>
      </c>
      <c r="W1390" s="15" t="s">
        <v>110</v>
      </c>
      <c r="X1390" s="17">
        <f t="shared" si="177"/>
        <v>409.24799999999999</v>
      </c>
      <c r="Y1390" s="81">
        <v>4</v>
      </c>
      <c r="Z1390" s="15" t="s">
        <v>1</v>
      </c>
      <c r="AA1390" s="3" t="s">
        <v>1722</v>
      </c>
      <c r="AB1390" s="17">
        <f t="shared" si="175"/>
        <v>63.5</v>
      </c>
      <c r="AC1390" s="15" t="s">
        <v>1</v>
      </c>
      <c r="AD1390" s="17">
        <f t="shared" si="174"/>
        <v>254</v>
      </c>
      <c r="AE1390" s="23">
        <f t="shared" si="163"/>
        <v>0</v>
      </c>
    </row>
    <row r="1391" spans="6:31" ht="24" customHeight="1">
      <c r="H1391" s="12" t="s">
        <v>117</v>
      </c>
      <c r="M1391" s="81">
        <v>4.1849999999999996</v>
      </c>
      <c r="N1391" s="15" t="s">
        <v>654</v>
      </c>
      <c r="O1391" s="70" t="s">
        <v>1747</v>
      </c>
      <c r="P1391" s="25">
        <v>287</v>
      </c>
      <c r="Q1391" s="15" t="s">
        <v>654</v>
      </c>
      <c r="R1391" s="17">
        <f>P1391*M1391</f>
        <v>1201.0949999999998</v>
      </c>
      <c r="S1391" s="49">
        <v>16.224</v>
      </c>
      <c r="T1391" s="15" t="s">
        <v>231</v>
      </c>
      <c r="U1391" s="3" t="s">
        <v>1720</v>
      </c>
      <c r="V1391" s="17">
        <f t="shared" si="176"/>
        <v>28.6</v>
      </c>
      <c r="W1391" s="15" t="s">
        <v>231</v>
      </c>
      <c r="X1391" s="17">
        <f t="shared" si="177"/>
        <v>464.00640000000004</v>
      </c>
      <c r="Y1391" s="81">
        <v>2</v>
      </c>
      <c r="Z1391" s="15" t="s">
        <v>1</v>
      </c>
      <c r="AA1391" s="3" t="s">
        <v>1724</v>
      </c>
      <c r="AB1391" s="17">
        <f t="shared" si="175"/>
        <v>50.9</v>
      </c>
      <c r="AC1391" s="15" t="s">
        <v>1</v>
      </c>
      <c r="AD1391" s="17">
        <f t="shared" si="174"/>
        <v>101.8</v>
      </c>
      <c r="AE1391" s="23">
        <f t="shared" si="163"/>
        <v>0</v>
      </c>
    </row>
    <row r="1392" spans="6:31" ht="24" customHeight="1">
      <c r="F1392" s="17">
        <v>0.14000000000000001</v>
      </c>
      <c r="G1392" s="15" t="s">
        <v>126</v>
      </c>
      <c r="H1392" s="3" t="s">
        <v>135</v>
      </c>
      <c r="I1392" s="17">
        <f>(K49)</f>
        <v>3080.2</v>
      </c>
      <c r="J1392" s="3" t="s">
        <v>126</v>
      </c>
      <c r="K1392" s="17">
        <f>(F1392*I1392)</f>
        <v>431.22800000000001</v>
      </c>
      <c r="M1392" s="81">
        <v>4.55</v>
      </c>
      <c r="N1392" s="15" t="s">
        <v>654</v>
      </c>
      <c r="O1392" s="3" t="s">
        <v>1711</v>
      </c>
      <c r="P1392" s="17">
        <f>P1391</f>
        <v>287</v>
      </c>
      <c r="Q1392" s="15" t="s">
        <v>654</v>
      </c>
      <c r="R1392" s="17">
        <f t="shared" ref="R1392:R1402" si="178">P1392*M1392</f>
        <v>1305.8499999999999</v>
      </c>
      <c r="S1392" s="49">
        <v>16</v>
      </c>
      <c r="T1392" s="15" t="s">
        <v>1</v>
      </c>
      <c r="U1392" s="3" t="s">
        <v>1722</v>
      </c>
      <c r="V1392" s="17">
        <f t="shared" si="176"/>
        <v>63.5</v>
      </c>
      <c r="W1392" s="15" t="s">
        <v>1</v>
      </c>
      <c r="X1392" s="17">
        <f t="shared" si="177"/>
        <v>1016</v>
      </c>
      <c r="Y1392" s="81">
        <v>2</v>
      </c>
      <c r="Z1392" s="15" t="s">
        <v>1</v>
      </c>
      <c r="AA1392" s="3" t="s">
        <v>1727</v>
      </c>
      <c r="AB1392" s="17">
        <f t="shared" si="175"/>
        <v>30</v>
      </c>
      <c r="AC1392" s="15" t="s">
        <v>1</v>
      </c>
      <c r="AD1392" s="17">
        <f t="shared" si="174"/>
        <v>60</v>
      </c>
      <c r="AE1392" s="23">
        <f t="shared" si="163"/>
        <v>0</v>
      </c>
    </row>
    <row r="1393" spans="6:31" ht="24" customHeight="1">
      <c r="F1393" s="17">
        <v>1.1000000000000001</v>
      </c>
      <c r="G1393" s="15" t="s">
        <v>209</v>
      </c>
      <c r="H1393" s="3" t="s">
        <v>144</v>
      </c>
      <c r="I1393" s="17">
        <f>(C10)</f>
        <v>769</v>
      </c>
      <c r="J1393" s="3" t="s">
        <v>209</v>
      </c>
      <c r="K1393" s="17">
        <f>(F1393*I1393)</f>
        <v>845.90000000000009</v>
      </c>
      <c r="M1393" s="81">
        <v>8.66</v>
      </c>
      <c r="N1393" s="15" t="s">
        <v>654</v>
      </c>
      <c r="O1393" s="3" t="s">
        <v>1711</v>
      </c>
      <c r="P1393" s="17">
        <f>P1391</f>
        <v>287</v>
      </c>
      <c r="Q1393" s="15" t="s">
        <v>654</v>
      </c>
      <c r="R1393" s="17">
        <f t="shared" si="178"/>
        <v>2485.42</v>
      </c>
      <c r="S1393" s="49">
        <v>8</v>
      </c>
      <c r="T1393" s="15" t="s">
        <v>1</v>
      </c>
      <c r="U1393" s="3" t="s">
        <v>1724</v>
      </c>
      <c r="V1393" s="17">
        <f t="shared" si="176"/>
        <v>50.9</v>
      </c>
      <c r="W1393" s="15" t="s">
        <v>1</v>
      </c>
      <c r="X1393" s="17">
        <f t="shared" si="177"/>
        <v>407.2</v>
      </c>
      <c r="Y1393" s="81">
        <v>2</v>
      </c>
      <c r="Z1393" s="15" t="s">
        <v>1</v>
      </c>
      <c r="AA1393" s="3" t="s">
        <v>1728</v>
      </c>
      <c r="AB1393" s="17">
        <f t="shared" si="175"/>
        <v>20</v>
      </c>
      <c r="AC1393" s="15" t="s">
        <v>1</v>
      </c>
      <c r="AD1393" s="17">
        <f t="shared" si="174"/>
        <v>40</v>
      </c>
      <c r="AE1393" s="23">
        <f t="shared" si="163"/>
        <v>0</v>
      </c>
    </row>
    <row r="1394" spans="6:31" ht="24" customHeight="1">
      <c r="F1394" s="17">
        <v>0.5</v>
      </c>
      <c r="G1394" s="15" t="s">
        <v>209</v>
      </c>
      <c r="H1394" s="3" t="s">
        <v>146</v>
      </c>
      <c r="I1394" s="17">
        <f>(C12)</f>
        <v>502</v>
      </c>
      <c r="J1394" s="3" t="s">
        <v>209</v>
      </c>
      <c r="K1394" s="17">
        <f>(F1394*I1394)</f>
        <v>251</v>
      </c>
      <c r="M1394" s="81">
        <v>1.51</v>
      </c>
      <c r="N1394" s="15" t="s">
        <v>654</v>
      </c>
      <c r="O1394" s="3" t="s">
        <v>1711</v>
      </c>
      <c r="P1394" s="17">
        <f>P1391</f>
        <v>287</v>
      </c>
      <c r="Q1394" s="15" t="s">
        <v>654</v>
      </c>
      <c r="R1394" s="17">
        <f t="shared" si="178"/>
        <v>433.37</v>
      </c>
      <c r="S1394" s="49">
        <v>8</v>
      </c>
      <c r="T1394" s="15" t="s">
        <v>1</v>
      </c>
      <c r="U1394" s="3" t="s">
        <v>1727</v>
      </c>
      <c r="V1394" s="17">
        <f t="shared" si="176"/>
        <v>30</v>
      </c>
      <c r="W1394" s="15" t="s">
        <v>1</v>
      </c>
      <c r="X1394" s="17">
        <f t="shared" si="177"/>
        <v>240</v>
      </c>
      <c r="Y1394" s="81">
        <v>4</v>
      </c>
      <c r="Z1394" s="15" t="s">
        <v>1</v>
      </c>
      <c r="AA1394" s="3" t="s">
        <v>1730</v>
      </c>
      <c r="AB1394" s="17">
        <f t="shared" si="175"/>
        <v>15</v>
      </c>
      <c r="AC1394" s="15" t="s">
        <v>1</v>
      </c>
      <c r="AD1394" s="17">
        <f t="shared" si="174"/>
        <v>60</v>
      </c>
      <c r="AE1394" s="23">
        <f t="shared" si="163"/>
        <v>0</v>
      </c>
    </row>
    <row r="1395" spans="6:31" ht="24" customHeight="1">
      <c r="F1395" s="17">
        <v>1.1000000000000001</v>
      </c>
      <c r="G1395" s="15" t="s">
        <v>209</v>
      </c>
      <c r="H1395" s="3" t="s">
        <v>147</v>
      </c>
      <c r="I1395" s="17">
        <f>(C13)</f>
        <v>412</v>
      </c>
      <c r="J1395" s="3" t="s">
        <v>209</v>
      </c>
      <c r="K1395" s="17">
        <f>(F1395*I1395)</f>
        <v>453.20000000000005</v>
      </c>
      <c r="M1395" s="81">
        <v>1.462</v>
      </c>
      <c r="N1395" s="15" t="s">
        <v>110</v>
      </c>
      <c r="O1395" s="70" t="s">
        <v>1717</v>
      </c>
      <c r="P1395" s="45">
        <v>208.8</v>
      </c>
      <c r="Q1395" s="15" t="s">
        <v>110</v>
      </c>
      <c r="R1395" s="17">
        <f t="shared" si="178"/>
        <v>305.26560000000001</v>
      </c>
      <c r="S1395" s="49">
        <v>8</v>
      </c>
      <c r="T1395" s="15" t="s">
        <v>1</v>
      </c>
      <c r="U1395" s="3" t="s">
        <v>1728</v>
      </c>
      <c r="V1395" s="17">
        <f t="shared" si="176"/>
        <v>20</v>
      </c>
      <c r="W1395" s="15" t="s">
        <v>1</v>
      </c>
      <c r="X1395" s="17">
        <f t="shared" si="177"/>
        <v>160</v>
      </c>
      <c r="Y1395" s="81">
        <v>0.67500000000000004</v>
      </c>
      <c r="Z1395" s="15" t="s">
        <v>174</v>
      </c>
      <c r="AA1395" s="3" t="s">
        <v>1731</v>
      </c>
      <c r="AB1395" s="17">
        <f t="shared" si="175"/>
        <v>1540</v>
      </c>
      <c r="AC1395" s="15" t="s">
        <v>174</v>
      </c>
      <c r="AD1395" s="17">
        <f t="shared" si="174"/>
        <v>1039.5</v>
      </c>
      <c r="AE1395" s="23">
        <f t="shared" si="163"/>
        <v>0</v>
      </c>
    </row>
    <row r="1396" spans="6:31" ht="24" customHeight="1">
      <c r="G1396" s="15" t="s">
        <v>129</v>
      </c>
      <c r="H1396" s="3" t="s">
        <v>1629</v>
      </c>
      <c r="I1396" s="3" t="s">
        <v>115</v>
      </c>
      <c r="J1396" s="3" t="s">
        <v>129</v>
      </c>
      <c r="K1396" s="17">
        <v>5</v>
      </c>
      <c r="M1396" s="81">
        <v>12.144</v>
      </c>
      <c r="N1396" s="15" t="s">
        <v>231</v>
      </c>
      <c r="O1396" s="70" t="s">
        <v>1748</v>
      </c>
      <c r="P1396" s="25">
        <v>28.6</v>
      </c>
      <c r="Q1396" s="15" t="s">
        <v>231</v>
      </c>
      <c r="R1396" s="17">
        <f t="shared" si="178"/>
        <v>347.3184</v>
      </c>
      <c r="S1396" s="49">
        <v>4</v>
      </c>
      <c r="T1396" s="15" t="s">
        <v>1</v>
      </c>
      <c r="U1396" s="3" t="s">
        <v>1730</v>
      </c>
      <c r="V1396" s="17">
        <f t="shared" si="176"/>
        <v>15</v>
      </c>
      <c r="W1396" s="15" t="s">
        <v>1</v>
      </c>
      <c r="X1396" s="17">
        <f t="shared" si="177"/>
        <v>60</v>
      </c>
      <c r="Z1396" s="6"/>
      <c r="AA1396" s="3" t="s">
        <v>1733</v>
      </c>
      <c r="AC1396" s="10"/>
      <c r="AD1396" s="17">
        <v>0.39</v>
      </c>
      <c r="AE1396" s="23">
        <f t="shared" si="163"/>
        <v>0</v>
      </c>
    </row>
    <row r="1397" spans="6:31" ht="24" customHeight="1">
      <c r="K1397" s="12" t="s">
        <v>117</v>
      </c>
      <c r="M1397" s="81">
        <v>12</v>
      </c>
      <c r="N1397" s="15" t="s">
        <v>1</v>
      </c>
      <c r="O1397" s="70" t="s">
        <v>1749</v>
      </c>
      <c r="P1397" s="25">
        <v>63.5</v>
      </c>
      <c r="Q1397" s="15" t="s">
        <v>1</v>
      </c>
      <c r="R1397" s="17">
        <f t="shared" si="178"/>
        <v>762</v>
      </c>
      <c r="S1397" s="49">
        <v>2.4300000000000002</v>
      </c>
      <c r="T1397" s="15" t="s">
        <v>174</v>
      </c>
      <c r="U1397" s="3" t="s">
        <v>1731</v>
      </c>
      <c r="V1397" s="17">
        <f t="shared" si="176"/>
        <v>1540</v>
      </c>
      <c r="W1397" s="15" t="s">
        <v>174</v>
      </c>
      <c r="X1397" s="17">
        <f t="shared" si="177"/>
        <v>3742.2000000000003</v>
      </c>
      <c r="AA1397" s="14" t="s">
        <v>1735</v>
      </c>
      <c r="AD1397" s="16">
        <f>SUM(AD1384:AD1396)</f>
        <v>3775.8960000000002</v>
      </c>
      <c r="AE1397" s="23">
        <f t="shared" si="163"/>
        <v>0</v>
      </c>
    </row>
    <row r="1398" spans="6:31" ht="24" customHeight="1">
      <c r="H1398" s="3" t="s">
        <v>153</v>
      </c>
      <c r="K1398" s="17">
        <f>SUM(K1392:K1396)</f>
        <v>1986.3280000000002</v>
      </c>
      <c r="M1398" s="81">
        <v>6</v>
      </c>
      <c r="N1398" s="15" t="s">
        <v>1</v>
      </c>
      <c r="O1398" s="70" t="s">
        <v>1750</v>
      </c>
      <c r="P1398" s="24">
        <f>P1094</f>
        <v>50.9</v>
      </c>
      <c r="Q1398" s="15" t="s">
        <v>1</v>
      </c>
      <c r="R1398" s="17">
        <f t="shared" si="178"/>
        <v>305.39999999999998</v>
      </c>
      <c r="T1398" s="6"/>
      <c r="U1398" s="3" t="s">
        <v>1733</v>
      </c>
      <c r="W1398" s="10"/>
      <c r="X1398" s="17"/>
      <c r="AE1398" s="23">
        <f t="shared" si="163"/>
        <v>0</v>
      </c>
    </row>
    <row r="1399" spans="6:31" ht="24" customHeight="1">
      <c r="K1399" s="12" t="s">
        <v>117</v>
      </c>
      <c r="M1399" s="81">
        <v>6</v>
      </c>
      <c r="N1399" s="15" t="s">
        <v>1</v>
      </c>
      <c r="O1399" s="3" t="s">
        <v>1751</v>
      </c>
      <c r="P1399" s="17">
        <v>30</v>
      </c>
      <c r="Q1399" s="15" t="s">
        <v>1</v>
      </c>
      <c r="R1399" s="17">
        <f t="shared" si="178"/>
        <v>180</v>
      </c>
      <c r="U1399" s="14" t="s">
        <v>1735</v>
      </c>
      <c r="X1399" s="16">
        <f>SUM(X1386:X1398)</f>
        <v>13679.394400000001</v>
      </c>
      <c r="Z1399" s="6"/>
      <c r="AA1399" s="157" t="s">
        <v>1752</v>
      </c>
      <c r="AC1399" s="8"/>
      <c r="AE1399" s="23">
        <f t="shared" si="163"/>
        <v>0</v>
      </c>
    </row>
    <row r="1400" spans="6:31" ht="24" customHeight="1">
      <c r="H1400" s="19" t="s">
        <v>154</v>
      </c>
      <c r="K1400" s="16">
        <f>(K1398/10)</f>
        <v>198.63280000000003</v>
      </c>
      <c r="M1400" s="81">
        <v>6</v>
      </c>
      <c r="N1400" s="15" t="s">
        <v>1</v>
      </c>
      <c r="O1400" s="3" t="s">
        <v>1728</v>
      </c>
      <c r="P1400" s="17">
        <v>20</v>
      </c>
      <c r="Q1400" s="15" t="s">
        <v>1</v>
      </c>
      <c r="R1400" s="17">
        <f t="shared" si="178"/>
        <v>120</v>
      </c>
      <c r="Y1400" s="81">
        <v>2.33</v>
      </c>
      <c r="Z1400" s="15" t="s">
        <v>654</v>
      </c>
      <c r="AA1400" s="3" t="s">
        <v>1711</v>
      </c>
      <c r="AB1400" s="17">
        <f t="shared" ref="AB1400:AB1411" si="179">V1402</f>
        <v>287</v>
      </c>
      <c r="AC1400" s="15" t="s">
        <v>654</v>
      </c>
      <c r="AD1400" s="17">
        <f t="shared" ref="AD1400:AD1411" si="180">AB1400*Y1400</f>
        <v>668.71</v>
      </c>
      <c r="AE1400" s="23">
        <f t="shared" si="163"/>
        <v>0</v>
      </c>
    </row>
    <row r="1401" spans="6:31" ht="24" customHeight="1">
      <c r="F1401" s="3" t="s">
        <v>115</v>
      </c>
      <c r="M1401" s="81">
        <v>4</v>
      </c>
      <c r="N1401" s="15" t="s">
        <v>1</v>
      </c>
      <c r="O1401" s="3" t="s">
        <v>1730</v>
      </c>
      <c r="P1401" s="17">
        <v>15</v>
      </c>
      <c r="Q1401" s="15" t="s">
        <v>1</v>
      </c>
      <c r="R1401" s="17">
        <f t="shared" si="178"/>
        <v>60</v>
      </c>
      <c r="T1401" s="6"/>
      <c r="U1401" s="157" t="s">
        <v>1753</v>
      </c>
      <c r="W1401" s="8"/>
      <c r="Y1401" s="81">
        <v>0.67</v>
      </c>
      <c r="Z1401" s="15" t="s">
        <v>654</v>
      </c>
      <c r="AA1401" s="3" t="s">
        <v>1711</v>
      </c>
      <c r="AB1401" s="17">
        <f t="shared" si="179"/>
        <v>287</v>
      </c>
      <c r="AC1401" s="15" t="s">
        <v>654</v>
      </c>
      <c r="AD1401" s="17">
        <f t="shared" si="180"/>
        <v>192.29000000000002</v>
      </c>
      <c r="AE1401" s="23">
        <f t="shared" si="163"/>
        <v>0</v>
      </c>
    </row>
    <row r="1402" spans="6:31" ht="24" customHeight="1">
      <c r="K1402" s="12" t="s">
        <v>155</v>
      </c>
      <c r="M1402" s="81">
        <v>1.823</v>
      </c>
      <c r="N1402" s="15" t="s">
        <v>174</v>
      </c>
      <c r="O1402" s="3" t="s">
        <v>1731</v>
      </c>
      <c r="P1402" s="5">
        <f>ROUND(AE17+AE11+(AE20*0.5),2)</f>
        <v>1540</v>
      </c>
      <c r="Q1402" s="15" t="s">
        <v>174</v>
      </c>
      <c r="R1402" s="17">
        <f t="shared" si="178"/>
        <v>2807.42</v>
      </c>
      <c r="S1402" s="49">
        <f>8*0.775</f>
        <v>6.2</v>
      </c>
      <c r="T1402" s="15" t="s">
        <v>654</v>
      </c>
      <c r="U1402" s="3" t="s">
        <v>1711</v>
      </c>
      <c r="V1402" s="17">
        <f>V1386</f>
        <v>287</v>
      </c>
      <c r="W1402" s="15" t="s">
        <v>654</v>
      </c>
      <c r="X1402" s="17">
        <f>V1402*S1402</f>
        <v>1779.4</v>
      </c>
      <c r="Y1402" s="81">
        <v>2.65</v>
      </c>
      <c r="Z1402" s="15" t="s">
        <v>654</v>
      </c>
      <c r="AA1402" s="3" t="s">
        <v>1711</v>
      </c>
      <c r="AB1402" s="17">
        <f t="shared" si="179"/>
        <v>287</v>
      </c>
      <c r="AC1402" s="15" t="s">
        <v>654</v>
      </c>
      <c r="AD1402" s="17">
        <f t="shared" si="180"/>
        <v>760.55</v>
      </c>
      <c r="AE1402" s="23">
        <f t="shared" si="163"/>
        <v>0</v>
      </c>
    </row>
    <row r="1403" spans="6:31" ht="24" customHeight="1">
      <c r="F1403" s="4" t="s">
        <v>1754</v>
      </c>
      <c r="G1403" s="15" t="s">
        <v>122</v>
      </c>
      <c r="H1403" s="3" t="s">
        <v>1755</v>
      </c>
      <c r="N1403" s="6"/>
      <c r="O1403" s="3" t="s">
        <v>1733</v>
      </c>
      <c r="Q1403" s="10"/>
      <c r="R1403" s="17">
        <v>0.51</v>
      </c>
      <c r="S1403" s="49">
        <f>8.4*1.123</f>
        <v>9.4332000000000011</v>
      </c>
      <c r="T1403" s="15" t="s">
        <v>654</v>
      </c>
      <c r="U1403" s="3" t="s">
        <v>1711</v>
      </c>
      <c r="V1403" s="17">
        <f t="shared" ref="V1403:V1413" si="181">V1387</f>
        <v>287</v>
      </c>
      <c r="W1403" s="15" t="s">
        <v>654</v>
      </c>
      <c r="X1403" s="17">
        <f t="shared" ref="X1403:X1413" si="182">V1403*S1403</f>
        <v>2707.3284000000003</v>
      </c>
      <c r="Y1403" s="81">
        <v>0.46</v>
      </c>
      <c r="Z1403" s="15" t="s">
        <v>654</v>
      </c>
      <c r="AA1403" s="3" t="s">
        <v>1711</v>
      </c>
      <c r="AB1403" s="17">
        <f t="shared" si="179"/>
        <v>287</v>
      </c>
      <c r="AC1403" s="15" t="s">
        <v>654</v>
      </c>
      <c r="AD1403" s="17">
        <f t="shared" si="180"/>
        <v>132.02000000000001</v>
      </c>
      <c r="AE1403" s="23">
        <f t="shared" si="163"/>
        <v>0</v>
      </c>
    </row>
    <row r="1404" spans="6:31" ht="24" customHeight="1">
      <c r="H1404" s="12" t="s">
        <v>117</v>
      </c>
      <c r="L1404" s="5">
        <f>5.85*1.123</f>
        <v>6.5695499999999996</v>
      </c>
      <c r="R1404" s="16">
        <f>SUM(R1391:R1403)</f>
        <v>10313.648999999999</v>
      </c>
      <c r="S1404" s="49">
        <f>24.24*0.663</f>
        <v>16.071120000000001</v>
      </c>
      <c r="T1404" s="15" t="s">
        <v>654</v>
      </c>
      <c r="U1404" s="3" t="s">
        <v>1711</v>
      </c>
      <c r="V1404" s="17">
        <f t="shared" si="181"/>
        <v>287</v>
      </c>
      <c r="W1404" s="15" t="s">
        <v>654</v>
      </c>
      <c r="X1404" s="17">
        <f t="shared" si="182"/>
        <v>4612.4114399999999</v>
      </c>
      <c r="Y1404" s="81">
        <v>0.41699999999999998</v>
      </c>
      <c r="Z1404" s="15" t="s">
        <v>110</v>
      </c>
      <c r="AA1404" s="3" t="s">
        <v>1717</v>
      </c>
      <c r="AB1404" s="17">
        <f t="shared" si="179"/>
        <v>208.8</v>
      </c>
      <c r="AC1404" s="15" t="s">
        <v>110</v>
      </c>
      <c r="AD1404" s="17">
        <f t="shared" si="180"/>
        <v>87.069599999999994</v>
      </c>
      <c r="AE1404" s="23">
        <f t="shared" si="163"/>
        <v>0</v>
      </c>
    </row>
    <row r="1405" spans="6:31" ht="24" customHeight="1">
      <c r="F1405" s="17">
        <v>0.14000000000000001</v>
      </c>
      <c r="G1405" s="15" t="s">
        <v>126</v>
      </c>
      <c r="H1405" s="3" t="s">
        <v>134</v>
      </c>
      <c r="I1405" s="17">
        <f>(K40)</f>
        <v>3497.8</v>
      </c>
      <c r="J1405" s="3" t="s">
        <v>126</v>
      </c>
      <c r="K1405" s="17">
        <f>(F1405*I1405)</f>
        <v>489.69200000000006</v>
      </c>
      <c r="O1405" s="193"/>
      <c r="S1405" s="49">
        <f>23.02*0.124</f>
        <v>2.8544800000000001</v>
      </c>
      <c r="T1405" s="15" t="s">
        <v>654</v>
      </c>
      <c r="U1405" s="3" t="s">
        <v>1711</v>
      </c>
      <c r="V1405" s="17">
        <f t="shared" si="181"/>
        <v>287</v>
      </c>
      <c r="W1405" s="15" t="s">
        <v>654</v>
      </c>
      <c r="X1405" s="17">
        <f t="shared" si="182"/>
        <v>819.23576000000003</v>
      </c>
      <c r="Y1405" s="81">
        <v>3.6960000000000002</v>
      </c>
      <c r="Z1405" s="15" t="s">
        <v>231</v>
      </c>
      <c r="AA1405" s="3" t="s">
        <v>1720</v>
      </c>
      <c r="AB1405" s="17">
        <f t="shared" si="179"/>
        <v>28.6</v>
      </c>
      <c r="AC1405" s="15" t="s">
        <v>231</v>
      </c>
      <c r="AD1405" s="17">
        <f t="shared" si="180"/>
        <v>105.7056</v>
      </c>
      <c r="AE1405" s="23">
        <f t="shared" si="163"/>
        <v>0</v>
      </c>
    </row>
    <row r="1406" spans="6:31" ht="24" customHeight="1">
      <c r="F1406" s="17">
        <v>1.1000000000000001</v>
      </c>
      <c r="G1406" s="15" t="s">
        <v>209</v>
      </c>
      <c r="H1406" s="3" t="s">
        <v>144</v>
      </c>
      <c r="I1406" s="17">
        <f>(C10)</f>
        <v>769</v>
      </c>
      <c r="J1406" s="3" t="s">
        <v>209</v>
      </c>
      <c r="K1406" s="17">
        <f>(F1406*I1406)</f>
        <v>845.90000000000009</v>
      </c>
      <c r="S1406" s="49">
        <f>3.31</f>
        <v>3.31</v>
      </c>
      <c r="T1406" s="15" t="s">
        <v>110</v>
      </c>
      <c r="U1406" s="3" t="s">
        <v>1717</v>
      </c>
      <c r="V1406" s="17">
        <f t="shared" si="181"/>
        <v>208.8</v>
      </c>
      <c r="W1406" s="15" t="s">
        <v>110</v>
      </c>
      <c r="X1406" s="17">
        <f t="shared" si="182"/>
        <v>691.12800000000004</v>
      </c>
      <c r="Y1406" s="81">
        <v>4</v>
      </c>
      <c r="Z1406" s="15" t="s">
        <v>1</v>
      </c>
      <c r="AA1406" s="3" t="s">
        <v>1722</v>
      </c>
      <c r="AB1406" s="17">
        <f t="shared" si="179"/>
        <v>63.5</v>
      </c>
      <c r="AC1406" s="15" t="s">
        <v>1</v>
      </c>
      <c r="AD1406" s="17">
        <f t="shared" si="180"/>
        <v>254</v>
      </c>
      <c r="AE1406" s="23">
        <f t="shared" ref="AE1406:AE1469" si="183">AG1406</f>
        <v>0</v>
      </c>
    </row>
    <row r="1407" spans="6:31" ht="24" customHeight="1">
      <c r="F1407" s="17">
        <v>0.5</v>
      </c>
      <c r="G1407" s="15" t="s">
        <v>209</v>
      </c>
      <c r="H1407" s="3" t="s">
        <v>146</v>
      </c>
      <c r="I1407" s="17">
        <f>(C12)</f>
        <v>502</v>
      </c>
      <c r="J1407" s="3" t="s">
        <v>209</v>
      </c>
      <c r="K1407" s="17">
        <f>(F1407*I1407)</f>
        <v>251</v>
      </c>
      <c r="N1407" s="6"/>
      <c r="O1407" s="157" t="s">
        <v>1756</v>
      </c>
      <c r="Q1407" s="8"/>
      <c r="S1407" s="49">
        <v>23.02</v>
      </c>
      <c r="T1407" s="15" t="s">
        <v>231</v>
      </c>
      <c r="U1407" s="3" t="s">
        <v>1720</v>
      </c>
      <c r="V1407" s="17">
        <f t="shared" si="181"/>
        <v>28.6</v>
      </c>
      <c r="W1407" s="15" t="s">
        <v>231</v>
      </c>
      <c r="X1407" s="17">
        <f t="shared" si="182"/>
        <v>658.37200000000007</v>
      </c>
      <c r="Y1407" s="81">
        <v>2</v>
      </c>
      <c r="Z1407" s="15" t="s">
        <v>1</v>
      </c>
      <c r="AA1407" s="3" t="s">
        <v>1724</v>
      </c>
      <c r="AB1407" s="17">
        <f t="shared" si="179"/>
        <v>50.9</v>
      </c>
      <c r="AC1407" s="15" t="s">
        <v>1</v>
      </c>
      <c r="AD1407" s="17">
        <f t="shared" si="180"/>
        <v>101.8</v>
      </c>
      <c r="AE1407" s="23">
        <f t="shared" si="183"/>
        <v>0</v>
      </c>
    </row>
    <row r="1408" spans="6:31" ht="24" customHeight="1">
      <c r="F1408" s="17">
        <v>1.1000000000000001</v>
      </c>
      <c r="G1408" s="15" t="s">
        <v>209</v>
      </c>
      <c r="H1408" s="3" t="s">
        <v>147</v>
      </c>
      <c r="I1408" s="17">
        <f>(C13)</f>
        <v>412</v>
      </c>
      <c r="J1408" s="3" t="s">
        <v>209</v>
      </c>
      <c r="K1408" s="17">
        <f>(F1408*I1408)</f>
        <v>453.20000000000005</v>
      </c>
      <c r="M1408" s="81">
        <v>3.95</v>
      </c>
      <c r="N1408" s="15" t="s">
        <v>654</v>
      </c>
      <c r="O1408" s="70" t="s">
        <v>1757</v>
      </c>
      <c r="P1408" s="17">
        <f>P1391</f>
        <v>287</v>
      </c>
      <c r="Q1408" s="15" t="s">
        <v>654</v>
      </c>
      <c r="R1408" s="17">
        <f>P1408*M1408</f>
        <v>1133.6500000000001</v>
      </c>
      <c r="S1408" s="49">
        <v>16</v>
      </c>
      <c r="T1408" s="15" t="s">
        <v>1</v>
      </c>
      <c r="U1408" s="3" t="s">
        <v>1722</v>
      </c>
      <c r="V1408" s="17">
        <f t="shared" si="181"/>
        <v>63.5</v>
      </c>
      <c r="W1408" s="15" t="s">
        <v>1</v>
      </c>
      <c r="X1408" s="17">
        <f t="shared" si="182"/>
        <v>1016</v>
      </c>
      <c r="Y1408" s="81">
        <v>2</v>
      </c>
      <c r="Z1408" s="15" t="s">
        <v>1</v>
      </c>
      <c r="AA1408" s="3" t="s">
        <v>1727</v>
      </c>
      <c r="AB1408" s="17">
        <f t="shared" si="179"/>
        <v>30</v>
      </c>
      <c r="AC1408" s="15" t="s">
        <v>1</v>
      </c>
      <c r="AD1408" s="17">
        <f t="shared" si="180"/>
        <v>60</v>
      </c>
      <c r="AE1408" s="23">
        <f t="shared" si="183"/>
        <v>0</v>
      </c>
    </row>
    <row r="1409" spans="6:31" ht="24" customHeight="1">
      <c r="G1409" s="15" t="s">
        <v>129</v>
      </c>
      <c r="H1409" s="3" t="s">
        <v>1629</v>
      </c>
      <c r="I1409" s="3" t="s">
        <v>115</v>
      </c>
      <c r="J1409" s="3" t="s">
        <v>129</v>
      </c>
      <c r="K1409" s="17">
        <v>5</v>
      </c>
      <c r="M1409" s="81">
        <v>2.86</v>
      </c>
      <c r="N1409" s="15" t="s">
        <v>654</v>
      </c>
      <c r="O1409" s="3" t="s">
        <v>1711</v>
      </c>
      <c r="P1409" s="17">
        <f t="shared" ref="P1409:P1419" si="184">P1392</f>
        <v>287</v>
      </c>
      <c r="Q1409" s="15" t="s">
        <v>654</v>
      </c>
      <c r="R1409" s="17">
        <f t="shared" ref="R1409:R1419" si="185">P1409*M1409</f>
        <v>820.81999999999994</v>
      </c>
      <c r="S1409" s="49">
        <v>8</v>
      </c>
      <c r="T1409" s="15" t="s">
        <v>1</v>
      </c>
      <c r="U1409" s="3" t="s">
        <v>1724</v>
      </c>
      <c r="V1409" s="17">
        <f t="shared" si="181"/>
        <v>50.9</v>
      </c>
      <c r="W1409" s="15" t="s">
        <v>1</v>
      </c>
      <c r="X1409" s="17">
        <f t="shared" si="182"/>
        <v>407.2</v>
      </c>
      <c r="Y1409" s="81">
        <v>2</v>
      </c>
      <c r="Z1409" s="15" t="s">
        <v>1</v>
      </c>
      <c r="AA1409" s="3" t="s">
        <v>1728</v>
      </c>
      <c r="AB1409" s="17">
        <f t="shared" si="179"/>
        <v>20</v>
      </c>
      <c r="AC1409" s="15" t="s">
        <v>1</v>
      </c>
      <c r="AD1409" s="17">
        <f t="shared" si="180"/>
        <v>40</v>
      </c>
      <c r="AE1409" s="23">
        <f t="shared" si="183"/>
        <v>0</v>
      </c>
    </row>
    <row r="1410" spans="6:31" ht="24" customHeight="1">
      <c r="G1410" s="15"/>
      <c r="H1410" s="3"/>
      <c r="I1410" s="3"/>
      <c r="J1410" s="3"/>
      <c r="K1410" s="17"/>
      <c r="M1410" s="81">
        <v>6.55</v>
      </c>
      <c r="N1410" s="15" t="s">
        <v>654</v>
      </c>
      <c r="O1410" s="3" t="s">
        <v>1711</v>
      </c>
      <c r="P1410" s="17">
        <f t="shared" si="184"/>
        <v>287</v>
      </c>
      <c r="Q1410" s="15" t="s">
        <v>654</v>
      </c>
      <c r="R1410" s="17">
        <f t="shared" si="185"/>
        <v>1879.85</v>
      </c>
      <c r="S1410" s="49">
        <v>8</v>
      </c>
      <c r="T1410" s="15" t="s">
        <v>1</v>
      </c>
      <c r="U1410" s="3" t="s">
        <v>1727</v>
      </c>
      <c r="V1410" s="17">
        <f t="shared" si="181"/>
        <v>30</v>
      </c>
      <c r="W1410" s="15" t="s">
        <v>1</v>
      </c>
      <c r="X1410" s="17">
        <f t="shared" si="182"/>
        <v>240</v>
      </c>
      <c r="Y1410" s="81">
        <v>2</v>
      </c>
      <c r="Z1410" s="15" t="s">
        <v>1</v>
      </c>
      <c r="AA1410" s="3" t="s">
        <v>1730</v>
      </c>
      <c r="AB1410" s="17">
        <f t="shared" si="179"/>
        <v>15</v>
      </c>
      <c r="AC1410" s="15" t="s">
        <v>1</v>
      </c>
      <c r="AD1410" s="17">
        <f t="shared" si="180"/>
        <v>30</v>
      </c>
      <c r="AE1410" s="23">
        <f t="shared" si="183"/>
        <v>0</v>
      </c>
    </row>
    <row r="1411" spans="6:31" ht="24" customHeight="1">
      <c r="K1411" s="12" t="s">
        <v>117</v>
      </c>
      <c r="M1411" s="81">
        <v>1.1499999999999999</v>
      </c>
      <c r="N1411" s="15" t="s">
        <v>654</v>
      </c>
      <c r="O1411" s="3" t="s">
        <v>1711</v>
      </c>
      <c r="P1411" s="17">
        <f t="shared" si="184"/>
        <v>287</v>
      </c>
      <c r="Q1411" s="15" t="s">
        <v>654</v>
      </c>
      <c r="R1411" s="17">
        <f t="shared" si="185"/>
        <v>330.04999999999995</v>
      </c>
      <c r="S1411" s="49">
        <v>8</v>
      </c>
      <c r="T1411" s="15" t="s">
        <v>1</v>
      </c>
      <c r="U1411" s="3" t="s">
        <v>1728</v>
      </c>
      <c r="V1411" s="17">
        <f t="shared" si="181"/>
        <v>20</v>
      </c>
      <c r="W1411" s="15" t="s">
        <v>1</v>
      </c>
      <c r="X1411" s="17">
        <f t="shared" si="182"/>
        <v>160</v>
      </c>
      <c r="Y1411" s="81">
        <v>0.54</v>
      </c>
      <c r="Z1411" s="15" t="s">
        <v>174</v>
      </c>
      <c r="AA1411" s="3" t="s">
        <v>1731</v>
      </c>
      <c r="AB1411" s="17">
        <f t="shared" si="179"/>
        <v>1540</v>
      </c>
      <c r="AC1411" s="15" t="s">
        <v>174</v>
      </c>
      <c r="AD1411" s="17">
        <f t="shared" si="180"/>
        <v>831.6</v>
      </c>
      <c r="AE1411" s="23">
        <f t="shared" si="183"/>
        <v>0</v>
      </c>
    </row>
    <row r="1412" spans="6:31" ht="24" customHeight="1">
      <c r="H1412" s="3" t="s">
        <v>153</v>
      </c>
      <c r="K1412" s="17">
        <f>SUM(K1405:K1409)</f>
        <v>2044.7920000000001</v>
      </c>
      <c r="L1412" s="5">
        <f>SUM(K1433:K1436)</f>
        <v>2137.232</v>
      </c>
      <c r="M1412" s="81">
        <v>1.3380000000000001</v>
      </c>
      <c r="N1412" s="15" t="s">
        <v>110</v>
      </c>
      <c r="O1412" s="3" t="s">
        <v>1717</v>
      </c>
      <c r="P1412" s="17">
        <f t="shared" si="184"/>
        <v>208.8</v>
      </c>
      <c r="Q1412" s="15" t="s">
        <v>110</v>
      </c>
      <c r="R1412" s="17">
        <f t="shared" si="185"/>
        <v>279.37440000000004</v>
      </c>
      <c r="S1412" s="49">
        <v>4</v>
      </c>
      <c r="T1412" s="15" t="s">
        <v>1</v>
      </c>
      <c r="U1412" s="3" t="s">
        <v>1730</v>
      </c>
      <c r="V1412" s="17">
        <f t="shared" si="181"/>
        <v>15</v>
      </c>
      <c r="W1412" s="15" t="s">
        <v>1</v>
      </c>
      <c r="X1412" s="17">
        <f t="shared" si="182"/>
        <v>60</v>
      </c>
      <c r="Z1412" s="6"/>
      <c r="AA1412" s="3" t="s">
        <v>1733</v>
      </c>
      <c r="AC1412" s="10"/>
      <c r="AD1412" s="17">
        <v>0.7</v>
      </c>
      <c r="AE1412" s="23">
        <f t="shared" si="183"/>
        <v>0</v>
      </c>
    </row>
    <row r="1413" spans="6:31" ht="24" customHeight="1">
      <c r="K1413" s="12" t="s">
        <v>117</v>
      </c>
      <c r="M1413" s="81">
        <v>9.2720000000000002</v>
      </c>
      <c r="N1413" s="15" t="s">
        <v>231</v>
      </c>
      <c r="O1413" s="70" t="s">
        <v>1758</v>
      </c>
      <c r="P1413" s="17">
        <f t="shared" si="184"/>
        <v>28.6</v>
      </c>
      <c r="Q1413" s="15" t="s">
        <v>231</v>
      </c>
      <c r="R1413" s="17">
        <f t="shared" si="185"/>
        <v>265.17920000000004</v>
      </c>
      <c r="S1413" s="49">
        <v>3.96</v>
      </c>
      <c r="T1413" s="15" t="s">
        <v>174</v>
      </c>
      <c r="U1413" s="3" t="s">
        <v>1731</v>
      </c>
      <c r="V1413" s="17">
        <f t="shared" si="181"/>
        <v>1540</v>
      </c>
      <c r="W1413" s="15" t="s">
        <v>174</v>
      </c>
      <c r="X1413" s="17">
        <f t="shared" si="182"/>
        <v>6098.4</v>
      </c>
      <c r="AA1413" s="14" t="s">
        <v>1735</v>
      </c>
      <c r="AD1413" s="16">
        <f>SUM(AD1400:AD1412)</f>
        <v>3264.4451999999997</v>
      </c>
      <c r="AE1413" s="23">
        <f t="shared" si="183"/>
        <v>0</v>
      </c>
    </row>
    <row r="1414" spans="6:31" ht="24" customHeight="1">
      <c r="H1414" s="19" t="s">
        <v>154</v>
      </c>
      <c r="K1414" s="16">
        <f>(K1412/10)</f>
        <v>204.47920000000002</v>
      </c>
      <c r="M1414" s="81">
        <v>8</v>
      </c>
      <c r="N1414" s="15" t="s">
        <v>1</v>
      </c>
      <c r="O1414" s="70" t="s">
        <v>1759</v>
      </c>
      <c r="P1414" s="17">
        <f t="shared" si="184"/>
        <v>63.5</v>
      </c>
      <c r="Q1414" s="15" t="s">
        <v>1</v>
      </c>
      <c r="R1414" s="17">
        <f t="shared" si="185"/>
        <v>508</v>
      </c>
      <c r="T1414" s="6"/>
      <c r="U1414" s="3" t="s">
        <v>1733</v>
      </c>
      <c r="W1414" s="10"/>
      <c r="X1414" s="17">
        <v>0.09</v>
      </c>
      <c r="AE1414" s="23">
        <f t="shared" si="183"/>
        <v>0</v>
      </c>
    </row>
    <row r="1415" spans="6:31" ht="24" customHeight="1">
      <c r="K1415" s="12" t="s">
        <v>155</v>
      </c>
      <c r="M1415" s="81">
        <v>4</v>
      </c>
      <c r="N1415" s="15" t="s">
        <v>1</v>
      </c>
      <c r="O1415" s="70" t="s">
        <v>1750</v>
      </c>
      <c r="P1415" s="17">
        <f t="shared" si="184"/>
        <v>50.9</v>
      </c>
      <c r="Q1415" s="15" t="s">
        <v>1</v>
      </c>
      <c r="R1415" s="17">
        <f t="shared" si="185"/>
        <v>203.6</v>
      </c>
      <c r="U1415" s="14" t="s">
        <v>1735</v>
      </c>
      <c r="X1415" s="16">
        <f>SUM(X1402:X1414)</f>
        <v>19249.565599999998</v>
      </c>
      <c r="AE1415" s="23">
        <f t="shared" si="183"/>
        <v>0</v>
      </c>
    </row>
    <row r="1416" spans="6:31" ht="24" customHeight="1">
      <c r="F1416" s="4" t="s">
        <v>1760</v>
      </c>
      <c r="G1416" s="15" t="s">
        <v>122</v>
      </c>
      <c r="H1416" s="3" t="s">
        <v>1761</v>
      </c>
      <c r="M1416" s="81">
        <v>4</v>
      </c>
      <c r="N1416" s="15" t="s">
        <v>1</v>
      </c>
      <c r="O1416" s="3" t="s">
        <v>1727</v>
      </c>
      <c r="P1416" s="17">
        <f t="shared" si="184"/>
        <v>30</v>
      </c>
      <c r="Q1416" s="15" t="s">
        <v>1</v>
      </c>
      <c r="R1416" s="17">
        <f t="shared" si="185"/>
        <v>120</v>
      </c>
      <c r="Z1416" s="6"/>
      <c r="AA1416" s="157" t="s">
        <v>1762</v>
      </c>
      <c r="AC1416" s="8"/>
      <c r="AE1416" s="23">
        <f t="shared" si="183"/>
        <v>0</v>
      </c>
    </row>
    <row r="1417" spans="6:31" ht="24" customHeight="1">
      <c r="H1417" s="12" t="s">
        <v>117</v>
      </c>
      <c r="M1417" s="81">
        <v>4</v>
      </c>
      <c r="N1417" s="15" t="s">
        <v>1</v>
      </c>
      <c r="O1417" s="3" t="s">
        <v>1728</v>
      </c>
      <c r="P1417" s="17">
        <f t="shared" si="184"/>
        <v>20</v>
      </c>
      <c r="Q1417" s="15" t="s">
        <v>1</v>
      </c>
      <c r="R1417" s="17">
        <f t="shared" si="185"/>
        <v>80</v>
      </c>
      <c r="Y1417" s="81">
        <f>4.2*0.775</f>
        <v>3.2550000000000003</v>
      </c>
      <c r="Z1417" s="15" t="s">
        <v>654</v>
      </c>
      <c r="AA1417" s="3" t="s">
        <v>1711</v>
      </c>
      <c r="AB1417" s="17">
        <f>AB1400</f>
        <v>287</v>
      </c>
      <c r="AC1417" s="15" t="s">
        <v>654</v>
      </c>
      <c r="AD1417" s="17">
        <f t="shared" ref="AD1417:AD1428" si="186">AB1417*Y1417</f>
        <v>934.18500000000006</v>
      </c>
      <c r="AE1417" s="23">
        <f t="shared" si="183"/>
        <v>0</v>
      </c>
    </row>
    <row r="1418" spans="6:31" ht="24" customHeight="1">
      <c r="F1418" s="17">
        <v>0.1</v>
      </c>
      <c r="G1418" s="15" t="s">
        <v>126</v>
      </c>
      <c r="H1418" s="3" t="s">
        <v>133</v>
      </c>
      <c r="I1418" s="17">
        <f>(K32)</f>
        <v>4193.8</v>
      </c>
      <c r="J1418" s="3" t="s">
        <v>126</v>
      </c>
      <c r="K1418" s="17">
        <f>(F1418*I1418)</f>
        <v>419.38000000000005</v>
      </c>
      <c r="M1418" s="81">
        <v>4</v>
      </c>
      <c r="N1418" s="15" t="s">
        <v>1</v>
      </c>
      <c r="O1418" s="3" t="s">
        <v>1730</v>
      </c>
      <c r="P1418" s="17">
        <f t="shared" si="184"/>
        <v>15</v>
      </c>
      <c r="Q1418" s="15" t="s">
        <v>1</v>
      </c>
      <c r="R1418" s="17">
        <f t="shared" si="185"/>
        <v>60</v>
      </c>
      <c r="U1418" s="50" t="s">
        <v>1763</v>
      </c>
      <c r="Y1418" s="81">
        <v>2.3580000000000001</v>
      </c>
      <c r="Z1418" s="15" t="s">
        <v>654</v>
      </c>
      <c r="AA1418" s="3" t="s">
        <v>1711</v>
      </c>
      <c r="AB1418" s="17">
        <f t="shared" ref="AB1418:AB1428" si="187">AB1401</f>
        <v>287</v>
      </c>
      <c r="AC1418" s="15" t="s">
        <v>654</v>
      </c>
      <c r="AD1418" s="17">
        <f t="shared" si="186"/>
        <v>676.74599999999998</v>
      </c>
      <c r="AE1418" s="23">
        <f t="shared" si="183"/>
        <v>0</v>
      </c>
    </row>
    <row r="1419" spans="6:31" ht="24" customHeight="1">
      <c r="F1419" s="17">
        <v>1.1000000000000001</v>
      </c>
      <c r="G1419" s="15" t="s">
        <v>209</v>
      </c>
      <c r="H1419" s="3" t="s">
        <v>144</v>
      </c>
      <c r="I1419" s="17">
        <f>(C10)</f>
        <v>769</v>
      </c>
      <c r="J1419" s="3" t="s">
        <v>209</v>
      </c>
      <c r="K1419" s="17">
        <f>(F1419*I1419)</f>
        <v>845.90000000000009</v>
      </c>
      <c r="L1419" s="5">
        <f>M1458+M1459+M1460</f>
        <v>11.742000000000001</v>
      </c>
      <c r="M1419" s="81">
        <v>1.62</v>
      </c>
      <c r="N1419" s="15" t="s">
        <v>174</v>
      </c>
      <c r="O1419" s="3" t="s">
        <v>1731</v>
      </c>
      <c r="P1419" s="17">
        <f t="shared" si="184"/>
        <v>1540</v>
      </c>
      <c r="Q1419" s="15" t="s">
        <v>174</v>
      </c>
      <c r="R1419" s="17">
        <f t="shared" si="185"/>
        <v>2494.8000000000002</v>
      </c>
      <c r="S1419" s="49">
        <v>4.42</v>
      </c>
      <c r="T1419" s="15" t="s">
        <v>654</v>
      </c>
      <c r="U1419" s="3" t="s">
        <v>1711</v>
      </c>
      <c r="V1419" s="17">
        <f>P1458</f>
        <v>287</v>
      </c>
      <c r="W1419" s="15" t="s">
        <v>654</v>
      </c>
      <c r="X1419" s="23">
        <f>V1419*S1419</f>
        <v>1268.54</v>
      </c>
      <c r="Y1419" s="81">
        <f>8.08*0.663</f>
        <v>5.3570400000000005</v>
      </c>
      <c r="Z1419" s="15" t="s">
        <v>654</v>
      </c>
      <c r="AA1419" s="3" t="s">
        <v>1711</v>
      </c>
      <c r="AB1419" s="17">
        <f t="shared" si="187"/>
        <v>287</v>
      </c>
      <c r="AC1419" s="15" t="s">
        <v>654</v>
      </c>
      <c r="AD1419" s="17">
        <f t="shared" si="186"/>
        <v>1537.4704800000002</v>
      </c>
      <c r="AE1419" s="23">
        <f t="shared" si="183"/>
        <v>0</v>
      </c>
    </row>
    <row r="1420" spans="6:31" ht="24" customHeight="1">
      <c r="F1420" s="17">
        <v>1.1000000000000001</v>
      </c>
      <c r="G1420" s="15" t="s">
        <v>209</v>
      </c>
      <c r="H1420" s="3" t="s">
        <v>146</v>
      </c>
      <c r="I1420" s="17">
        <f>(C12)</f>
        <v>502</v>
      </c>
      <c r="J1420" s="3" t="s">
        <v>209</v>
      </c>
      <c r="K1420" s="17">
        <f>(F1420*I1420)</f>
        <v>552.20000000000005</v>
      </c>
      <c r="N1420" s="6"/>
      <c r="O1420" s="3" t="s">
        <v>1733</v>
      </c>
      <c r="Q1420" s="10"/>
      <c r="R1420" s="17">
        <v>0.25</v>
      </c>
      <c r="S1420" s="49">
        <v>4.72</v>
      </c>
      <c r="T1420" s="15" t="s">
        <v>654</v>
      </c>
      <c r="U1420" s="3" t="s">
        <v>1711</v>
      </c>
      <c r="V1420" s="17">
        <f>P1459</f>
        <v>287</v>
      </c>
      <c r="W1420" s="15" t="s">
        <v>654</v>
      </c>
      <c r="X1420" s="23">
        <f t="shared" ref="X1420:X1430" si="188">V1420*S1420</f>
        <v>1354.6399999999999</v>
      </c>
      <c r="Y1420" s="81">
        <v>0.92600000000000005</v>
      </c>
      <c r="Z1420" s="15" t="s">
        <v>654</v>
      </c>
      <c r="AA1420" s="3" t="s">
        <v>1711</v>
      </c>
      <c r="AB1420" s="17">
        <f t="shared" si="187"/>
        <v>287</v>
      </c>
      <c r="AC1420" s="15" t="s">
        <v>654</v>
      </c>
      <c r="AD1420" s="17">
        <f t="shared" si="186"/>
        <v>265.762</v>
      </c>
      <c r="AE1420" s="23">
        <f t="shared" si="183"/>
        <v>0</v>
      </c>
    </row>
    <row r="1421" spans="6:31" ht="24" customHeight="1">
      <c r="F1421" s="17">
        <v>1.1000000000000001</v>
      </c>
      <c r="G1421" s="15" t="s">
        <v>209</v>
      </c>
      <c r="H1421" s="3" t="s">
        <v>147</v>
      </c>
      <c r="I1421" s="17">
        <f>(C13)</f>
        <v>412</v>
      </c>
      <c r="J1421" s="3" t="s">
        <v>209</v>
      </c>
      <c r="K1421" s="17">
        <f>(F1421*I1421)</f>
        <v>453.20000000000005</v>
      </c>
      <c r="R1421" s="16">
        <f>SUM(R1408:R1420)</f>
        <v>8175.5736000000006</v>
      </c>
      <c r="S1421" s="49">
        <v>9.06</v>
      </c>
      <c r="T1421" s="15" t="s">
        <v>654</v>
      </c>
      <c r="U1421" s="3" t="s">
        <v>1711</v>
      </c>
      <c r="V1421" s="17">
        <f>P1460</f>
        <v>287</v>
      </c>
      <c r="W1421" s="15" t="s">
        <v>654</v>
      </c>
      <c r="X1421" s="23">
        <f t="shared" si="188"/>
        <v>2600.2200000000003</v>
      </c>
      <c r="Y1421" s="81">
        <v>0.85</v>
      </c>
      <c r="Z1421" s="15" t="s">
        <v>110</v>
      </c>
      <c r="AA1421" s="3" t="s">
        <v>1717</v>
      </c>
      <c r="AB1421" s="17">
        <f t="shared" si="187"/>
        <v>208.8</v>
      </c>
      <c r="AC1421" s="15" t="s">
        <v>110</v>
      </c>
      <c r="AD1421" s="17">
        <f t="shared" si="186"/>
        <v>177.48000000000002</v>
      </c>
      <c r="AE1421" s="23">
        <f t="shared" si="183"/>
        <v>0</v>
      </c>
    </row>
    <row r="1422" spans="6:31" ht="24" customHeight="1">
      <c r="G1422" s="15" t="s">
        <v>129</v>
      </c>
      <c r="H1422" s="3" t="s">
        <v>1629</v>
      </c>
      <c r="I1422" s="3" t="s">
        <v>115</v>
      </c>
      <c r="J1422" s="3" t="s">
        <v>129</v>
      </c>
      <c r="K1422" s="17">
        <v>5</v>
      </c>
      <c r="M1422" s="17"/>
      <c r="N1422" s="15"/>
      <c r="O1422" s="3"/>
      <c r="P1422" s="17"/>
      <c r="Q1422" s="4"/>
      <c r="R1422" s="17"/>
      <c r="S1422" s="49">
        <v>1.58</v>
      </c>
      <c r="T1422" s="15" t="s">
        <v>654</v>
      </c>
      <c r="U1422" s="3" t="s">
        <v>1711</v>
      </c>
      <c r="V1422" s="17">
        <f>P1461</f>
        <v>287</v>
      </c>
      <c r="W1422" s="15" t="s">
        <v>654</v>
      </c>
      <c r="X1422" s="23">
        <f t="shared" si="188"/>
        <v>453.46000000000004</v>
      </c>
      <c r="Y1422" s="81">
        <v>7.4720000000000004</v>
      </c>
      <c r="Z1422" s="15" t="s">
        <v>231</v>
      </c>
      <c r="AA1422" s="3" t="s">
        <v>1720</v>
      </c>
      <c r="AB1422" s="17">
        <f t="shared" si="187"/>
        <v>28.6</v>
      </c>
      <c r="AC1422" s="15" t="s">
        <v>231</v>
      </c>
      <c r="AD1422" s="17">
        <f t="shared" si="186"/>
        <v>213.69920000000002</v>
      </c>
      <c r="AE1422" s="23">
        <f t="shared" si="183"/>
        <v>0</v>
      </c>
    </row>
    <row r="1423" spans="6:31" ht="24" customHeight="1">
      <c r="K1423" s="12" t="s">
        <v>117</v>
      </c>
      <c r="M1423" s="17"/>
      <c r="N1423" s="15"/>
      <c r="O1423" s="3"/>
      <c r="P1423" s="17"/>
      <c r="Q1423" s="4"/>
      <c r="R1423" s="17"/>
      <c r="S1423" s="49">
        <v>1.65</v>
      </c>
      <c r="T1423" s="15" t="s">
        <v>110</v>
      </c>
      <c r="U1423" s="3" t="s">
        <v>1717</v>
      </c>
      <c r="V1423" s="17">
        <f>P1429</f>
        <v>208.8</v>
      </c>
      <c r="W1423" s="15" t="s">
        <v>110</v>
      </c>
      <c r="X1423" s="23">
        <f t="shared" si="188"/>
        <v>344.52</v>
      </c>
      <c r="Y1423" s="81">
        <v>8</v>
      </c>
      <c r="Z1423" s="15" t="s">
        <v>1</v>
      </c>
      <c r="AA1423" s="3" t="s">
        <v>1722</v>
      </c>
      <c r="AB1423" s="17">
        <f t="shared" si="187"/>
        <v>63.5</v>
      </c>
      <c r="AC1423" s="15" t="s">
        <v>1</v>
      </c>
      <c r="AD1423" s="17">
        <f t="shared" si="186"/>
        <v>508</v>
      </c>
      <c r="AE1423" s="23">
        <f t="shared" si="183"/>
        <v>0</v>
      </c>
    </row>
    <row r="1424" spans="6:31" ht="24" customHeight="1">
      <c r="H1424" s="3" t="s">
        <v>153</v>
      </c>
      <c r="K1424" s="17">
        <f>SUM(K1418:K1422)</f>
        <v>2275.6800000000003</v>
      </c>
      <c r="N1424" s="6"/>
      <c r="O1424" s="157" t="s">
        <v>1764</v>
      </c>
      <c r="Q1424" s="8"/>
      <c r="S1424" s="49">
        <v>12.74</v>
      </c>
      <c r="T1424" s="15" t="s">
        <v>231</v>
      </c>
      <c r="U1424" s="3" t="s">
        <v>1720</v>
      </c>
      <c r="V1424" s="17">
        <f>P1463</f>
        <v>28.6</v>
      </c>
      <c r="W1424" s="15" t="s">
        <v>231</v>
      </c>
      <c r="X1424" s="23">
        <f t="shared" si="188"/>
        <v>364.36400000000003</v>
      </c>
      <c r="Y1424" s="81">
        <v>4</v>
      </c>
      <c r="Z1424" s="15" t="s">
        <v>1</v>
      </c>
      <c r="AA1424" s="3" t="s">
        <v>1724</v>
      </c>
      <c r="AB1424" s="17">
        <f t="shared" si="187"/>
        <v>50.9</v>
      </c>
      <c r="AC1424" s="15" t="s">
        <v>1</v>
      </c>
      <c r="AD1424" s="17">
        <f t="shared" si="186"/>
        <v>203.6</v>
      </c>
      <c r="AE1424" s="23">
        <f t="shared" si="183"/>
        <v>0</v>
      </c>
    </row>
    <row r="1425" spans="6:31" ht="24" customHeight="1">
      <c r="H1425" s="10"/>
      <c r="K1425" s="12" t="s">
        <v>117</v>
      </c>
      <c r="M1425" s="81">
        <v>2.79</v>
      </c>
      <c r="N1425" s="15" t="s">
        <v>654</v>
      </c>
      <c r="O1425" s="70" t="s">
        <v>1757</v>
      </c>
      <c r="P1425" s="17">
        <f>P1408</f>
        <v>287</v>
      </c>
      <c r="Q1425" s="15" t="s">
        <v>654</v>
      </c>
      <c r="R1425" s="17">
        <f>P1425*M1425</f>
        <v>800.73</v>
      </c>
      <c r="S1425" s="49">
        <v>12</v>
      </c>
      <c r="T1425" s="15" t="s">
        <v>1</v>
      </c>
      <c r="U1425" s="3" t="s">
        <v>1722</v>
      </c>
      <c r="V1425" s="17">
        <f>P1464</f>
        <v>63.5</v>
      </c>
      <c r="W1425" s="15" t="s">
        <v>1</v>
      </c>
      <c r="X1425" s="23">
        <f t="shared" si="188"/>
        <v>762</v>
      </c>
      <c r="Y1425" s="81">
        <v>4</v>
      </c>
      <c r="Z1425" s="15" t="s">
        <v>1</v>
      </c>
      <c r="AA1425" s="3" t="s">
        <v>1727</v>
      </c>
      <c r="AB1425" s="17">
        <f t="shared" si="187"/>
        <v>30</v>
      </c>
      <c r="AC1425" s="15" t="s">
        <v>1</v>
      </c>
      <c r="AD1425" s="17">
        <f t="shared" si="186"/>
        <v>120</v>
      </c>
      <c r="AE1425" s="23">
        <f t="shared" si="183"/>
        <v>0</v>
      </c>
    </row>
    <row r="1426" spans="6:31" ht="24" customHeight="1">
      <c r="H1426" s="19" t="s">
        <v>154</v>
      </c>
      <c r="I1426" s="50"/>
      <c r="J1426" s="59"/>
      <c r="K1426" s="16">
        <f>(K1424/10)</f>
        <v>227.56800000000004</v>
      </c>
      <c r="M1426" s="81">
        <v>0.5</v>
      </c>
      <c r="N1426" s="15" t="s">
        <v>654</v>
      </c>
      <c r="O1426" s="3" t="s">
        <v>1711</v>
      </c>
      <c r="P1426" s="17">
        <f t="shared" ref="P1426:P1436" si="189">P1409</f>
        <v>287</v>
      </c>
      <c r="Q1426" s="15" t="s">
        <v>654</v>
      </c>
      <c r="R1426" s="17">
        <f t="shared" ref="R1426:R1436" si="190">P1426*M1426</f>
        <v>143.5</v>
      </c>
      <c r="S1426" s="49">
        <v>6</v>
      </c>
      <c r="T1426" s="15" t="s">
        <v>1</v>
      </c>
      <c r="U1426" s="3" t="s">
        <v>1724</v>
      </c>
      <c r="V1426" s="17">
        <f>P1465</f>
        <v>50.9</v>
      </c>
      <c r="W1426" s="15" t="s">
        <v>1</v>
      </c>
      <c r="X1426" s="23">
        <f t="shared" si="188"/>
        <v>305.39999999999998</v>
      </c>
      <c r="Y1426" s="81">
        <v>4</v>
      </c>
      <c r="Z1426" s="15" t="s">
        <v>1</v>
      </c>
      <c r="AA1426" s="3" t="s">
        <v>1728</v>
      </c>
      <c r="AB1426" s="17">
        <f t="shared" si="187"/>
        <v>20</v>
      </c>
      <c r="AC1426" s="15" t="s">
        <v>1</v>
      </c>
      <c r="AD1426" s="17">
        <f t="shared" si="186"/>
        <v>80</v>
      </c>
      <c r="AE1426" s="23">
        <f t="shared" si="183"/>
        <v>0</v>
      </c>
    </row>
    <row r="1427" spans="6:31" ht="24" customHeight="1">
      <c r="K1427" s="12" t="s">
        <v>155</v>
      </c>
      <c r="M1427" s="81">
        <v>2.85</v>
      </c>
      <c r="N1427" s="15" t="s">
        <v>654</v>
      </c>
      <c r="O1427" s="3" t="s">
        <v>1711</v>
      </c>
      <c r="P1427" s="17">
        <f t="shared" si="189"/>
        <v>287</v>
      </c>
      <c r="Q1427" s="15" t="s">
        <v>654</v>
      </c>
      <c r="R1427" s="17">
        <f t="shared" si="190"/>
        <v>817.95</v>
      </c>
      <c r="S1427" s="49">
        <v>6</v>
      </c>
      <c r="T1427" s="15" t="s">
        <v>1</v>
      </c>
      <c r="U1427" s="3" t="s">
        <v>1727</v>
      </c>
      <c r="V1427" s="17">
        <v>30</v>
      </c>
      <c r="W1427" s="15" t="s">
        <v>1</v>
      </c>
      <c r="X1427" s="23">
        <f t="shared" si="188"/>
        <v>180</v>
      </c>
      <c r="Y1427" s="81">
        <v>4</v>
      </c>
      <c r="Z1427" s="15" t="s">
        <v>1</v>
      </c>
      <c r="AA1427" s="3" t="s">
        <v>1730</v>
      </c>
      <c r="AB1427" s="17">
        <f t="shared" si="187"/>
        <v>15</v>
      </c>
      <c r="AC1427" s="15" t="s">
        <v>1</v>
      </c>
      <c r="AD1427" s="17">
        <f t="shared" si="186"/>
        <v>60</v>
      </c>
      <c r="AE1427" s="23">
        <f t="shared" si="183"/>
        <v>0</v>
      </c>
    </row>
    <row r="1428" spans="6:31" ht="24" customHeight="1">
      <c r="M1428" s="81">
        <v>0.5</v>
      </c>
      <c r="N1428" s="15" t="s">
        <v>654</v>
      </c>
      <c r="O1428" s="3" t="s">
        <v>1711</v>
      </c>
      <c r="P1428" s="17">
        <f t="shared" si="189"/>
        <v>287</v>
      </c>
      <c r="Q1428" s="15" t="s">
        <v>654</v>
      </c>
      <c r="R1428" s="17">
        <f t="shared" si="190"/>
        <v>143.5</v>
      </c>
      <c r="S1428" s="49">
        <v>6</v>
      </c>
      <c r="T1428" s="15" t="s">
        <v>1</v>
      </c>
      <c r="U1428" s="3" t="s">
        <v>1728</v>
      </c>
      <c r="V1428" s="17">
        <v>20</v>
      </c>
      <c r="W1428" s="15" t="s">
        <v>1</v>
      </c>
      <c r="X1428" s="23">
        <f t="shared" si="188"/>
        <v>120</v>
      </c>
      <c r="Y1428" s="81">
        <v>1.08</v>
      </c>
      <c r="Z1428" s="15" t="s">
        <v>174</v>
      </c>
      <c r="AA1428" s="3" t="s">
        <v>1731</v>
      </c>
      <c r="AB1428" s="17">
        <f t="shared" si="187"/>
        <v>1540</v>
      </c>
      <c r="AC1428" s="15" t="s">
        <v>174</v>
      </c>
      <c r="AD1428" s="17">
        <f t="shared" si="186"/>
        <v>1663.2</v>
      </c>
      <c r="AE1428" s="23">
        <f t="shared" si="183"/>
        <v>0</v>
      </c>
    </row>
    <row r="1429" spans="6:31" ht="24" customHeight="1">
      <c r="G1429" s="15" t="s">
        <v>122</v>
      </c>
      <c r="H1429" s="3" t="s">
        <v>1765</v>
      </c>
      <c r="M1429" s="81">
        <v>0.47099999999999997</v>
      </c>
      <c r="N1429" s="15" t="s">
        <v>110</v>
      </c>
      <c r="O1429" s="3" t="s">
        <v>1717</v>
      </c>
      <c r="P1429" s="45">
        <f t="shared" si="189"/>
        <v>208.8</v>
      </c>
      <c r="Q1429" s="15" t="s">
        <v>110</v>
      </c>
      <c r="R1429" s="17">
        <f t="shared" si="190"/>
        <v>98.344800000000006</v>
      </c>
      <c r="S1429" s="49">
        <v>4</v>
      </c>
      <c r="T1429" s="15" t="s">
        <v>1</v>
      </c>
      <c r="U1429" s="3" t="s">
        <v>1730</v>
      </c>
      <c r="V1429" s="17">
        <v>15</v>
      </c>
      <c r="W1429" s="15" t="s">
        <v>1</v>
      </c>
      <c r="X1429" s="23">
        <f t="shared" si="188"/>
        <v>60</v>
      </c>
      <c r="Z1429" s="6"/>
      <c r="AA1429" s="3" t="s">
        <v>1733</v>
      </c>
      <c r="AC1429" s="10"/>
      <c r="AD1429" s="17">
        <v>0.96</v>
      </c>
      <c r="AE1429" s="23">
        <f t="shared" si="183"/>
        <v>0</v>
      </c>
    </row>
    <row r="1430" spans="6:31" ht="24" customHeight="1">
      <c r="H1430" s="3" t="s">
        <v>1766</v>
      </c>
      <c r="M1430" s="81">
        <v>3.996</v>
      </c>
      <c r="N1430" s="15" t="s">
        <v>231</v>
      </c>
      <c r="O1430" s="70" t="s">
        <v>1758</v>
      </c>
      <c r="P1430" s="17">
        <f t="shared" si="189"/>
        <v>28.6</v>
      </c>
      <c r="Q1430" s="15" t="s">
        <v>231</v>
      </c>
      <c r="R1430" s="17">
        <f t="shared" si="190"/>
        <v>114.2856</v>
      </c>
      <c r="S1430" s="49">
        <f>1.5*1.35</f>
        <v>2.0250000000000004</v>
      </c>
      <c r="T1430" s="15" t="s">
        <v>174</v>
      </c>
      <c r="U1430" s="3" t="s">
        <v>1731</v>
      </c>
      <c r="V1430" s="17">
        <f>P1469</f>
        <v>1540</v>
      </c>
      <c r="W1430" s="15" t="s">
        <v>174</v>
      </c>
      <c r="X1430" s="17">
        <f t="shared" si="188"/>
        <v>3118.5000000000005</v>
      </c>
      <c r="AA1430" s="14" t="s">
        <v>1735</v>
      </c>
      <c r="AD1430" s="16">
        <f>SUM(AD1417:AD1429)</f>
        <v>6441.1026800000009</v>
      </c>
      <c r="AE1430" s="23">
        <f t="shared" si="183"/>
        <v>0</v>
      </c>
    </row>
    <row r="1431" spans="6:31" ht="24" customHeight="1">
      <c r="H1431" s="3" t="s">
        <v>1767</v>
      </c>
      <c r="M1431" s="81">
        <v>4</v>
      </c>
      <c r="N1431" s="15" t="s">
        <v>1</v>
      </c>
      <c r="O1431" s="70" t="s">
        <v>1759</v>
      </c>
      <c r="P1431" s="17">
        <f t="shared" si="189"/>
        <v>63.5</v>
      </c>
      <c r="Q1431" s="15" t="s">
        <v>1</v>
      </c>
      <c r="R1431" s="17">
        <f t="shared" si="190"/>
        <v>254</v>
      </c>
      <c r="T1431" s="6"/>
      <c r="U1431" s="3" t="s">
        <v>1733</v>
      </c>
      <c r="W1431" s="10"/>
      <c r="X1431" s="17">
        <v>0.31</v>
      </c>
      <c r="AE1431" s="23">
        <f t="shared" si="183"/>
        <v>0</v>
      </c>
    </row>
    <row r="1432" spans="6:31" ht="24" customHeight="1">
      <c r="H1432" s="12" t="s">
        <v>117</v>
      </c>
      <c r="M1432" s="81">
        <v>2</v>
      </c>
      <c r="N1432" s="15" t="s">
        <v>1</v>
      </c>
      <c r="O1432" s="70" t="s">
        <v>1750</v>
      </c>
      <c r="P1432" s="17">
        <f t="shared" si="189"/>
        <v>50.9</v>
      </c>
      <c r="Q1432" s="15" t="s">
        <v>1</v>
      </c>
      <c r="R1432" s="17">
        <f t="shared" si="190"/>
        <v>101.8</v>
      </c>
      <c r="U1432" s="14" t="s">
        <v>1735</v>
      </c>
      <c r="X1432" s="16">
        <f>SUM(X1419:X1431)</f>
        <v>10931.953999999998</v>
      </c>
      <c r="AE1432" s="23">
        <f t="shared" si="183"/>
        <v>0</v>
      </c>
    </row>
    <row r="1433" spans="6:31" ht="24" customHeight="1">
      <c r="F1433" s="17">
        <v>0.14000000000000001</v>
      </c>
      <c r="G1433" s="15" t="s">
        <v>126</v>
      </c>
      <c r="H1433" s="3" t="s">
        <v>133</v>
      </c>
      <c r="I1433" s="17">
        <f>(K32)</f>
        <v>4193.8</v>
      </c>
      <c r="J1433" s="3" t="s">
        <v>126</v>
      </c>
      <c r="K1433" s="17">
        <f>(F1433*I1433)</f>
        <v>587.13200000000006</v>
      </c>
      <c r="M1433" s="81">
        <v>2</v>
      </c>
      <c r="N1433" s="15" t="s">
        <v>1</v>
      </c>
      <c r="O1433" s="3" t="s">
        <v>1727</v>
      </c>
      <c r="P1433" s="17">
        <f t="shared" si="189"/>
        <v>30</v>
      </c>
      <c r="Q1433" s="15" t="s">
        <v>1</v>
      </c>
      <c r="R1433" s="17">
        <f t="shared" si="190"/>
        <v>60</v>
      </c>
      <c r="U1433" s="5">
        <f>2.025</f>
        <v>2.0249999999999999</v>
      </c>
      <c r="Y1433" s="9"/>
      <c r="Z1433" s="6"/>
      <c r="AA1433" s="157" t="s">
        <v>1768</v>
      </c>
      <c r="AB1433" s="75" t="s">
        <v>1769</v>
      </c>
      <c r="AC1433" s="75"/>
      <c r="AD1433" s="75"/>
      <c r="AE1433" s="23">
        <f t="shared" si="183"/>
        <v>0</v>
      </c>
    </row>
    <row r="1434" spans="6:31" ht="24" customHeight="1">
      <c r="F1434" s="17">
        <v>1.1000000000000001</v>
      </c>
      <c r="G1434" s="15" t="s">
        <v>209</v>
      </c>
      <c r="H1434" s="3" t="s">
        <v>144</v>
      </c>
      <c r="I1434" s="17">
        <f>(C10)</f>
        <v>769</v>
      </c>
      <c r="J1434" s="3" t="s">
        <v>209</v>
      </c>
      <c r="K1434" s="17">
        <f>(F1434*I1434)</f>
        <v>845.90000000000009</v>
      </c>
      <c r="M1434" s="81">
        <v>2</v>
      </c>
      <c r="N1434" s="15" t="s">
        <v>1</v>
      </c>
      <c r="O1434" s="3" t="s">
        <v>1728</v>
      </c>
      <c r="P1434" s="17">
        <f t="shared" si="189"/>
        <v>20</v>
      </c>
      <c r="Q1434" s="15" t="s">
        <v>1</v>
      </c>
      <c r="R1434" s="17">
        <f t="shared" si="190"/>
        <v>40</v>
      </c>
      <c r="Y1434" s="49">
        <v>4.21</v>
      </c>
      <c r="Z1434" s="15" t="s">
        <v>654</v>
      </c>
      <c r="AA1434" s="3" t="s">
        <v>1711</v>
      </c>
      <c r="AB1434" s="17">
        <f>V1436</f>
        <v>287</v>
      </c>
      <c r="AC1434" s="15" t="s">
        <v>654</v>
      </c>
      <c r="AD1434" s="17">
        <f>AB1434*Y1434</f>
        <v>1208.27</v>
      </c>
      <c r="AE1434" s="23">
        <f t="shared" si="183"/>
        <v>0</v>
      </c>
    </row>
    <row r="1435" spans="6:31" ht="24" customHeight="1">
      <c r="F1435" s="17">
        <v>0.5</v>
      </c>
      <c r="G1435" s="15" t="s">
        <v>209</v>
      </c>
      <c r="H1435" s="3" t="s">
        <v>146</v>
      </c>
      <c r="I1435" s="17">
        <f>(C12)</f>
        <v>502</v>
      </c>
      <c r="J1435" s="3" t="s">
        <v>209</v>
      </c>
      <c r="K1435" s="17">
        <f>(F1435*I1435)</f>
        <v>251</v>
      </c>
      <c r="M1435" s="81">
        <v>4</v>
      </c>
      <c r="N1435" s="15" t="s">
        <v>1</v>
      </c>
      <c r="O1435" s="3" t="s">
        <v>1730</v>
      </c>
      <c r="P1435" s="17">
        <f t="shared" si="189"/>
        <v>15</v>
      </c>
      <c r="Q1435" s="15" t="s">
        <v>1</v>
      </c>
      <c r="R1435" s="17">
        <f t="shared" si="190"/>
        <v>60</v>
      </c>
      <c r="T1435" s="6"/>
      <c r="U1435" s="157" t="s">
        <v>1770</v>
      </c>
      <c r="V1435" s="75" t="s">
        <v>1769</v>
      </c>
      <c r="W1435" s="75"/>
      <c r="X1435" s="75"/>
      <c r="Y1435" s="49">
        <v>0.40500000000000003</v>
      </c>
      <c r="Z1435" s="15" t="s">
        <v>110</v>
      </c>
      <c r="AA1435" s="3" t="s">
        <v>1717</v>
      </c>
      <c r="AB1435" s="17">
        <f>V1437</f>
        <v>208.8</v>
      </c>
      <c r="AC1435" s="15" t="s">
        <v>654</v>
      </c>
      <c r="AD1435" s="17">
        <f>AB1435*Y1435</f>
        <v>84.564000000000007</v>
      </c>
      <c r="AE1435" s="23">
        <f t="shared" si="183"/>
        <v>0</v>
      </c>
    </row>
    <row r="1436" spans="6:31" ht="24" customHeight="1">
      <c r="F1436" s="17">
        <v>1.1000000000000001</v>
      </c>
      <c r="G1436" s="15" t="s">
        <v>209</v>
      </c>
      <c r="H1436" s="3" t="s">
        <v>147</v>
      </c>
      <c r="I1436" s="17">
        <f>(C13)</f>
        <v>412</v>
      </c>
      <c r="J1436" s="3" t="s">
        <v>209</v>
      </c>
      <c r="K1436" s="17">
        <f>(F1436*I1436)</f>
        <v>453.20000000000005</v>
      </c>
      <c r="M1436" s="81">
        <v>0.60799999999999998</v>
      </c>
      <c r="N1436" s="15" t="s">
        <v>174</v>
      </c>
      <c r="O1436" s="3" t="s">
        <v>1731</v>
      </c>
      <c r="P1436" s="17">
        <f t="shared" si="189"/>
        <v>1540</v>
      </c>
      <c r="Q1436" s="15" t="s">
        <v>174</v>
      </c>
      <c r="R1436" s="17">
        <f t="shared" si="190"/>
        <v>936.31999999999994</v>
      </c>
      <c r="S1436" s="49">
        <v>3.7389999999999999</v>
      </c>
      <c r="T1436" s="15" t="s">
        <v>654</v>
      </c>
      <c r="U1436" s="3" t="s">
        <v>1711</v>
      </c>
      <c r="V1436" s="17">
        <f>P1475</f>
        <v>287</v>
      </c>
      <c r="W1436" s="15" t="s">
        <v>654</v>
      </c>
      <c r="X1436" s="17">
        <f>V1436*S1436</f>
        <v>1073.0930000000001</v>
      </c>
      <c r="Y1436" s="49">
        <v>0.40500000000000003</v>
      </c>
      <c r="Z1436" s="15" t="s">
        <v>110</v>
      </c>
      <c r="AA1436" s="3" t="s">
        <v>1731</v>
      </c>
      <c r="AB1436" s="17">
        <f>V1438</f>
        <v>1540</v>
      </c>
      <c r="AC1436" s="15" t="s">
        <v>654</v>
      </c>
      <c r="AD1436" s="17">
        <f>AB1436*Y1436</f>
        <v>623.70000000000005</v>
      </c>
      <c r="AE1436" s="23">
        <f t="shared" si="183"/>
        <v>0</v>
      </c>
    </row>
    <row r="1437" spans="6:31" ht="24" customHeight="1">
      <c r="F1437" s="17">
        <v>2</v>
      </c>
      <c r="G1437" s="15" t="s">
        <v>148</v>
      </c>
      <c r="H1437" s="3" t="s">
        <v>1771</v>
      </c>
      <c r="I1437" s="17">
        <f>(C653)</f>
        <v>41.9</v>
      </c>
      <c r="J1437" s="3" t="s">
        <v>148</v>
      </c>
      <c r="K1437" s="17">
        <f>(F1437*I1437)</f>
        <v>83.8</v>
      </c>
      <c r="N1437" s="6"/>
      <c r="O1437" s="3" t="s">
        <v>1733</v>
      </c>
      <c r="Q1437" s="10"/>
      <c r="R1437" s="17">
        <v>0.57999999999999996</v>
      </c>
      <c r="S1437" s="49">
        <v>0.36</v>
      </c>
      <c r="T1437" s="15" t="s">
        <v>110</v>
      </c>
      <c r="U1437" s="3" t="s">
        <v>1717</v>
      </c>
      <c r="V1437" s="17">
        <f>P1476</f>
        <v>208.8</v>
      </c>
      <c r="W1437" s="15" t="s">
        <v>654</v>
      </c>
      <c r="X1437" s="17">
        <f>V1437*S1437</f>
        <v>75.168000000000006</v>
      </c>
      <c r="Y1437" s="49"/>
      <c r="Z1437" s="15"/>
      <c r="AA1437" s="3"/>
      <c r="AB1437" s="17"/>
      <c r="AC1437" s="15"/>
      <c r="AD1437" s="17">
        <f>SUM(AD1434:AD1436)</f>
        <v>1916.5340000000001</v>
      </c>
      <c r="AE1437" s="23">
        <f t="shared" si="183"/>
        <v>0</v>
      </c>
    </row>
    <row r="1438" spans="6:31" ht="24" customHeight="1">
      <c r="G1438" s="15" t="s">
        <v>129</v>
      </c>
      <c r="H1438" s="3" t="s">
        <v>130</v>
      </c>
      <c r="I1438" s="3" t="s">
        <v>115</v>
      </c>
      <c r="J1438" s="3" t="s">
        <v>129</v>
      </c>
      <c r="K1438" s="17">
        <v>0</v>
      </c>
      <c r="R1438" s="16">
        <f>SUM(R1425:R1437)</f>
        <v>3571.0104000000001</v>
      </c>
      <c r="S1438" s="49">
        <v>0.36</v>
      </c>
      <c r="T1438" s="15" t="s">
        <v>110</v>
      </c>
      <c r="U1438" s="3" t="s">
        <v>1731</v>
      </c>
      <c r="V1438" s="17">
        <f>P1477</f>
        <v>1540</v>
      </c>
      <c r="W1438" s="15" t="s">
        <v>654</v>
      </c>
      <c r="X1438" s="17">
        <f>V1438*S1438</f>
        <v>554.4</v>
      </c>
      <c r="Y1438" s="49"/>
      <c r="Z1438" s="15"/>
      <c r="AA1438" s="14" t="s">
        <v>1772</v>
      </c>
      <c r="AB1438" s="17"/>
      <c r="AC1438" s="15"/>
      <c r="AD1438" s="16">
        <f>AD1437/Y1436</f>
        <v>4732.1827160493831</v>
      </c>
      <c r="AE1438" s="23">
        <f t="shared" si="183"/>
        <v>0</v>
      </c>
    </row>
    <row r="1439" spans="6:31" ht="24" customHeight="1">
      <c r="K1439" s="12" t="s">
        <v>117</v>
      </c>
      <c r="M1439" s="17"/>
      <c r="N1439" s="15"/>
      <c r="O1439" s="3"/>
      <c r="P1439" s="17"/>
      <c r="Q1439" s="4"/>
      <c r="R1439" s="17"/>
      <c r="S1439" s="49"/>
      <c r="T1439" s="15"/>
      <c r="U1439" s="3"/>
      <c r="V1439" s="17"/>
      <c r="W1439" s="15"/>
      <c r="X1439" s="17">
        <f>SUM(X1436:X1438)</f>
        <v>1702.6610000000001</v>
      </c>
      <c r="AE1439" s="23">
        <f t="shared" si="183"/>
        <v>0</v>
      </c>
    </row>
    <row r="1440" spans="6:31" ht="24" customHeight="1">
      <c r="F1440" s="3" t="s">
        <v>115</v>
      </c>
      <c r="H1440" s="3" t="s">
        <v>153</v>
      </c>
      <c r="K1440" s="17">
        <f>SUM(K1433:K1438)</f>
        <v>2221.0320000000002</v>
      </c>
      <c r="N1440" s="6"/>
      <c r="O1440" s="157" t="s">
        <v>1773</v>
      </c>
      <c r="Q1440" s="8"/>
      <c r="S1440" s="49"/>
      <c r="T1440" s="15"/>
      <c r="U1440" s="14" t="s">
        <v>1772</v>
      </c>
      <c r="V1440" s="17"/>
      <c r="W1440" s="15"/>
      <c r="X1440" s="16">
        <f>X1439/S1438</f>
        <v>4729.6138888888891</v>
      </c>
      <c r="AE1440" s="23">
        <f t="shared" si="183"/>
        <v>0</v>
      </c>
    </row>
    <row r="1441" spans="6:31" ht="24" customHeight="1">
      <c r="H1441" s="50"/>
      <c r="I1441" s="50"/>
      <c r="J1441" s="59"/>
      <c r="K1441" s="61" t="s">
        <v>117</v>
      </c>
      <c r="M1441" s="81">
        <v>5.35</v>
      </c>
      <c r="N1441" s="15" t="s">
        <v>654</v>
      </c>
      <c r="O1441" s="70" t="s">
        <v>1757</v>
      </c>
      <c r="P1441" s="17">
        <f>P1425</f>
        <v>287</v>
      </c>
      <c r="Q1441" s="15" t="s">
        <v>654</v>
      </c>
      <c r="R1441" s="17">
        <f>P1441*M1441</f>
        <v>1535.4499999999998</v>
      </c>
      <c r="AE1441" s="23">
        <f t="shared" si="183"/>
        <v>0</v>
      </c>
    </row>
    <row r="1442" spans="6:31" ht="24" customHeight="1">
      <c r="H1442" s="19" t="s">
        <v>154</v>
      </c>
      <c r="I1442" s="50"/>
      <c r="J1442" s="59"/>
      <c r="K1442" s="16">
        <f>(K1440/10)</f>
        <v>222.10320000000002</v>
      </c>
      <c r="M1442" s="81">
        <v>7.58</v>
      </c>
      <c r="N1442" s="15" t="s">
        <v>654</v>
      </c>
      <c r="O1442" s="3" t="s">
        <v>1711</v>
      </c>
      <c r="P1442" s="17">
        <f t="shared" ref="P1442:P1452" si="191">P1426</f>
        <v>287</v>
      </c>
      <c r="Q1442" s="15" t="s">
        <v>654</v>
      </c>
      <c r="R1442" s="17">
        <f t="shared" ref="R1442:R1452" si="192">P1442*M1442</f>
        <v>2175.46</v>
      </c>
      <c r="T1442" s="6"/>
      <c r="U1442" s="157" t="s">
        <v>1774</v>
      </c>
      <c r="V1442" s="75" t="s">
        <v>1769</v>
      </c>
      <c r="W1442" s="8"/>
      <c r="AE1442" s="23">
        <f t="shared" si="183"/>
        <v>0</v>
      </c>
    </row>
    <row r="1443" spans="6:31" ht="24" customHeight="1">
      <c r="K1443" s="12" t="s">
        <v>155</v>
      </c>
      <c r="M1443" s="81">
        <v>13.15</v>
      </c>
      <c r="N1443" s="15" t="s">
        <v>654</v>
      </c>
      <c r="O1443" s="3" t="s">
        <v>1711</v>
      </c>
      <c r="P1443" s="17">
        <f t="shared" si="191"/>
        <v>287</v>
      </c>
      <c r="Q1443" s="15" t="s">
        <v>654</v>
      </c>
      <c r="R1443" s="17">
        <f t="shared" si="192"/>
        <v>3774.05</v>
      </c>
      <c r="S1443" s="49">
        <v>4.21</v>
      </c>
      <c r="T1443" s="15" t="s">
        <v>654</v>
      </c>
      <c r="U1443" s="3" t="s">
        <v>1711</v>
      </c>
      <c r="V1443" s="17">
        <f>P1482</f>
        <v>287</v>
      </c>
      <c r="W1443" s="15" t="s">
        <v>654</v>
      </c>
      <c r="X1443" s="17">
        <f>V1443*S1443</f>
        <v>1208.27</v>
      </c>
      <c r="AE1443" s="23">
        <f t="shared" si="183"/>
        <v>0</v>
      </c>
    </row>
    <row r="1444" spans="6:31" ht="24" customHeight="1">
      <c r="H1444" s="3" t="s">
        <v>115</v>
      </c>
      <c r="M1444" s="81">
        <v>2.31</v>
      </c>
      <c r="N1444" s="15" t="s">
        <v>654</v>
      </c>
      <c r="O1444" s="3" t="s">
        <v>1711</v>
      </c>
      <c r="P1444" s="17">
        <f t="shared" si="191"/>
        <v>287</v>
      </c>
      <c r="Q1444" s="15" t="s">
        <v>654</v>
      </c>
      <c r="R1444" s="17">
        <f t="shared" si="192"/>
        <v>662.97</v>
      </c>
      <c r="S1444" s="49">
        <v>0.45</v>
      </c>
      <c r="T1444" s="15" t="s">
        <v>110</v>
      </c>
      <c r="U1444" s="3" t="s">
        <v>1717</v>
      </c>
      <c r="V1444" s="17">
        <f>P1483</f>
        <v>208.8</v>
      </c>
      <c r="W1444" s="15" t="s">
        <v>654</v>
      </c>
      <c r="X1444" s="17">
        <f>V1444*S1444</f>
        <v>93.960000000000008</v>
      </c>
      <c r="AE1444" s="23">
        <f t="shared" si="183"/>
        <v>0</v>
      </c>
    </row>
    <row r="1445" spans="6:31" ht="24" customHeight="1">
      <c r="M1445" s="81">
        <v>2.44</v>
      </c>
      <c r="N1445" s="15" t="s">
        <v>110</v>
      </c>
      <c r="O1445" s="3" t="s">
        <v>1717</v>
      </c>
      <c r="P1445" s="45">
        <f t="shared" si="191"/>
        <v>208.8</v>
      </c>
      <c r="Q1445" s="15" t="s">
        <v>110</v>
      </c>
      <c r="R1445" s="17">
        <f t="shared" si="192"/>
        <v>509.47200000000004</v>
      </c>
      <c r="S1445" s="49">
        <v>0.45</v>
      </c>
      <c r="T1445" s="15" t="s">
        <v>110</v>
      </c>
      <c r="U1445" s="3" t="s">
        <v>1731</v>
      </c>
      <c r="V1445" s="17">
        <f>P1484</f>
        <v>1540</v>
      </c>
      <c r="W1445" s="15" t="s">
        <v>654</v>
      </c>
      <c r="X1445" s="17">
        <f>V1445*S1445</f>
        <v>693</v>
      </c>
      <c r="AE1445" s="23">
        <f t="shared" si="183"/>
        <v>0</v>
      </c>
    </row>
    <row r="1446" spans="6:31" ht="24" customHeight="1">
      <c r="F1446" s="4" t="s">
        <v>1775</v>
      </c>
      <c r="G1446" s="15" t="s">
        <v>122</v>
      </c>
      <c r="H1446" s="3" t="s">
        <v>1776</v>
      </c>
      <c r="M1446" s="81">
        <v>18.62</v>
      </c>
      <c r="N1446" s="15" t="s">
        <v>231</v>
      </c>
      <c r="O1446" s="70" t="s">
        <v>1758</v>
      </c>
      <c r="P1446" s="17">
        <f t="shared" si="191"/>
        <v>28.6</v>
      </c>
      <c r="Q1446" s="15" t="s">
        <v>231</v>
      </c>
      <c r="R1446" s="17">
        <f t="shared" si="192"/>
        <v>532.53200000000004</v>
      </c>
      <c r="S1446" s="49">
        <f>R1485-2967</f>
        <v>462.07799999999997</v>
      </c>
      <c r="T1446" s="15"/>
      <c r="U1446" s="3"/>
      <c r="V1446" s="17"/>
      <c r="W1446" s="15"/>
      <c r="X1446" s="17">
        <f>SUM(X1443:X1445)</f>
        <v>1995.23</v>
      </c>
      <c r="AE1446" s="23">
        <f t="shared" si="183"/>
        <v>0</v>
      </c>
    </row>
    <row r="1447" spans="6:31" ht="24" customHeight="1">
      <c r="H1447" s="3" t="s">
        <v>1777</v>
      </c>
      <c r="M1447" s="81">
        <v>16</v>
      </c>
      <c r="N1447" s="15" t="s">
        <v>1</v>
      </c>
      <c r="O1447" s="70" t="s">
        <v>1759</v>
      </c>
      <c r="P1447" s="17">
        <f t="shared" si="191"/>
        <v>63.5</v>
      </c>
      <c r="Q1447" s="15" t="s">
        <v>1</v>
      </c>
      <c r="R1447" s="17">
        <f t="shared" si="192"/>
        <v>1016</v>
      </c>
      <c r="S1447" s="49"/>
      <c r="T1447" s="15"/>
      <c r="U1447" s="14" t="s">
        <v>1772</v>
      </c>
      <c r="V1447" s="17"/>
      <c r="W1447" s="15"/>
      <c r="X1447" s="16">
        <f>X1446/S1445</f>
        <v>4433.844444444444</v>
      </c>
      <c r="Y1447" s="9"/>
      <c r="Z1447" s="6"/>
      <c r="AA1447" s="157" t="s">
        <v>1778</v>
      </c>
      <c r="AC1447" s="8"/>
      <c r="AE1447" s="23">
        <f t="shared" si="183"/>
        <v>0</v>
      </c>
    </row>
    <row r="1448" spans="6:31" ht="24" customHeight="1">
      <c r="H1448" s="3" t="s">
        <v>1779</v>
      </c>
      <c r="M1448" s="81">
        <v>8</v>
      </c>
      <c r="N1448" s="15" t="s">
        <v>1</v>
      </c>
      <c r="O1448" s="70" t="s">
        <v>1750</v>
      </c>
      <c r="P1448" s="17">
        <f t="shared" si="191"/>
        <v>50.9</v>
      </c>
      <c r="Q1448" s="15" t="s">
        <v>1</v>
      </c>
      <c r="R1448" s="17">
        <f t="shared" si="192"/>
        <v>407.2</v>
      </c>
      <c r="Y1448" s="49">
        <v>3.26</v>
      </c>
      <c r="Z1448" s="15" t="s">
        <v>654</v>
      </c>
      <c r="AA1448" s="3" t="s">
        <v>1711</v>
      </c>
      <c r="AB1448" s="17">
        <f t="shared" ref="AB1448:AB1459" si="193">V1450</f>
        <v>287</v>
      </c>
      <c r="AC1448" s="15" t="s">
        <v>654</v>
      </c>
      <c r="AD1448" s="17">
        <f t="shared" ref="AD1448:AD1459" si="194">AB1448*Y1448</f>
        <v>935.61999999999989</v>
      </c>
      <c r="AE1448" s="23">
        <f t="shared" si="183"/>
        <v>0</v>
      </c>
    </row>
    <row r="1449" spans="6:31" ht="24" customHeight="1">
      <c r="H1449" s="3" t="s">
        <v>1780</v>
      </c>
      <c r="M1449" s="81">
        <v>8</v>
      </c>
      <c r="N1449" s="15" t="s">
        <v>1</v>
      </c>
      <c r="O1449" s="3" t="s">
        <v>1727</v>
      </c>
      <c r="P1449" s="17">
        <f t="shared" si="191"/>
        <v>30</v>
      </c>
      <c r="Q1449" s="15" t="s">
        <v>1</v>
      </c>
      <c r="R1449" s="17">
        <f t="shared" si="192"/>
        <v>240</v>
      </c>
      <c r="T1449" s="6"/>
      <c r="U1449" s="157" t="s">
        <v>1781</v>
      </c>
      <c r="W1449" s="8"/>
      <c r="Y1449" s="49">
        <v>0.84</v>
      </c>
      <c r="Z1449" s="15" t="s">
        <v>654</v>
      </c>
      <c r="AA1449" s="3" t="s">
        <v>1711</v>
      </c>
      <c r="AB1449" s="17">
        <f t="shared" si="193"/>
        <v>287</v>
      </c>
      <c r="AC1449" s="15" t="s">
        <v>654</v>
      </c>
      <c r="AD1449" s="17">
        <f t="shared" si="194"/>
        <v>241.07999999999998</v>
      </c>
      <c r="AE1449" s="23">
        <f t="shared" si="183"/>
        <v>0</v>
      </c>
    </row>
    <row r="1450" spans="6:31" ht="24" customHeight="1">
      <c r="H1450" s="12" t="s">
        <v>117</v>
      </c>
      <c r="I1450" s="12" t="s">
        <v>117</v>
      </c>
      <c r="M1450" s="81">
        <v>8</v>
      </c>
      <c r="N1450" s="15" t="s">
        <v>1</v>
      </c>
      <c r="O1450" s="3" t="s">
        <v>1728</v>
      </c>
      <c r="P1450" s="17">
        <f t="shared" si="191"/>
        <v>20</v>
      </c>
      <c r="Q1450" s="15" t="s">
        <v>1</v>
      </c>
      <c r="R1450" s="17">
        <f t="shared" si="192"/>
        <v>160</v>
      </c>
      <c r="S1450" s="49">
        <v>3.49</v>
      </c>
      <c r="T1450" s="15" t="s">
        <v>654</v>
      </c>
      <c r="U1450" s="3" t="s">
        <v>1711</v>
      </c>
      <c r="V1450" s="17">
        <f>P1489</f>
        <v>287</v>
      </c>
      <c r="W1450" s="15" t="s">
        <v>654</v>
      </c>
      <c r="X1450" s="17">
        <f>V1450*S1450</f>
        <v>1001.6300000000001</v>
      </c>
      <c r="Y1450" s="49">
        <v>3.65</v>
      </c>
      <c r="Z1450" s="15" t="s">
        <v>654</v>
      </c>
      <c r="AA1450" s="3" t="s">
        <v>1711</v>
      </c>
      <c r="AB1450" s="17">
        <f t="shared" si="193"/>
        <v>287</v>
      </c>
      <c r="AC1450" s="15" t="s">
        <v>654</v>
      </c>
      <c r="AD1450" s="17">
        <f t="shared" si="194"/>
        <v>1047.55</v>
      </c>
      <c r="AE1450" s="23">
        <f t="shared" si="183"/>
        <v>0</v>
      </c>
    </row>
    <row r="1451" spans="6:31" ht="24" customHeight="1">
      <c r="G1451" s="15" t="s">
        <v>1196</v>
      </c>
      <c r="H1451" s="3" t="s">
        <v>1782</v>
      </c>
      <c r="M1451" s="81">
        <v>4</v>
      </c>
      <c r="N1451" s="15" t="s">
        <v>1</v>
      </c>
      <c r="O1451" s="3" t="s">
        <v>1730</v>
      </c>
      <c r="P1451" s="17">
        <f t="shared" si="191"/>
        <v>15</v>
      </c>
      <c r="Q1451" s="15" t="s">
        <v>1</v>
      </c>
      <c r="R1451" s="17">
        <f t="shared" si="192"/>
        <v>60</v>
      </c>
      <c r="S1451" s="49">
        <v>2.5299999999999998</v>
      </c>
      <c r="T1451" s="15" t="s">
        <v>654</v>
      </c>
      <c r="U1451" s="3" t="s">
        <v>1711</v>
      </c>
      <c r="V1451" s="17">
        <f t="shared" ref="V1451:V1461" si="195">P1490</f>
        <v>287</v>
      </c>
      <c r="W1451" s="15" t="s">
        <v>654</v>
      </c>
      <c r="X1451" s="17">
        <f t="shared" ref="X1451:X1461" si="196">V1451*S1451</f>
        <v>726.1099999999999</v>
      </c>
      <c r="Y1451" s="49">
        <v>0.64</v>
      </c>
      <c r="Z1451" s="15" t="s">
        <v>654</v>
      </c>
      <c r="AA1451" s="3" t="s">
        <v>1711</v>
      </c>
      <c r="AB1451" s="17">
        <f t="shared" si="193"/>
        <v>287</v>
      </c>
      <c r="AC1451" s="15" t="s">
        <v>654</v>
      </c>
      <c r="AD1451" s="17">
        <f t="shared" si="194"/>
        <v>183.68</v>
      </c>
      <c r="AE1451" s="23">
        <f t="shared" si="183"/>
        <v>0</v>
      </c>
    </row>
    <row r="1452" spans="6:31" ht="24" customHeight="1">
      <c r="G1452" s="15" t="s">
        <v>117</v>
      </c>
      <c r="H1452" s="12" t="s">
        <v>117</v>
      </c>
      <c r="M1452" s="81">
        <f>1.8*1.65</f>
        <v>2.9699999999999998</v>
      </c>
      <c r="N1452" s="15" t="s">
        <v>174</v>
      </c>
      <c r="O1452" s="3" t="s">
        <v>1731</v>
      </c>
      <c r="P1452" s="17">
        <f t="shared" si="191"/>
        <v>1540</v>
      </c>
      <c r="Q1452" s="15" t="s">
        <v>174</v>
      </c>
      <c r="R1452" s="17">
        <f t="shared" si="192"/>
        <v>4573.7999999999993</v>
      </c>
      <c r="S1452" s="49">
        <v>5.7549999999999999</v>
      </c>
      <c r="T1452" s="15" t="s">
        <v>654</v>
      </c>
      <c r="U1452" s="3" t="s">
        <v>1711</v>
      </c>
      <c r="V1452" s="17">
        <f t="shared" si="195"/>
        <v>287</v>
      </c>
      <c r="W1452" s="15" t="s">
        <v>654</v>
      </c>
      <c r="X1452" s="17">
        <f t="shared" si="196"/>
        <v>1651.6849999999999</v>
      </c>
      <c r="Y1452" s="49">
        <v>0.84099999999999997</v>
      </c>
      <c r="Z1452" s="15" t="s">
        <v>110</v>
      </c>
      <c r="AA1452" s="3" t="s">
        <v>1717</v>
      </c>
      <c r="AB1452" s="17">
        <f t="shared" si="193"/>
        <v>208.8</v>
      </c>
      <c r="AC1452" s="15" t="s">
        <v>110</v>
      </c>
      <c r="AD1452" s="17">
        <f t="shared" si="194"/>
        <v>175.60079999999999</v>
      </c>
      <c r="AE1452" s="23">
        <f t="shared" si="183"/>
        <v>0</v>
      </c>
    </row>
    <row r="1453" spans="6:31" ht="24" customHeight="1">
      <c r="F1453" s="81">
        <v>1.4E-2</v>
      </c>
      <c r="G1453" s="15" t="s">
        <v>429</v>
      </c>
      <c r="H1453" s="3" t="s">
        <v>1783</v>
      </c>
      <c r="I1453" s="17">
        <f>K49</f>
        <v>3080.2</v>
      </c>
      <c r="J1453" s="3" t="s">
        <v>429</v>
      </c>
      <c r="K1453" s="17">
        <f>(F1453*I1453)</f>
        <v>43.122799999999998</v>
      </c>
      <c r="N1453" s="6"/>
      <c r="O1453" s="3" t="s">
        <v>1733</v>
      </c>
      <c r="Q1453" s="10"/>
      <c r="R1453" s="17">
        <v>0.78</v>
      </c>
      <c r="S1453" s="49">
        <v>1.0009999999999999</v>
      </c>
      <c r="T1453" s="15" t="s">
        <v>654</v>
      </c>
      <c r="U1453" s="3" t="s">
        <v>1711</v>
      </c>
      <c r="V1453" s="17">
        <f t="shared" si="195"/>
        <v>287</v>
      </c>
      <c r="W1453" s="15" t="s">
        <v>654</v>
      </c>
      <c r="X1453" s="17">
        <f t="shared" si="196"/>
        <v>287.28699999999998</v>
      </c>
      <c r="Y1453" s="49">
        <v>5.1959999999999997</v>
      </c>
      <c r="Z1453" s="15" t="s">
        <v>231</v>
      </c>
      <c r="AA1453" s="3" t="s">
        <v>1720</v>
      </c>
      <c r="AB1453" s="17">
        <f t="shared" si="193"/>
        <v>28.6</v>
      </c>
      <c r="AC1453" s="15" t="s">
        <v>231</v>
      </c>
      <c r="AD1453" s="17">
        <f t="shared" si="194"/>
        <v>148.60560000000001</v>
      </c>
      <c r="AE1453" s="23">
        <f t="shared" si="183"/>
        <v>0</v>
      </c>
    </row>
    <row r="1454" spans="6:31" ht="24" customHeight="1">
      <c r="F1454" s="17">
        <v>0.3</v>
      </c>
      <c r="G1454" s="15" t="s">
        <v>233</v>
      </c>
      <c r="H1454" s="3" t="s">
        <v>1784</v>
      </c>
      <c r="I1454" s="17">
        <f>C10</f>
        <v>769</v>
      </c>
      <c r="J1454" s="3" t="s">
        <v>233</v>
      </c>
      <c r="K1454" s="17">
        <f>(F1454*I1454)</f>
        <v>230.7</v>
      </c>
      <c r="R1454" s="16">
        <f>SUM(R1441:R1453)</f>
        <v>15647.714</v>
      </c>
      <c r="S1454" s="49">
        <f>1.012</f>
        <v>1.012</v>
      </c>
      <c r="T1454" s="15" t="s">
        <v>110</v>
      </c>
      <c r="U1454" s="3" t="s">
        <v>1717</v>
      </c>
      <c r="V1454" s="17">
        <f t="shared" si="195"/>
        <v>208.8</v>
      </c>
      <c r="W1454" s="15" t="s">
        <v>110</v>
      </c>
      <c r="X1454" s="17">
        <f t="shared" si="196"/>
        <v>211.30560000000003</v>
      </c>
      <c r="Y1454" s="49">
        <v>4</v>
      </c>
      <c r="Z1454" s="15" t="s">
        <v>1</v>
      </c>
      <c r="AA1454" s="3" t="s">
        <v>1722</v>
      </c>
      <c r="AB1454" s="17">
        <f t="shared" si="193"/>
        <v>63.5</v>
      </c>
      <c r="AC1454" s="15" t="s">
        <v>1</v>
      </c>
      <c r="AD1454" s="17">
        <f t="shared" si="194"/>
        <v>254</v>
      </c>
      <c r="AE1454" s="23">
        <f t="shared" si="183"/>
        <v>0</v>
      </c>
    </row>
    <row r="1455" spans="6:31" ht="24" customHeight="1">
      <c r="F1455" s="17">
        <v>0.3</v>
      </c>
      <c r="G1455" s="15" t="s">
        <v>233</v>
      </c>
      <c r="H1455" s="3" t="s">
        <v>956</v>
      </c>
      <c r="I1455" s="17">
        <f>C12</f>
        <v>502</v>
      </c>
      <c r="J1455" s="3" t="s">
        <v>233</v>
      </c>
      <c r="K1455" s="17">
        <f>(F1455*I1455)</f>
        <v>150.6</v>
      </c>
      <c r="R1455" s="5">
        <f>R1454/M1452</f>
        <v>5268.5905723905726</v>
      </c>
      <c r="S1455" s="49" t="s">
        <v>174</v>
      </c>
      <c r="T1455" s="15" t="s">
        <v>231</v>
      </c>
      <c r="U1455" s="3" t="s">
        <v>1720</v>
      </c>
      <c r="V1455" s="17">
        <f t="shared" si="195"/>
        <v>28.6</v>
      </c>
      <c r="W1455" s="15" t="s">
        <v>231</v>
      </c>
      <c r="X1455" s="17">
        <f t="shared" si="196"/>
        <v>0</v>
      </c>
      <c r="Y1455" s="49">
        <v>2</v>
      </c>
      <c r="Z1455" s="15" t="s">
        <v>1</v>
      </c>
      <c r="AA1455" s="3" t="s">
        <v>1724</v>
      </c>
      <c r="AB1455" s="17">
        <f t="shared" si="193"/>
        <v>50.9</v>
      </c>
      <c r="AC1455" s="15" t="s">
        <v>1</v>
      </c>
      <c r="AD1455" s="17">
        <f t="shared" si="194"/>
        <v>101.8</v>
      </c>
      <c r="AE1455" s="23">
        <f t="shared" si="183"/>
        <v>0</v>
      </c>
    </row>
    <row r="1456" spans="6:31" ht="24" customHeight="1">
      <c r="G1456" s="15" t="s">
        <v>129</v>
      </c>
      <c r="H1456" s="3" t="s">
        <v>236</v>
      </c>
      <c r="J1456" s="3" t="s">
        <v>129</v>
      </c>
      <c r="K1456" s="5">
        <v>0</v>
      </c>
      <c r="S1456" s="49">
        <v>8</v>
      </c>
      <c r="T1456" s="15" t="s">
        <v>1</v>
      </c>
      <c r="U1456" s="3" t="s">
        <v>1722</v>
      </c>
      <c r="V1456" s="17">
        <f t="shared" si="195"/>
        <v>63.5</v>
      </c>
      <c r="W1456" s="15" t="s">
        <v>1</v>
      </c>
      <c r="X1456" s="17">
        <f t="shared" si="196"/>
        <v>508</v>
      </c>
      <c r="Y1456" s="49">
        <v>2</v>
      </c>
      <c r="Z1456" s="15" t="s">
        <v>1</v>
      </c>
      <c r="AA1456" s="3" t="s">
        <v>1727</v>
      </c>
      <c r="AB1456" s="17">
        <f t="shared" si="193"/>
        <v>30</v>
      </c>
      <c r="AC1456" s="15" t="s">
        <v>1</v>
      </c>
      <c r="AD1456" s="17">
        <f t="shared" si="194"/>
        <v>60</v>
      </c>
      <c r="AE1456" s="23">
        <f t="shared" si="183"/>
        <v>0</v>
      </c>
    </row>
    <row r="1457" spans="6:31" ht="24" customHeight="1">
      <c r="K1457" s="12" t="s">
        <v>117</v>
      </c>
      <c r="N1457" s="6"/>
      <c r="O1457" s="157" t="s">
        <v>1785</v>
      </c>
      <c r="Q1457" s="8"/>
      <c r="S1457" s="49">
        <v>4</v>
      </c>
      <c r="T1457" s="15" t="s">
        <v>1</v>
      </c>
      <c r="U1457" s="3" t="s">
        <v>1724</v>
      </c>
      <c r="V1457" s="17">
        <f t="shared" si="195"/>
        <v>50.9</v>
      </c>
      <c r="W1457" s="15" t="s">
        <v>1</v>
      </c>
      <c r="X1457" s="17">
        <f t="shared" si="196"/>
        <v>203.6</v>
      </c>
      <c r="Y1457" s="49">
        <v>2</v>
      </c>
      <c r="Z1457" s="15" t="s">
        <v>1</v>
      </c>
      <c r="AA1457" s="3" t="s">
        <v>1728</v>
      </c>
      <c r="AB1457" s="17">
        <f t="shared" si="193"/>
        <v>20</v>
      </c>
      <c r="AC1457" s="15" t="s">
        <v>1</v>
      </c>
      <c r="AD1457" s="17">
        <f t="shared" si="194"/>
        <v>40</v>
      </c>
      <c r="AE1457" s="23">
        <f t="shared" si="183"/>
        <v>0</v>
      </c>
    </row>
    <row r="1458" spans="6:31" ht="24" customHeight="1">
      <c r="H1458" s="4" t="s">
        <v>1786</v>
      </c>
      <c r="K1458" s="17">
        <f>SUM(K1453:K1456)</f>
        <v>424.42279999999994</v>
      </c>
      <c r="M1458" s="81">
        <v>10.75</v>
      </c>
      <c r="N1458" s="15" t="s">
        <v>654</v>
      </c>
      <c r="O1458" s="70" t="s">
        <v>1757</v>
      </c>
      <c r="P1458" s="17">
        <f>P1441</f>
        <v>287</v>
      </c>
      <c r="Q1458" s="15" t="s">
        <v>654</v>
      </c>
      <c r="R1458" s="17">
        <f>P1458*M1458</f>
        <v>3085.25</v>
      </c>
      <c r="S1458" s="49">
        <v>4</v>
      </c>
      <c r="T1458" s="15" t="s">
        <v>1</v>
      </c>
      <c r="U1458" s="3" t="s">
        <v>1727</v>
      </c>
      <c r="V1458" s="17">
        <f t="shared" si="195"/>
        <v>30</v>
      </c>
      <c r="W1458" s="15" t="s">
        <v>1</v>
      </c>
      <c r="X1458" s="17">
        <f t="shared" si="196"/>
        <v>120</v>
      </c>
      <c r="Y1458" s="49">
        <v>4</v>
      </c>
      <c r="Z1458" s="15" t="s">
        <v>1</v>
      </c>
      <c r="AA1458" s="3" t="s">
        <v>1730</v>
      </c>
      <c r="AB1458" s="17">
        <f t="shared" si="193"/>
        <v>15</v>
      </c>
      <c r="AC1458" s="15" t="s">
        <v>1</v>
      </c>
      <c r="AD1458" s="17">
        <f t="shared" si="194"/>
        <v>60</v>
      </c>
      <c r="AE1458" s="23">
        <f t="shared" si="183"/>
        <v>0</v>
      </c>
    </row>
    <row r="1459" spans="6:31" ht="24" customHeight="1">
      <c r="K1459" s="12" t="s">
        <v>117</v>
      </c>
      <c r="M1459" s="81">
        <v>0.99199999999999999</v>
      </c>
      <c r="N1459" s="15" t="s">
        <v>654</v>
      </c>
      <c r="O1459" s="3" t="s">
        <v>1711</v>
      </c>
      <c r="P1459" s="17">
        <f t="shared" ref="P1459:P1469" si="197">P1442</f>
        <v>287</v>
      </c>
      <c r="Q1459" s="15" t="s">
        <v>654</v>
      </c>
      <c r="R1459" s="17">
        <f t="shared" ref="R1459:R1469" si="198">P1459*M1459</f>
        <v>284.70400000000001</v>
      </c>
      <c r="S1459" s="49">
        <v>4</v>
      </c>
      <c r="T1459" s="15" t="s">
        <v>1</v>
      </c>
      <c r="U1459" s="3" t="s">
        <v>1728</v>
      </c>
      <c r="V1459" s="17">
        <f t="shared" si="195"/>
        <v>20</v>
      </c>
      <c r="W1459" s="15" t="s">
        <v>1</v>
      </c>
      <c r="X1459" s="17">
        <f t="shared" si="196"/>
        <v>80</v>
      </c>
      <c r="Y1459" s="49">
        <v>1.01</v>
      </c>
      <c r="Z1459" s="15" t="s">
        <v>174</v>
      </c>
      <c r="AA1459" s="3" t="s">
        <v>1731</v>
      </c>
      <c r="AB1459" s="17">
        <f t="shared" si="193"/>
        <v>1540</v>
      </c>
      <c r="AC1459" s="15" t="s">
        <v>174</v>
      </c>
      <c r="AD1459" s="17">
        <f t="shared" si="194"/>
        <v>1555.4</v>
      </c>
      <c r="AE1459" s="23">
        <f t="shared" si="183"/>
        <v>0</v>
      </c>
    </row>
    <row r="1460" spans="6:31" ht="24" customHeight="1">
      <c r="H1460" s="19" t="s">
        <v>1787</v>
      </c>
      <c r="I1460" s="50"/>
      <c r="J1460" s="59"/>
      <c r="K1460" s="16">
        <f>K1458/6.77</f>
        <v>62.691698670605611</v>
      </c>
      <c r="M1460" s="81">
        <v>0</v>
      </c>
      <c r="N1460" s="15" t="s">
        <v>654</v>
      </c>
      <c r="O1460" s="3" t="s">
        <v>1711</v>
      </c>
      <c r="P1460" s="17">
        <f t="shared" si="197"/>
        <v>287</v>
      </c>
      <c r="Q1460" s="15" t="s">
        <v>654</v>
      </c>
      <c r="R1460" s="17">
        <f t="shared" si="198"/>
        <v>0</v>
      </c>
      <c r="S1460" s="49">
        <v>4</v>
      </c>
      <c r="T1460" s="15" t="s">
        <v>1</v>
      </c>
      <c r="U1460" s="3" t="s">
        <v>1730</v>
      </c>
      <c r="V1460" s="17">
        <f t="shared" si="195"/>
        <v>15</v>
      </c>
      <c r="W1460" s="15" t="s">
        <v>1</v>
      </c>
      <c r="X1460" s="17">
        <f t="shared" si="196"/>
        <v>60</v>
      </c>
      <c r="Y1460" s="9"/>
      <c r="Z1460" s="6"/>
      <c r="AA1460" s="3" t="s">
        <v>1733</v>
      </c>
      <c r="AC1460" s="10"/>
      <c r="AD1460" s="17">
        <v>0.84</v>
      </c>
      <c r="AE1460" s="23">
        <f t="shared" si="183"/>
        <v>0</v>
      </c>
    </row>
    <row r="1461" spans="6:31" ht="24" customHeight="1">
      <c r="F1461" s="3" t="s">
        <v>115</v>
      </c>
      <c r="M1461" s="81">
        <v>0</v>
      </c>
      <c r="N1461" s="15" t="s">
        <v>654</v>
      </c>
      <c r="O1461" s="3" t="s">
        <v>1711</v>
      </c>
      <c r="P1461" s="17">
        <f t="shared" si="197"/>
        <v>287</v>
      </c>
      <c r="Q1461" s="15" t="s">
        <v>654</v>
      </c>
      <c r="R1461" s="17">
        <f t="shared" si="198"/>
        <v>0</v>
      </c>
      <c r="S1461" s="49">
        <v>1.26</v>
      </c>
      <c r="T1461" s="15" t="s">
        <v>174</v>
      </c>
      <c r="U1461" s="3" t="s">
        <v>1731</v>
      </c>
      <c r="V1461" s="17">
        <f t="shared" si="195"/>
        <v>1540</v>
      </c>
      <c r="W1461" s="15" t="s">
        <v>174</v>
      </c>
      <c r="X1461" s="17">
        <f t="shared" si="196"/>
        <v>1940.4</v>
      </c>
      <c r="Y1461" s="9"/>
      <c r="AA1461" s="14" t="s">
        <v>1735</v>
      </c>
      <c r="AD1461" s="16">
        <f>SUM(AD1448:AD1460)</f>
        <v>4804.1764000000003</v>
      </c>
      <c r="AE1461" s="23">
        <f t="shared" si="183"/>
        <v>0</v>
      </c>
    </row>
    <row r="1462" spans="6:31" ht="24" customHeight="1">
      <c r="K1462" s="12" t="s">
        <v>155</v>
      </c>
      <c r="M1462" s="81">
        <v>1.89</v>
      </c>
      <c r="N1462" s="15" t="s">
        <v>110</v>
      </c>
      <c r="O1462" s="3" t="s">
        <v>1717</v>
      </c>
      <c r="P1462" s="45">
        <f t="shared" si="197"/>
        <v>208.8</v>
      </c>
      <c r="Q1462" s="15" t="s">
        <v>110</v>
      </c>
      <c r="R1462" s="17">
        <f t="shared" si="198"/>
        <v>394.63200000000001</v>
      </c>
      <c r="T1462" s="6"/>
      <c r="U1462" s="3" t="s">
        <v>1733</v>
      </c>
      <c r="W1462" s="10"/>
      <c r="X1462" s="17">
        <v>0.14000000000000001</v>
      </c>
      <c r="AE1462" s="23">
        <f t="shared" si="183"/>
        <v>0</v>
      </c>
    </row>
    <row r="1463" spans="6:31" ht="24" customHeight="1">
      <c r="G1463" s="15" t="s">
        <v>1225</v>
      </c>
      <c r="H1463" s="3" t="s">
        <v>1788</v>
      </c>
      <c r="M1463" s="81">
        <v>8</v>
      </c>
      <c r="N1463" s="15" t="s">
        <v>231</v>
      </c>
      <c r="O1463" s="70" t="s">
        <v>1758</v>
      </c>
      <c r="P1463" s="17">
        <f t="shared" si="197"/>
        <v>28.6</v>
      </c>
      <c r="Q1463" s="15" t="s">
        <v>231</v>
      </c>
      <c r="R1463" s="17">
        <f t="shared" si="198"/>
        <v>228.8</v>
      </c>
      <c r="U1463" s="14" t="s">
        <v>1735</v>
      </c>
      <c r="X1463" s="16">
        <f>SUM(X1450:X1462)</f>
        <v>6790.1576000000014</v>
      </c>
      <c r="AE1463" s="23">
        <f t="shared" si="183"/>
        <v>0</v>
      </c>
    </row>
    <row r="1464" spans="6:31" ht="24" customHeight="1">
      <c r="G1464" s="15" t="s">
        <v>117</v>
      </c>
      <c r="H1464" s="12" t="s">
        <v>117</v>
      </c>
      <c r="M1464" s="81">
        <v>0</v>
      </c>
      <c r="N1464" s="15" t="s">
        <v>1</v>
      </c>
      <c r="O1464" s="70" t="s">
        <v>1759</v>
      </c>
      <c r="P1464" s="17">
        <f t="shared" si="197"/>
        <v>63.5</v>
      </c>
      <c r="Q1464" s="15" t="s">
        <v>1</v>
      </c>
      <c r="R1464" s="17">
        <f t="shared" si="198"/>
        <v>0</v>
      </c>
      <c r="AE1464" s="23">
        <f t="shared" si="183"/>
        <v>0</v>
      </c>
    </row>
    <row r="1465" spans="6:31" ht="24" customHeight="1">
      <c r="F1465" s="81">
        <v>7.0000000000000001E-3</v>
      </c>
      <c r="G1465" s="15" t="s">
        <v>429</v>
      </c>
      <c r="H1465" s="3" t="s">
        <v>1783</v>
      </c>
      <c r="I1465" s="17">
        <f>K49</f>
        <v>3080.2</v>
      </c>
      <c r="J1465" s="3" t="s">
        <v>429</v>
      </c>
      <c r="K1465" s="17">
        <f>(F1465*I1465)</f>
        <v>21.561399999999999</v>
      </c>
      <c r="M1465" s="81">
        <v>0</v>
      </c>
      <c r="N1465" s="15" t="s">
        <v>1</v>
      </c>
      <c r="O1465" s="70" t="s">
        <v>1750</v>
      </c>
      <c r="P1465" s="17">
        <f t="shared" si="197"/>
        <v>50.9</v>
      </c>
      <c r="Q1465" s="15" t="s">
        <v>1</v>
      </c>
      <c r="R1465" s="17">
        <f t="shared" si="198"/>
        <v>0</v>
      </c>
      <c r="AE1465" s="23">
        <f t="shared" si="183"/>
        <v>0</v>
      </c>
    </row>
    <row r="1466" spans="6:31" ht="24" customHeight="1">
      <c r="F1466" s="17">
        <v>0.2</v>
      </c>
      <c r="G1466" s="15" t="s">
        <v>233</v>
      </c>
      <c r="H1466" s="3" t="s">
        <v>1784</v>
      </c>
      <c r="I1466" s="17">
        <f>C10</f>
        <v>769</v>
      </c>
      <c r="J1466" s="3" t="s">
        <v>233</v>
      </c>
      <c r="K1466" s="17">
        <f>(F1466*I1466)</f>
        <v>153.80000000000001</v>
      </c>
      <c r="M1466" s="81">
        <v>0</v>
      </c>
      <c r="N1466" s="15" t="s">
        <v>1</v>
      </c>
      <c r="O1466" s="3" t="s">
        <v>1727</v>
      </c>
      <c r="P1466" s="17">
        <f t="shared" si="197"/>
        <v>30</v>
      </c>
      <c r="Q1466" s="15" t="s">
        <v>1</v>
      </c>
      <c r="R1466" s="17">
        <f t="shared" si="198"/>
        <v>0</v>
      </c>
      <c r="T1466" s="6"/>
      <c r="U1466" s="157" t="s">
        <v>1789</v>
      </c>
      <c r="V1466" s="75" t="s">
        <v>1769</v>
      </c>
      <c r="W1466" s="8"/>
      <c r="AE1466" s="23">
        <f t="shared" si="183"/>
        <v>0</v>
      </c>
    </row>
    <row r="1467" spans="6:31" ht="24" customHeight="1">
      <c r="F1467" s="17">
        <v>0.2</v>
      </c>
      <c r="G1467" s="15" t="s">
        <v>233</v>
      </c>
      <c r="H1467" s="3" t="s">
        <v>956</v>
      </c>
      <c r="I1467" s="17">
        <f>C12</f>
        <v>502</v>
      </c>
      <c r="J1467" s="3" t="s">
        <v>233</v>
      </c>
      <c r="K1467" s="17">
        <f>(F1467*I1467)</f>
        <v>100.4</v>
      </c>
      <c r="M1467" s="81">
        <v>0</v>
      </c>
      <c r="N1467" s="15" t="s">
        <v>1</v>
      </c>
      <c r="O1467" s="3" t="s">
        <v>1728</v>
      </c>
      <c r="P1467" s="17">
        <f t="shared" si="197"/>
        <v>20</v>
      </c>
      <c r="Q1467" s="15" t="s">
        <v>1</v>
      </c>
      <c r="R1467" s="17">
        <f t="shared" si="198"/>
        <v>0</v>
      </c>
      <c r="S1467" s="49">
        <v>6.81</v>
      </c>
      <c r="T1467" s="15" t="s">
        <v>654</v>
      </c>
      <c r="U1467" s="3" t="s">
        <v>1711</v>
      </c>
      <c r="V1467" s="17">
        <f>V1443</f>
        <v>287</v>
      </c>
      <c r="W1467" s="15" t="s">
        <v>654</v>
      </c>
      <c r="X1467" s="17">
        <f>V1467*S1467</f>
        <v>1954.4699999999998</v>
      </c>
      <c r="AE1467" s="23">
        <f t="shared" si="183"/>
        <v>0</v>
      </c>
    </row>
    <row r="1468" spans="6:31" ht="24" customHeight="1">
      <c r="H1468" s="3" t="s">
        <v>236</v>
      </c>
      <c r="K1468" s="5">
        <v>0</v>
      </c>
      <c r="M1468" s="81">
        <v>0</v>
      </c>
      <c r="N1468" s="15" t="s">
        <v>1</v>
      </c>
      <c r="O1468" s="3" t="s">
        <v>1730</v>
      </c>
      <c r="P1468" s="17">
        <f t="shared" si="197"/>
        <v>15</v>
      </c>
      <c r="Q1468" s="15" t="s">
        <v>1</v>
      </c>
      <c r="R1468" s="17">
        <f t="shared" si="198"/>
        <v>0</v>
      </c>
      <c r="S1468" s="49">
        <v>0.77100000000000002</v>
      </c>
      <c r="T1468" s="15" t="s">
        <v>110</v>
      </c>
      <c r="U1468" s="3" t="s">
        <v>1717</v>
      </c>
      <c r="V1468" s="17">
        <f>V1444</f>
        <v>208.8</v>
      </c>
      <c r="W1468" s="15" t="s">
        <v>654</v>
      </c>
      <c r="X1468" s="17">
        <f>V1468*S1468</f>
        <v>160.98480000000001</v>
      </c>
      <c r="AE1468" s="23">
        <f t="shared" si="183"/>
        <v>0</v>
      </c>
    </row>
    <row r="1469" spans="6:31" ht="24" customHeight="1">
      <c r="K1469" s="12" t="s">
        <v>117</v>
      </c>
      <c r="M1469" s="81">
        <v>1.89</v>
      </c>
      <c r="N1469" s="15" t="s">
        <v>174</v>
      </c>
      <c r="O1469" s="3" t="s">
        <v>1731</v>
      </c>
      <c r="P1469" s="17">
        <f t="shared" si="197"/>
        <v>1540</v>
      </c>
      <c r="Q1469" s="15" t="s">
        <v>174</v>
      </c>
      <c r="R1469" s="17">
        <f t="shared" si="198"/>
        <v>2910.6</v>
      </c>
      <c r="S1469" s="49">
        <v>0.77100000000000002</v>
      </c>
      <c r="T1469" s="15" t="s">
        <v>110</v>
      </c>
      <c r="U1469" s="3" t="s">
        <v>1731</v>
      </c>
      <c r="V1469" s="17">
        <f>V1445</f>
        <v>1540</v>
      </c>
      <c r="W1469" s="15" t="s">
        <v>654</v>
      </c>
      <c r="X1469" s="17">
        <f>V1469*S1469</f>
        <v>1187.3399999999999</v>
      </c>
      <c r="AE1469" s="23">
        <f t="shared" si="183"/>
        <v>0</v>
      </c>
    </row>
    <row r="1470" spans="6:31" ht="24" customHeight="1">
      <c r="H1470" s="4" t="s">
        <v>1786</v>
      </c>
      <c r="K1470" s="17">
        <f>SUM(K1465:K1468)</f>
        <v>275.76139999999998</v>
      </c>
      <c r="N1470" s="6"/>
      <c r="O1470" s="3" t="s">
        <v>1733</v>
      </c>
      <c r="Q1470" s="10"/>
      <c r="R1470" s="17">
        <v>0.28000000000000003</v>
      </c>
      <c r="S1470" s="49"/>
      <c r="T1470" s="15"/>
      <c r="U1470" s="3"/>
      <c r="V1470" s="17"/>
      <c r="W1470" s="15"/>
      <c r="X1470" s="17">
        <f>SUM(X1467:X1469)</f>
        <v>3302.7947999999997</v>
      </c>
      <c r="AE1470" s="23">
        <f t="shared" ref="AE1470:AE1533" si="199">AG1470</f>
        <v>0</v>
      </c>
    </row>
    <row r="1471" spans="6:31" ht="24" customHeight="1">
      <c r="K1471" s="12" t="s">
        <v>117</v>
      </c>
      <c r="R1471" s="16">
        <f>SUM(R1458:R1470)</f>
        <v>6904.2660000000005</v>
      </c>
      <c r="S1471" s="49"/>
      <c r="T1471" s="15"/>
      <c r="U1471" s="14" t="s">
        <v>1772</v>
      </c>
      <c r="V1471" s="17"/>
      <c r="W1471" s="15"/>
      <c r="X1471" s="16">
        <f>X1470/S1469</f>
        <v>4283.780544747081</v>
      </c>
      <c r="AE1471" s="23">
        <f t="shared" si="199"/>
        <v>0</v>
      </c>
    </row>
    <row r="1472" spans="6:31" ht="24" customHeight="1">
      <c r="H1472" s="19" t="s">
        <v>1787</v>
      </c>
      <c r="I1472" s="50"/>
      <c r="J1472" s="59"/>
      <c r="K1472" s="16">
        <f>K1470/6.77</f>
        <v>40.732850812407683</v>
      </c>
      <c r="AE1472" s="23">
        <f t="shared" si="199"/>
        <v>0</v>
      </c>
    </row>
    <row r="1473" spans="6:31" ht="24" customHeight="1">
      <c r="K1473" s="12" t="s">
        <v>155</v>
      </c>
      <c r="AE1473" s="23">
        <f t="shared" si="199"/>
        <v>0</v>
      </c>
    </row>
    <row r="1474" spans="6:31" ht="24" customHeight="1">
      <c r="K1474" s="12"/>
      <c r="N1474" s="6"/>
      <c r="O1474" s="157" t="s">
        <v>1790</v>
      </c>
      <c r="P1474" s="1499" t="s">
        <v>1769</v>
      </c>
      <c r="Q1474" s="1499"/>
      <c r="R1474" s="1499"/>
      <c r="S1474" s="1500"/>
      <c r="T1474" s="1500"/>
      <c r="U1474" s="1500"/>
      <c r="V1474" s="194"/>
      <c r="W1474" s="194"/>
      <c r="AE1474" s="23">
        <f t="shared" si="199"/>
        <v>0</v>
      </c>
    </row>
    <row r="1475" spans="6:31" ht="24" customHeight="1">
      <c r="K1475" s="12"/>
      <c r="M1475" s="81">
        <v>4.67</v>
      </c>
      <c r="N1475" s="15" t="s">
        <v>654</v>
      </c>
      <c r="O1475" s="70" t="s">
        <v>1757</v>
      </c>
      <c r="P1475" s="17">
        <f>P1458</f>
        <v>287</v>
      </c>
      <c r="Q1475" s="15" t="s">
        <v>654</v>
      </c>
      <c r="R1475" s="17">
        <f>P1475*M1475</f>
        <v>1340.29</v>
      </c>
      <c r="S1475" s="81"/>
      <c r="T1475" s="15"/>
      <c r="U1475" s="3"/>
      <c r="V1475" s="17"/>
      <c r="W1475" s="15"/>
      <c r="X1475" s="17"/>
      <c r="AE1475" s="23">
        <f t="shared" si="199"/>
        <v>0</v>
      </c>
    </row>
    <row r="1476" spans="6:31" ht="24" customHeight="1">
      <c r="G1476" s="15" t="s">
        <v>1258</v>
      </c>
      <c r="H1476" s="3" t="s">
        <v>1791</v>
      </c>
      <c r="K1476" s="12"/>
      <c r="M1476" s="81">
        <v>0.54</v>
      </c>
      <c r="N1476" s="15" t="s">
        <v>110</v>
      </c>
      <c r="O1476" s="3" t="s">
        <v>1717</v>
      </c>
      <c r="P1476" s="45">
        <f>P1462</f>
        <v>208.8</v>
      </c>
      <c r="Q1476" s="15" t="s">
        <v>654</v>
      </c>
      <c r="R1476" s="17">
        <f>P1476*M1476</f>
        <v>112.75200000000001</v>
      </c>
      <c r="S1476" s="81"/>
      <c r="T1476" s="15"/>
      <c r="U1476" s="3"/>
      <c r="V1476" s="17"/>
      <c r="W1476" s="15"/>
      <c r="X1476" s="17"/>
      <c r="AE1476" s="23">
        <f t="shared" si="199"/>
        <v>0</v>
      </c>
    </row>
    <row r="1477" spans="6:31" ht="24" customHeight="1">
      <c r="G1477" s="15" t="s">
        <v>117</v>
      </c>
      <c r="H1477" s="12" t="s">
        <v>117</v>
      </c>
      <c r="K1477" s="12"/>
      <c r="M1477" s="81">
        <v>0.54</v>
      </c>
      <c r="N1477" s="15" t="s">
        <v>110</v>
      </c>
      <c r="O1477" s="3" t="s">
        <v>1731</v>
      </c>
      <c r="P1477" s="17">
        <f>P1469</f>
        <v>1540</v>
      </c>
      <c r="Q1477" s="15" t="s">
        <v>654</v>
      </c>
      <c r="R1477" s="17">
        <f>P1477*M1477</f>
        <v>831.6</v>
      </c>
      <c r="S1477" s="81"/>
      <c r="T1477" s="15"/>
      <c r="U1477" s="3"/>
      <c r="V1477" s="17"/>
      <c r="W1477" s="15"/>
      <c r="X1477" s="17"/>
      <c r="AE1477" s="23">
        <f t="shared" si="199"/>
        <v>0</v>
      </c>
    </row>
    <row r="1478" spans="6:31" ht="24" customHeight="1">
      <c r="F1478" s="81">
        <v>4.7000000000000002E-3</v>
      </c>
      <c r="G1478" s="15" t="s">
        <v>429</v>
      </c>
      <c r="H1478" s="3" t="s">
        <v>1783</v>
      </c>
      <c r="I1478" s="5">
        <f>K49</f>
        <v>3080.2</v>
      </c>
      <c r="J1478" s="3" t="s">
        <v>429</v>
      </c>
      <c r="K1478" s="17">
        <f>(F1478*I1478)</f>
        <v>14.476939999999999</v>
      </c>
      <c r="M1478" s="81"/>
      <c r="N1478" s="15"/>
      <c r="O1478" s="3"/>
      <c r="P1478" s="17"/>
      <c r="Q1478" s="15"/>
      <c r="R1478" s="17">
        <f>SUM(R1475:R1477)</f>
        <v>2284.6419999999998</v>
      </c>
      <c r="S1478" s="81"/>
      <c r="T1478" s="15"/>
      <c r="U1478" s="3"/>
      <c r="W1478" s="10"/>
      <c r="X1478" s="17"/>
      <c r="AE1478" s="23">
        <f t="shared" si="199"/>
        <v>0</v>
      </c>
    </row>
    <row r="1479" spans="6:31" ht="24" customHeight="1">
      <c r="F1479" s="17">
        <v>0.15</v>
      </c>
      <c r="G1479" s="15" t="s">
        <v>233</v>
      </c>
      <c r="H1479" s="3" t="s">
        <v>1784</v>
      </c>
      <c r="I1479" s="5">
        <f>C10</f>
        <v>769</v>
      </c>
      <c r="J1479" s="3" t="s">
        <v>233</v>
      </c>
      <c r="K1479" s="17">
        <f>(F1479*I1479)</f>
        <v>115.35</v>
      </c>
      <c r="M1479" s="81"/>
      <c r="N1479" s="15"/>
      <c r="O1479" s="14" t="s">
        <v>1772</v>
      </c>
      <c r="P1479" s="17"/>
      <c r="Q1479" s="15"/>
      <c r="R1479" s="16">
        <f>R1478/M1477</f>
        <v>4230.8185185185175</v>
      </c>
      <c r="S1479" s="81"/>
      <c r="T1479" s="15"/>
      <c r="U1479" s="3"/>
      <c r="V1479" s="17"/>
      <c r="W1479" s="15"/>
      <c r="X1479" s="16"/>
      <c r="AE1479" s="23">
        <f t="shared" si="199"/>
        <v>0</v>
      </c>
    </row>
    <row r="1480" spans="6:31" ht="24" customHeight="1">
      <c r="F1480" s="17">
        <v>0.15</v>
      </c>
      <c r="G1480" s="15" t="s">
        <v>233</v>
      </c>
      <c r="H1480" s="3" t="s">
        <v>956</v>
      </c>
      <c r="I1480" s="5">
        <f>C12</f>
        <v>502</v>
      </c>
      <c r="J1480" s="3" t="s">
        <v>233</v>
      </c>
      <c r="K1480" s="17">
        <f>(F1480*I1480)</f>
        <v>75.3</v>
      </c>
      <c r="M1480" s="81"/>
      <c r="N1480" s="15"/>
      <c r="O1480" s="3"/>
      <c r="P1480" s="17"/>
      <c r="Q1480" s="15"/>
      <c r="R1480" s="17"/>
      <c r="AE1480" s="23">
        <f t="shared" si="199"/>
        <v>0</v>
      </c>
    </row>
    <row r="1481" spans="6:31" ht="24" customHeight="1">
      <c r="H1481" s="3" t="s">
        <v>236</v>
      </c>
      <c r="K1481" s="5">
        <v>0</v>
      </c>
      <c r="N1481" s="6"/>
      <c r="O1481" s="157" t="s">
        <v>1792</v>
      </c>
      <c r="P1481" s="75" t="s">
        <v>1769</v>
      </c>
      <c r="Q1481" s="8"/>
      <c r="AE1481" s="23">
        <f t="shared" si="199"/>
        <v>0</v>
      </c>
    </row>
    <row r="1482" spans="6:31" ht="24" customHeight="1">
      <c r="K1482" s="12" t="s">
        <v>117</v>
      </c>
      <c r="M1482" s="81">
        <v>7.01</v>
      </c>
      <c r="N1482" s="15" t="s">
        <v>654</v>
      </c>
      <c r="O1482" s="70" t="s">
        <v>1757</v>
      </c>
      <c r="P1482" s="17">
        <f>P1475</f>
        <v>287</v>
      </c>
      <c r="Q1482" s="15" t="s">
        <v>654</v>
      </c>
      <c r="R1482" s="17">
        <f>P1482*M1482</f>
        <v>2011.87</v>
      </c>
      <c r="S1482" s="9">
        <f>0.3028*0.3028</f>
        <v>9.1687840000000007E-2</v>
      </c>
      <c r="T1482" s="5">
        <f>60*S1482</f>
        <v>5.5012704000000001</v>
      </c>
      <c r="U1482" s="5">
        <f>4.58/10</f>
        <v>0.45800000000000002</v>
      </c>
      <c r="AE1482" s="23">
        <f t="shared" si="199"/>
        <v>0</v>
      </c>
    </row>
    <row r="1483" spans="6:31" ht="24" customHeight="1">
      <c r="H1483" s="4" t="s">
        <v>1786</v>
      </c>
      <c r="K1483" s="17">
        <f>SUM(K1478:K1481)</f>
        <v>205.12693999999999</v>
      </c>
      <c r="M1483" s="81">
        <v>0.81</v>
      </c>
      <c r="N1483" s="15" t="s">
        <v>110</v>
      </c>
      <c r="O1483" s="3" t="s">
        <v>1717</v>
      </c>
      <c r="P1483" s="45">
        <f>P1476</f>
        <v>208.8</v>
      </c>
      <c r="Q1483" s="15" t="s">
        <v>654</v>
      </c>
      <c r="R1483" s="17">
        <f>P1483*M1483</f>
        <v>169.12800000000001</v>
      </c>
      <c r="AE1483" s="23">
        <f t="shared" si="199"/>
        <v>0</v>
      </c>
    </row>
    <row r="1484" spans="6:31" ht="24" customHeight="1">
      <c r="K1484" s="12" t="s">
        <v>117</v>
      </c>
      <c r="M1484" s="81">
        <v>0.81</v>
      </c>
      <c r="N1484" s="15" t="s">
        <v>110</v>
      </c>
      <c r="O1484" s="3" t="s">
        <v>1731</v>
      </c>
      <c r="P1484" s="17">
        <f>P1477</f>
        <v>1540</v>
      </c>
      <c r="Q1484" s="15" t="s">
        <v>654</v>
      </c>
      <c r="R1484" s="17">
        <f>P1484*M1484</f>
        <v>1247.4000000000001</v>
      </c>
      <c r="AE1484" s="23">
        <f t="shared" si="199"/>
        <v>0</v>
      </c>
    </row>
    <row r="1485" spans="6:31" ht="24" customHeight="1">
      <c r="H1485" s="19" t="s">
        <v>1787</v>
      </c>
      <c r="I1485" s="50"/>
      <c r="J1485" s="59"/>
      <c r="K1485" s="16">
        <f>K1483/6.77</f>
        <v>30.299400295420977</v>
      </c>
      <c r="M1485" s="81"/>
      <c r="N1485" s="15"/>
      <c r="O1485" s="3"/>
      <c r="P1485" s="17"/>
      <c r="Q1485" s="15"/>
      <c r="R1485" s="17">
        <f>SUM(R1482:R1484)+0.68</f>
        <v>3429.078</v>
      </c>
      <c r="AE1485" s="23">
        <f t="shared" si="199"/>
        <v>0</v>
      </c>
    </row>
    <row r="1486" spans="6:31" ht="24" customHeight="1">
      <c r="K1486" s="12" t="s">
        <v>155</v>
      </c>
      <c r="M1486" s="81"/>
      <c r="N1486" s="15"/>
      <c r="O1486" s="14" t="s">
        <v>1772</v>
      </c>
      <c r="P1486" s="17"/>
      <c r="Q1486" s="15"/>
      <c r="R1486" s="16">
        <f>R1485/M1484</f>
        <v>4233.4296296296297</v>
      </c>
      <c r="AE1486" s="23">
        <f t="shared" si="199"/>
        <v>0</v>
      </c>
    </row>
    <row r="1487" spans="6:31" ht="24" customHeight="1">
      <c r="K1487" s="12"/>
      <c r="N1487" s="6"/>
      <c r="O1487" s="3"/>
      <c r="Q1487" s="10"/>
      <c r="R1487" s="17"/>
      <c r="AE1487" s="23">
        <f t="shared" si="199"/>
        <v>0</v>
      </c>
    </row>
    <row r="1488" spans="6:31" ht="24" customHeight="1">
      <c r="F1488" s="51">
        <v>37.1</v>
      </c>
      <c r="G1488" s="15" t="s">
        <v>122</v>
      </c>
      <c r="H1488" s="3" t="s">
        <v>1793</v>
      </c>
      <c r="N1488" s="6"/>
      <c r="O1488" s="157" t="s">
        <v>1794</v>
      </c>
      <c r="Q1488" s="8"/>
      <c r="AE1488" s="23">
        <f t="shared" si="199"/>
        <v>0</v>
      </c>
    </row>
    <row r="1489" spans="6:31" ht="24" customHeight="1">
      <c r="H1489" s="12" t="s">
        <v>117</v>
      </c>
      <c r="M1489" s="81">
        <v>4.42</v>
      </c>
      <c r="N1489" s="15" t="s">
        <v>654</v>
      </c>
      <c r="O1489" s="70" t="s">
        <v>1757</v>
      </c>
      <c r="P1489" s="17">
        <f>P1458</f>
        <v>287</v>
      </c>
      <c r="Q1489" s="15" t="s">
        <v>654</v>
      </c>
      <c r="R1489" s="17">
        <f>P1489*M1489</f>
        <v>1268.54</v>
      </c>
      <c r="AE1489" s="23">
        <f t="shared" si="199"/>
        <v>0</v>
      </c>
    </row>
    <row r="1490" spans="6:31" ht="24" customHeight="1">
      <c r="F1490" s="17">
        <v>0.09</v>
      </c>
      <c r="G1490" s="15" t="s">
        <v>126</v>
      </c>
      <c r="H1490" s="3" t="s">
        <v>508</v>
      </c>
      <c r="I1490" s="17">
        <f>(C84)</f>
        <v>1297</v>
      </c>
      <c r="J1490" s="3" t="s">
        <v>126</v>
      </c>
      <c r="K1490" s="17">
        <f>(F1490*I1490)</f>
        <v>116.72999999999999</v>
      </c>
      <c r="M1490" s="81">
        <v>4.72</v>
      </c>
      <c r="N1490" s="15" t="s">
        <v>654</v>
      </c>
      <c r="O1490" s="70" t="s">
        <v>1757</v>
      </c>
      <c r="P1490" s="17">
        <f t="shared" ref="P1490:P1500" si="200">P1459</f>
        <v>287</v>
      </c>
      <c r="Q1490" s="15" t="s">
        <v>654</v>
      </c>
      <c r="R1490" s="17">
        <f t="shared" ref="R1490:R1500" si="201">P1490*M1490</f>
        <v>1354.6399999999999</v>
      </c>
      <c r="AE1490" s="23">
        <f t="shared" si="199"/>
        <v>0</v>
      </c>
    </row>
    <row r="1491" spans="6:31" ht="24" customHeight="1">
      <c r="F1491" s="17">
        <v>2.2000000000000002</v>
      </c>
      <c r="G1491" s="15" t="s">
        <v>209</v>
      </c>
      <c r="H1491" s="3" t="s">
        <v>145</v>
      </c>
      <c r="I1491" s="17">
        <f>(C11)</f>
        <v>718</v>
      </c>
      <c r="J1491" s="3" t="s">
        <v>209</v>
      </c>
      <c r="K1491" s="17">
        <f>(F1491*I1491)</f>
        <v>1579.6000000000001</v>
      </c>
      <c r="M1491" s="81">
        <v>9.06</v>
      </c>
      <c r="N1491" s="15" t="s">
        <v>654</v>
      </c>
      <c r="O1491" s="3" t="s">
        <v>1711</v>
      </c>
      <c r="P1491" s="17">
        <f t="shared" si="200"/>
        <v>287</v>
      </c>
      <c r="Q1491" s="15" t="s">
        <v>654</v>
      </c>
      <c r="R1491" s="17">
        <f t="shared" si="201"/>
        <v>2600.2200000000003</v>
      </c>
      <c r="AE1491" s="23">
        <f t="shared" si="199"/>
        <v>0</v>
      </c>
    </row>
    <row r="1492" spans="6:31" ht="24" customHeight="1">
      <c r="F1492" s="17">
        <v>0.5</v>
      </c>
      <c r="G1492" s="15" t="s">
        <v>209</v>
      </c>
      <c r="H1492" s="3" t="s">
        <v>146</v>
      </c>
      <c r="I1492" s="17">
        <f>(C12)</f>
        <v>502</v>
      </c>
      <c r="J1492" s="3" t="s">
        <v>209</v>
      </c>
      <c r="K1492" s="17">
        <f>(F1492*I1492)</f>
        <v>251</v>
      </c>
      <c r="M1492" s="81">
        <v>1.58</v>
      </c>
      <c r="N1492" s="15" t="s">
        <v>654</v>
      </c>
      <c r="O1492" s="3" t="s">
        <v>1711</v>
      </c>
      <c r="P1492" s="17">
        <f t="shared" si="200"/>
        <v>287</v>
      </c>
      <c r="Q1492" s="15" t="s">
        <v>654</v>
      </c>
      <c r="R1492" s="17">
        <f t="shared" si="201"/>
        <v>453.46000000000004</v>
      </c>
      <c r="AE1492" s="23">
        <f t="shared" si="199"/>
        <v>0</v>
      </c>
    </row>
    <row r="1493" spans="6:31" ht="24" customHeight="1">
      <c r="F1493" s="17">
        <v>3.8</v>
      </c>
      <c r="G1493" s="15" t="s">
        <v>209</v>
      </c>
      <c r="H1493" s="3" t="s">
        <v>147</v>
      </c>
      <c r="I1493" s="17">
        <f>(C13)</f>
        <v>412</v>
      </c>
      <c r="J1493" s="3" t="s">
        <v>209</v>
      </c>
      <c r="K1493" s="17">
        <f>(F1493*I1493)</f>
        <v>1565.6</v>
      </c>
      <c r="M1493" s="81">
        <v>1.65</v>
      </c>
      <c r="N1493" s="15" t="s">
        <v>110</v>
      </c>
      <c r="O1493" s="3" t="s">
        <v>1717</v>
      </c>
      <c r="P1493" s="17">
        <f t="shared" si="200"/>
        <v>208.8</v>
      </c>
      <c r="Q1493" s="15" t="s">
        <v>110</v>
      </c>
      <c r="R1493" s="17">
        <f t="shared" si="201"/>
        <v>344.52</v>
      </c>
      <c r="AE1493" s="23">
        <f t="shared" si="199"/>
        <v>0</v>
      </c>
    </row>
    <row r="1494" spans="6:31" ht="24" customHeight="1">
      <c r="G1494" s="15" t="s">
        <v>129</v>
      </c>
      <c r="H1494" s="3" t="s">
        <v>1795</v>
      </c>
      <c r="I1494" s="3" t="s">
        <v>115</v>
      </c>
      <c r="J1494" s="3" t="s">
        <v>129</v>
      </c>
      <c r="K1494" s="17">
        <v>1.5</v>
      </c>
      <c r="M1494" s="81">
        <v>12.74</v>
      </c>
      <c r="N1494" s="15" t="s">
        <v>231</v>
      </c>
      <c r="O1494" s="3" t="str">
        <f>O1463</f>
        <v>rubber beeding P-41/64</v>
      </c>
      <c r="P1494" s="17">
        <f t="shared" si="200"/>
        <v>28.6</v>
      </c>
      <c r="Q1494" s="15" t="s">
        <v>231</v>
      </c>
      <c r="R1494" s="17">
        <f t="shared" si="201"/>
        <v>364.36400000000003</v>
      </c>
      <c r="AE1494" s="23">
        <f t="shared" si="199"/>
        <v>0</v>
      </c>
    </row>
    <row r="1495" spans="6:31" ht="24" customHeight="1">
      <c r="K1495" s="12" t="s">
        <v>117</v>
      </c>
      <c r="M1495" s="81">
        <v>12</v>
      </c>
      <c r="N1495" s="15" t="s">
        <v>1</v>
      </c>
      <c r="O1495" s="3" t="str">
        <f>O1464</f>
        <v>hinges 75mm x 30 mm P-41/77 b</v>
      </c>
      <c r="P1495" s="17">
        <f t="shared" si="200"/>
        <v>63.5</v>
      </c>
      <c r="Q1495" s="15" t="s">
        <v>1</v>
      </c>
      <c r="R1495" s="17">
        <f t="shared" si="201"/>
        <v>762</v>
      </c>
      <c r="AE1495" s="23">
        <f t="shared" si="199"/>
        <v>0</v>
      </c>
    </row>
    <row r="1496" spans="6:31" ht="24" customHeight="1">
      <c r="H1496" s="3" t="s">
        <v>771</v>
      </c>
      <c r="K1496" s="17">
        <f>SUM(K1489:K1494)</f>
        <v>3514.4300000000003</v>
      </c>
      <c r="M1496" s="81">
        <v>6</v>
      </c>
      <c r="N1496" s="15" t="s">
        <v>1</v>
      </c>
      <c r="O1496" s="3" t="str">
        <f>O1465</f>
        <v>handle 150 mm long p-42 /80b</v>
      </c>
      <c r="P1496" s="17">
        <f t="shared" si="200"/>
        <v>50.9</v>
      </c>
      <c r="Q1496" s="15" t="s">
        <v>1</v>
      </c>
      <c r="R1496" s="17">
        <f t="shared" si="201"/>
        <v>305.39999999999998</v>
      </c>
      <c r="AE1496" s="23">
        <f t="shared" si="199"/>
        <v>0</v>
      </c>
    </row>
    <row r="1497" spans="6:31" ht="24" customHeight="1">
      <c r="K1497" s="12" t="s">
        <v>117</v>
      </c>
      <c r="M1497" s="81">
        <v>6</v>
      </c>
      <c r="N1497" s="15" t="s">
        <v>1</v>
      </c>
      <c r="O1497" s="3" t="s">
        <v>1727</v>
      </c>
      <c r="P1497" s="17">
        <f t="shared" si="200"/>
        <v>30</v>
      </c>
      <c r="Q1497" s="15" t="s">
        <v>1</v>
      </c>
      <c r="R1497" s="17">
        <f t="shared" si="201"/>
        <v>180</v>
      </c>
      <c r="AE1497" s="23">
        <f t="shared" si="199"/>
        <v>0</v>
      </c>
    </row>
    <row r="1498" spans="6:31" ht="24" customHeight="1">
      <c r="H1498" s="19" t="s">
        <v>154</v>
      </c>
      <c r="I1498" s="50"/>
      <c r="J1498" s="59"/>
      <c r="K1498" s="16">
        <f>(K1496/100)</f>
        <v>35.144300000000001</v>
      </c>
      <c r="M1498" s="81">
        <v>6</v>
      </c>
      <c r="N1498" s="15" t="s">
        <v>1</v>
      </c>
      <c r="O1498" s="3" t="s">
        <v>1728</v>
      </c>
      <c r="P1498" s="17">
        <f t="shared" si="200"/>
        <v>20</v>
      </c>
      <c r="Q1498" s="15" t="s">
        <v>1</v>
      </c>
      <c r="R1498" s="17">
        <f t="shared" si="201"/>
        <v>120</v>
      </c>
      <c r="AE1498" s="23">
        <f t="shared" si="199"/>
        <v>0</v>
      </c>
    </row>
    <row r="1499" spans="6:31" ht="24" customHeight="1">
      <c r="K1499" s="12" t="s">
        <v>155</v>
      </c>
      <c r="M1499" s="81">
        <v>4</v>
      </c>
      <c r="N1499" s="15" t="s">
        <v>1</v>
      </c>
      <c r="O1499" s="3" t="s">
        <v>1730</v>
      </c>
      <c r="P1499" s="17">
        <f t="shared" si="200"/>
        <v>15</v>
      </c>
      <c r="Q1499" s="15" t="s">
        <v>1</v>
      </c>
      <c r="R1499" s="17">
        <f t="shared" si="201"/>
        <v>60</v>
      </c>
      <c r="AE1499" s="23">
        <f t="shared" si="199"/>
        <v>0</v>
      </c>
    </row>
    <row r="1500" spans="6:31" ht="24" customHeight="1">
      <c r="F1500" s="4" t="s">
        <v>1796</v>
      </c>
      <c r="G1500" s="15" t="s">
        <v>122</v>
      </c>
      <c r="H1500" s="3" t="s">
        <v>1797</v>
      </c>
      <c r="M1500" s="81">
        <f>1.5*1.35</f>
        <v>2.0250000000000004</v>
      </c>
      <c r="N1500" s="15" t="s">
        <v>174</v>
      </c>
      <c r="O1500" s="3" t="s">
        <v>1731</v>
      </c>
      <c r="P1500" s="17">
        <f t="shared" si="200"/>
        <v>1540</v>
      </c>
      <c r="Q1500" s="15" t="s">
        <v>174</v>
      </c>
      <c r="R1500" s="17">
        <f t="shared" si="201"/>
        <v>3118.5000000000005</v>
      </c>
      <c r="AE1500" s="23">
        <f t="shared" si="199"/>
        <v>0</v>
      </c>
    </row>
    <row r="1501" spans="6:31" ht="24" customHeight="1">
      <c r="H1501" s="3" t="s">
        <v>1798</v>
      </c>
      <c r="N1501" s="6"/>
      <c r="O1501" s="3" t="s">
        <v>1733</v>
      </c>
      <c r="Q1501" s="10"/>
      <c r="R1501" s="17">
        <v>0.31</v>
      </c>
      <c r="AE1501" s="23">
        <f t="shared" si="199"/>
        <v>0</v>
      </c>
    </row>
    <row r="1502" spans="6:31" ht="24" customHeight="1">
      <c r="H1502" s="3" t="s">
        <v>1799</v>
      </c>
      <c r="R1502" s="16">
        <f>SUM(R1489:R1501)</f>
        <v>10931.953999999998</v>
      </c>
      <c r="AE1502" s="23">
        <f t="shared" si="199"/>
        <v>0</v>
      </c>
    </row>
    <row r="1503" spans="6:31" ht="24" customHeight="1">
      <c r="H1503" s="3" t="s">
        <v>1800</v>
      </c>
      <c r="AE1503" s="23">
        <f t="shared" si="199"/>
        <v>0</v>
      </c>
    </row>
    <row r="1504" spans="6:31" ht="24" customHeight="1">
      <c r="H1504" s="12" t="s">
        <v>117</v>
      </c>
      <c r="AE1504" s="23">
        <f t="shared" si="199"/>
        <v>0</v>
      </c>
    </row>
    <row r="1505" spans="6:31" ht="24" customHeight="1">
      <c r="F1505" s="17">
        <v>4.8</v>
      </c>
      <c r="G1505" s="15" t="s">
        <v>148</v>
      </c>
      <c r="H1505" s="3" t="s">
        <v>1801</v>
      </c>
      <c r="I1505" s="17">
        <f>(C271)</f>
        <v>48.95</v>
      </c>
      <c r="J1505" s="3" t="s">
        <v>148</v>
      </c>
      <c r="K1505" s="17">
        <f>(F1505*I1505)</f>
        <v>234.96</v>
      </c>
      <c r="AE1505" s="23">
        <f t="shared" si="199"/>
        <v>0</v>
      </c>
    </row>
    <row r="1506" spans="6:31" ht="24" customHeight="1">
      <c r="F1506" s="17">
        <v>0.75</v>
      </c>
      <c r="G1506" s="15" t="s">
        <v>209</v>
      </c>
      <c r="H1506" s="3" t="s">
        <v>1802</v>
      </c>
      <c r="I1506" s="17">
        <f>(C14)</f>
        <v>615</v>
      </c>
      <c r="J1506" s="3" t="s">
        <v>209</v>
      </c>
      <c r="K1506" s="17">
        <f>(F1506*I1506)</f>
        <v>461.25</v>
      </c>
      <c r="AE1506" s="23">
        <f t="shared" si="199"/>
        <v>0</v>
      </c>
    </row>
    <row r="1507" spans="6:31" ht="24" customHeight="1">
      <c r="F1507" s="17">
        <v>0.75</v>
      </c>
      <c r="G1507" s="15" t="s">
        <v>209</v>
      </c>
      <c r="H1507" s="3" t="s">
        <v>1628</v>
      </c>
      <c r="I1507" s="17">
        <f>(C12)</f>
        <v>502</v>
      </c>
      <c r="J1507" s="3" t="s">
        <v>209</v>
      </c>
      <c r="K1507" s="17">
        <f>(F1507*I1507)</f>
        <v>376.5</v>
      </c>
      <c r="AE1507" s="23">
        <f t="shared" si="199"/>
        <v>0</v>
      </c>
    </row>
    <row r="1508" spans="6:31" ht="24" customHeight="1">
      <c r="F1508" s="17">
        <v>1.2</v>
      </c>
      <c r="G1508" s="15" t="s">
        <v>209</v>
      </c>
      <c r="H1508" s="3" t="s">
        <v>147</v>
      </c>
      <c r="I1508" s="17">
        <f>(C13)</f>
        <v>412</v>
      </c>
      <c r="J1508" s="3" t="s">
        <v>209</v>
      </c>
      <c r="K1508" s="17">
        <f>(F1508*I1508)</f>
        <v>494.4</v>
      </c>
      <c r="AE1508" s="23">
        <f t="shared" si="199"/>
        <v>0</v>
      </c>
    </row>
    <row r="1509" spans="6:31" ht="24" customHeight="1">
      <c r="G1509" s="15" t="s">
        <v>129</v>
      </c>
      <c r="H1509" s="3" t="s">
        <v>769</v>
      </c>
      <c r="I1509" s="3" t="s">
        <v>115</v>
      </c>
      <c r="J1509" s="3" t="s">
        <v>129</v>
      </c>
      <c r="K1509" s="17">
        <v>1.5</v>
      </c>
      <c r="AE1509" s="23">
        <f t="shared" si="199"/>
        <v>0</v>
      </c>
    </row>
    <row r="1510" spans="6:31" ht="24" customHeight="1">
      <c r="K1510" s="12" t="s">
        <v>117</v>
      </c>
      <c r="AE1510" s="23">
        <f t="shared" si="199"/>
        <v>0</v>
      </c>
    </row>
    <row r="1511" spans="6:31" ht="24" customHeight="1">
      <c r="H1511" s="3" t="s">
        <v>153</v>
      </c>
      <c r="K1511" s="17">
        <f>SUM(K1505:K1509)</f>
        <v>1568.6100000000001</v>
      </c>
      <c r="AE1511" s="23">
        <f t="shared" si="199"/>
        <v>0</v>
      </c>
    </row>
    <row r="1512" spans="6:31" ht="24" customHeight="1">
      <c r="K1512" s="12" t="s">
        <v>117</v>
      </c>
      <c r="AE1512" s="23">
        <f t="shared" si="199"/>
        <v>0</v>
      </c>
    </row>
    <row r="1513" spans="6:31" ht="24" customHeight="1">
      <c r="H1513" s="19" t="s">
        <v>154</v>
      </c>
      <c r="I1513" s="50"/>
      <c r="J1513" s="59"/>
      <c r="K1513" s="16">
        <f>(K1511/10)</f>
        <v>156.86100000000002</v>
      </c>
      <c r="AE1513" s="23">
        <f t="shared" si="199"/>
        <v>0</v>
      </c>
    </row>
    <row r="1514" spans="6:31" ht="24" customHeight="1">
      <c r="K1514" s="12" t="s">
        <v>155</v>
      </c>
      <c r="AE1514" s="23">
        <f t="shared" si="199"/>
        <v>0</v>
      </c>
    </row>
    <row r="1515" spans="6:31" ht="24" customHeight="1">
      <c r="F1515" s="4" t="s">
        <v>1803</v>
      </c>
      <c r="G1515" s="15" t="s">
        <v>122</v>
      </c>
      <c r="H1515" s="4" t="s">
        <v>1804</v>
      </c>
      <c r="AE1515" s="23">
        <f t="shared" si="199"/>
        <v>0</v>
      </c>
    </row>
    <row r="1516" spans="6:31" ht="24" customHeight="1">
      <c r="H1516" s="4" t="s">
        <v>777</v>
      </c>
      <c r="M1516" s="4"/>
      <c r="N1516" s="15" t="s">
        <v>122</v>
      </c>
      <c r="O1516" s="3" t="s">
        <v>1805</v>
      </c>
      <c r="Q1516" s="8"/>
      <c r="AE1516" s="23">
        <f t="shared" si="199"/>
        <v>0</v>
      </c>
    </row>
    <row r="1517" spans="6:31" ht="24" customHeight="1">
      <c r="F1517" s="17">
        <v>3.08</v>
      </c>
      <c r="G1517" s="15" t="s">
        <v>1806</v>
      </c>
      <c r="H1517" s="3" t="s">
        <v>1807</v>
      </c>
      <c r="I1517" s="17">
        <f>E271</f>
        <v>155</v>
      </c>
      <c r="J1517" s="3" t="s">
        <v>1806</v>
      </c>
      <c r="K1517" s="17">
        <f>(F1517*I1517)</f>
        <v>477.40000000000003</v>
      </c>
      <c r="N1517" s="6"/>
      <c r="O1517" s="3" t="s">
        <v>1798</v>
      </c>
      <c r="Q1517" s="8"/>
      <c r="AE1517" s="23">
        <f t="shared" si="199"/>
        <v>0</v>
      </c>
    </row>
    <row r="1518" spans="6:31" ht="24" customHeight="1">
      <c r="F1518" s="17">
        <v>0.5</v>
      </c>
      <c r="G1518" s="15" t="s">
        <v>233</v>
      </c>
      <c r="H1518" s="3" t="s">
        <v>1808</v>
      </c>
      <c r="I1518" s="17">
        <f>C14</f>
        <v>615</v>
      </c>
      <c r="J1518" s="3" t="s">
        <v>233</v>
      </c>
      <c r="K1518" s="17">
        <f>(F1518*I1518)</f>
        <v>307.5</v>
      </c>
      <c r="N1518" s="6"/>
      <c r="O1518" s="3" t="s">
        <v>1799</v>
      </c>
      <c r="Q1518" s="8"/>
      <c r="AE1518" s="23">
        <f t="shared" si="199"/>
        <v>0</v>
      </c>
    </row>
    <row r="1519" spans="6:31" ht="24" customHeight="1">
      <c r="F1519" s="17">
        <v>0.5</v>
      </c>
      <c r="G1519" s="15" t="s">
        <v>233</v>
      </c>
      <c r="H1519" s="3" t="s">
        <v>956</v>
      </c>
      <c r="I1519" s="17">
        <f>C12</f>
        <v>502</v>
      </c>
      <c r="J1519" s="3" t="s">
        <v>233</v>
      </c>
      <c r="K1519" s="17">
        <f>(F1519*I1519)</f>
        <v>251</v>
      </c>
      <c r="N1519" s="6"/>
      <c r="O1519" s="3" t="s">
        <v>1800</v>
      </c>
      <c r="Q1519" s="8"/>
      <c r="AE1519" s="23">
        <f t="shared" si="199"/>
        <v>0</v>
      </c>
    </row>
    <row r="1520" spans="6:31" ht="24" customHeight="1">
      <c r="F1520" s="17">
        <v>0.8</v>
      </c>
      <c r="G1520" s="15" t="s">
        <v>233</v>
      </c>
      <c r="H1520" s="3" t="s">
        <v>1809</v>
      </c>
      <c r="I1520" s="17">
        <f>C13</f>
        <v>412</v>
      </c>
      <c r="J1520" s="3" t="s">
        <v>233</v>
      </c>
      <c r="K1520" s="17">
        <f>(F1520*I1520)</f>
        <v>329.6</v>
      </c>
      <c r="N1520" s="6"/>
      <c r="O1520" s="12" t="s">
        <v>117</v>
      </c>
      <c r="Q1520" s="8"/>
      <c r="AE1520" s="23">
        <f t="shared" si="199"/>
        <v>0</v>
      </c>
    </row>
    <row r="1521" spans="6:31" ht="24" customHeight="1">
      <c r="G1521" s="15" t="s">
        <v>129</v>
      </c>
      <c r="H1521" s="3" t="s">
        <v>769</v>
      </c>
      <c r="J1521" s="3" t="s">
        <v>129</v>
      </c>
      <c r="K1521" s="17">
        <v>1.5</v>
      </c>
      <c r="M1521" s="17">
        <v>2.1800000000000002</v>
      </c>
      <c r="N1521" s="15" t="s">
        <v>148</v>
      </c>
      <c r="O1521" s="3" t="s">
        <v>1810</v>
      </c>
      <c r="P1521" s="17">
        <v>70</v>
      </c>
      <c r="Q1521" s="3" t="s">
        <v>148</v>
      </c>
      <c r="R1521" s="17">
        <f>M1521*P1521</f>
        <v>152.60000000000002</v>
      </c>
      <c r="AE1521" s="23">
        <f t="shared" si="199"/>
        <v>0</v>
      </c>
    </row>
    <row r="1522" spans="6:31" ht="24" customHeight="1">
      <c r="M1522" s="17">
        <v>0.75</v>
      </c>
      <c r="N1522" s="15" t="s">
        <v>209</v>
      </c>
      <c r="O1522" s="3" t="s">
        <v>1802</v>
      </c>
      <c r="P1522" s="17">
        <f>C14</f>
        <v>615</v>
      </c>
      <c r="Q1522" s="3" t="s">
        <v>209</v>
      </c>
      <c r="R1522" s="17">
        <f>M1522*P1522</f>
        <v>461.25</v>
      </c>
      <c r="AE1522" s="23">
        <f t="shared" si="199"/>
        <v>0</v>
      </c>
    </row>
    <row r="1523" spans="6:31" ht="24" customHeight="1">
      <c r="K1523" s="12" t="s">
        <v>117</v>
      </c>
      <c r="M1523" s="17">
        <v>0.75</v>
      </c>
      <c r="N1523" s="15" t="s">
        <v>209</v>
      </c>
      <c r="O1523" s="3" t="s">
        <v>1628</v>
      </c>
      <c r="P1523" s="17">
        <f>C12</f>
        <v>502</v>
      </c>
      <c r="Q1523" s="3" t="s">
        <v>209</v>
      </c>
      <c r="R1523" s="17">
        <f>M1523*P1523</f>
        <v>376.5</v>
      </c>
      <c r="AE1523" s="23">
        <f t="shared" si="199"/>
        <v>0</v>
      </c>
    </row>
    <row r="1524" spans="6:31" ht="24" customHeight="1">
      <c r="H1524" s="4" t="s">
        <v>1811</v>
      </c>
      <c r="K1524" s="17">
        <f>SUM(K1517:K1521)</f>
        <v>1367</v>
      </c>
      <c r="M1524" s="17">
        <v>1.2</v>
      </c>
      <c r="N1524" s="15" t="s">
        <v>209</v>
      </c>
      <c r="O1524" s="3" t="s">
        <v>147</v>
      </c>
      <c r="P1524" s="17">
        <f>C13</f>
        <v>412</v>
      </c>
      <c r="Q1524" s="3" t="s">
        <v>209</v>
      </c>
      <c r="R1524" s="17">
        <f>M1524*P1524</f>
        <v>494.4</v>
      </c>
      <c r="AE1524" s="23">
        <f t="shared" si="199"/>
        <v>0</v>
      </c>
    </row>
    <row r="1525" spans="6:31" ht="24" customHeight="1">
      <c r="K1525" s="12" t="s">
        <v>117</v>
      </c>
      <c r="N1525" s="15" t="s">
        <v>129</v>
      </c>
      <c r="O1525" s="3" t="s">
        <v>769</v>
      </c>
      <c r="P1525" s="3" t="s">
        <v>115</v>
      </c>
      <c r="Q1525" s="3" t="s">
        <v>129</v>
      </c>
      <c r="R1525" s="17">
        <v>1.5</v>
      </c>
      <c r="AE1525" s="23">
        <f t="shared" si="199"/>
        <v>0</v>
      </c>
    </row>
    <row r="1526" spans="6:31" ht="24" customHeight="1">
      <c r="F1526" s="3" t="s">
        <v>115</v>
      </c>
      <c r="G1526" s="15" t="s">
        <v>115</v>
      </c>
      <c r="H1526" s="19" t="s">
        <v>239</v>
      </c>
      <c r="I1526" s="7" t="s">
        <v>115</v>
      </c>
      <c r="J1526" s="7" t="s">
        <v>115</v>
      </c>
      <c r="K1526" s="16">
        <f>K1524/10</f>
        <v>136.69999999999999</v>
      </c>
      <c r="N1526" s="6"/>
      <c r="Q1526" s="8"/>
      <c r="R1526" s="12" t="s">
        <v>117</v>
      </c>
      <c r="AE1526" s="23">
        <f t="shared" si="199"/>
        <v>0</v>
      </c>
    </row>
    <row r="1527" spans="6:31" ht="24" customHeight="1">
      <c r="K1527" s="12" t="s">
        <v>155</v>
      </c>
      <c r="N1527" s="6"/>
      <c r="O1527" s="3" t="s">
        <v>153</v>
      </c>
      <c r="Q1527" s="8"/>
      <c r="R1527" s="17">
        <f>SUM(R1521:R1525)</f>
        <v>1486.25</v>
      </c>
      <c r="AE1527" s="23">
        <f t="shared" si="199"/>
        <v>0</v>
      </c>
    </row>
    <row r="1528" spans="6:31" ht="24" customHeight="1">
      <c r="F1528" s="4" t="s">
        <v>1690</v>
      </c>
      <c r="G1528" s="15" t="s">
        <v>122</v>
      </c>
      <c r="H1528" s="3" t="s">
        <v>1812</v>
      </c>
      <c r="N1528" s="6"/>
      <c r="Q1528" s="8"/>
      <c r="R1528" s="12" t="s">
        <v>117</v>
      </c>
      <c r="AE1528" s="23">
        <f t="shared" si="199"/>
        <v>0</v>
      </c>
    </row>
    <row r="1529" spans="6:31" ht="24" customHeight="1">
      <c r="H1529" s="3" t="s">
        <v>184</v>
      </c>
      <c r="N1529" s="6"/>
      <c r="O1529" s="3" t="s">
        <v>154</v>
      </c>
      <c r="Q1529" s="8"/>
      <c r="R1529" s="17">
        <f>(R1527/10)</f>
        <v>148.625</v>
      </c>
      <c r="AE1529" s="23">
        <f t="shared" si="199"/>
        <v>0</v>
      </c>
    </row>
    <row r="1530" spans="6:31" ht="24" customHeight="1">
      <c r="H1530" s="3" t="s">
        <v>1813</v>
      </c>
      <c r="N1530" s="6"/>
      <c r="Q1530" s="8"/>
      <c r="R1530" s="12" t="s">
        <v>155</v>
      </c>
      <c r="AE1530" s="23">
        <f t="shared" si="199"/>
        <v>0</v>
      </c>
    </row>
    <row r="1531" spans="6:31" ht="24" customHeight="1">
      <c r="H1531" s="12" t="s">
        <v>117</v>
      </c>
      <c r="L1531" s="195"/>
      <c r="M1531" s="196"/>
      <c r="N1531" s="1501" t="s">
        <v>1814</v>
      </c>
      <c r="O1531" s="1501"/>
      <c r="P1531" s="1501"/>
      <c r="Q1531" s="1501"/>
      <c r="R1531" s="1501"/>
      <c r="AE1531" s="23">
        <f t="shared" si="199"/>
        <v>0</v>
      </c>
    </row>
    <row r="1532" spans="6:31" ht="24" customHeight="1">
      <c r="F1532" s="17">
        <v>1.44</v>
      </c>
      <c r="G1532" s="15" t="s">
        <v>171</v>
      </c>
      <c r="H1532" s="3" t="s">
        <v>1815</v>
      </c>
      <c r="I1532" s="17">
        <f>(C196)</f>
        <v>144.69999999999999</v>
      </c>
      <c r="J1532" s="3" t="s">
        <v>171</v>
      </c>
      <c r="K1532" s="17">
        <f>(F1532*I1532)</f>
        <v>208.36799999999997</v>
      </c>
      <c r="L1532" s="197"/>
      <c r="M1532" s="198"/>
      <c r="N1532" s="199"/>
      <c r="O1532" s="200" t="s">
        <v>1816</v>
      </c>
      <c r="P1532" s="201"/>
      <c r="Q1532" s="199"/>
      <c r="R1532" s="201"/>
      <c r="AE1532" s="23">
        <f t="shared" si="199"/>
        <v>0</v>
      </c>
    </row>
    <row r="1533" spans="6:31" ht="24" customHeight="1">
      <c r="F1533" s="17">
        <v>0.7</v>
      </c>
      <c r="G1533" s="15" t="s">
        <v>1</v>
      </c>
      <c r="H1533" s="3" t="s">
        <v>181</v>
      </c>
      <c r="I1533" s="17">
        <f>(C14)</f>
        <v>615</v>
      </c>
      <c r="J1533" s="3" t="s">
        <v>1</v>
      </c>
      <c r="K1533" s="17">
        <f>(F1533*I1533)</f>
        <v>430.5</v>
      </c>
      <c r="L1533" s="197"/>
      <c r="M1533" s="198"/>
      <c r="N1533" s="199"/>
      <c r="O1533" s="202"/>
      <c r="P1533" s="201"/>
      <c r="Q1533" s="199"/>
      <c r="R1533" s="201"/>
      <c r="AE1533" s="23">
        <f t="shared" si="199"/>
        <v>0</v>
      </c>
    </row>
    <row r="1534" spans="6:31" ht="24" customHeight="1">
      <c r="F1534" s="17">
        <v>2.5499999999999998</v>
      </c>
      <c r="G1534" s="15" t="s">
        <v>171</v>
      </c>
      <c r="H1534" s="3" t="s">
        <v>187</v>
      </c>
      <c r="I1534" s="17">
        <f>(C195)</f>
        <v>234.3</v>
      </c>
      <c r="J1534" s="3" t="s">
        <v>171</v>
      </c>
      <c r="K1534" s="17">
        <f>(F1534*I1534)</f>
        <v>597.46500000000003</v>
      </c>
      <c r="L1534" s="197"/>
      <c r="M1534" s="198"/>
      <c r="N1534" s="199"/>
      <c r="O1534" s="202"/>
      <c r="P1534" s="201"/>
      <c r="Q1534" s="199"/>
      <c r="R1534" s="201"/>
      <c r="AE1534" s="23">
        <f t="shared" ref="AE1534:AE1597" si="202">AG1534</f>
        <v>0</v>
      </c>
    </row>
    <row r="1535" spans="6:31" ht="24" customHeight="1">
      <c r="F1535" s="17">
        <v>1.2</v>
      </c>
      <c r="G1535" s="15" t="s">
        <v>1</v>
      </c>
      <c r="H1535" s="3" t="s">
        <v>181</v>
      </c>
      <c r="I1535" s="17">
        <f>(C14)</f>
        <v>615</v>
      </c>
      <c r="J1535" s="3" t="s">
        <v>1</v>
      </c>
      <c r="K1535" s="17">
        <f>(F1535*I1535)</f>
        <v>738</v>
      </c>
      <c r="L1535" s="197"/>
      <c r="M1535" s="198">
        <v>19.13</v>
      </c>
      <c r="N1535" s="199" t="s">
        <v>654</v>
      </c>
      <c r="O1535" s="202" t="s">
        <v>1817</v>
      </c>
      <c r="P1535" s="201">
        <f>P1489</f>
        <v>287</v>
      </c>
      <c r="Q1535" s="199" t="s">
        <v>654</v>
      </c>
      <c r="R1535" s="201">
        <f>P1535*M1535</f>
        <v>5490.3099999999995</v>
      </c>
      <c r="AE1535" s="23">
        <f t="shared" si="202"/>
        <v>0</v>
      </c>
    </row>
    <row r="1536" spans="6:31" ht="24" customHeight="1">
      <c r="G1536" s="15" t="s">
        <v>129</v>
      </c>
      <c r="H1536" s="3" t="s">
        <v>182</v>
      </c>
      <c r="I1536" s="3" t="s">
        <v>115</v>
      </c>
      <c r="J1536" s="3" t="s">
        <v>129</v>
      </c>
      <c r="K1536" s="17">
        <v>1.5</v>
      </c>
      <c r="L1536" s="197"/>
      <c r="M1536" s="198">
        <v>2.97</v>
      </c>
      <c r="N1536" s="199" t="s">
        <v>110</v>
      </c>
      <c r="O1536" s="202" t="s">
        <v>1818</v>
      </c>
      <c r="P1536" s="201">
        <f>P1493</f>
        <v>208.8</v>
      </c>
      <c r="Q1536" s="199" t="s">
        <v>110</v>
      </c>
      <c r="R1536" s="201">
        <f t="shared" ref="R1536:R1541" si="203">P1536*M1536</f>
        <v>620.13600000000008</v>
      </c>
      <c r="AE1536" s="23">
        <f t="shared" si="202"/>
        <v>0</v>
      </c>
    </row>
    <row r="1537" spans="6:31" ht="24" customHeight="1">
      <c r="K1537" s="12" t="s">
        <v>117</v>
      </c>
      <c r="L1537" s="197"/>
      <c r="M1537" s="198">
        <v>15.3</v>
      </c>
      <c r="N1537" s="199" t="s">
        <v>231</v>
      </c>
      <c r="O1537" s="202" t="s">
        <v>1819</v>
      </c>
      <c r="P1537" s="201">
        <f>P1494</f>
        <v>28.6</v>
      </c>
      <c r="Q1537" s="199" t="s">
        <v>231</v>
      </c>
      <c r="R1537" s="201">
        <f t="shared" si="203"/>
        <v>437.58000000000004</v>
      </c>
      <c r="AE1537" s="23">
        <f t="shared" si="202"/>
        <v>0</v>
      </c>
    </row>
    <row r="1538" spans="6:31" ht="24" customHeight="1">
      <c r="H1538" s="3" t="s">
        <v>153</v>
      </c>
      <c r="K1538" s="17">
        <f>SUM(K1532:K1536)</f>
        <v>1975.8330000000001</v>
      </c>
      <c r="L1538" s="197"/>
      <c r="M1538" s="198">
        <v>3</v>
      </c>
      <c r="N1538" s="199" t="s">
        <v>1820</v>
      </c>
      <c r="O1538" s="202" t="s">
        <v>1821</v>
      </c>
      <c r="P1538" s="201">
        <f>I4009</f>
        <v>350</v>
      </c>
      <c r="Q1538" s="199" t="s">
        <v>1</v>
      </c>
      <c r="R1538" s="201">
        <f t="shared" si="203"/>
        <v>1050</v>
      </c>
      <c r="AE1538" s="23">
        <f t="shared" si="202"/>
        <v>0</v>
      </c>
    </row>
    <row r="1539" spans="6:31" ht="24" customHeight="1">
      <c r="K1539" s="12" t="s">
        <v>117</v>
      </c>
      <c r="L1539" s="197"/>
      <c r="M1539" s="198">
        <v>3</v>
      </c>
      <c r="N1539" s="199" t="s">
        <v>1</v>
      </c>
      <c r="O1539" s="202" t="s">
        <v>1822</v>
      </c>
      <c r="P1539" s="201">
        <f>I4010</f>
        <v>50.9</v>
      </c>
      <c r="Q1539" s="199" t="s">
        <v>1</v>
      </c>
      <c r="R1539" s="201">
        <f t="shared" si="203"/>
        <v>152.69999999999999</v>
      </c>
      <c r="AE1539" s="23">
        <f t="shared" si="202"/>
        <v>0</v>
      </c>
    </row>
    <row r="1540" spans="6:31" ht="24" customHeight="1">
      <c r="H1540" s="19" t="s">
        <v>154</v>
      </c>
      <c r="I1540" s="50"/>
      <c r="J1540" s="59"/>
      <c r="K1540" s="16">
        <f>(K1538/10)</f>
        <v>197.58330000000001</v>
      </c>
      <c r="L1540" s="197"/>
      <c r="M1540" s="198">
        <v>6</v>
      </c>
      <c r="N1540" s="199" t="s">
        <v>1</v>
      </c>
      <c r="O1540" s="202" t="s">
        <v>1823</v>
      </c>
      <c r="P1540" s="201">
        <f>I3995</f>
        <v>15</v>
      </c>
      <c r="Q1540" s="199" t="s">
        <v>1</v>
      </c>
      <c r="R1540" s="201">
        <f t="shared" si="203"/>
        <v>90</v>
      </c>
      <c r="AE1540" s="23">
        <f t="shared" si="202"/>
        <v>0</v>
      </c>
    </row>
    <row r="1541" spans="6:31" ht="24" customHeight="1">
      <c r="F1541" s="3" t="s">
        <v>115</v>
      </c>
      <c r="L1541" s="197"/>
      <c r="M1541" s="198">
        <v>2.97</v>
      </c>
      <c r="N1541" s="199" t="s">
        <v>174</v>
      </c>
      <c r="O1541" s="202" t="s">
        <v>1824</v>
      </c>
      <c r="P1541" s="201">
        <f>R1552</f>
        <v>1540</v>
      </c>
      <c r="Q1541" s="199" t="s">
        <v>174</v>
      </c>
      <c r="R1541" s="201">
        <f t="shared" si="203"/>
        <v>4573.8</v>
      </c>
      <c r="AE1541" s="23">
        <f t="shared" si="202"/>
        <v>0</v>
      </c>
    </row>
    <row r="1542" spans="6:31" ht="24" customHeight="1">
      <c r="K1542" s="12" t="s">
        <v>155</v>
      </c>
      <c r="L1542" s="197"/>
      <c r="M1542" s="198"/>
      <c r="N1542" s="199"/>
      <c r="O1542" s="202" t="s">
        <v>236</v>
      </c>
      <c r="P1542" s="196"/>
      <c r="Q1542" s="203"/>
      <c r="R1542" s="201">
        <v>3.5</v>
      </c>
      <c r="AE1542" s="23">
        <f t="shared" si="202"/>
        <v>0</v>
      </c>
    </row>
    <row r="1543" spans="6:31" ht="24" customHeight="1">
      <c r="F1543" s="38">
        <v>41</v>
      </c>
      <c r="G1543" s="15" t="s">
        <v>122</v>
      </c>
      <c r="H1543" s="3" t="s">
        <v>1825</v>
      </c>
      <c r="L1543" s="197"/>
      <c r="M1543" s="196"/>
      <c r="N1543" s="204"/>
      <c r="O1543" s="3" t="s">
        <v>1826</v>
      </c>
      <c r="P1543" s="196"/>
      <c r="Q1543" s="196"/>
      <c r="R1543" s="205">
        <f>SUM(R1535:R1542)</f>
        <v>12418.026</v>
      </c>
      <c r="AE1543" s="23">
        <f t="shared" si="202"/>
        <v>0</v>
      </c>
    </row>
    <row r="1544" spans="6:31" ht="24" customHeight="1">
      <c r="H1544" s="3" t="s">
        <v>191</v>
      </c>
      <c r="L1544" s="206"/>
      <c r="M1544" s="196"/>
      <c r="N1544" s="196"/>
      <c r="AE1544" s="23">
        <f t="shared" si="202"/>
        <v>0</v>
      </c>
    </row>
    <row r="1545" spans="6:31" ht="24" customHeight="1">
      <c r="H1545" s="3" t="s">
        <v>185</v>
      </c>
      <c r="L1545" s="195"/>
      <c r="M1545" s="196"/>
      <c r="N1545" s="196"/>
      <c r="O1545" s="3" t="s">
        <v>154</v>
      </c>
      <c r="P1545" s="196"/>
      <c r="Q1545" s="196"/>
      <c r="R1545" s="207">
        <f>R1543/2.97</f>
        <v>4181.1535353535346</v>
      </c>
      <c r="S1545" s="9">
        <f>R1545-3740</f>
        <v>441.15353535353461</v>
      </c>
      <c r="AE1545" s="23">
        <f t="shared" si="202"/>
        <v>0</v>
      </c>
    </row>
    <row r="1546" spans="6:31" ht="24" customHeight="1">
      <c r="H1546" s="12" t="s">
        <v>117</v>
      </c>
      <c r="L1546" s="197"/>
      <c r="M1546" s="196"/>
      <c r="N1546" s="196"/>
      <c r="O1546" s="208"/>
      <c r="P1546" s="196"/>
      <c r="Q1546" s="196"/>
      <c r="R1546" s="196"/>
      <c r="AE1546" s="23">
        <f t="shared" si="202"/>
        <v>0</v>
      </c>
    </row>
    <row r="1547" spans="6:31" ht="24" customHeight="1">
      <c r="F1547" s="17">
        <v>2.2200000000000002</v>
      </c>
      <c r="G1547" s="15" t="s">
        <v>171</v>
      </c>
      <c r="H1547" s="3" t="s">
        <v>187</v>
      </c>
      <c r="I1547" s="17">
        <f>(C207)</f>
        <v>223.2</v>
      </c>
      <c r="J1547" s="3" t="s">
        <v>171</v>
      </c>
      <c r="K1547" s="17">
        <f>(F1547*I1547)</f>
        <v>495.50400000000002</v>
      </c>
      <c r="L1547" s="197"/>
      <c r="M1547" s="201">
        <v>1</v>
      </c>
      <c r="N1547" s="199" t="s">
        <v>209</v>
      </c>
      <c r="O1547" s="202" t="s">
        <v>1827</v>
      </c>
      <c r="P1547" s="201">
        <f>AE17</f>
        <v>679</v>
      </c>
      <c r="Q1547" s="202" t="s">
        <v>209</v>
      </c>
      <c r="R1547" s="201">
        <f>P1547*M1547</f>
        <v>679</v>
      </c>
      <c r="AE1547" s="23">
        <f t="shared" si="202"/>
        <v>0</v>
      </c>
    </row>
    <row r="1548" spans="6:31" ht="24" customHeight="1">
      <c r="F1548" s="17">
        <v>1.1000000000000001</v>
      </c>
      <c r="G1548" s="15" t="s">
        <v>1</v>
      </c>
      <c r="H1548" s="3" t="s">
        <v>181</v>
      </c>
      <c r="I1548" s="17">
        <f>(C14)</f>
        <v>615</v>
      </c>
      <c r="J1548" s="3" t="s">
        <v>1</v>
      </c>
      <c r="K1548" s="17">
        <f>(F1548*I1548)</f>
        <v>676.5</v>
      </c>
      <c r="L1548" s="197"/>
      <c r="M1548" s="201">
        <v>1</v>
      </c>
      <c r="N1548" s="199" t="s">
        <v>209</v>
      </c>
      <c r="O1548" s="202" t="s">
        <v>1828</v>
      </c>
      <c r="P1548" s="201">
        <f>AE11</f>
        <v>502</v>
      </c>
      <c r="Q1548" s="202" t="s">
        <v>209</v>
      </c>
      <c r="R1548" s="201">
        <f>P1548*M1548</f>
        <v>502</v>
      </c>
      <c r="AE1548" s="23">
        <f t="shared" si="202"/>
        <v>0</v>
      </c>
    </row>
    <row r="1549" spans="6:31" ht="24" customHeight="1">
      <c r="G1549" s="15" t="s">
        <v>129</v>
      </c>
      <c r="H1549" s="3" t="s">
        <v>182</v>
      </c>
      <c r="I1549" s="3" t="s">
        <v>115</v>
      </c>
      <c r="J1549" s="3" t="s">
        <v>129</v>
      </c>
      <c r="K1549" s="17">
        <v>1.5</v>
      </c>
      <c r="L1549" s="197"/>
      <c r="M1549" s="201">
        <v>0.5</v>
      </c>
      <c r="N1549" s="199" t="s">
        <v>209</v>
      </c>
      <c r="O1549" s="202" t="s">
        <v>1829</v>
      </c>
      <c r="P1549" s="201">
        <f>AE20</f>
        <v>718</v>
      </c>
      <c r="Q1549" s="202" t="s">
        <v>209</v>
      </c>
      <c r="R1549" s="201">
        <f>P1549*M1549</f>
        <v>359</v>
      </c>
      <c r="AE1549" s="23">
        <f t="shared" si="202"/>
        <v>0</v>
      </c>
    </row>
    <row r="1550" spans="6:31" ht="24" customHeight="1">
      <c r="K1550" s="12" t="s">
        <v>117</v>
      </c>
      <c r="L1550" s="197"/>
      <c r="M1550" s="196"/>
      <c r="N1550" s="204"/>
      <c r="O1550" s="196"/>
      <c r="P1550" s="196"/>
      <c r="Q1550" s="209"/>
      <c r="R1550" s="201"/>
      <c r="AE1550" s="23">
        <f t="shared" si="202"/>
        <v>0</v>
      </c>
    </row>
    <row r="1551" spans="6:31" ht="24" customHeight="1">
      <c r="H1551" s="3" t="s">
        <v>153</v>
      </c>
      <c r="K1551" s="17">
        <f>SUM(K1547:K1549)</f>
        <v>1173.5039999999999</v>
      </c>
      <c r="L1551" s="197"/>
      <c r="M1551" s="196"/>
      <c r="N1551" s="204"/>
      <c r="O1551" s="202" t="s">
        <v>1830</v>
      </c>
      <c r="P1551" s="196"/>
      <c r="Q1551" s="209"/>
      <c r="R1551" s="210" t="s">
        <v>117</v>
      </c>
      <c r="AE1551" s="23">
        <f t="shared" si="202"/>
        <v>0</v>
      </c>
    </row>
    <row r="1552" spans="6:31" ht="24" customHeight="1">
      <c r="K1552" s="12" t="s">
        <v>117</v>
      </c>
      <c r="L1552" s="197"/>
      <c r="M1552" s="196"/>
      <c r="N1552" s="204"/>
      <c r="O1552" s="196"/>
      <c r="P1552" s="196"/>
      <c r="Q1552" s="209"/>
      <c r="R1552" s="205">
        <f>SUM(R1547:R1551)</f>
        <v>1540</v>
      </c>
      <c r="AE1552" s="23">
        <f t="shared" si="202"/>
        <v>0</v>
      </c>
    </row>
    <row r="1553" spans="6:31" ht="24" customHeight="1">
      <c r="H1553" s="19" t="s">
        <v>154</v>
      </c>
      <c r="I1553" s="50"/>
      <c r="J1553" s="59"/>
      <c r="K1553" s="16">
        <f>(K1551/10)</f>
        <v>117.35039999999999</v>
      </c>
      <c r="L1553" s="197"/>
      <c r="AE1553" s="23">
        <f t="shared" si="202"/>
        <v>0</v>
      </c>
    </row>
    <row r="1554" spans="6:31" ht="24" customHeight="1">
      <c r="H1554" s="3"/>
      <c r="K1554" s="17"/>
      <c r="L1554" s="197"/>
      <c r="AE1554" s="23">
        <f t="shared" si="202"/>
        <v>0</v>
      </c>
    </row>
    <row r="1555" spans="6:31" ht="24" customHeight="1">
      <c r="H1555" s="3"/>
      <c r="K1555" s="17"/>
      <c r="L1555" s="197"/>
      <c r="AE1555" s="23">
        <f t="shared" si="202"/>
        <v>0</v>
      </c>
    </row>
    <row r="1556" spans="6:31" ht="24" customHeight="1">
      <c r="F1556" s="211">
        <v>238</v>
      </c>
      <c r="G1556" s="212" t="s">
        <v>122</v>
      </c>
      <c r="H1556" s="213" t="s">
        <v>1831</v>
      </c>
      <c r="I1556" s="214"/>
      <c r="J1556" s="215"/>
      <c r="K1556" s="214"/>
      <c r="L1556" s="197"/>
      <c r="AE1556" s="23">
        <f t="shared" si="202"/>
        <v>0</v>
      </c>
    </row>
    <row r="1557" spans="6:31" ht="24" customHeight="1">
      <c r="F1557" s="216"/>
      <c r="G1557" s="217"/>
      <c r="H1557" s="218" t="s">
        <v>1832</v>
      </c>
      <c r="I1557" s="219"/>
      <c r="J1557" s="220"/>
      <c r="K1557" s="219"/>
      <c r="L1557" s="206"/>
      <c r="AE1557" s="23">
        <f t="shared" si="202"/>
        <v>0</v>
      </c>
    </row>
    <row r="1558" spans="6:31" ht="24" customHeight="1">
      <c r="F1558" s="216"/>
      <c r="G1558" s="217"/>
      <c r="H1558" s="221" t="s">
        <v>117</v>
      </c>
      <c r="I1558" s="219"/>
      <c r="J1558" s="220"/>
      <c r="K1558" s="219"/>
      <c r="AE1558" s="23">
        <f t="shared" si="202"/>
        <v>0</v>
      </c>
    </row>
    <row r="1559" spans="6:31" ht="24" customHeight="1">
      <c r="F1559" s="222">
        <v>20</v>
      </c>
      <c r="G1559" s="223" t="s">
        <v>171</v>
      </c>
      <c r="H1559" s="218" t="s">
        <v>1833</v>
      </c>
      <c r="I1559" s="224">
        <f>D40</f>
        <v>116.2</v>
      </c>
      <c r="J1559" s="218" t="s">
        <v>171</v>
      </c>
      <c r="K1559" s="225">
        <f>(F1559*I1559)</f>
        <v>2324</v>
      </c>
      <c r="AE1559" s="23">
        <f t="shared" si="202"/>
        <v>0</v>
      </c>
    </row>
    <row r="1560" spans="6:31" ht="24" customHeight="1">
      <c r="F1560" s="216"/>
      <c r="G1560" s="217"/>
      <c r="H1560" s="218" t="s">
        <v>1834</v>
      </c>
      <c r="I1560" s="219"/>
      <c r="J1560" s="220"/>
      <c r="K1560" s="218" t="s">
        <v>115</v>
      </c>
      <c r="AE1560" s="23">
        <f t="shared" si="202"/>
        <v>0</v>
      </c>
    </row>
    <row r="1561" spans="6:31" ht="24" customHeight="1">
      <c r="F1561" s="222">
        <v>50</v>
      </c>
      <c r="G1561" s="223" t="s">
        <v>148</v>
      </c>
      <c r="H1561" s="218" t="s">
        <v>125</v>
      </c>
      <c r="I1561" s="225">
        <f>C67/1000</f>
        <v>5.8</v>
      </c>
      <c r="J1561" s="218" t="s">
        <v>148</v>
      </c>
      <c r="K1561" s="225">
        <f>(F1561*I1561)</f>
        <v>290</v>
      </c>
      <c r="AE1561" s="23">
        <f t="shared" si="202"/>
        <v>0</v>
      </c>
    </row>
    <row r="1562" spans="6:31" ht="24" customHeight="1">
      <c r="F1562" s="222">
        <v>1</v>
      </c>
      <c r="G1562" s="223" t="s">
        <v>129</v>
      </c>
      <c r="H1562" s="218" t="s">
        <v>1835</v>
      </c>
      <c r="I1562" s="226">
        <v>75</v>
      </c>
      <c r="J1562" s="218" t="s">
        <v>129</v>
      </c>
      <c r="K1562" s="225">
        <f>(F1562*I1562)</f>
        <v>75</v>
      </c>
      <c r="AE1562" s="23">
        <f t="shared" si="202"/>
        <v>0</v>
      </c>
    </row>
    <row r="1563" spans="6:31" ht="24" customHeight="1">
      <c r="F1563" s="222">
        <v>1</v>
      </c>
      <c r="G1563" s="223" t="s">
        <v>129</v>
      </c>
      <c r="H1563" s="218" t="s">
        <v>1836</v>
      </c>
      <c r="I1563" s="225">
        <f>C38</f>
        <v>40</v>
      </c>
      <c r="J1563" s="218" t="s">
        <v>129</v>
      </c>
      <c r="K1563" s="225">
        <f>(F1563*I1563)</f>
        <v>40</v>
      </c>
      <c r="AE1563" s="23">
        <f t="shared" si="202"/>
        <v>0</v>
      </c>
    </row>
    <row r="1564" spans="6:31" ht="24" customHeight="1">
      <c r="F1564" s="222">
        <v>2.5</v>
      </c>
      <c r="G1564" s="223" t="s">
        <v>129</v>
      </c>
      <c r="H1564" s="218" t="s">
        <v>1837</v>
      </c>
      <c r="I1564" s="225">
        <f>D14</f>
        <v>595</v>
      </c>
      <c r="J1564" s="218" t="s">
        <v>129</v>
      </c>
      <c r="K1564" s="225">
        <f>(F1564*I1564)</f>
        <v>1487.5</v>
      </c>
      <c r="AE1564" s="23">
        <f t="shared" si="202"/>
        <v>0</v>
      </c>
    </row>
    <row r="1565" spans="6:31" ht="24" customHeight="1">
      <c r="F1565" s="216"/>
      <c r="G1565" s="223" t="s">
        <v>129</v>
      </c>
      <c r="H1565" s="218" t="s">
        <v>1838</v>
      </c>
      <c r="I1565" s="219"/>
      <c r="J1565" s="218" t="s">
        <v>129</v>
      </c>
      <c r="K1565" s="227">
        <v>1.5</v>
      </c>
      <c r="AE1565" s="23">
        <f t="shared" si="202"/>
        <v>0</v>
      </c>
    </row>
    <row r="1566" spans="6:31" ht="24" customHeight="1">
      <c r="F1566" s="216"/>
      <c r="G1566" s="217"/>
      <c r="H1566" s="219"/>
      <c r="I1566" s="219"/>
      <c r="J1566" s="220"/>
      <c r="K1566" s="221" t="s">
        <v>117</v>
      </c>
      <c r="AE1566" s="23">
        <f t="shared" si="202"/>
        <v>0</v>
      </c>
    </row>
    <row r="1567" spans="6:31" ht="24" customHeight="1">
      <c r="F1567" s="216"/>
      <c r="G1567" s="217"/>
      <c r="H1567" s="228" t="s">
        <v>1839</v>
      </c>
      <c r="I1567" s="229"/>
      <c r="J1567" s="230"/>
      <c r="K1567" s="231">
        <f>SUM(K1559:K1565)</f>
        <v>4218</v>
      </c>
      <c r="AE1567" s="23">
        <f t="shared" si="202"/>
        <v>0</v>
      </c>
    </row>
    <row r="1568" spans="6:31" ht="24" customHeight="1">
      <c r="F1568" s="216"/>
      <c r="G1568" s="217"/>
      <c r="H1568" s="218"/>
      <c r="I1568" s="219"/>
      <c r="J1568" s="220"/>
      <c r="K1568" s="221" t="s">
        <v>117</v>
      </c>
      <c r="AE1568" s="23">
        <f t="shared" si="202"/>
        <v>0</v>
      </c>
    </row>
    <row r="1569" spans="6:31" ht="24" customHeight="1">
      <c r="F1569" s="232"/>
      <c r="G1569" s="233"/>
      <c r="H1569" s="234"/>
      <c r="I1569" s="234"/>
      <c r="J1569" s="235"/>
      <c r="K1569" s="236"/>
      <c r="AE1569" s="23">
        <f t="shared" si="202"/>
        <v>0</v>
      </c>
    </row>
    <row r="1570" spans="6:31" ht="24" customHeight="1">
      <c r="F1570" s="237" t="s">
        <v>1840</v>
      </c>
      <c r="G1570" s="212" t="s">
        <v>122</v>
      </c>
      <c r="H1570" s="213" t="s">
        <v>1841</v>
      </c>
      <c r="I1570" s="214"/>
      <c r="J1570" s="215"/>
      <c r="K1570" s="214"/>
      <c r="AE1570" s="23">
        <f t="shared" si="202"/>
        <v>0</v>
      </c>
    </row>
    <row r="1571" spans="6:31" ht="24" customHeight="1">
      <c r="F1571" s="216"/>
      <c r="G1571" s="217"/>
      <c r="H1571" s="218" t="s">
        <v>1842</v>
      </c>
      <c r="I1571" s="219"/>
      <c r="J1571" s="220"/>
      <c r="K1571" s="219"/>
      <c r="AE1571" s="23">
        <f t="shared" si="202"/>
        <v>0</v>
      </c>
    </row>
    <row r="1572" spans="6:31" ht="24" customHeight="1">
      <c r="F1572" s="216"/>
      <c r="G1572" s="217"/>
      <c r="H1572" s="221" t="s">
        <v>117</v>
      </c>
      <c r="I1572" s="219"/>
      <c r="J1572" s="220"/>
      <c r="K1572" s="219"/>
      <c r="AE1572" s="23">
        <f t="shared" si="202"/>
        <v>0</v>
      </c>
    </row>
    <row r="1573" spans="6:31" ht="24" customHeight="1">
      <c r="F1573" s="222">
        <v>1</v>
      </c>
      <c r="G1573" s="223" t="s">
        <v>1843</v>
      </c>
      <c r="H1573" s="218" t="s">
        <v>1844</v>
      </c>
      <c r="I1573" s="225">
        <f>(C139)</f>
        <v>45000</v>
      </c>
      <c r="J1573" s="218" t="s">
        <v>1123</v>
      </c>
      <c r="K1573" s="225">
        <f>(F1573*I1573)/10</f>
        <v>4500</v>
      </c>
      <c r="AE1573" s="23">
        <f t="shared" si="202"/>
        <v>0</v>
      </c>
    </row>
    <row r="1574" spans="6:31" ht="24" customHeight="1">
      <c r="F1574" s="238">
        <v>0.01</v>
      </c>
      <c r="G1574" s="223" t="s">
        <v>1843</v>
      </c>
      <c r="H1574" s="218" t="s">
        <v>1845</v>
      </c>
      <c r="I1574" s="225">
        <f>(C143)</f>
        <v>43750</v>
      </c>
      <c r="J1574" s="218" t="s">
        <v>1123</v>
      </c>
      <c r="K1574" s="225">
        <f>(F1574*I1574)/10</f>
        <v>43.75</v>
      </c>
      <c r="AE1574" s="23">
        <f t="shared" si="202"/>
        <v>0</v>
      </c>
    </row>
    <row r="1575" spans="6:31" ht="24" customHeight="1">
      <c r="F1575" s="238">
        <v>3.5</v>
      </c>
      <c r="G1575" s="223" t="s">
        <v>1</v>
      </c>
      <c r="H1575" s="218" t="s">
        <v>1846</v>
      </c>
      <c r="I1575" s="225">
        <f>AE38</f>
        <v>667</v>
      </c>
      <c r="J1575" s="218" t="s">
        <v>227</v>
      </c>
      <c r="K1575" s="225">
        <f>(F1575*I1575)</f>
        <v>2334.5</v>
      </c>
      <c r="AE1575" s="23">
        <f t="shared" si="202"/>
        <v>0</v>
      </c>
    </row>
    <row r="1576" spans="6:31" ht="24" customHeight="1">
      <c r="F1576" s="222">
        <v>1.3</v>
      </c>
      <c r="G1576" s="223" t="s">
        <v>148</v>
      </c>
      <c r="H1576" s="218" t="s">
        <v>1847</v>
      </c>
      <c r="I1576" s="225">
        <f>C67/1000</f>
        <v>5.8</v>
      </c>
      <c r="J1576" s="218" t="s">
        <v>148</v>
      </c>
      <c r="K1576" s="225">
        <f>(F1576*I1576)</f>
        <v>7.54</v>
      </c>
      <c r="AE1576" s="23">
        <f t="shared" si="202"/>
        <v>0</v>
      </c>
    </row>
    <row r="1577" spans="6:31" ht="24" customHeight="1">
      <c r="F1577" s="222">
        <v>0.25</v>
      </c>
      <c r="G1577" s="223" t="s">
        <v>1</v>
      </c>
      <c r="H1577" s="218" t="s">
        <v>1848</v>
      </c>
      <c r="I1577" s="225">
        <f>D14</f>
        <v>595</v>
      </c>
      <c r="J1577" s="218" t="s">
        <v>227</v>
      </c>
      <c r="K1577" s="225">
        <f>(F1577*I1577)</f>
        <v>148.75</v>
      </c>
      <c r="AE1577" s="23">
        <f t="shared" si="202"/>
        <v>0</v>
      </c>
    </row>
    <row r="1578" spans="6:31" ht="24" customHeight="1">
      <c r="F1578" s="238"/>
      <c r="G1578" s="223" t="s">
        <v>129</v>
      </c>
      <c r="H1578" s="218" t="s">
        <v>130</v>
      </c>
      <c r="I1578" s="219"/>
      <c r="J1578" s="218" t="s">
        <v>129</v>
      </c>
      <c r="K1578" s="225">
        <f>(F1578*I1578)</f>
        <v>0</v>
      </c>
      <c r="AE1578" s="23">
        <f t="shared" si="202"/>
        <v>0</v>
      </c>
    </row>
    <row r="1579" spans="6:31" ht="24" customHeight="1">
      <c r="F1579" s="238"/>
      <c r="G1579" s="217"/>
      <c r="H1579" s="219"/>
      <c r="I1579" s="219"/>
      <c r="J1579" s="220"/>
      <c r="K1579" s="221" t="s">
        <v>117</v>
      </c>
      <c r="AE1579" s="23">
        <f t="shared" si="202"/>
        <v>0</v>
      </c>
    </row>
    <row r="1580" spans="6:31" ht="24" customHeight="1">
      <c r="F1580" s="238"/>
      <c r="G1580" s="217"/>
      <c r="H1580" s="218" t="s">
        <v>1849</v>
      </c>
      <c r="I1580" s="219"/>
      <c r="J1580" s="220"/>
      <c r="K1580" s="225">
        <f>SUM(K1573:K1578)</f>
        <v>7034.54</v>
      </c>
      <c r="AE1580" s="23">
        <f t="shared" si="202"/>
        <v>0</v>
      </c>
    </row>
    <row r="1581" spans="6:31" ht="24" customHeight="1">
      <c r="F1581" s="238"/>
      <c r="G1581" s="217"/>
      <c r="H1581" s="219"/>
      <c r="I1581" s="219"/>
      <c r="J1581" s="220"/>
      <c r="K1581" s="221" t="s">
        <v>117</v>
      </c>
      <c r="AE1581" s="23">
        <f t="shared" si="202"/>
        <v>0</v>
      </c>
    </row>
    <row r="1582" spans="6:31" ht="24" customHeight="1">
      <c r="F1582" s="239"/>
      <c r="G1582" s="233"/>
      <c r="H1582" s="240" t="s">
        <v>1850</v>
      </c>
      <c r="I1582" s="241"/>
      <c r="J1582" s="242"/>
      <c r="K1582" s="243">
        <f>(K1580*10)</f>
        <v>70345.399999999994</v>
      </c>
      <c r="AE1582" s="23">
        <f t="shared" si="202"/>
        <v>0</v>
      </c>
    </row>
    <row r="1583" spans="6:31" ht="24" customHeight="1">
      <c r="F1583" s="49"/>
      <c r="K1583" s="12"/>
      <c r="AE1583" s="23">
        <f t="shared" si="202"/>
        <v>0</v>
      </c>
    </row>
    <row r="1584" spans="6:31" ht="24" customHeight="1">
      <c r="F1584" s="49"/>
      <c r="K1584" s="12"/>
      <c r="AE1584" s="23">
        <f t="shared" si="202"/>
        <v>0</v>
      </c>
    </row>
    <row r="1585" spans="6:31" ht="24" customHeight="1">
      <c r="F1585" s="49"/>
      <c r="H1585" s="244" t="s">
        <v>1851</v>
      </c>
      <c r="K1585" s="12"/>
      <c r="AE1585" s="23">
        <f t="shared" si="202"/>
        <v>0</v>
      </c>
    </row>
    <row r="1586" spans="6:31" ht="24" customHeight="1">
      <c r="F1586" s="17">
        <v>1</v>
      </c>
      <c r="G1586" s="15" t="s">
        <v>1843</v>
      </c>
      <c r="H1586" s="3" t="s">
        <v>1852</v>
      </c>
      <c r="I1586" s="5">
        <f>C138</f>
        <v>45000</v>
      </c>
      <c r="J1586" s="3" t="s">
        <v>1123</v>
      </c>
      <c r="K1586" s="17">
        <f>(F1586*I1586)/10</f>
        <v>4500</v>
      </c>
      <c r="AE1586" s="23">
        <f t="shared" si="202"/>
        <v>0</v>
      </c>
    </row>
    <row r="1587" spans="6:31" ht="24" customHeight="1">
      <c r="F1587" s="49">
        <v>0.01</v>
      </c>
      <c r="G1587" s="15" t="s">
        <v>1843</v>
      </c>
      <c r="H1587" s="3" t="s">
        <v>1845</v>
      </c>
      <c r="I1587" s="5">
        <f>C143</f>
        <v>43750</v>
      </c>
      <c r="J1587" s="3" t="s">
        <v>1123</v>
      </c>
      <c r="K1587" s="17">
        <f>(F1587*I1587)/10</f>
        <v>43.75</v>
      </c>
      <c r="AE1587" s="23">
        <f t="shared" si="202"/>
        <v>0</v>
      </c>
    </row>
    <row r="1588" spans="6:31" ht="24" customHeight="1">
      <c r="F1588" s="49">
        <v>3.5</v>
      </c>
      <c r="G1588" s="15" t="s">
        <v>1</v>
      </c>
      <c r="H1588" s="3" t="s">
        <v>1846</v>
      </c>
      <c r="I1588" s="5">
        <f>I1575</f>
        <v>667</v>
      </c>
      <c r="J1588" s="3" t="s">
        <v>227</v>
      </c>
      <c r="K1588" s="17">
        <f>(F1588*I1588)</f>
        <v>2334.5</v>
      </c>
      <c r="AE1588" s="23">
        <f t="shared" si="202"/>
        <v>0</v>
      </c>
    </row>
    <row r="1589" spans="6:31" ht="24" customHeight="1">
      <c r="F1589" s="17">
        <v>1.3</v>
      </c>
      <c r="G1589" s="15" t="s">
        <v>148</v>
      </c>
      <c r="H1589" s="3" t="s">
        <v>1847</v>
      </c>
      <c r="I1589" s="5">
        <f>C67/1000</f>
        <v>5.8</v>
      </c>
      <c r="J1589" s="3" t="s">
        <v>148</v>
      </c>
      <c r="K1589" s="17">
        <f>(F1589*I1589)</f>
        <v>7.54</v>
      </c>
      <c r="AE1589" s="23">
        <f t="shared" si="202"/>
        <v>0</v>
      </c>
    </row>
    <row r="1590" spans="6:31" ht="24" customHeight="1">
      <c r="F1590" s="17">
        <v>0.25</v>
      </c>
      <c r="G1590" s="15" t="s">
        <v>1</v>
      </c>
      <c r="H1590" s="3" t="s">
        <v>1848</v>
      </c>
      <c r="I1590" s="5">
        <f>D14</f>
        <v>595</v>
      </c>
      <c r="J1590" s="3" t="s">
        <v>227</v>
      </c>
      <c r="K1590" s="17">
        <f>(F1590*I1590)</f>
        <v>148.75</v>
      </c>
      <c r="AE1590" s="23">
        <f t="shared" si="202"/>
        <v>0</v>
      </c>
    </row>
    <row r="1591" spans="6:31" ht="24" customHeight="1">
      <c r="F1591" s="49"/>
      <c r="G1591" s="15" t="s">
        <v>129</v>
      </c>
      <c r="H1591" s="3" t="s">
        <v>130</v>
      </c>
      <c r="J1591" s="3" t="s">
        <v>129</v>
      </c>
      <c r="K1591" s="17">
        <f>(F1591*I1591)</f>
        <v>0</v>
      </c>
      <c r="AE1591" s="23">
        <f t="shared" si="202"/>
        <v>0</v>
      </c>
    </row>
    <row r="1592" spans="6:31" ht="24" customHeight="1">
      <c r="F1592" s="49"/>
      <c r="K1592" s="12" t="s">
        <v>117</v>
      </c>
      <c r="AE1592" s="23">
        <f t="shared" si="202"/>
        <v>0</v>
      </c>
    </row>
    <row r="1593" spans="6:31" ht="24" customHeight="1">
      <c r="F1593" s="49"/>
      <c r="H1593" s="3" t="s">
        <v>1849</v>
      </c>
      <c r="K1593" s="17">
        <f>SUM(K1586:K1591)</f>
        <v>7034.54</v>
      </c>
      <c r="AE1593" s="23">
        <f t="shared" si="202"/>
        <v>0</v>
      </c>
    </row>
    <row r="1594" spans="6:31" ht="24" customHeight="1">
      <c r="F1594" s="49"/>
      <c r="K1594" s="12" t="s">
        <v>117</v>
      </c>
      <c r="AE1594" s="23">
        <f t="shared" si="202"/>
        <v>0</v>
      </c>
    </row>
    <row r="1595" spans="6:31" ht="24" customHeight="1">
      <c r="F1595" s="49" t="s">
        <v>115</v>
      </c>
      <c r="H1595" s="19" t="s">
        <v>1850</v>
      </c>
      <c r="I1595" s="50"/>
      <c r="J1595" s="59"/>
      <c r="K1595" s="16">
        <f>(K1593*10)</f>
        <v>70345.399999999994</v>
      </c>
      <c r="AE1595" s="23">
        <f t="shared" si="202"/>
        <v>0</v>
      </c>
    </row>
    <row r="1596" spans="6:31" ht="24" customHeight="1">
      <c r="F1596" s="49"/>
      <c r="K1596" s="12" t="s">
        <v>155</v>
      </c>
      <c r="AE1596" s="23">
        <f t="shared" si="202"/>
        <v>0</v>
      </c>
    </row>
    <row r="1597" spans="6:31" ht="24" customHeight="1">
      <c r="F1597" s="49"/>
      <c r="H1597" s="3" t="s">
        <v>115</v>
      </c>
      <c r="K1597" s="3" t="s">
        <v>115</v>
      </c>
      <c r="AE1597" s="23">
        <f t="shared" si="202"/>
        <v>0</v>
      </c>
    </row>
    <row r="1598" spans="6:31" ht="24" customHeight="1">
      <c r="F1598" s="56" t="s">
        <v>1853</v>
      </c>
      <c r="G1598" s="15" t="s">
        <v>1196</v>
      </c>
      <c r="H1598" s="3" t="s">
        <v>1841</v>
      </c>
      <c r="O1598" s="50" t="s">
        <v>1854</v>
      </c>
      <c r="AE1598" s="23">
        <f t="shared" ref="AE1598:AE1661" si="204">AG1598</f>
        <v>0</v>
      </c>
    </row>
    <row r="1599" spans="6:31" ht="24" customHeight="1">
      <c r="F1599" s="49"/>
      <c r="H1599" s="3" t="s">
        <v>1855</v>
      </c>
      <c r="M1599" s="56" t="s">
        <v>1853</v>
      </c>
      <c r="N1599" s="15" t="s">
        <v>1196</v>
      </c>
      <c r="O1599" s="3" t="s">
        <v>1841</v>
      </c>
      <c r="Q1599" s="8"/>
      <c r="AE1599" s="23">
        <f t="shared" si="204"/>
        <v>0</v>
      </c>
    </row>
    <row r="1600" spans="6:31" ht="24" customHeight="1">
      <c r="F1600" s="49"/>
      <c r="H1600" s="12" t="s">
        <v>117</v>
      </c>
      <c r="M1600" s="49"/>
      <c r="N1600" s="6"/>
      <c r="O1600" s="3" t="s">
        <v>1855</v>
      </c>
      <c r="Q1600" s="8"/>
      <c r="AE1600" s="23">
        <f t="shared" si="204"/>
        <v>0</v>
      </c>
    </row>
    <row r="1601" spans="6:31" ht="24" customHeight="1">
      <c r="F1601" s="17">
        <v>1</v>
      </c>
      <c r="G1601" s="15" t="s">
        <v>1843</v>
      </c>
      <c r="H1601" s="3" t="s">
        <v>1844</v>
      </c>
      <c r="I1601" s="17">
        <f>(C139)</f>
        <v>45000</v>
      </c>
      <c r="J1601" s="3" t="s">
        <v>1123</v>
      </c>
      <c r="K1601" s="17">
        <f>(F1601*I1601)/10</f>
        <v>4500</v>
      </c>
      <c r="L1601" s="5">
        <f>K1626+K1630</f>
        <v>393.12</v>
      </c>
      <c r="M1601" s="49"/>
      <c r="N1601" s="6"/>
      <c r="O1601" s="12" t="s">
        <v>117</v>
      </c>
      <c r="Q1601" s="8"/>
      <c r="AE1601" s="23">
        <f t="shared" si="204"/>
        <v>0</v>
      </c>
    </row>
    <row r="1602" spans="6:31" ht="24" customHeight="1">
      <c r="F1602" s="49">
        <v>0.01</v>
      </c>
      <c r="G1602" s="15" t="s">
        <v>1843</v>
      </c>
      <c r="H1602" s="3" t="s">
        <v>1845</v>
      </c>
      <c r="I1602" s="24">
        <f>I1587</f>
        <v>43750</v>
      </c>
      <c r="J1602" s="3" t="s">
        <v>1123</v>
      </c>
      <c r="K1602" s="17">
        <f>(F1602*I1602)/10</f>
        <v>43.75</v>
      </c>
      <c r="L1602" s="5">
        <f>L1601/3</f>
        <v>131.04</v>
      </c>
      <c r="M1602" s="17">
        <v>1</v>
      </c>
      <c r="N1602" s="15" t="s">
        <v>1843</v>
      </c>
      <c r="O1602" s="3" t="s">
        <v>1844</v>
      </c>
      <c r="P1602" s="17">
        <f>I1601</f>
        <v>45000</v>
      </c>
      <c r="Q1602" s="3" t="s">
        <v>1123</v>
      </c>
      <c r="R1602" s="17">
        <f>(M1602*P1602)/10</f>
        <v>4500</v>
      </c>
      <c r="AE1602" s="23">
        <f t="shared" si="204"/>
        <v>0</v>
      </c>
    </row>
    <row r="1603" spans="6:31" ht="24" customHeight="1">
      <c r="F1603" s="49">
        <v>3.5</v>
      </c>
      <c r="G1603" s="15" t="s">
        <v>1</v>
      </c>
      <c r="H1603" s="3" t="s">
        <v>1846</v>
      </c>
      <c r="I1603" s="17">
        <f>AE38</f>
        <v>667</v>
      </c>
      <c r="J1603" s="3" t="s">
        <v>1</v>
      </c>
      <c r="K1603" s="17">
        <f>(F1603*I1603)</f>
        <v>2334.5</v>
      </c>
      <c r="M1603" s="49">
        <v>0.01</v>
      </c>
      <c r="N1603" s="15" t="s">
        <v>1843</v>
      </c>
      <c r="O1603" s="7" t="s">
        <v>1856</v>
      </c>
      <c r="P1603" s="156">
        <f>80000/112*100</f>
        <v>71428.571428571435</v>
      </c>
      <c r="Q1603" s="3" t="s">
        <v>1123</v>
      </c>
      <c r="R1603" s="17">
        <f>(M1603*P1603)/10</f>
        <v>71.428571428571431</v>
      </c>
      <c r="AE1603" s="23">
        <f t="shared" si="204"/>
        <v>0</v>
      </c>
    </row>
    <row r="1604" spans="6:31" ht="24" customHeight="1">
      <c r="F1604" s="49"/>
      <c r="G1604" s="15" t="s">
        <v>129</v>
      </c>
      <c r="H1604" s="3" t="s">
        <v>130</v>
      </c>
      <c r="J1604" s="3" t="s">
        <v>129</v>
      </c>
      <c r="K1604" s="17">
        <v>0</v>
      </c>
      <c r="M1604" s="49">
        <v>3.5</v>
      </c>
      <c r="N1604" s="15" t="s">
        <v>1</v>
      </c>
      <c r="O1604" s="3" t="s">
        <v>1846</v>
      </c>
      <c r="P1604" s="17">
        <f>I1603</f>
        <v>667</v>
      </c>
      <c r="Q1604" s="3" t="s">
        <v>1</v>
      </c>
      <c r="R1604" s="17">
        <f>(M1604*P1604)</f>
        <v>2334.5</v>
      </c>
      <c r="AE1604" s="23">
        <f t="shared" si="204"/>
        <v>0</v>
      </c>
    </row>
    <row r="1605" spans="6:31" ht="24" customHeight="1">
      <c r="K1605" s="12" t="s">
        <v>117</v>
      </c>
      <c r="M1605" s="49"/>
      <c r="N1605" s="15" t="s">
        <v>129</v>
      </c>
      <c r="O1605" s="3" t="s">
        <v>130</v>
      </c>
      <c r="Q1605" s="3" t="s">
        <v>129</v>
      </c>
      <c r="R1605" s="17">
        <v>0</v>
      </c>
      <c r="AE1605" s="23">
        <f t="shared" si="204"/>
        <v>0</v>
      </c>
    </row>
    <row r="1606" spans="6:31" ht="24" customHeight="1">
      <c r="H1606" s="3" t="s">
        <v>1849</v>
      </c>
      <c r="K1606" s="17">
        <f>SUM(K1601:K1604)</f>
        <v>6878.25</v>
      </c>
      <c r="N1606" s="6"/>
      <c r="Q1606" s="8"/>
      <c r="R1606" s="12" t="s">
        <v>117</v>
      </c>
      <c r="AE1606" s="23">
        <f t="shared" si="204"/>
        <v>0</v>
      </c>
    </row>
    <row r="1607" spans="6:31" ht="24" customHeight="1">
      <c r="K1607" s="12" t="s">
        <v>117</v>
      </c>
      <c r="N1607" s="6"/>
      <c r="O1607" s="3" t="s">
        <v>1849</v>
      </c>
      <c r="Q1607" s="8"/>
      <c r="R1607" s="17">
        <f>SUM(R1602:R1605)</f>
        <v>6905.9285714285716</v>
      </c>
      <c r="AE1607" s="23">
        <f t="shared" si="204"/>
        <v>0</v>
      </c>
    </row>
    <row r="1608" spans="6:31" ht="24" customHeight="1">
      <c r="H1608" s="19" t="s">
        <v>1850</v>
      </c>
      <c r="I1608" s="50"/>
      <c r="J1608" s="59"/>
      <c r="K1608" s="16">
        <f>(K1606*10)</f>
        <v>68782.5</v>
      </c>
      <c r="N1608" s="6"/>
      <c r="Q1608" s="8"/>
      <c r="R1608" s="12" t="s">
        <v>117</v>
      </c>
      <c r="AE1608" s="23">
        <f t="shared" si="204"/>
        <v>0</v>
      </c>
    </row>
    <row r="1609" spans="6:31" ht="24" customHeight="1">
      <c r="H1609" s="3" t="s">
        <v>115</v>
      </c>
      <c r="K1609" s="3" t="s">
        <v>115</v>
      </c>
      <c r="N1609" s="6"/>
      <c r="O1609" s="19" t="s">
        <v>1850</v>
      </c>
      <c r="P1609" s="50"/>
      <c r="Q1609" s="59"/>
      <c r="R1609" s="16">
        <f>(R1607*10)</f>
        <v>69059.28571428571</v>
      </c>
      <c r="AE1609" s="23">
        <f t="shared" si="204"/>
        <v>0</v>
      </c>
    </row>
    <row r="1610" spans="6:31" ht="24" customHeight="1">
      <c r="G1610" s="6" t="s">
        <v>1225</v>
      </c>
      <c r="H1610" s="3" t="s">
        <v>1841</v>
      </c>
      <c r="K1610" s="3"/>
      <c r="AE1610" s="23">
        <f t="shared" si="204"/>
        <v>0</v>
      </c>
    </row>
    <row r="1611" spans="6:31" ht="24" customHeight="1">
      <c r="H1611" s="3" t="s">
        <v>1857</v>
      </c>
      <c r="K1611" s="3"/>
      <c r="N1611" s="6" t="s">
        <v>1225</v>
      </c>
      <c r="O1611" s="3" t="s">
        <v>1841</v>
      </c>
      <c r="Q1611" s="8"/>
      <c r="R1611" s="3"/>
      <c r="AE1611" s="23">
        <f t="shared" si="204"/>
        <v>0</v>
      </c>
    </row>
    <row r="1612" spans="6:31" ht="24" customHeight="1">
      <c r="F1612" s="49"/>
      <c r="H1612" s="12" t="s">
        <v>117</v>
      </c>
      <c r="K1612" s="3"/>
      <c r="N1612" s="6"/>
      <c r="O1612" s="3" t="s">
        <v>1857</v>
      </c>
      <c r="Q1612" s="8"/>
      <c r="R1612" s="3"/>
      <c r="AE1612" s="23">
        <f t="shared" si="204"/>
        <v>0</v>
      </c>
    </row>
    <row r="1613" spans="6:31" ht="24" customHeight="1">
      <c r="F1613" s="17">
        <v>1</v>
      </c>
      <c r="G1613" s="15" t="s">
        <v>1843</v>
      </c>
      <c r="H1613" s="3" t="s">
        <v>1852</v>
      </c>
      <c r="I1613" s="5">
        <f>C138</f>
        <v>45000</v>
      </c>
      <c r="J1613" s="3" t="s">
        <v>1123</v>
      </c>
      <c r="K1613" s="17">
        <f>(F1613*I1613)/10</f>
        <v>4500</v>
      </c>
      <c r="M1613" s="49"/>
      <c r="N1613" s="6"/>
      <c r="O1613" s="12" t="s">
        <v>117</v>
      </c>
      <c r="Q1613" s="8"/>
      <c r="R1613" s="3"/>
      <c r="AE1613" s="23">
        <f t="shared" si="204"/>
        <v>0</v>
      </c>
    </row>
    <row r="1614" spans="6:31" ht="24" customHeight="1">
      <c r="F1614" s="49">
        <v>0.01</v>
      </c>
      <c r="G1614" s="15" t="s">
        <v>1843</v>
      </c>
      <c r="H1614" s="3" t="s">
        <v>1845</v>
      </c>
      <c r="I1614" s="5">
        <f>C143</f>
        <v>43750</v>
      </c>
      <c r="J1614" s="3" t="s">
        <v>1123</v>
      </c>
      <c r="K1614" s="17">
        <f>(F1614*I1614)/10</f>
        <v>43.75</v>
      </c>
      <c r="M1614" s="17">
        <v>1</v>
      </c>
      <c r="N1614" s="15" t="s">
        <v>1843</v>
      </c>
      <c r="O1614" s="3" t="s">
        <v>1852</v>
      </c>
      <c r="P1614" s="5">
        <f>I1613</f>
        <v>45000</v>
      </c>
      <c r="Q1614" s="3" t="s">
        <v>1123</v>
      </c>
      <c r="R1614" s="17">
        <f>(M1614*P1614)/10</f>
        <v>4500</v>
      </c>
      <c r="AE1614" s="23">
        <f t="shared" si="204"/>
        <v>0</v>
      </c>
    </row>
    <row r="1615" spans="6:31" ht="24" customHeight="1">
      <c r="F1615" s="49">
        <v>3.5</v>
      </c>
      <c r="G1615" s="15" t="s">
        <v>1</v>
      </c>
      <c r="H1615" s="3" t="s">
        <v>1846</v>
      </c>
      <c r="I1615" s="5">
        <f>I1603</f>
        <v>667</v>
      </c>
      <c r="J1615" s="3" t="s">
        <v>1</v>
      </c>
      <c r="K1615" s="17">
        <f>(F1615*I1615)</f>
        <v>2334.5</v>
      </c>
      <c r="M1615" s="49">
        <v>0.01</v>
      </c>
      <c r="N1615" s="15" t="s">
        <v>1843</v>
      </c>
      <c r="O1615" s="7" t="str">
        <f>O1603</f>
        <v>BINDING WIRE insulated with PVC as per circular</v>
      </c>
      <c r="P1615" s="5">
        <f>P1603</f>
        <v>71428.571428571435</v>
      </c>
      <c r="Q1615" s="3" t="s">
        <v>1123</v>
      </c>
      <c r="R1615" s="17">
        <f>(M1615*P1615)/10</f>
        <v>71.428571428571431</v>
      </c>
      <c r="AE1615" s="23">
        <f t="shared" si="204"/>
        <v>0</v>
      </c>
    </row>
    <row r="1616" spans="6:31" ht="24" customHeight="1">
      <c r="F1616" s="49"/>
      <c r="G1616" s="15" t="s">
        <v>129</v>
      </c>
      <c r="H1616" s="3" t="s">
        <v>130</v>
      </c>
      <c r="J1616" s="3" t="s">
        <v>129</v>
      </c>
      <c r="K1616" s="17">
        <v>0</v>
      </c>
      <c r="M1616" s="49">
        <v>3.5</v>
      </c>
      <c r="N1616" s="15" t="s">
        <v>1843</v>
      </c>
      <c r="O1616" s="3" t="s">
        <v>1846</v>
      </c>
      <c r="P1616" s="5">
        <f>I1615</f>
        <v>667</v>
      </c>
      <c r="Q1616" s="3" t="s">
        <v>1</v>
      </c>
      <c r="R1616" s="17">
        <f>(M1616*P1616)</f>
        <v>2334.5</v>
      </c>
      <c r="AE1616" s="23">
        <f t="shared" si="204"/>
        <v>0</v>
      </c>
    </row>
    <row r="1617" spans="6:31" ht="24" customHeight="1">
      <c r="K1617" s="12" t="s">
        <v>117</v>
      </c>
      <c r="M1617" s="49"/>
      <c r="N1617" s="15" t="s">
        <v>1843</v>
      </c>
      <c r="O1617" s="3" t="s">
        <v>130</v>
      </c>
      <c r="Q1617" s="3" t="s">
        <v>129</v>
      </c>
      <c r="R1617" s="17">
        <v>0</v>
      </c>
      <c r="AE1617" s="23">
        <f t="shared" si="204"/>
        <v>0</v>
      </c>
    </row>
    <row r="1618" spans="6:31" ht="24" customHeight="1">
      <c r="H1618" s="3" t="s">
        <v>1849</v>
      </c>
      <c r="K1618" s="17">
        <f>SUM(K1613:K1616)</f>
        <v>6878.25</v>
      </c>
      <c r="N1618" s="6"/>
      <c r="Q1618" s="8"/>
      <c r="R1618" s="12" t="s">
        <v>117</v>
      </c>
      <c r="AE1618" s="23">
        <f t="shared" si="204"/>
        <v>0</v>
      </c>
    </row>
    <row r="1619" spans="6:31" ht="24" customHeight="1">
      <c r="K1619" s="12" t="s">
        <v>117</v>
      </c>
      <c r="N1619" s="6"/>
      <c r="O1619" s="3" t="s">
        <v>1849</v>
      </c>
      <c r="Q1619" s="8"/>
      <c r="R1619" s="17">
        <f>SUM(R1614:R1617)</f>
        <v>6905.9285714285716</v>
      </c>
      <c r="AE1619" s="23">
        <f t="shared" si="204"/>
        <v>0</v>
      </c>
    </row>
    <row r="1620" spans="6:31" ht="24" customHeight="1">
      <c r="H1620" s="19" t="s">
        <v>1850</v>
      </c>
      <c r="I1620" s="50"/>
      <c r="J1620" s="59"/>
      <c r="K1620" s="16">
        <f>(K1618*10)</f>
        <v>68782.5</v>
      </c>
      <c r="N1620" s="6"/>
      <c r="Q1620" s="8"/>
      <c r="R1620" s="12" t="s">
        <v>117</v>
      </c>
      <c r="AE1620" s="23">
        <f t="shared" si="204"/>
        <v>0</v>
      </c>
    </row>
    <row r="1621" spans="6:31" ht="24" customHeight="1">
      <c r="H1621" s="3" t="s">
        <v>115</v>
      </c>
      <c r="N1621" s="6"/>
      <c r="O1621" s="19" t="s">
        <v>1850</v>
      </c>
      <c r="P1621" s="50"/>
      <c r="Q1621" s="59"/>
      <c r="R1621" s="16">
        <f>(R1619*10)</f>
        <v>69059.28571428571</v>
      </c>
      <c r="AE1621" s="23">
        <f t="shared" si="204"/>
        <v>0</v>
      </c>
    </row>
    <row r="1622" spans="6:31" ht="24" customHeight="1">
      <c r="F1622" s="51">
        <v>44.1</v>
      </c>
      <c r="G1622" s="15" t="s">
        <v>122</v>
      </c>
      <c r="H1622" s="3" t="s">
        <v>1858</v>
      </c>
      <c r="AE1622" s="23">
        <f t="shared" si="204"/>
        <v>0</v>
      </c>
    </row>
    <row r="1623" spans="6:31" ht="24" customHeight="1">
      <c r="H1623" s="3" t="s">
        <v>1859</v>
      </c>
      <c r="AE1623" s="23">
        <f t="shared" si="204"/>
        <v>0</v>
      </c>
    </row>
    <row r="1624" spans="6:31" ht="24" customHeight="1">
      <c r="H1624" s="3" t="s">
        <v>1860</v>
      </c>
      <c r="M1624" s="51">
        <v>44.1</v>
      </c>
      <c r="N1624" s="15" t="s">
        <v>122</v>
      </c>
      <c r="O1624" s="3" t="s">
        <v>1858</v>
      </c>
      <c r="AE1624" s="23">
        <f t="shared" si="204"/>
        <v>0</v>
      </c>
    </row>
    <row r="1625" spans="6:31" ht="24" customHeight="1">
      <c r="H1625" s="12" t="s">
        <v>117</v>
      </c>
      <c r="N1625" s="6"/>
      <c r="O1625" s="3" t="s">
        <v>1859</v>
      </c>
      <c r="AE1625" s="23">
        <f t="shared" si="204"/>
        <v>0</v>
      </c>
    </row>
    <row r="1626" spans="6:31" ht="24" customHeight="1">
      <c r="F1626" s="17">
        <v>3</v>
      </c>
      <c r="G1626" s="15" t="s">
        <v>203</v>
      </c>
      <c r="H1626" s="3" t="s">
        <v>1861</v>
      </c>
      <c r="I1626" s="17">
        <f>D620</f>
        <v>120.54</v>
      </c>
      <c r="J1626" s="3" t="s">
        <v>203</v>
      </c>
      <c r="K1626" s="17">
        <f t="shared" ref="K1626:K1631" si="205">(F1626*I1626)</f>
        <v>361.62</v>
      </c>
      <c r="N1626" s="6"/>
      <c r="O1626" s="3" t="s">
        <v>1860</v>
      </c>
      <c r="AE1626" s="23">
        <f t="shared" si="204"/>
        <v>0</v>
      </c>
    </row>
    <row r="1627" spans="6:31" ht="24" customHeight="1">
      <c r="F1627" s="17">
        <v>1</v>
      </c>
      <c r="G1627" s="15" t="s">
        <v>209</v>
      </c>
      <c r="H1627" s="3" t="s">
        <v>1862</v>
      </c>
      <c r="I1627" s="107">
        <f>(C623)</f>
        <v>76</v>
      </c>
      <c r="J1627" s="3" t="s">
        <v>209</v>
      </c>
      <c r="K1627" s="17">
        <f t="shared" si="205"/>
        <v>76</v>
      </c>
      <c r="N1627" s="6"/>
      <c r="O1627" s="12" t="s">
        <v>117</v>
      </c>
      <c r="AE1627" s="23">
        <f t="shared" si="204"/>
        <v>0</v>
      </c>
    </row>
    <row r="1628" spans="6:31" ht="24" customHeight="1">
      <c r="F1628" s="17">
        <v>1</v>
      </c>
      <c r="G1628" s="15" t="s">
        <v>209</v>
      </c>
      <c r="H1628" s="3" t="s">
        <v>1863</v>
      </c>
      <c r="I1628" s="17">
        <f>(C626)</f>
        <v>71</v>
      </c>
      <c r="J1628" s="3" t="s">
        <v>209</v>
      </c>
      <c r="K1628" s="17">
        <f t="shared" si="205"/>
        <v>71</v>
      </c>
      <c r="M1628" s="17">
        <v>3</v>
      </c>
      <c r="N1628" s="15" t="s">
        <v>203</v>
      </c>
      <c r="O1628" s="3" t="s">
        <v>1861</v>
      </c>
      <c r="P1628" s="5">
        <f>I1626</f>
        <v>120.54</v>
      </c>
      <c r="Q1628" s="5" t="str">
        <f>J1628</f>
        <v>NO.</v>
      </c>
      <c r="R1628" s="5">
        <f t="shared" ref="R1628:R1633" si="206">P1628*M1628</f>
        <v>361.62</v>
      </c>
      <c r="AE1628" s="23">
        <f t="shared" si="204"/>
        <v>0</v>
      </c>
    </row>
    <row r="1629" spans="6:31" ht="24" customHeight="1">
      <c r="F1629" s="17">
        <v>2</v>
      </c>
      <c r="G1629" s="15" t="s">
        <v>209</v>
      </c>
      <c r="H1629" s="3" t="s">
        <v>1864</v>
      </c>
      <c r="I1629" s="17">
        <f>C597</f>
        <v>21.2</v>
      </c>
      <c r="J1629" s="3" t="s">
        <v>209</v>
      </c>
      <c r="K1629" s="17">
        <f t="shared" si="205"/>
        <v>42.4</v>
      </c>
      <c r="M1629" s="17">
        <v>1</v>
      </c>
      <c r="N1629" s="15" t="s">
        <v>209</v>
      </c>
      <c r="O1629" s="3" t="s">
        <v>1862</v>
      </c>
      <c r="P1629" s="5">
        <v>76.78</v>
      </c>
      <c r="Q1629" s="5" t="str">
        <f>J1629</f>
        <v>NO.</v>
      </c>
      <c r="R1629" s="5">
        <f t="shared" si="206"/>
        <v>76.78</v>
      </c>
      <c r="AE1629" s="23">
        <f t="shared" si="204"/>
        <v>0</v>
      </c>
    </row>
    <row r="1630" spans="6:31" ht="24" customHeight="1">
      <c r="F1630" s="17">
        <v>1</v>
      </c>
      <c r="G1630" s="15" t="s">
        <v>209</v>
      </c>
      <c r="H1630" s="3" t="s">
        <v>1865</v>
      </c>
      <c r="I1630" s="17">
        <f>(C696)</f>
        <v>31.5</v>
      </c>
      <c r="J1630" s="3" t="s">
        <v>209</v>
      </c>
      <c r="K1630" s="17">
        <f t="shared" si="205"/>
        <v>31.5</v>
      </c>
      <c r="M1630" s="17">
        <v>1</v>
      </c>
      <c r="N1630" s="15" t="s">
        <v>209</v>
      </c>
      <c r="O1630" s="3" t="s">
        <v>1863</v>
      </c>
      <c r="P1630" s="5">
        <f>I1628</f>
        <v>71</v>
      </c>
      <c r="Q1630" s="5" t="str">
        <f>J1630</f>
        <v>NO.</v>
      </c>
      <c r="R1630" s="5">
        <f t="shared" si="206"/>
        <v>71</v>
      </c>
      <c r="AE1630" s="23">
        <f t="shared" si="204"/>
        <v>0</v>
      </c>
    </row>
    <row r="1631" spans="6:31" ht="24" customHeight="1">
      <c r="F1631" s="17">
        <v>0.5</v>
      </c>
      <c r="G1631" s="15" t="s">
        <v>209</v>
      </c>
      <c r="H1631" s="3" t="s">
        <v>210</v>
      </c>
      <c r="I1631" s="17">
        <f>(C15)</f>
        <v>667</v>
      </c>
      <c r="J1631" s="3" t="s">
        <v>209</v>
      </c>
      <c r="K1631" s="17">
        <f t="shared" si="205"/>
        <v>333.5</v>
      </c>
      <c r="M1631" s="16">
        <v>2</v>
      </c>
      <c r="N1631" s="74" t="s">
        <v>1492</v>
      </c>
      <c r="O1631" s="245" t="s">
        <v>1866</v>
      </c>
      <c r="P1631" s="86">
        <v>12</v>
      </c>
      <c r="Q1631" s="5" t="str">
        <f>J1631</f>
        <v>NO.</v>
      </c>
      <c r="R1631" s="5">
        <f t="shared" si="206"/>
        <v>24</v>
      </c>
      <c r="AE1631" s="23">
        <f t="shared" si="204"/>
        <v>0</v>
      </c>
    </row>
    <row r="1632" spans="6:31" ht="24" customHeight="1">
      <c r="G1632" s="15" t="s">
        <v>129</v>
      </c>
      <c r="H1632" s="3" t="s">
        <v>1867</v>
      </c>
      <c r="J1632" s="3" t="s">
        <v>129</v>
      </c>
      <c r="K1632" s="17"/>
      <c r="M1632" s="17">
        <v>1</v>
      </c>
      <c r="N1632" s="246" t="s">
        <v>1492</v>
      </c>
      <c r="O1632" s="3" t="s">
        <v>1865</v>
      </c>
      <c r="P1632" s="5">
        <f>I1630</f>
        <v>31.5</v>
      </c>
      <c r="Q1632" s="5" t="str">
        <f>J1632</f>
        <v>L.S</v>
      </c>
      <c r="R1632" s="5">
        <f t="shared" si="206"/>
        <v>31.5</v>
      </c>
      <c r="AE1632" s="23">
        <f t="shared" si="204"/>
        <v>0</v>
      </c>
    </row>
    <row r="1633" spans="6:31" ht="24" customHeight="1">
      <c r="H1633" s="3" t="s">
        <v>1868</v>
      </c>
      <c r="M1633" s="17">
        <v>0.5</v>
      </c>
      <c r="N1633" s="246" t="s">
        <v>1492</v>
      </c>
      <c r="O1633" s="3" t="s">
        <v>210</v>
      </c>
      <c r="P1633" s="5">
        <f>I1631</f>
        <v>667</v>
      </c>
      <c r="R1633" s="5">
        <f t="shared" si="206"/>
        <v>333.5</v>
      </c>
      <c r="AE1633" s="23">
        <f t="shared" si="204"/>
        <v>0</v>
      </c>
    </row>
    <row r="1634" spans="6:31" ht="24" customHeight="1">
      <c r="K1634" s="12" t="s">
        <v>117</v>
      </c>
      <c r="N1634" s="246" t="s">
        <v>1492</v>
      </c>
      <c r="O1634" s="3" t="s">
        <v>1867</v>
      </c>
      <c r="P1634" s="5">
        <f>I1634</f>
        <v>0</v>
      </c>
      <c r="AE1634" s="23">
        <f t="shared" si="204"/>
        <v>0</v>
      </c>
    </row>
    <row r="1635" spans="6:31" ht="24" customHeight="1">
      <c r="H1635" s="3" t="s">
        <v>215</v>
      </c>
      <c r="K1635" s="17">
        <f>SUM(K1626:K1632)</f>
        <v>916.02</v>
      </c>
      <c r="O1635" s="3" t="s">
        <v>1868</v>
      </c>
      <c r="R1635" s="5">
        <f>26.98+4.7</f>
        <v>31.68</v>
      </c>
      <c r="AE1635" s="23">
        <f t="shared" si="204"/>
        <v>0</v>
      </c>
    </row>
    <row r="1636" spans="6:31" ht="24" customHeight="1">
      <c r="F1636" s="3" t="s">
        <v>115</v>
      </c>
      <c r="AE1636" s="23">
        <f t="shared" si="204"/>
        <v>0</v>
      </c>
    </row>
    <row r="1637" spans="6:31" ht="24" customHeight="1">
      <c r="K1637" s="12" t="s">
        <v>117</v>
      </c>
      <c r="O1637" s="3" t="s">
        <v>215</v>
      </c>
      <c r="R1637" s="50">
        <f>SUM(R1628:R1636)</f>
        <v>930.07999999999993</v>
      </c>
      <c r="AE1637" s="23">
        <f t="shared" si="204"/>
        <v>0</v>
      </c>
    </row>
    <row r="1638" spans="6:31" ht="24" customHeight="1">
      <c r="H1638" s="19" t="s">
        <v>216</v>
      </c>
      <c r="I1638" s="50"/>
      <c r="J1638" s="59"/>
      <c r="K1638" s="16">
        <f>(K1635/3)</f>
        <v>305.33999999999997</v>
      </c>
      <c r="AE1638" s="23">
        <f t="shared" si="204"/>
        <v>0</v>
      </c>
    </row>
    <row r="1639" spans="6:31" ht="24" customHeight="1">
      <c r="H1639" s="3"/>
      <c r="K1639" s="12" t="s">
        <v>155</v>
      </c>
      <c r="N1639" s="6"/>
      <c r="Q1639" s="8"/>
      <c r="R1639" s="12" t="s">
        <v>117</v>
      </c>
      <c r="AE1639" s="23">
        <f t="shared" si="204"/>
        <v>0</v>
      </c>
    </row>
    <row r="1640" spans="6:31" ht="24" customHeight="1">
      <c r="F1640" s="4" t="s">
        <v>1869</v>
      </c>
      <c r="H1640" s="3" t="s">
        <v>1870</v>
      </c>
      <c r="N1640" s="6"/>
      <c r="O1640" s="19" t="s">
        <v>216</v>
      </c>
      <c r="P1640" s="50"/>
      <c r="Q1640" s="59"/>
      <c r="R1640" s="16">
        <f>(R1637/3)</f>
        <v>310.02666666666664</v>
      </c>
      <c r="S1640" s="9">
        <f>310*3</f>
        <v>930</v>
      </c>
      <c r="T1640" s="5">
        <f>S1640-R1637</f>
        <v>-7.999999999992724E-2</v>
      </c>
      <c r="AE1640" s="23">
        <f t="shared" si="204"/>
        <v>0</v>
      </c>
    </row>
    <row r="1641" spans="6:31" ht="24" customHeight="1">
      <c r="H1641" s="3" t="s">
        <v>1871</v>
      </c>
      <c r="N1641" s="6"/>
      <c r="O1641" s="3"/>
      <c r="Q1641" s="8"/>
      <c r="R1641" s="12" t="s">
        <v>155</v>
      </c>
      <c r="AE1641" s="23">
        <f t="shared" si="204"/>
        <v>0</v>
      </c>
    </row>
    <row r="1642" spans="6:31" ht="24" customHeight="1">
      <c r="H1642" s="3" t="s">
        <v>1872</v>
      </c>
      <c r="AE1642" s="23">
        <f t="shared" si="204"/>
        <v>0</v>
      </c>
    </row>
    <row r="1643" spans="6:31" ht="24" customHeight="1">
      <c r="H1643" s="12" t="s">
        <v>117</v>
      </c>
      <c r="AE1643" s="23">
        <f t="shared" si="204"/>
        <v>0</v>
      </c>
    </row>
    <row r="1644" spans="6:31" ht="24" customHeight="1">
      <c r="F1644" s="17">
        <v>0.15</v>
      </c>
      <c r="G1644" s="15" t="s">
        <v>126</v>
      </c>
      <c r="H1644" s="3" t="s">
        <v>1873</v>
      </c>
      <c r="I1644" s="17">
        <f>(C70)</f>
        <v>965.68999999999994</v>
      </c>
      <c r="J1644" s="3" t="s">
        <v>126</v>
      </c>
      <c r="K1644" s="17">
        <f>(F1644*I1644)</f>
        <v>144.8535</v>
      </c>
      <c r="AE1644" s="23">
        <f t="shared" si="204"/>
        <v>0</v>
      </c>
    </row>
    <row r="1645" spans="6:31" ht="24" customHeight="1">
      <c r="F1645" s="81">
        <v>8.6499999999999994E-2</v>
      </c>
      <c r="G1645" s="15" t="s">
        <v>124</v>
      </c>
      <c r="H1645" s="3" t="s">
        <v>125</v>
      </c>
      <c r="I1645" s="17">
        <f>(C67)</f>
        <v>5800</v>
      </c>
      <c r="J1645" s="3" t="s">
        <v>124</v>
      </c>
      <c r="K1645" s="17">
        <f>(F1645*I1645)</f>
        <v>501.7</v>
      </c>
      <c r="AE1645" s="23">
        <f t="shared" si="204"/>
        <v>0</v>
      </c>
    </row>
    <row r="1646" spans="6:31" ht="24" customHeight="1">
      <c r="F1646" s="17">
        <v>1.6</v>
      </c>
      <c r="G1646" s="15" t="s">
        <v>1</v>
      </c>
      <c r="H1646" s="3" t="s">
        <v>144</v>
      </c>
      <c r="I1646" s="17">
        <f>(C10)</f>
        <v>769</v>
      </c>
      <c r="J1646" s="3" t="s">
        <v>1</v>
      </c>
      <c r="K1646" s="17">
        <f>(F1646*I1646)</f>
        <v>1230.4000000000001</v>
      </c>
      <c r="AE1646" s="23">
        <f t="shared" si="204"/>
        <v>0</v>
      </c>
    </row>
    <row r="1647" spans="6:31" ht="24" customHeight="1">
      <c r="F1647" s="17">
        <v>0.5</v>
      </c>
      <c r="G1647" s="15" t="s">
        <v>1</v>
      </c>
      <c r="H1647" s="3" t="s">
        <v>146</v>
      </c>
      <c r="I1647" s="17">
        <f>(C12)</f>
        <v>502</v>
      </c>
      <c r="J1647" s="3" t="s">
        <v>1</v>
      </c>
      <c r="K1647" s="17">
        <f>(F1647*I1647)</f>
        <v>251</v>
      </c>
      <c r="AE1647" s="23">
        <f t="shared" si="204"/>
        <v>0</v>
      </c>
    </row>
    <row r="1648" spans="6:31" ht="24" customHeight="1">
      <c r="F1648" s="17">
        <v>1.1000000000000001</v>
      </c>
      <c r="G1648" s="15" t="s">
        <v>1</v>
      </c>
      <c r="H1648" s="3" t="s">
        <v>147</v>
      </c>
      <c r="I1648" s="17">
        <f>(C13)</f>
        <v>412</v>
      </c>
      <c r="J1648" s="3" t="s">
        <v>1</v>
      </c>
      <c r="K1648" s="17">
        <f>(F1648*I1648)</f>
        <v>453.20000000000005</v>
      </c>
      <c r="AE1648" s="23">
        <f t="shared" si="204"/>
        <v>0</v>
      </c>
    </row>
    <row r="1649" spans="6:31" ht="24" customHeight="1">
      <c r="G1649" s="15" t="s">
        <v>129</v>
      </c>
      <c r="H1649" s="3" t="s">
        <v>130</v>
      </c>
      <c r="I1649" s="3" t="s">
        <v>115</v>
      </c>
      <c r="J1649" s="3" t="s">
        <v>129</v>
      </c>
      <c r="K1649" s="17">
        <v>0</v>
      </c>
      <c r="AE1649" s="23">
        <f t="shared" si="204"/>
        <v>0</v>
      </c>
    </row>
    <row r="1650" spans="6:31" ht="24" customHeight="1">
      <c r="K1650" s="12" t="s">
        <v>117</v>
      </c>
      <c r="AE1650" s="23">
        <f t="shared" si="204"/>
        <v>0</v>
      </c>
    </row>
    <row r="1651" spans="6:31" ht="24" customHeight="1">
      <c r="H1651" s="3" t="s">
        <v>153</v>
      </c>
      <c r="K1651" s="17">
        <f>SUM(K1644:K1649)</f>
        <v>2581.1535000000003</v>
      </c>
      <c r="AE1651" s="23">
        <f t="shared" si="204"/>
        <v>0</v>
      </c>
    </row>
    <row r="1652" spans="6:31" ht="24" customHeight="1">
      <c r="K1652" s="12" t="s">
        <v>117</v>
      </c>
      <c r="AE1652" s="23">
        <f t="shared" si="204"/>
        <v>0</v>
      </c>
    </row>
    <row r="1653" spans="6:31" ht="24" customHeight="1">
      <c r="H1653" s="19" t="s">
        <v>154</v>
      </c>
      <c r="I1653" s="50"/>
      <c r="J1653" s="59"/>
      <c r="K1653" s="16">
        <f>(K1651/10)</f>
        <v>258.11535000000003</v>
      </c>
      <c r="AE1653" s="23">
        <f t="shared" si="204"/>
        <v>0</v>
      </c>
    </row>
    <row r="1654" spans="6:31" ht="24" customHeight="1">
      <c r="K1654" s="12" t="s">
        <v>155</v>
      </c>
      <c r="AE1654" s="23">
        <f t="shared" si="204"/>
        <v>0</v>
      </c>
    </row>
    <row r="1655" spans="6:31" ht="24" customHeight="1">
      <c r="F1655" s="4" t="s">
        <v>1874</v>
      </c>
      <c r="G1655" s="15" t="s">
        <v>122</v>
      </c>
      <c r="H1655" s="3" t="s">
        <v>1875</v>
      </c>
      <c r="AE1655" s="23">
        <f t="shared" si="204"/>
        <v>0</v>
      </c>
    </row>
    <row r="1656" spans="6:31" ht="24" customHeight="1">
      <c r="H1656" s="3" t="s">
        <v>1876</v>
      </c>
      <c r="AE1656" s="23">
        <f t="shared" si="204"/>
        <v>0</v>
      </c>
    </row>
    <row r="1657" spans="6:31" ht="24" customHeight="1">
      <c r="H1657" s="3" t="s">
        <v>1877</v>
      </c>
      <c r="J1657" s="3" t="s">
        <v>115</v>
      </c>
      <c r="AE1657" s="23">
        <f t="shared" si="204"/>
        <v>0</v>
      </c>
    </row>
    <row r="1658" spans="6:31" ht="24" customHeight="1">
      <c r="H1658" s="3" t="s">
        <v>1878</v>
      </c>
      <c r="AE1658" s="23">
        <f t="shared" si="204"/>
        <v>0</v>
      </c>
    </row>
    <row r="1659" spans="6:31" ht="24" customHeight="1">
      <c r="H1659" s="3" t="s">
        <v>1879</v>
      </c>
      <c r="AE1659" s="23">
        <f t="shared" si="204"/>
        <v>0</v>
      </c>
    </row>
    <row r="1660" spans="6:31" ht="24" customHeight="1">
      <c r="H1660" s="3" t="s">
        <v>1880</v>
      </c>
      <c r="AE1660" s="23">
        <f t="shared" si="204"/>
        <v>0</v>
      </c>
    </row>
    <row r="1661" spans="6:31" ht="24" customHeight="1">
      <c r="H1661" s="3" t="s">
        <v>1881</v>
      </c>
      <c r="AE1661" s="23">
        <f t="shared" si="204"/>
        <v>0</v>
      </c>
    </row>
    <row r="1662" spans="6:31" ht="24" customHeight="1">
      <c r="H1662" s="3" t="s">
        <v>1882</v>
      </c>
      <c r="AE1662" s="23">
        <f t="shared" ref="AE1662:AE1695" si="207">AG1662</f>
        <v>0</v>
      </c>
    </row>
    <row r="1663" spans="6:31" ht="24" customHeight="1">
      <c r="H1663" s="3" t="s">
        <v>1883</v>
      </c>
      <c r="AE1663" s="23">
        <f t="shared" si="207"/>
        <v>0</v>
      </c>
    </row>
    <row r="1664" spans="6:31" ht="24" customHeight="1">
      <c r="H1664" s="12" t="s">
        <v>155</v>
      </c>
      <c r="AE1664" s="23">
        <f t="shared" si="207"/>
        <v>0</v>
      </c>
    </row>
    <row r="1665" spans="6:31" ht="24" customHeight="1">
      <c r="AE1665" s="23">
        <f t="shared" si="207"/>
        <v>0</v>
      </c>
    </row>
    <row r="1666" spans="6:31" ht="24" customHeight="1">
      <c r="F1666" s="17">
        <v>1</v>
      </c>
      <c r="G1666" s="15" t="s">
        <v>231</v>
      </c>
      <c r="H1666" s="3" t="s">
        <v>1884</v>
      </c>
      <c r="I1666" s="123">
        <v>45.72</v>
      </c>
      <c r="J1666" s="3" t="s">
        <v>231</v>
      </c>
      <c r="K1666" s="17">
        <f>(F1666*I1666)</f>
        <v>45.72</v>
      </c>
      <c r="AE1666" s="23">
        <f t="shared" si="207"/>
        <v>0</v>
      </c>
    </row>
    <row r="1667" spans="6:31" ht="24" customHeight="1">
      <c r="F1667" s="17">
        <v>1</v>
      </c>
      <c r="G1667" s="15" t="s">
        <v>1885</v>
      </c>
      <c r="H1667" s="3" t="s">
        <v>1886</v>
      </c>
      <c r="I1667" s="123">
        <v>5</v>
      </c>
      <c r="J1667" s="3" t="s">
        <v>1885</v>
      </c>
      <c r="K1667" s="17">
        <f>(F1667*I1667)</f>
        <v>5</v>
      </c>
      <c r="AE1667" s="23">
        <f t="shared" si="207"/>
        <v>0</v>
      </c>
    </row>
    <row r="1668" spans="6:31" ht="24" customHeight="1">
      <c r="G1668" s="15" t="s">
        <v>129</v>
      </c>
      <c r="H1668" s="3" t="s">
        <v>1887</v>
      </c>
      <c r="J1668" s="3" t="s">
        <v>129</v>
      </c>
      <c r="K1668" s="17">
        <v>7.28</v>
      </c>
      <c r="AE1668" s="23">
        <f t="shared" si="207"/>
        <v>0</v>
      </c>
    </row>
    <row r="1669" spans="6:31" ht="24" customHeight="1">
      <c r="K1669" s="12" t="s">
        <v>117</v>
      </c>
      <c r="AE1669" s="23">
        <f t="shared" si="207"/>
        <v>0</v>
      </c>
    </row>
    <row r="1670" spans="6:31" ht="24" customHeight="1">
      <c r="H1670" s="4" t="s">
        <v>1888</v>
      </c>
      <c r="K1670" s="17">
        <f>SUM(K1666:K1668)</f>
        <v>58</v>
      </c>
      <c r="AE1670" s="23">
        <f t="shared" si="207"/>
        <v>0</v>
      </c>
    </row>
    <row r="1671" spans="6:31" ht="24" customHeight="1">
      <c r="K1671" s="12" t="s">
        <v>155</v>
      </c>
      <c r="AE1671" s="23">
        <f t="shared" si="207"/>
        <v>0</v>
      </c>
    </row>
    <row r="1672" spans="6:31" ht="24" customHeight="1">
      <c r="F1672" s="4" t="s">
        <v>1889</v>
      </c>
      <c r="G1672" s="15" t="s">
        <v>122</v>
      </c>
      <c r="H1672" s="3" t="s">
        <v>1890</v>
      </c>
      <c r="AE1672" s="23">
        <f t="shared" si="207"/>
        <v>0</v>
      </c>
    </row>
    <row r="1673" spans="6:31" ht="24" customHeight="1">
      <c r="H1673" s="3" t="s">
        <v>1891</v>
      </c>
      <c r="AE1673" s="23">
        <f t="shared" si="207"/>
        <v>0</v>
      </c>
    </row>
    <row r="1674" spans="6:31" ht="24" customHeight="1">
      <c r="H1674" s="3" t="s">
        <v>1892</v>
      </c>
      <c r="AE1674" s="23">
        <f t="shared" si="207"/>
        <v>0</v>
      </c>
    </row>
    <row r="1675" spans="6:31" ht="24" customHeight="1">
      <c r="H1675" s="3" t="s">
        <v>1893</v>
      </c>
      <c r="AE1675" s="23">
        <f t="shared" si="207"/>
        <v>0</v>
      </c>
    </row>
    <row r="1676" spans="6:31" ht="24" customHeight="1">
      <c r="H1676" s="3" t="s">
        <v>1894</v>
      </c>
      <c r="AE1676" s="23">
        <f t="shared" si="207"/>
        <v>0</v>
      </c>
    </row>
    <row r="1677" spans="6:31" ht="24" customHeight="1">
      <c r="H1677" s="12" t="s">
        <v>117</v>
      </c>
      <c r="I1677" s="12" t="s">
        <v>117</v>
      </c>
      <c r="AE1677" s="23">
        <f t="shared" si="207"/>
        <v>0</v>
      </c>
    </row>
    <row r="1678" spans="6:31" ht="24" customHeight="1">
      <c r="F1678" s="17">
        <v>1</v>
      </c>
      <c r="G1678" s="15" t="s">
        <v>1895</v>
      </c>
      <c r="H1678" s="3" t="s">
        <v>1896</v>
      </c>
      <c r="I1678" s="123">
        <v>85</v>
      </c>
      <c r="J1678" s="3" t="s">
        <v>227</v>
      </c>
      <c r="K1678" s="17">
        <f>(F1678*I1678)</f>
        <v>85</v>
      </c>
      <c r="AE1678" s="23">
        <f t="shared" si="207"/>
        <v>0</v>
      </c>
    </row>
    <row r="1679" spans="6:31" ht="24" customHeight="1">
      <c r="G1679" s="15" t="s">
        <v>129</v>
      </c>
      <c r="H1679" s="3" t="s">
        <v>1897</v>
      </c>
      <c r="J1679" s="3" t="s">
        <v>129</v>
      </c>
      <c r="K1679" s="17">
        <v>7.5</v>
      </c>
      <c r="AE1679" s="23">
        <f t="shared" si="207"/>
        <v>0</v>
      </c>
    </row>
    <row r="1680" spans="6:31" ht="24" customHeight="1">
      <c r="G1680" s="15" t="s">
        <v>129</v>
      </c>
      <c r="H1680" s="3" t="s">
        <v>1898</v>
      </c>
      <c r="J1680" s="3" t="s">
        <v>129</v>
      </c>
      <c r="K1680" s="17">
        <f>1.75+0.75</f>
        <v>2.5</v>
      </c>
      <c r="AE1680" s="23">
        <f t="shared" si="207"/>
        <v>0</v>
      </c>
    </row>
    <row r="1681" spans="6:31" ht="24" customHeight="1">
      <c r="H1681" s="3" t="s">
        <v>1899</v>
      </c>
      <c r="K1681" s="12" t="s">
        <v>117</v>
      </c>
      <c r="AE1681" s="23">
        <f t="shared" si="207"/>
        <v>0</v>
      </c>
    </row>
    <row r="1682" spans="6:31" ht="24" customHeight="1">
      <c r="H1682" s="4" t="s">
        <v>1888</v>
      </c>
      <c r="K1682" s="17">
        <f>SUM(K1678:K1680)</f>
        <v>95</v>
      </c>
      <c r="AE1682" s="23">
        <f t="shared" si="207"/>
        <v>0</v>
      </c>
    </row>
    <row r="1683" spans="6:31" ht="24" customHeight="1">
      <c r="K1683" s="12" t="s">
        <v>155</v>
      </c>
      <c r="AE1683" s="23">
        <f t="shared" si="207"/>
        <v>0</v>
      </c>
    </row>
    <row r="1684" spans="6:31" ht="24" customHeight="1">
      <c r="F1684" s="4" t="s">
        <v>1900</v>
      </c>
      <c r="G1684" s="15" t="s">
        <v>122</v>
      </c>
      <c r="H1684" s="3" t="s">
        <v>1901</v>
      </c>
      <c r="AE1684" s="23">
        <f t="shared" si="207"/>
        <v>0</v>
      </c>
    </row>
    <row r="1685" spans="6:31" ht="24" customHeight="1">
      <c r="H1685" s="3" t="s">
        <v>1902</v>
      </c>
      <c r="K1685" s="3" t="s">
        <v>115</v>
      </c>
      <c r="AE1685" s="23">
        <f t="shared" si="207"/>
        <v>0</v>
      </c>
    </row>
    <row r="1686" spans="6:31" ht="24" customHeight="1">
      <c r="H1686" s="12" t="s">
        <v>117</v>
      </c>
      <c r="AE1686" s="23">
        <f t="shared" si="207"/>
        <v>0</v>
      </c>
    </row>
    <row r="1687" spans="6:31" ht="24" customHeight="1">
      <c r="F1687" s="17">
        <v>1</v>
      </c>
      <c r="G1687" s="15" t="s">
        <v>1895</v>
      </c>
      <c r="H1687" s="3" t="s">
        <v>1903</v>
      </c>
      <c r="I1687" s="123">
        <v>50</v>
      </c>
      <c r="J1687" s="3" t="s">
        <v>227</v>
      </c>
      <c r="K1687" s="17">
        <f>(F1687*I1687)</f>
        <v>50</v>
      </c>
      <c r="AE1687" s="23">
        <f t="shared" si="207"/>
        <v>0</v>
      </c>
    </row>
    <row r="1688" spans="6:31" ht="24" customHeight="1">
      <c r="G1688" s="15" t="s">
        <v>129</v>
      </c>
      <c r="H1688" s="3" t="s">
        <v>1904</v>
      </c>
      <c r="J1688" s="3" t="s">
        <v>129</v>
      </c>
      <c r="K1688" s="17">
        <v>5</v>
      </c>
      <c r="AE1688" s="23">
        <f t="shared" si="207"/>
        <v>0</v>
      </c>
    </row>
    <row r="1689" spans="6:31" ht="24" customHeight="1">
      <c r="K1689" s="12" t="s">
        <v>117</v>
      </c>
      <c r="AE1689" s="23">
        <f t="shared" si="207"/>
        <v>0</v>
      </c>
    </row>
    <row r="1690" spans="6:31" ht="24" customHeight="1">
      <c r="H1690" s="4" t="s">
        <v>1905</v>
      </c>
      <c r="K1690" s="17">
        <f>SUM(K1686:K1688)</f>
        <v>55</v>
      </c>
      <c r="AE1690" s="23">
        <f t="shared" si="207"/>
        <v>0</v>
      </c>
    </row>
    <row r="1691" spans="6:31" ht="24" customHeight="1">
      <c r="K1691" s="12" t="s">
        <v>155</v>
      </c>
      <c r="AE1691" s="23">
        <f t="shared" si="207"/>
        <v>0</v>
      </c>
    </row>
    <row r="1692" spans="6:31" ht="24" customHeight="1">
      <c r="F1692" s="4" t="s">
        <v>1906</v>
      </c>
      <c r="G1692" s="15" t="s">
        <v>122</v>
      </c>
      <c r="H1692" s="3" t="s">
        <v>1907</v>
      </c>
      <c r="AE1692" s="23">
        <f t="shared" si="207"/>
        <v>0</v>
      </c>
    </row>
    <row r="1693" spans="6:31" ht="24" customHeight="1">
      <c r="H1693" s="12" t="s">
        <v>117</v>
      </c>
      <c r="I1693" s="12" t="s">
        <v>117</v>
      </c>
      <c r="AE1693" s="23">
        <f t="shared" si="207"/>
        <v>0</v>
      </c>
    </row>
    <row r="1694" spans="6:31" ht="24" customHeight="1">
      <c r="F1694" s="17">
        <v>1</v>
      </c>
      <c r="G1694" s="15" t="s">
        <v>1895</v>
      </c>
      <c r="H1694" s="3" t="s">
        <v>1908</v>
      </c>
      <c r="I1694" s="123">
        <v>1.2</v>
      </c>
      <c r="J1694" s="3" t="s">
        <v>227</v>
      </c>
      <c r="K1694" s="17">
        <f>(F1694*I1694)</f>
        <v>1.2</v>
      </c>
      <c r="AE1694" s="23">
        <f t="shared" si="207"/>
        <v>0</v>
      </c>
    </row>
    <row r="1695" spans="6:31" ht="24" customHeight="1">
      <c r="G1695" s="15" t="s">
        <v>129</v>
      </c>
      <c r="H1695" s="3" t="s">
        <v>1904</v>
      </c>
      <c r="J1695" s="3" t="s">
        <v>129</v>
      </c>
      <c r="K1695" s="17">
        <f>K1694*0.25</f>
        <v>0.3</v>
      </c>
      <c r="AE1695" s="23">
        <f t="shared" si="207"/>
        <v>0</v>
      </c>
    </row>
    <row r="1696" spans="6:31" ht="24" customHeight="1">
      <c r="K1696" s="12" t="s">
        <v>117</v>
      </c>
    </row>
    <row r="1697" spans="6:11" ht="24" customHeight="1">
      <c r="H1697" s="4" t="s">
        <v>1905</v>
      </c>
      <c r="K1697" s="17">
        <f>SUM(K1692:K1695)</f>
        <v>1.5</v>
      </c>
    </row>
    <row r="1698" spans="6:11" ht="24" customHeight="1">
      <c r="F1698" s="3" t="s">
        <v>115</v>
      </c>
      <c r="K1698" s="12" t="s">
        <v>117</v>
      </c>
    </row>
    <row r="1699" spans="6:11" ht="24" customHeight="1">
      <c r="F1699" s="51">
        <v>50.1</v>
      </c>
      <c r="G1699" s="15" t="s">
        <v>122</v>
      </c>
      <c r="H1699" s="3" t="s">
        <v>1909</v>
      </c>
    </row>
    <row r="1700" spans="6:11" ht="24" customHeight="1">
      <c r="H1700" s="3" t="s">
        <v>1910</v>
      </c>
    </row>
    <row r="1701" spans="6:11" ht="24" customHeight="1">
      <c r="H1701" s="3" t="s">
        <v>1911</v>
      </c>
    </row>
    <row r="1702" spans="6:11" ht="24" customHeight="1">
      <c r="H1702" s="3" t="s">
        <v>1912</v>
      </c>
    </row>
    <row r="1703" spans="6:11" ht="24" customHeight="1">
      <c r="H1703" s="3" t="s">
        <v>1913</v>
      </c>
    </row>
    <row r="1704" spans="6:11" ht="24" customHeight="1">
      <c r="H1704" s="12" t="s">
        <v>117</v>
      </c>
      <c r="I1704" s="12" t="s">
        <v>117</v>
      </c>
    </row>
    <row r="1705" spans="6:11" ht="24" customHeight="1">
      <c r="F1705" s="17">
        <v>9</v>
      </c>
      <c r="G1705" s="15" t="s">
        <v>429</v>
      </c>
      <c r="H1705" s="3" t="s">
        <v>1914</v>
      </c>
      <c r="I1705" s="17">
        <f>C73</f>
        <v>1637.02</v>
      </c>
      <c r="J1705" s="3" t="s">
        <v>429</v>
      </c>
      <c r="K1705" s="17">
        <f>(F1705*I1705)</f>
        <v>14733.18</v>
      </c>
    </row>
    <row r="1706" spans="6:11" ht="24" customHeight="1">
      <c r="F1706" s="17">
        <v>4.5</v>
      </c>
      <c r="G1706" s="15" t="s">
        <v>429</v>
      </c>
      <c r="H1706" s="3" t="s">
        <v>1915</v>
      </c>
      <c r="I1706" s="17">
        <f>K32</f>
        <v>4193.8</v>
      </c>
      <c r="J1706" s="3" t="s">
        <v>429</v>
      </c>
      <c r="K1706" s="17">
        <f>(F1706*I1706)</f>
        <v>18872.100000000002</v>
      </c>
    </row>
    <row r="1707" spans="6:11" ht="24" customHeight="1">
      <c r="F1707" s="17">
        <v>1.8</v>
      </c>
      <c r="G1707" s="15" t="s">
        <v>233</v>
      </c>
      <c r="H1707" s="3" t="s">
        <v>1916</v>
      </c>
      <c r="I1707" s="17">
        <f>C11</f>
        <v>718</v>
      </c>
      <c r="J1707" s="3" t="s">
        <v>227</v>
      </c>
      <c r="K1707" s="17">
        <f>(F1707*I1707)</f>
        <v>1292.4000000000001</v>
      </c>
    </row>
    <row r="1708" spans="6:11" ht="24" customHeight="1">
      <c r="F1708" s="17">
        <v>17.7</v>
      </c>
      <c r="G1708" s="15" t="s">
        <v>233</v>
      </c>
      <c r="H1708" s="3" t="s">
        <v>956</v>
      </c>
      <c r="I1708" s="17">
        <f>C12</f>
        <v>502</v>
      </c>
      <c r="J1708" s="3" t="s">
        <v>227</v>
      </c>
      <c r="K1708" s="17">
        <f>(F1708*I1708)</f>
        <v>8885.4</v>
      </c>
    </row>
    <row r="1709" spans="6:11" ht="24" customHeight="1">
      <c r="F1709" s="17">
        <v>14.1</v>
      </c>
      <c r="G1709" s="15" t="s">
        <v>233</v>
      </c>
      <c r="H1709" s="3" t="s">
        <v>1809</v>
      </c>
      <c r="I1709" s="17">
        <f>C13</f>
        <v>412</v>
      </c>
      <c r="J1709" s="3" t="s">
        <v>227</v>
      </c>
      <c r="K1709" s="17">
        <f>(F1709*I1709)</f>
        <v>5809.2</v>
      </c>
    </row>
    <row r="1710" spans="6:11" ht="24" customHeight="1">
      <c r="K1710" s="12" t="s">
        <v>117</v>
      </c>
    </row>
    <row r="1711" spans="6:11" ht="24" customHeight="1">
      <c r="H1711" s="4" t="s">
        <v>1917</v>
      </c>
      <c r="K1711" s="17">
        <f>SUM(K1705:K1709)</f>
        <v>49592.28</v>
      </c>
    </row>
    <row r="1712" spans="6:11" ht="24" customHeight="1">
      <c r="K1712" s="12" t="s">
        <v>117</v>
      </c>
    </row>
    <row r="1713" spans="6:11" ht="24" customHeight="1">
      <c r="H1713" s="4" t="s">
        <v>1918</v>
      </c>
      <c r="K1713" s="16">
        <f>(K1711/10)</f>
        <v>4959.2280000000001</v>
      </c>
    </row>
    <row r="1714" spans="6:11" ht="24" customHeight="1">
      <c r="K1714" s="12" t="s">
        <v>155</v>
      </c>
    </row>
    <row r="1716" spans="6:11" ht="24" customHeight="1">
      <c r="G1716" s="15" t="s">
        <v>558</v>
      </c>
      <c r="H1716" s="3" t="s">
        <v>1919</v>
      </c>
    </row>
    <row r="1717" spans="6:11" ht="24" customHeight="1">
      <c r="H1717" s="3" t="s">
        <v>1920</v>
      </c>
    </row>
    <row r="1718" spans="6:11" ht="24" customHeight="1">
      <c r="H1718" s="12" t="s">
        <v>117</v>
      </c>
      <c r="I1718" s="12" t="s">
        <v>117</v>
      </c>
    </row>
    <row r="1720" spans="6:11" ht="24" customHeight="1">
      <c r="F1720" s="49">
        <v>0.314</v>
      </c>
      <c r="G1720" s="15" t="s">
        <v>429</v>
      </c>
      <c r="H1720" s="3" t="s">
        <v>1921</v>
      </c>
      <c r="I1720" s="17">
        <f>K1713</f>
        <v>4959.2280000000001</v>
      </c>
      <c r="J1720" s="3" t="s">
        <v>429</v>
      </c>
      <c r="K1720" s="17">
        <f>(F1720*I1720)</f>
        <v>1557.197592</v>
      </c>
    </row>
    <row r="1721" spans="6:11" ht="24" customHeight="1">
      <c r="F1721" s="17">
        <v>18</v>
      </c>
      <c r="G1721" s="15" t="s">
        <v>233</v>
      </c>
      <c r="H1721" s="52" t="s">
        <v>1922</v>
      </c>
      <c r="I1721" s="107">
        <v>41.87</v>
      </c>
      <c r="J1721" s="3" t="s">
        <v>227</v>
      </c>
      <c r="K1721" s="17">
        <f>(F1721*I1721)</f>
        <v>753.66</v>
      </c>
    </row>
    <row r="1722" spans="6:11" ht="24" customHeight="1">
      <c r="F1722" s="17">
        <v>18</v>
      </c>
      <c r="G1722" s="15" t="s">
        <v>233</v>
      </c>
      <c r="H1722" s="3" t="s">
        <v>1923</v>
      </c>
      <c r="I1722" s="17">
        <v>1</v>
      </c>
      <c r="J1722" s="3" t="s">
        <v>227</v>
      </c>
      <c r="K1722" s="17">
        <f>(F1722*I1722)</f>
        <v>18</v>
      </c>
    </row>
    <row r="1723" spans="6:11" ht="24" customHeight="1">
      <c r="F1723" s="17">
        <v>18</v>
      </c>
      <c r="G1723" s="15" t="s">
        <v>233</v>
      </c>
      <c r="H1723" s="3" t="s">
        <v>1924</v>
      </c>
      <c r="I1723" s="17">
        <v>2</v>
      </c>
      <c r="J1723" s="3" t="s">
        <v>227</v>
      </c>
      <c r="K1723" s="17">
        <f>(F1723*I1723)</f>
        <v>36</v>
      </c>
    </row>
    <row r="1724" spans="6:11" ht="24" customHeight="1">
      <c r="K1724" s="12" t="s">
        <v>117</v>
      </c>
    </row>
    <row r="1725" spans="6:11" ht="24" customHeight="1">
      <c r="H1725" s="4" t="s">
        <v>1925</v>
      </c>
      <c r="K1725" s="17">
        <f>SUM(K1719:K1723)</f>
        <v>2364.8575919999998</v>
      </c>
    </row>
    <row r="1726" spans="6:11" ht="24" customHeight="1">
      <c r="K1726" s="12" t="s">
        <v>117</v>
      </c>
    </row>
    <row r="1727" spans="6:11" ht="24" customHeight="1">
      <c r="H1727" s="4" t="s">
        <v>1926</v>
      </c>
      <c r="K1727" s="16">
        <f>(K1725/6.28)</f>
        <v>376.56968025477704</v>
      </c>
    </row>
    <row r="1728" spans="6:11" ht="24" customHeight="1">
      <c r="K1728" s="12" t="s">
        <v>155</v>
      </c>
    </row>
    <row r="1729" spans="6:11" ht="24" customHeight="1">
      <c r="F1729" s="3" t="s">
        <v>115</v>
      </c>
      <c r="H1729" s="3" t="s">
        <v>1927</v>
      </c>
    </row>
    <row r="1730" spans="6:11" ht="24" customHeight="1">
      <c r="H1730" s="12" t="s">
        <v>117</v>
      </c>
    </row>
    <row r="1731" spans="6:11" ht="24" customHeight="1">
      <c r="F1731" s="49">
        <v>0.01</v>
      </c>
      <c r="G1731" s="15" t="s">
        <v>429</v>
      </c>
      <c r="H1731" s="3" t="s">
        <v>1921</v>
      </c>
      <c r="I1731" s="17">
        <f>K1713</f>
        <v>4959.2280000000001</v>
      </c>
      <c r="J1731" s="3" t="s">
        <v>429</v>
      </c>
      <c r="K1731" s="17">
        <f>ROUND(F1731*I1731,2)</f>
        <v>49.59</v>
      </c>
    </row>
    <row r="1732" spans="6:11" ht="24" customHeight="1">
      <c r="F1732" s="17">
        <v>0.01</v>
      </c>
      <c r="G1732" s="15" t="s">
        <v>642</v>
      </c>
      <c r="H1732" s="3" t="s">
        <v>1928</v>
      </c>
      <c r="I1732" s="112" t="s">
        <v>166</v>
      </c>
      <c r="K1732" s="17">
        <v>1.2</v>
      </c>
    </row>
    <row r="1733" spans="6:11" ht="24" customHeight="1">
      <c r="I1733" s="91"/>
      <c r="K1733" s="12" t="s">
        <v>117</v>
      </c>
    </row>
    <row r="1734" spans="6:11" ht="24" customHeight="1">
      <c r="H1734" s="4" t="s">
        <v>1929</v>
      </c>
      <c r="K1734" s="17">
        <f>SUM(K1728:K1732)</f>
        <v>50.790000000000006</v>
      </c>
    </row>
    <row r="1735" spans="6:11" ht="24" customHeight="1">
      <c r="K1735" s="12" t="s">
        <v>117</v>
      </c>
    </row>
    <row r="1736" spans="6:11" ht="24" customHeight="1">
      <c r="H1736" s="4" t="s">
        <v>1930</v>
      </c>
      <c r="K1736" s="17">
        <f>K1734/0.01</f>
        <v>5079.0000000000009</v>
      </c>
    </row>
    <row r="1737" spans="6:11" ht="24" customHeight="1">
      <c r="K1737" s="12" t="s">
        <v>155</v>
      </c>
    </row>
    <row r="1738" spans="6:11" ht="24" customHeight="1">
      <c r="F1738" s="4" t="s">
        <v>1931</v>
      </c>
      <c r="G1738" s="15" t="s">
        <v>558</v>
      </c>
      <c r="H1738" s="3" t="s">
        <v>1919</v>
      </c>
    </row>
    <row r="1739" spans="6:11" ht="24" customHeight="1">
      <c r="H1739" s="7" t="s">
        <v>1932</v>
      </c>
    </row>
    <row r="1740" spans="6:11" ht="24" customHeight="1">
      <c r="H1740" s="12" t="s">
        <v>117</v>
      </c>
      <c r="I1740" s="12" t="s">
        <v>117</v>
      </c>
    </row>
    <row r="1741" spans="6:11" ht="24" customHeight="1">
      <c r="F1741" s="49">
        <v>0.40500000000000003</v>
      </c>
      <c r="G1741" s="15" t="s">
        <v>429</v>
      </c>
      <c r="H1741" s="3" t="s">
        <v>1921</v>
      </c>
      <c r="I1741" s="17">
        <f>K1736</f>
        <v>5079.0000000000009</v>
      </c>
      <c r="J1741" s="3" t="s">
        <v>429</v>
      </c>
      <c r="K1741" s="17">
        <f>(F1741*I1741)</f>
        <v>2056.9950000000003</v>
      </c>
    </row>
    <row r="1742" spans="6:11" ht="24" customHeight="1">
      <c r="F1742" s="3" t="s">
        <v>115</v>
      </c>
      <c r="G1742" s="15" t="s">
        <v>115</v>
      </c>
      <c r="H1742" s="3" t="s">
        <v>1933</v>
      </c>
      <c r="I1742" s="112" t="s">
        <v>166</v>
      </c>
      <c r="K1742" s="3" t="s">
        <v>115</v>
      </c>
    </row>
    <row r="1743" spans="6:11" ht="24" customHeight="1">
      <c r="K1743" s="12" t="s">
        <v>117</v>
      </c>
    </row>
    <row r="1744" spans="6:11" ht="24" customHeight="1">
      <c r="H1744" s="4" t="s">
        <v>1934</v>
      </c>
      <c r="K1744" s="17">
        <f>SUM(K1738:K1742)</f>
        <v>2056.9950000000003</v>
      </c>
    </row>
    <row r="1745" spans="6:11" ht="24" customHeight="1">
      <c r="K1745" s="12" t="s">
        <v>117</v>
      </c>
    </row>
    <row r="1746" spans="6:11" ht="24" customHeight="1">
      <c r="H1746" s="4" t="s">
        <v>1935</v>
      </c>
      <c r="K1746" s="16">
        <f>K1744/9</f>
        <v>228.55500000000004</v>
      </c>
    </row>
    <row r="1747" spans="6:11" ht="24" customHeight="1">
      <c r="K1747" s="12" t="s">
        <v>155</v>
      </c>
    </row>
    <row r="1748" spans="6:11" ht="24" customHeight="1">
      <c r="F1748" s="4" t="s">
        <v>1936</v>
      </c>
      <c r="H1748" s="3" t="s">
        <v>1937</v>
      </c>
    </row>
    <row r="1749" spans="6:11" ht="24" customHeight="1">
      <c r="H1749" s="12" t="s">
        <v>117</v>
      </c>
    </row>
    <row r="1750" spans="6:11" ht="24" customHeight="1">
      <c r="F1750" s="17">
        <v>4.32</v>
      </c>
      <c r="G1750" s="15" t="s">
        <v>126</v>
      </c>
      <c r="H1750" s="3" t="s">
        <v>1938</v>
      </c>
      <c r="I1750" s="17">
        <f>C61</f>
        <v>84</v>
      </c>
      <c r="J1750" s="3" t="s">
        <v>126</v>
      </c>
      <c r="K1750" s="17">
        <f t="shared" ref="K1750:K1757" si="208">(F1750*I1750)</f>
        <v>362.88</v>
      </c>
    </row>
    <row r="1751" spans="6:11" ht="24" customHeight="1">
      <c r="F1751" s="17">
        <v>1.44</v>
      </c>
      <c r="G1751" s="15" t="s">
        <v>126</v>
      </c>
      <c r="H1751" s="3" t="s">
        <v>1939</v>
      </c>
      <c r="I1751" s="123">
        <v>69.099999999999994</v>
      </c>
      <c r="J1751" s="3" t="s">
        <v>126</v>
      </c>
      <c r="K1751" s="17">
        <f t="shared" si="208"/>
        <v>99.503999999999991</v>
      </c>
    </row>
    <row r="1752" spans="6:11" ht="24" customHeight="1">
      <c r="F1752" s="17">
        <v>1.44</v>
      </c>
      <c r="G1752" s="15" t="s">
        <v>126</v>
      </c>
      <c r="H1752" s="3" t="s">
        <v>1940</v>
      </c>
      <c r="I1752" s="17">
        <f>C35</f>
        <v>449.02</v>
      </c>
      <c r="J1752" s="3" t="s">
        <v>126</v>
      </c>
      <c r="K1752" s="17">
        <f t="shared" si="208"/>
        <v>646.58879999999999</v>
      </c>
    </row>
    <row r="1753" spans="6:11" ht="24" customHeight="1">
      <c r="F1753" s="17">
        <v>1.44</v>
      </c>
      <c r="G1753" s="15" t="s">
        <v>126</v>
      </c>
      <c r="H1753" s="3" t="s">
        <v>1941</v>
      </c>
      <c r="I1753" s="17">
        <f>C78</f>
        <v>1322.8</v>
      </c>
      <c r="J1753" s="3" t="s">
        <v>126</v>
      </c>
      <c r="K1753" s="17">
        <f t="shared" si="208"/>
        <v>1904.8319999999999</v>
      </c>
    </row>
    <row r="1754" spans="6:11" ht="24" customHeight="1">
      <c r="F1754" s="17">
        <v>2.88</v>
      </c>
      <c r="G1754" s="15" t="s">
        <v>126</v>
      </c>
      <c r="H1754" s="3" t="s">
        <v>1942</v>
      </c>
      <c r="I1754" s="107">
        <v>10</v>
      </c>
      <c r="J1754" s="3" t="s">
        <v>126</v>
      </c>
      <c r="K1754" s="17">
        <f t="shared" si="208"/>
        <v>28.799999999999997</v>
      </c>
    </row>
    <row r="1755" spans="6:11" ht="24" customHeight="1">
      <c r="F1755" s="17">
        <v>20</v>
      </c>
      <c r="G1755" s="15" t="s">
        <v>188</v>
      </c>
      <c r="H1755" s="3" t="s">
        <v>1943</v>
      </c>
      <c r="I1755" s="123">
        <v>46.1</v>
      </c>
      <c r="J1755" s="3" t="s">
        <v>188</v>
      </c>
      <c r="K1755" s="17">
        <f t="shared" si="208"/>
        <v>922</v>
      </c>
    </row>
    <row r="1756" spans="6:11" ht="24" customHeight="1">
      <c r="F1756" s="17">
        <v>42</v>
      </c>
      <c r="G1756" s="15" t="s">
        <v>1944</v>
      </c>
      <c r="H1756" s="3" t="s">
        <v>1945</v>
      </c>
      <c r="I1756" s="23">
        <v>17.5</v>
      </c>
      <c r="J1756" s="3" t="s">
        <v>1944</v>
      </c>
      <c r="K1756" s="17">
        <f t="shared" si="208"/>
        <v>735</v>
      </c>
    </row>
    <row r="1757" spans="6:11" ht="24" customHeight="1">
      <c r="F1757" s="17">
        <v>4.32</v>
      </c>
      <c r="G1757" s="15" t="s">
        <v>126</v>
      </c>
      <c r="H1757" s="3" t="s">
        <v>1946</v>
      </c>
      <c r="I1757" s="17">
        <f>C26</f>
        <v>29.3</v>
      </c>
      <c r="J1757" s="3" t="s">
        <v>126</v>
      </c>
      <c r="K1757" s="17">
        <f t="shared" si="208"/>
        <v>126.57600000000001</v>
      </c>
    </row>
    <row r="1758" spans="6:11" ht="24" customHeight="1">
      <c r="F1758" s="4" t="s">
        <v>1947</v>
      </c>
      <c r="H1758" s="3" t="s">
        <v>1948</v>
      </c>
      <c r="K1758" s="17">
        <v>2000</v>
      </c>
    </row>
    <row r="1759" spans="6:11" ht="24" customHeight="1">
      <c r="K1759" s="12" t="s">
        <v>117</v>
      </c>
    </row>
    <row r="1760" spans="6:11" ht="24" customHeight="1">
      <c r="H1760" s="3" t="s">
        <v>1949</v>
      </c>
      <c r="K1760" s="17">
        <f>SUM(K1750:K1758)</f>
        <v>6826.1808000000001</v>
      </c>
    </row>
    <row r="1761" spans="6:12" ht="24" customHeight="1">
      <c r="K1761" s="12" t="s">
        <v>117</v>
      </c>
    </row>
    <row r="1762" spans="6:12" ht="24" customHeight="1">
      <c r="H1762" s="3" t="s">
        <v>1950</v>
      </c>
      <c r="K1762" s="16">
        <f>K1760/20</f>
        <v>341.30903999999998</v>
      </c>
    </row>
    <row r="1763" spans="6:12" ht="24" customHeight="1">
      <c r="K1763" s="12" t="s">
        <v>155</v>
      </c>
    </row>
    <row r="1765" spans="6:12" ht="24" customHeight="1">
      <c r="F1765" s="4" t="s">
        <v>1951</v>
      </c>
      <c r="H1765" s="3" t="s">
        <v>1952</v>
      </c>
    </row>
    <row r="1766" spans="6:12" ht="24" customHeight="1">
      <c r="H1766" s="12" t="s">
        <v>117</v>
      </c>
    </row>
    <row r="1767" spans="6:12" ht="24" customHeight="1">
      <c r="F1767" s="17">
        <v>0.1</v>
      </c>
      <c r="G1767" s="15" t="s">
        <v>126</v>
      </c>
      <c r="H1767" s="3" t="s">
        <v>1938</v>
      </c>
      <c r="I1767" s="17">
        <f>K90</f>
        <v>168</v>
      </c>
      <c r="J1767" s="3" t="s">
        <v>126</v>
      </c>
      <c r="K1767" s="17">
        <f t="shared" ref="K1767:K1772" si="209">(F1767*I1767)</f>
        <v>16.8</v>
      </c>
    </row>
    <row r="1768" spans="6:12" ht="24" customHeight="1">
      <c r="F1768" s="17">
        <v>6.3</v>
      </c>
      <c r="G1768" s="15" t="s">
        <v>1944</v>
      </c>
      <c r="H1768" s="3" t="s">
        <v>1953</v>
      </c>
      <c r="I1768" s="23">
        <v>34.6</v>
      </c>
      <c r="J1768" s="3" t="s">
        <v>1944</v>
      </c>
      <c r="K1768" s="17">
        <f t="shared" si="209"/>
        <v>217.98</v>
      </c>
    </row>
    <row r="1769" spans="6:12" ht="24" customHeight="1">
      <c r="F1769" s="17">
        <v>6.3</v>
      </c>
      <c r="G1769" s="15" t="s">
        <v>1944</v>
      </c>
      <c r="H1769" s="3" t="s">
        <v>1954</v>
      </c>
      <c r="I1769" s="24">
        <f>I1756</f>
        <v>17.5</v>
      </c>
      <c r="J1769" s="3" t="s">
        <v>1944</v>
      </c>
      <c r="K1769" s="17">
        <f t="shared" si="209"/>
        <v>110.25</v>
      </c>
    </row>
    <row r="1770" spans="6:12" ht="24" customHeight="1">
      <c r="F1770" s="17">
        <v>3.15</v>
      </c>
      <c r="G1770" s="15" t="s">
        <v>110</v>
      </c>
      <c r="H1770" s="3" t="s">
        <v>1955</v>
      </c>
      <c r="I1770" s="17">
        <f>C198</f>
        <v>31.65</v>
      </c>
      <c r="J1770" s="3" t="s">
        <v>110</v>
      </c>
      <c r="K1770" s="17">
        <f t="shared" si="209"/>
        <v>99.697499999999991</v>
      </c>
      <c r="L1770" s="5" t="s">
        <v>1603</v>
      </c>
    </row>
    <row r="1771" spans="6:12" ht="24" customHeight="1">
      <c r="F1771" s="17">
        <v>0.25</v>
      </c>
      <c r="G1771" s="15" t="s">
        <v>1895</v>
      </c>
      <c r="H1771" s="3" t="s">
        <v>1956</v>
      </c>
      <c r="I1771" s="17">
        <f>D16</f>
        <v>718</v>
      </c>
      <c r="J1771" s="3" t="s">
        <v>1895</v>
      </c>
      <c r="K1771" s="17">
        <f t="shared" si="209"/>
        <v>179.5</v>
      </c>
    </row>
    <row r="1772" spans="6:12" ht="24" customHeight="1">
      <c r="F1772" s="17">
        <v>0.2</v>
      </c>
      <c r="G1772" s="15" t="s">
        <v>1895</v>
      </c>
      <c r="H1772" s="3" t="s">
        <v>1957</v>
      </c>
      <c r="I1772" s="17">
        <f>AE38</f>
        <v>667</v>
      </c>
      <c r="J1772" s="3" t="s">
        <v>1895</v>
      </c>
      <c r="K1772" s="17">
        <f t="shared" si="209"/>
        <v>133.4</v>
      </c>
    </row>
    <row r="1773" spans="6:12" ht="24" customHeight="1">
      <c r="H1773" s="3" t="s">
        <v>1958</v>
      </c>
      <c r="I1773" s="3" t="s">
        <v>115</v>
      </c>
      <c r="J1773" s="3" t="s">
        <v>115</v>
      </c>
      <c r="K1773" s="17">
        <v>0</v>
      </c>
    </row>
    <row r="1774" spans="6:12" ht="24" customHeight="1">
      <c r="J1774" s="3" t="s">
        <v>115</v>
      </c>
      <c r="K1774" s="12" t="s">
        <v>117</v>
      </c>
    </row>
    <row r="1775" spans="6:12" ht="24" customHeight="1">
      <c r="F1775" s="3" t="s">
        <v>115</v>
      </c>
      <c r="G1775" s="15" t="s">
        <v>115</v>
      </c>
      <c r="H1775" s="3" t="s">
        <v>1950</v>
      </c>
      <c r="K1775" s="16">
        <f>SUM(K1767:K1774)</f>
        <v>757.62749999999994</v>
      </c>
    </row>
    <row r="1776" spans="6:12" ht="24" customHeight="1">
      <c r="H1776" s="3" t="s">
        <v>115</v>
      </c>
      <c r="K1776" s="12" t="s">
        <v>117</v>
      </c>
    </row>
    <row r="1777" spans="6:11" ht="24" customHeight="1">
      <c r="K1777" s="12"/>
    </row>
    <row r="1778" spans="6:11" ht="24" customHeight="1">
      <c r="F1778" s="4" t="s">
        <v>1959</v>
      </c>
      <c r="H1778" s="3" t="s">
        <v>1960</v>
      </c>
    </row>
    <row r="1779" spans="6:11" ht="24" customHeight="1">
      <c r="H1779" s="12" t="s">
        <v>117</v>
      </c>
    </row>
    <row r="1780" spans="6:11" ht="24" customHeight="1">
      <c r="F1780" s="81">
        <v>0.48599999999999999</v>
      </c>
      <c r="G1780" s="15" t="s">
        <v>642</v>
      </c>
      <c r="H1780" s="3" t="s">
        <v>1938</v>
      </c>
      <c r="I1780" s="17">
        <f>C61</f>
        <v>84</v>
      </c>
      <c r="J1780" s="3" t="s">
        <v>642</v>
      </c>
      <c r="K1780" s="17">
        <f t="shared" ref="K1780:K1786" si="210">(F1780*I1780)</f>
        <v>40.823999999999998</v>
      </c>
    </row>
    <row r="1781" spans="6:11" ht="24" customHeight="1">
      <c r="F1781" s="81">
        <v>0.48599999999999999</v>
      </c>
      <c r="G1781" s="15" t="s">
        <v>642</v>
      </c>
      <c r="H1781" s="3" t="s">
        <v>1961</v>
      </c>
      <c r="I1781" s="17">
        <f>K204</f>
        <v>4103.5079999999998</v>
      </c>
      <c r="J1781" s="3" t="s">
        <v>642</v>
      </c>
      <c r="K1781" s="17">
        <f t="shared" si="210"/>
        <v>1994.3048879999999</v>
      </c>
    </row>
    <row r="1782" spans="6:11" ht="24" customHeight="1">
      <c r="F1782" s="17">
        <v>81.75</v>
      </c>
      <c r="G1782" s="15" t="s">
        <v>1962</v>
      </c>
      <c r="H1782" s="3" t="s">
        <v>1963</v>
      </c>
      <c r="I1782" s="17">
        <f>I745</f>
        <v>41.2</v>
      </c>
      <c r="J1782" s="3" t="s">
        <v>1962</v>
      </c>
      <c r="K1782" s="17">
        <f t="shared" si="210"/>
        <v>3368.1000000000004</v>
      </c>
    </row>
    <row r="1783" spans="6:11" ht="24" customHeight="1">
      <c r="F1783" s="17">
        <v>7.2</v>
      </c>
      <c r="G1783" s="15" t="s">
        <v>1962</v>
      </c>
      <c r="H1783" s="3" t="s">
        <v>1964</v>
      </c>
      <c r="I1783" s="17">
        <f>I745</f>
        <v>41.2</v>
      </c>
      <c r="J1783" s="3" t="s">
        <v>1962</v>
      </c>
      <c r="K1783" s="17">
        <f t="shared" si="210"/>
        <v>296.64000000000004</v>
      </c>
    </row>
    <row r="1784" spans="6:11" ht="24" customHeight="1">
      <c r="F1784" s="17">
        <v>43.68</v>
      </c>
      <c r="G1784" s="15" t="s">
        <v>1962</v>
      </c>
      <c r="H1784" s="3" t="s">
        <v>1965</v>
      </c>
      <c r="I1784" s="17">
        <f>I743</f>
        <v>41.2</v>
      </c>
      <c r="J1784" s="3" t="s">
        <v>1962</v>
      </c>
      <c r="K1784" s="17">
        <f t="shared" si="210"/>
        <v>1799.6160000000002</v>
      </c>
    </row>
    <row r="1785" spans="6:11" ht="24" customHeight="1">
      <c r="F1785" s="17">
        <v>132.63</v>
      </c>
      <c r="G1785" s="15" t="s">
        <v>1962</v>
      </c>
      <c r="H1785" s="3" t="s">
        <v>1966</v>
      </c>
      <c r="I1785" s="17">
        <f>C37</f>
        <v>41.6</v>
      </c>
      <c r="J1785" s="3" t="s">
        <v>1962</v>
      </c>
      <c r="K1785" s="17">
        <f t="shared" si="210"/>
        <v>5517.4080000000004</v>
      </c>
    </row>
    <row r="1786" spans="6:11" ht="24" customHeight="1">
      <c r="F1786" s="17">
        <v>2.2000000000000002</v>
      </c>
      <c r="G1786" s="15" t="s">
        <v>110</v>
      </c>
      <c r="H1786" s="3" t="s">
        <v>1967</v>
      </c>
      <c r="I1786" s="107">
        <v>970</v>
      </c>
      <c r="J1786" s="3" t="s">
        <v>110</v>
      </c>
      <c r="K1786" s="17">
        <f t="shared" si="210"/>
        <v>2134</v>
      </c>
    </row>
    <row r="1787" spans="6:11" ht="24" customHeight="1">
      <c r="F1787" s="112" t="s">
        <v>166</v>
      </c>
      <c r="H1787" s="3" t="s">
        <v>1968</v>
      </c>
      <c r="I1787" s="112" t="s">
        <v>166</v>
      </c>
      <c r="K1787" s="17">
        <v>250</v>
      </c>
    </row>
    <row r="1788" spans="6:11" ht="24" customHeight="1">
      <c r="F1788" s="112" t="s">
        <v>166</v>
      </c>
      <c r="H1788" s="3" t="s">
        <v>1969</v>
      </c>
      <c r="I1788" s="112" t="s">
        <v>166</v>
      </c>
      <c r="K1788" s="17">
        <v>20.47</v>
      </c>
    </row>
    <row r="1789" spans="6:11" ht="24" customHeight="1">
      <c r="K1789" s="12" t="s">
        <v>117</v>
      </c>
    </row>
    <row r="1790" spans="6:11" ht="24" customHeight="1">
      <c r="K1790" s="17">
        <f>SUM(K1780:K1789)</f>
        <v>15421.362888000001</v>
      </c>
    </row>
    <row r="1791" spans="6:11" ht="24" customHeight="1">
      <c r="K1791" s="12" t="s">
        <v>117</v>
      </c>
    </row>
    <row r="1792" spans="6:11" ht="24" customHeight="1">
      <c r="K1792" s="12"/>
    </row>
    <row r="1793" spans="6:11" ht="24" customHeight="1">
      <c r="F1793" s="38">
        <v>86</v>
      </c>
      <c r="H1793" s="3" t="s">
        <v>1970</v>
      </c>
      <c r="K1793" s="45">
        <f>C806</f>
        <v>33.9</v>
      </c>
    </row>
    <row r="1794" spans="6:11" ht="24" customHeight="1">
      <c r="F1794" s="51"/>
      <c r="H1794" s="3"/>
      <c r="K1794" s="17"/>
    </row>
    <row r="1795" spans="6:11" ht="24" customHeight="1">
      <c r="F1795" s="4" t="s">
        <v>1971</v>
      </c>
      <c r="H1795" s="3" t="s">
        <v>1972</v>
      </c>
      <c r="K1795" s="104">
        <v>8.1999999999999993</v>
      </c>
    </row>
    <row r="1796" spans="6:11" ht="24" customHeight="1">
      <c r="H1796" s="3" t="s">
        <v>1973</v>
      </c>
      <c r="K1796" s="5">
        <f>700*K1795</f>
        <v>5739.9999999999991</v>
      </c>
    </row>
    <row r="1797" spans="6:11" ht="24" customHeight="1">
      <c r="F1797" s="3" t="s">
        <v>115</v>
      </c>
      <c r="H1797" s="3" t="s">
        <v>1974</v>
      </c>
      <c r="K1797" s="5">
        <f>200*K1795</f>
        <v>1639.9999999999998</v>
      </c>
    </row>
    <row r="1798" spans="6:11" ht="24" customHeight="1">
      <c r="F1798" s="51"/>
      <c r="G1798" s="15" t="s">
        <v>122</v>
      </c>
      <c r="H1798" s="3" t="s">
        <v>807</v>
      </c>
    </row>
    <row r="1799" spans="6:11" ht="24" customHeight="1">
      <c r="H1799" s="3" t="s">
        <v>1975</v>
      </c>
    </row>
    <row r="1800" spans="6:11" ht="24" customHeight="1">
      <c r="H1800" s="3" t="s">
        <v>873</v>
      </c>
    </row>
    <row r="1801" spans="6:11" ht="24" customHeight="1">
      <c r="H1801" s="12" t="s">
        <v>117</v>
      </c>
    </row>
    <row r="1802" spans="6:11" ht="24" customHeight="1">
      <c r="G1802" s="15" t="s">
        <v>1976</v>
      </c>
      <c r="H1802" s="3" t="s">
        <v>873</v>
      </c>
      <c r="K1802" s="3" t="s">
        <v>1977</v>
      </c>
    </row>
    <row r="1803" spans="6:11" ht="24" customHeight="1">
      <c r="H1803" s="12" t="s">
        <v>117</v>
      </c>
      <c r="K1803" s="12" t="s">
        <v>155</v>
      </c>
    </row>
    <row r="1804" spans="6:11" ht="24" customHeight="1">
      <c r="F1804" s="17">
        <v>30</v>
      </c>
      <c r="G1804" s="15" t="s">
        <v>203</v>
      </c>
      <c r="H1804" s="3" t="s">
        <v>879</v>
      </c>
      <c r="I1804" s="17">
        <f>(C661)</f>
        <v>8.1</v>
      </c>
      <c r="J1804" s="3" t="s">
        <v>203</v>
      </c>
      <c r="K1804" s="17">
        <f>(F1804*I1804)</f>
        <v>243</v>
      </c>
    </row>
    <row r="1805" spans="6:11" ht="24" customHeight="1">
      <c r="F1805" s="3" t="s">
        <v>115</v>
      </c>
      <c r="H1805" s="3" t="s">
        <v>882</v>
      </c>
      <c r="I1805" s="3" t="s">
        <v>115</v>
      </c>
      <c r="K1805" s="3" t="s">
        <v>115</v>
      </c>
    </row>
    <row r="1806" spans="6:11" ht="24" customHeight="1">
      <c r="F1806" s="17">
        <v>8</v>
      </c>
      <c r="G1806" s="15" t="s">
        <v>209</v>
      </c>
      <c r="H1806" s="3" t="s">
        <v>823</v>
      </c>
      <c r="I1806" s="17">
        <f>(C663)</f>
        <v>7.1</v>
      </c>
      <c r="J1806" s="3" t="s">
        <v>209</v>
      </c>
      <c r="K1806" s="17">
        <f t="shared" ref="K1806:K1812" si="211">(F1806*I1806)</f>
        <v>56.8</v>
      </c>
    </row>
    <row r="1807" spans="6:11" ht="24" customHeight="1">
      <c r="F1807" s="17">
        <v>8</v>
      </c>
      <c r="G1807" s="15" t="s">
        <v>209</v>
      </c>
      <c r="H1807" s="3" t="s">
        <v>826</v>
      </c>
      <c r="I1807" s="17">
        <f>(C672)</f>
        <v>10.199999999999999</v>
      </c>
      <c r="J1807" s="3" t="s">
        <v>209</v>
      </c>
      <c r="K1807" s="17">
        <f t="shared" si="211"/>
        <v>81.599999999999994</v>
      </c>
    </row>
    <row r="1808" spans="6:11" ht="24" customHeight="1">
      <c r="F1808" s="17">
        <v>3</v>
      </c>
      <c r="G1808" s="15" t="s">
        <v>209</v>
      </c>
      <c r="H1808" s="3" t="s">
        <v>887</v>
      </c>
      <c r="I1808" s="17">
        <f>(C41)</f>
        <v>569</v>
      </c>
      <c r="J1808" s="3" t="s">
        <v>209</v>
      </c>
      <c r="K1808" s="17">
        <f t="shared" si="211"/>
        <v>1707</v>
      </c>
    </row>
    <row r="1809" spans="6:11" ht="24" customHeight="1">
      <c r="F1809" s="17">
        <v>1</v>
      </c>
      <c r="G1809" s="15" t="s">
        <v>209</v>
      </c>
      <c r="H1809" s="3" t="s">
        <v>1978</v>
      </c>
      <c r="I1809" s="17">
        <f>(C10)</f>
        <v>769</v>
      </c>
      <c r="J1809" s="3" t="s">
        <v>209</v>
      </c>
      <c r="K1809" s="17">
        <f t="shared" si="211"/>
        <v>769</v>
      </c>
    </row>
    <row r="1810" spans="6:11" ht="24" customHeight="1">
      <c r="F1810" s="17">
        <v>2</v>
      </c>
      <c r="G1810" s="15" t="s">
        <v>209</v>
      </c>
      <c r="H1810" s="3" t="s">
        <v>146</v>
      </c>
      <c r="I1810" s="17">
        <f>(C12)</f>
        <v>502</v>
      </c>
      <c r="J1810" s="3" t="s">
        <v>209</v>
      </c>
      <c r="K1810" s="17">
        <f t="shared" si="211"/>
        <v>1004</v>
      </c>
    </row>
    <row r="1811" spans="6:11" ht="24" customHeight="1">
      <c r="F1811" s="17">
        <v>1</v>
      </c>
      <c r="G1811" s="15" t="s">
        <v>209</v>
      </c>
      <c r="H1811" s="3" t="s">
        <v>147</v>
      </c>
      <c r="I1811" s="17">
        <f>(C13)</f>
        <v>412</v>
      </c>
      <c r="J1811" s="3" t="s">
        <v>209</v>
      </c>
      <c r="K1811" s="17">
        <f t="shared" si="211"/>
        <v>412</v>
      </c>
    </row>
    <row r="1812" spans="6:11" ht="24" customHeight="1">
      <c r="F1812" s="17">
        <v>1</v>
      </c>
      <c r="G1812" s="15" t="s">
        <v>209</v>
      </c>
      <c r="H1812" s="3" t="s">
        <v>1979</v>
      </c>
      <c r="I1812" s="3">
        <v>5</v>
      </c>
      <c r="J1812" s="3" t="s">
        <v>227</v>
      </c>
      <c r="K1812" s="17">
        <f t="shared" si="211"/>
        <v>5</v>
      </c>
    </row>
    <row r="1813" spans="6:11" ht="24" customHeight="1">
      <c r="H1813" s="3" t="s">
        <v>1980</v>
      </c>
      <c r="I1813" s="3" t="s">
        <v>115</v>
      </c>
      <c r="K1813" s="3" t="s">
        <v>115</v>
      </c>
    </row>
    <row r="1814" spans="6:11" ht="24" customHeight="1">
      <c r="G1814" s="15" t="s">
        <v>129</v>
      </c>
      <c r="H1814" s="3" t="s">
        <v>130</v>
      </c>
      <c r="J1814" s="3" t="s">
        <v>129</v>
      </c>
      <c r="K1814" s="17">
        <v>0</v>
      </c>
    </row>
    <row r="1815" spans="6:11" ht="24" customHeight="1">
      <c r="K1815" s="12" t="s">
        <v>117</v>
      </c>
    </row>
    <row r="1816" spans="6:11" ht="24" customHeight="1">
      <c r="H1816" s="3" t="s">
        <v>893</v>
      </c>
      <c r="K1816" s="17">
        <f>SUM(K1804:K1814)</f>
        <v>4278.3999999999996</v>
      </c>
    </row>
    <row r="1817" spans="6:11" ht="24" customHeight="1">
      <c r="K1817" s="12" t="s">
        <v>117</v>
      </c>
    </row>
    <row r="1818" spans="6:11" ht="24" customHeight="1">
      <c r="H1818" s="3" t="s">
        <v>216</v>
      </c>
      <c r="K1818" s="17">
        <f>(K1816/30)</f>
        <v>142.61333333333332</v>
      </c>
    </row>
    <row r="1819" spans="6:11" ht="24" customHeight="1">
      <c r="K1819" s="12" t="s">
        <v>117</v>
      </c>
    </row>
    <row r="1820" spans="6:11" ht="24" customHeight="1">
      <c r="G1820" s="15" t="s">
        <v>1225</v>
      </c>
      <c r="H1820" s="3" t="s">
        <v>873</v>
      </c>
      <c r="K1820" s="3" t="s">
        <v>1981</v>
      </c>
    </row>
    <row r="1821" spans="6:11" ht="24" customHeight="1">
      <c r="H1821" s="12" t="s">
        <v>117</v>
      </c>
      <c r="K1821" s="12" t="s">
        <v>155</v>
      </c>
    </row>
    <row r="1822" spans="6:11" ht="24" customHeight="1">
      <c r="F1822" s="17">
        <v>30</v>
      </c>
      <c r="G1822" s="15" t="s">
        <v>203</v>
      </c>
      <c r="H1822" s="3" t="s">
        <v>879</v>
      </c>
      <c r="I1822" s="17">
        <f>(C661)</f>
        <v>8.1</v>
      </c>
      <c r="J1822" s="3" t="s">
        <v>203</v>
      </c>
      <c r="K1822" s="17">
        <f>(F1822*I1822)</f>
        <v>243</v>
      </c>
    </row>
    <row r="1823" spans="6:11" ht="24" customHeight="1">
      <c r="F1823" s="3" t="s">
        <v>115</v>
      </c>
      <c r="H1823" s="3" t="s">
        <v>882</v>
      </c>
      <c r="I1823" s="3" t="s">
        <v>115</v>
      </c>
      <c r="K1823" s="3" t="s">
        <v>115</v>
      </c>
    </row>
    <row r="1824" spans="6:11" ht="24" customHeight="1">
      <c r="F1824" s="17">
        <v>8</v>
      </c>
      <c r="G1824" s="15" t="s">
        <v>209</v>
      </c>
      <c r="H1824" s="3" t="s">
        <v>823</v>
      </c>
      <c r="I1824" s="17">
        <f>(C663)</f>
        <v>7.1</v>
      </c>
      <c r="J1824" s="3" t="s">
        <v>209</v>
      </c>
      <c r="K1824" s="17">
        <f t="shared" ref="K1824:K1830" si="212">(F1824*I1824)</f>
        <v>56.8</v>
      </c>
    </row>
    <row r="1825" spans="6:11" ht="24" customHeight="1">
      <c r="F1825" s="17">
        <v>8</v>
      </c>
      <c r="G1825" s="15" t="s">
        <v>209</v>
      </c>
      <c r="H1825" s="3" t="s">
        <v>826</v>
      </c>
      <c r="I1825" s="17">
        <f>D672</f>
        <v>21.1</v>
      </c>
      <c r="J1825" s="3" t="s">
        <v>209</v>
      </c>
      <c r="K1825" s="17">
        <f t="shared" si="212"/>
        <v>168.8</v>
      </c>
    </row>
    <row r="1826" spans="6:11" ht="24" customHeight="1">
      <c r="F1826" s="17">
        <v>3</v>
      </c>
      <c r="G1826" s="15" t="s">
        <v>209</v>
      </c>
      <c r="H1826" s="3" t="s">
        <v>887</v>
      </c>
      <c r="I1826" s="17">
        <f>(C41)</f>
        <v>569</v>
      </c>
      <c r="J1826" s="3" t="s">
        <v>209</v>
      </c>
      <c r="K1826" s="17">
        <f t="shared" si="212"/>
        <v>1707</v>
      </c>
    </row>
    <row r="1827" spans="6:11" ht="24" customHeight="1">
      <c r="F1827" s="17">
        <v>1</v>
      </c>
      <c r="G1827" s="15" t="s">
        <v>209</v>
      </c>
      <c r="H1827" s="3" t="s">
        <v>1978</v>
      </c>
      <c r="I1827" s="17">
        <f>(C10)</f>
        <v>769</v>
      </c>
      <c r="J1827" s="3" t="s">
        <v>209</v>
      </c>
      <c r="K1827" s="17">
        <f t="shared" si="212"/>
        <v>769</v>
      </c>
    </row>
    <row r="1828" spans="6:11" ht="24" customHeight="1">
      <c r="F1828" s="17">
        <v>2</v>
      </c>
      <c r="G1828" s="15" t="s">
        <v>209</v>
      </c>
      <c r="H1828" s="3" t="s">
        <v>146</v>
      </c>
      <c r="I1828" s="17">
        <f>(C12)</f>
        <v>502</v>
      </c>
      <c r="J1828" s="3" t="s">
        <v>209</v>
      </c>
      <c r="K1828" s="17">
        <f t="shared" si="212"/>
        <v>1004</v>
      </c>
    </row>
    <row r="1829" spans="6:11" ht="24" customHeight="1">
      <c r="F1829" s="17">
        <v>1</v>
      </c>
      <c r="G1829" s="15" t="s">
        <v>209</v>
      </c>
      <c r="H1829" s="3" t="s">
        <v>147</v>
      </c>
      <c r="I1829" s="17">
        <f>(C13)</f>
        <v>412</v>
      </c>
      <c r="J1829" s="3" t="s">
        <v>209</v>
      </c>
      <c r="K1829" s="17">
        <f t="shared" si="212"/>
        <v>412</v>
      </c>
    </row>
    <row r="1830" spans="6:11" ht="24" customHeight="1">
      <c r="F1830" s="17">
        <v>1</v>
      </c>
      <c r="G1830" s="15" t="s">
        <v>209</v>
      </c>
      <c r="H1830" s="3" t="s">
        <v>1979</v>
      </c>
      <c r="I1830" s="3">
        <v>3</v>
      </c>
      <c r="J1830" s="3" t="s">
        <v>209</v>
      </c>
      <c r="K1830" s="17">
        <f t="shared" si="212"/>
        <v>3</v>
      </c>
    </row>
    <row r="1831" spans="6:11" ht="24" customHeight="1">
      <c r="H1831" s="3" t="s">
        <v>1980</v>
      </c>
      <c r="I1831" s="3" t="s">
        <v>115</v>
      </c>
      <c r="K1831" s="3" t="s">
        <v>115</v>
      </c>
    </row>
    <row r="1832" spans="6:11" ht="24" customHeight="1">
      <c r="G1832" s="15" t="s">
        <v>129</v>
      </c>
      <c r="H1832" s="3" t="s">
        <v>130</v>
      </c>
      <c r="J1832" s="3" t="s">
        <v>129</v>
      </c>
      <c r="K1832" s="17">
        <v>0</v>
      </c>
    </row>
    <row r="1833" spans="6:11" ht="24" customHeight="1">
      <c r="K1833" s="12" t="s">
        <v>117</v>
      </c>
    </row>
    <row r="1834" spans="6:11" ht="24" customHeight="1">
      <c r="H1834" s="3" t="s">
        <v>893</v>
      </c>
      <c r="K1834" s="17">
        <f>SUM(K1822:K1832)</f>
        <v>4363.6000000000004</v>
      </c>
    </row>
    <row r="1835" spans="6:11" ht="24" customHeight="1">
      <c r="K1835" s="12" t="s">
        <v>117</v>
      </c>
    </row>
    <row r="1836" spans="6:11" ht="24" customHeight="1">
      <c r="H1836" s="3" t="s">
        <v>216</v>
      </c>
      <c r="K1836" s="17">
        <f>(K1834/30)</f>
        <v>145.45333333333335</v>
      </c>
    </row>
    <row r="1837" spans="6:11" ht="24" customHeight="1">
      <c r="K1837" s="12" t="s">
        <v>117</v>
      </c>
    </row>
    <row r="1838" spans="6:11" ht="24" customHeight="1">
      <c r="G1838" s="15" t="s">
        <v>1196</v>
      </c>
      <c r="H1838" s="3" t="s">
        <v>873</v>
      </c>
      <c r="K1838" s="3" t="s">
        <v>1982</v>
      </c>
    </row>
    <row r="1839" spans="6:11" ht="24" customHeight="1">
      <c r="H1839" s="12" t="s">
        <v>117</v>
      </c>
      <c r="K1839" s="12" t="s">
        <v>155</v>
      </c>
    </row>
    <row r="1840" spans="6:11" ht="24" customHeight="1">
      <c r="F1840" s="17">
        <v>30</v>
      </c>
      <c r="G1840" s="15" t="s">
        <v>203</v>
      </c>
      <c r="H1840" s="3" t="s">
        <v>879</v>
      </c>
      <c r="I1840" s="17">
        <f>(C661)</f>
        <v>8.1</v>
      </c>
      <c r="J1840" s="3" t="s">
        <v>203</v>
      </c>
      <c r="K1840" s="17">
        <f>(F1840*I1840)</f>
        <v>243</v>
      </c>
    </row>
    <row r="1841" spans="6:18" ht="24" customHeight="1">
      <c r="F1841" s="3" t="s">
        <v>115</v>
      </c>
      <c r="H1841" s="3" t="s">
        <v>882</v>
      </c>
      <c r="I1841" s="3" t="s">
        <v>115</v>
      </c>
      <c r="K1841" s="3" t="s">
        <v>115</v>
      </c>
    </row>
    <row r="1842" spans="6:18" ht="24" customHeight="1">
      <c r="F1842" s="17">
        <v>8</v>
      </c>
      <c r="G1842" s="15" t="s">
        <v>209</v>
      </c>
      <c r="H1842" s="3" t="s">
        <v>823</v>
      </c>
      <c r="I1842" s="17">
        <f>D663</f>
        <v>8.5</v>
      </c>
      <c r="J1842" s="3" t="s">
        <v>209</v>
      </c>
      <c r="K1842" s="17">
        <f t="shared" ref="K1842:K1848" si="213">(F1842*I1842)</f>
        <v>68</v>
      </c>
    </row>
    <row r="1843" spans="6:18" ht="24" customHeight="1">
      <c r="F1843" s="17">
        <v>8</v>
      </c>
      <c r="G1843" s="15" t="s">
        <v>209</v>
      </c>
      <c r="H1843" s="3" t="s">
        <v>826</v>
      </c>
      <c r="I1843" s="17">
        <f>C677</f>
        <v>28.5</v>
      </c>
      <c r="J1843" s="3" t="s">
        <v>209</v>
      </c>
      <c r="K1843" s="17">
        <f t="shared" si="213"/>
        <v>228</v>
      </c>
    </row>
    <row r="1844" spans="6:18" ht="24" customHeight="1">
      <c r="F1844" s="17">
        <v>3</v>
      </c>
      <c r="G1844" s="15" t="s">
        <v>209</v>
      </c>
      <c r="H1844" s="3" t="s">
        <v>887</v>
      </c>
      <c r="I1844" s="17">
        <f>(C41)</f>
        <v>569</v>
      </c>
      <c r="J1844" s="3" t="s">
        <v>209</v>
      </c>
      <c r="K1844" s="17">
        <f t="shared" si="213"/>
        <v>1707</v>
      </c>
    </row>
    <row r="1845" spans="6:18" ht="24" customHeight="1">
      <c r="F1845" s="17">
        <v>1</v>
      </c>
      <c r="G1845" s="15" t="s">
        <v>209</v>
      </c>
      <c r="H1845" s="3" t="s">
        <v>1978</v>
      </c>
      <c r="I1845" s="17">
        <f>(C10)</f>
        <v>769</v>
      </c>
      <c r="J1845" s="3" t="s">
        <v>209</v>
      </c>
      <c r="K1845" s="17">
        <f t="shared" si="213"/>
        <v>769</v>
      </c>
    </row>
    <row r="1846" spans="6:18" ht="24" customHeight="1">
      <c r="F1846" s="17">
        <v>2</v>
      </c>
      <c r="G1846" s="15" t="s">
        <v>209</v>
      </c>
      <c r="H1846" s="3" t="s">
        <v>146</v>
      </c>
      <c r="I1846" s="17">
        <f>(C12)</f>
        <v>502</v>
      </c>
      <c r="J1846" s="3" t="s">
        <v>209</v>
      </c>
      <c r="K1846" s="17">
        <f t="shared" si="213"/>
        <v>1004</v>
      </c>
    </row>
    <row r="1847" spans="6:18" ht="24" customHeight="1">
      <c r="F1847" s="17">
        <v>1</v>
      </c>
      <c r="G1847" s="15" t="s">
        <v>209</v>
      </c>
      <c r="H1847" s="3" t="s">
        <v>147</v>
      </c>
      <c r="I1847" s="17">
        <f>(C13)</f>
        <v>412</v>
      </c>
      <c r="J1847" s="3" t="s">
        <v>209</v>
      </c>
      <c r="K1847" s="17">
        <f t="shared" si="213"/>
        <v>412</v>
      </c>
    </row>
    <row r="1848" spans="6:18" ht="24" customHeight="1">
      <c r="F1848" s="17">
        <v>1</v>
      </c>
      <c r="G1848" s="15" t="s">
        <v>209</v>
      </c>
      <c r="H1848" s="3" t="s">
        <v>1979</v>
      </c>
      <c r="I1848" s="3">
        <v>5.26</v>
      </c>
      <c r="J1848" s="3" t="s">
        <v>209</v>
      </c>
      <c r="K1848" s="17">
        <f t="shared" si="213"/>
        <v>5.26</v>
      </c>
    </row>
    <row r="1849" spans="6:18" ht="24" customHeight="1">
      <c r="H1849" s="3" t="s">
        <v>1980</v>
      </c>
      <c r="I1849" s="3" t="s">
        <v>115</v>
      </c>
      <c r="K1849" s="3" t="s">
        <v>115</v>
      </c>
    </row>
    <row r="1850" spans="6:18" ht="24" customHeight="1">
      <c r="G1850" s="15" t="s">
        <v>129</v>
      </c>
      <c r="H1850" s="3" t="s">
        <v>130</v>
      </c>
      <c r="J1850" s="3" t="s">
        <v>129</v>
      </c>
      <c r="K1850" s="17">
        <v>0</v>
      </c>
    </row>
    <row r="1851" spans="6:18" ht="24" customHeight="1">
      <c r="K1851" s="12" t="s">
        <v>117</v>
      </c>
    </row>
    <row r="1852" spans="6:18" ht="24" customHeight="1">
      <c r="H1852" s="3" t="s">
        <v>893</v>
      </c>
      <c r="K1852" s="17">
        <f>SUM(K1840:K1850)</f>
        <v>4436.26</v>
      </c>
    </row>
    <row r="1853" spans="6:18" ht="24" customHeight="1">
      <c r="K1853" s="12" t="s">
        <v>117</v>
      </c>
    </row>
    <row r="1854" spans="6:18" ht="24" customHeight="1">
      <c r="H1854" s="3" t="s">
        <v>216</v>
      </c>
      <c r="K1854" s="17">
        <f>(K1852/30)</f>
        <v>147.87533333333334</v>
      </c>
      <c r="N1854" s="15" t="s">
        <v>1196</v>
      </c>
      <c r="O1854" s="3" t="s">
        <v>873</v>
      </c>
      <c r="Q1854" s="8"/>
      <c r="R1854" s="3" t="s">
        <v>1983</v>
      </c>
    </row>
    <row r="1855" spans="6:18" ht="24" customHeight="1">
      <c r="K1855" s="12" t="s">
        <v>117</v>
      </c>
      <c r="N1855" s="6"/>
      <c r="O1855" s="12" t="s">
        <v>117</v>
      </c>
      <c r="Q1855" s="8"/>
      <c r="R1855" s="12" t="s">
        <v>155</v>
      </c>
    </row>
    <row r="1856" spans="6:18" ht="24" customHeight="1">
      <c r="M1856" s="17">
        <v>30</v>
      </c>
      <c r="N1856" s="15" t="s">
        <v>203</v>
      </c>
      <c r="O1856" s="3" t="s">
        <v>879</v>
      </c>
      <c r="P1856" s="17">
        <f>I1840</f>
        <v>8.1</v>
      </c>
      <c r="Q1856" s="3" t="s">
        <v>203</v>
      </c>
      <c r="R1856" s="17">
        <f>(M1856*P1856)</f>
        <v>243</v>
      </c>
    </row>
    <row r="1857" spans="6:18" ht="24" customHeight="1">
      <c r="F1857" s="247">
        <v>52</v>
      </c>
      <c r="G1857" s="15" t="s">
        <v>122</v>
      </c>
      <c r="H1857" s="3" t="s">
        <v>1984</v>
      </c>
      <c r="M1857" s="3" t="s">
        <v>115</v>
      </c>
      <c r="N1857" s="6"/>
      <c r="O1857" s="3" t="s">
        <v>882</v>
      </c>
      <c r="P1857" s="17" t="str">
        <f t="shared" ref="P1857:P1866" si="214">I1841</f>
        <v/>
      </c>
      <c r="Q1857" s="8"/>
      <c r="R1857" s="3" t="s">
        <v>115</v>
      </c>
    </row>
    <row r="1858" spans="6:18" ht="24" customHeight="1">
      <c r="H1858" s="3" t="s">
        <v>1985</v>
      </c>
      <c r="M1858" s="17">
        <v>8</v>
      </c>
      <c r="N1858" s="15" t="s">
        <v>209</v>
      </c>
      <c r="O1858" s="70" t="s">
        <v>1986</v>
      </c>
      <c r="P1858" s="23">
        <v>10.199999999999999</v>
      </c>
      <c r="Q1858" s="3" t="s">
        <v>209</v>
      </c>
      <c r="R1858" s="17">
        <f t="shared" ref="R1858:R1863" si="215">(M1858*P1858)</f>
        <v>81.599999999999994</v>
      </c>
    </row>
    <row r="1859" spans="6:18" ht="24" customHeight="1">
      <c r="H1859" s="3" t="s">
        <v>1987</v>
      </c>
      <c r="M1859" s="17">
        <v>8</v>
      </c>
      <c r="N1859" s="15" t="s">
        <v>209</v>
      </c>
      <c r="O1859" s="70" t="s">
        <v>1988</v>
      </c>
      <c r="P1859" s="23">
        <v>28.5</v>
      </c>
      <c r="Q1859" s="3" t="s">
        <v>209</v>
      </c>
      <c r="R1859" s="17">
        <f t="shared" si="215"/>
        <v>228</v>
      </c>
    </row>
    <row r="1860" spans="6:18" ht="24" customHeight="1">
      <c r="H1860" s="3" t="s">
        <v>1989</v>
      </c>
      <c r="M1860" s="17">
        <v>3</v>
      </c>
      <c r="N1860" s="15" t="s">
        <v>209</v>
      </c>
      <c r="O1860" s="3" t="s">
        <v>887</v>
      </c>
      <c r="P1860" s="17">
        <f t="shared" si="214"/>
        <v>569</v>
      </c>
      <c r="Q1860" s="3" t="s">
        <v>209</v>
      </c>
      <c r="R1860" s="17">
        <f t="shared" si="215"/>
        <v>1707</v>
      </c>
    </row>
    <row r="1861" spans="6:18" ht="24" customHeight="1">
      <c r="H1861" s="3" t="s">
        <v>1990</v>
      </c>
      <c r="M1861" s="17">
        <v>1</v>
      </c>
      <c r="N1861" s="15" t="s">
        <v>209</v>
      </c>
      <c r="O1861" s="3" t="s">
        <v>1978</v>
      </c>
      <c r="P1861" s="17">
        <f t="shared" si="214"/>
        <v>769</v>
      </c>
      <c r="Q1861" s="3" t="s">
        <v>209</v>
      </c>
      <c r="R1861" s="17">
        <f t="shared" si="215"/>
        <v>769</v>
      </c>
    </row>
    <row r="1862" spans="6:18" ht="24" customHeight="1">
      <c r="H1862" s="3" t="s">
        <v>1991</v>
      </c>
      <c r="M1862" s="17">
        <v>2</v>
      </c>
      <c r="N1862" s="15" t="s">
        <v>209</v>
      </c>
      <c r="O1862" s="3" t="s">
        <v>146</v>
      </c>
      <c r="P1862" s="17">
        <f t="shared" si="214"/>
        <v>502</v>
      </c>
      <c r="Q1862" s="3" t="s">
        <v>209</v>
      </c>
      <c r="R1862" s="17">
        <f t="shared" si="215"/>
        <v>1004</v>
      </c>
    </row>
    <row r="1863" spans="6:18" ht="24" customHeight="1">
      <c r="H1863" s="3" t="s">
        <v>1992</v>
      </c>
      <c r="M1863" s="17">
        <v>1</v>
      </c>
      <c r="N1863" s="15" t="s">
        <v>209</v>
      </c>
      <c r="O1863" s="3" t="s">
        <v>147</v>
      </c>
      <c r="P1863" s="17">
        <f t="shared" si="214"/>
        <v>412</v>
      </c>
      <c r="Q1863" s="3" t="s">
        <v>209</v>
      </c>
      <c r="R1863" s="17">
        <f t="shared" si="215"/>
        <v>412</v>
      </c>
    </row>
    <row r="1864" spans="6:18" ht="24" customHeight="1">
      <c r="H1864" s="3" t="s">
        <v>1993</v>
      </c>
      <c r="N1864" s="15" t="s">
        <v>129</v>
      </c>
      <c r="O1864" s="3" t="s">
        <v>1979</v>
      </c>
      <c r="P1864" s="17">
        <f t="shared" si="214"/>
        <v>5.26</v>
      </c>
      <c r="Q1864" s="3" t="s">
        <v>129</v>
      </c>
      <c r="R1864" s="17">
        <v>5</v>
      </c>
    </row>
    <row r="1865" spans="6:18" ht="24" customHeight="1">
      <c r="H1865" s="12" t="s">
        <v>155</v>
      </c>
      <c r="I1865" s="12" t="s">
        <v>155</v>
      </c>
      <c r="N1865" s="6"/>
      <c r="O1865" s="3" t="s">
        <v>1980</v>
      </c>
      <c r="P1865" s="17" t="str">
        <f t="shared" si="214"/>
        <v/>
      </c>
      <c r="Q1865" s="8"/>
      <c r="R1865" s="3" t="s">
        <v>115</v>
      </c>
    </row>
    <row r="1866" spans="6:18" ht="24" customHeight="1">
      <c r="G1866" s="15" t="s">
        <v>122</v>
      </c>
      <c r="H1866" s="3" t="s">
        <v>1994</v>
      </c>
      <c r="N1866" s="15" t="s">
        <v>129</v>
      </c>
      <c r="O1866" s="3" t="s">
        <v>130</v>
      </c>
      <c r="P1866" s="17">
        <f t="shared" si="214"/>
        <v>0</v>
      </c>
      <c r="Q1866" s="3" t="s">
        <v>129</v>
      </c>
      <c r="R1866" s="17">
        <v>0</v>
      </c>
    </row>
    <row r="1867" spans="6:18" ht="24" customHeight="1">
      <c r="H1867" s="3" t="s">
        <v>1995</v>
      </c>
      <c r="N1867" s="6"/>
      <c r="Q1867" s="8"/>
      <c r="R1867" s="12" t="s">
        <v>117</v>
      </c>
    </row>
    <row r="1868" spans="6:18" ht="24" customHeight="1">
      <c r="G1868" s="15" t="s">
        <v>1258</v>
      </c>
      <c r="H1868" s="3" t="s">
        <v>1996</v>
      </c>
      <c r="N1868" s="6"/>
      <c r="O1868" s="3" t="s">
        <v>893</v>
      </c>
      <c r="Q1868" s="8"/>
      <c r="R1868" s="17">
        <f>SUM(R1856:R1866)</f>
        <v>4449.6000000000004</v>
      </c>
    </row>
    <row r="1869" spans="6:18" ht="24" customHeight="1">
      <c r="H1869" s="12" t="s">
        <v>117</v>
      </c>
      <c r="N1869" s="6"/>
      <c r="Q1869" s="8"/>
      <c r="R1869" s="12" t="s">
        <v>117</v>
      </c>
    </row>
    <row r="1870" spans="6:18" ht="24" customHeight="1">
      <c r="F1870" s="17">
        <v>1</v>
      </c>
      <c r="G1870" s="15" t="s">
        <v>231</v>
      </c>
      <c r="H1870" s="3" t="s">
        <v>1997</v>
      </c>
      <c r="I1870" s="17">
        <f>C517</f>
        <v>26</v>
      </c>
      <c r="J1870" s="3" t="s">
        <v>231</v>
      </c>
      <c r="K1870" s="17">
        <f>(F1870*I1870)</f>
        <v>26</v>
      </c>
      <c r="N1870" s="6"/>
      <c r="O1870" s="3" t="s">
        <v>216</v>
      </c>
      <c r="Q1870" s="8"/>
      <c r="R1870" s="17">
        <f>(R1868/30)</f>
        <v>148.32000000000002</v>
      </c>
    </row>
    <row r="1871" spans="6:18" ht="24" customHeight="1">
      <c r="F1871" s="17">
        <v>1</v>
      </c>
      <c r="G1871" s="15" t="s">
        <v>129</v>
      </c>
      <c r="H1871" s="3" t="s">
        <v>1998</v>
      </c>
      <c r="I1871" s="17">
        <f>I1870*0.7</f>
        <v>18.2</v>
      </c>
      <c r="J1871" s="3" t="s">
        <v>129</v>
      </c>
      <c r="K1871" s="17">
        <f>(F1871*I1871)</f>
        <v>18.2</v>
      </c>
      <c r="N1871" s="6"/>
      <c r="Q1871" s="8"/>
      <c r="R1871" s="12" t="s">
        <v>117</v>
      </c>
    </row>
    <row r="1872" spans="6:18" ht="24" customHeight="1">
      <c r="F1872" s="17">
        <v>1</v>
      </c>
      <c r="G1872" s="15" t="s">
        <v>231</v>
      </c>
      <c r="H1872" s="3" t="s">
        <v>1999</v>
      </c>
      <c r="I1872" s="17">
        <f>K1818</f>
        <v>142.61333333333332</v>
      </c>
      <c r="J1872" s="3" t="s">
        <v>231</v>
      </c>
      <c r="K1872" s="17">
        <f>(F1872*I1872)</f>
        <v>142.61333333333332</v>
      </c>
    </row>
    <row r="1873" spans="6:18" ht="24" customHeight="1">
      <c r="I1873" s="3" t="s">
        <v>115</v>
      </c>
      <c r="K1873" s="12" t="s">
        <v>117</v>
      </c>
    </row>
    <row r="1874" spans="6:18" ht="24" customHeight="1">
      <c r="H1874" s="3" t="s">
        <v>2000</v>
      </c>
      <c r="K1874" s="16">
        <f>SUM(K1870:K1872)</f>
        <v>186.81333333333333</v>
      </c>
    </row>
    <row r="1875" spans="6:18" ht="24" customHeight="1">
      <c r="H1875" s="3" t="s">
        <v>115</v>
      </c>
      <c r="I1875" s="3" t="s">
        <v>115</v>
      </c>
      <c r="K1875" s="12" t="s">
        <v>155</v>
      </c>
      <c r="N1875" s="15" t="s">
        <v>1196</v>
      </c>
      <c r="O1875" s="3" t="s">
        <v>2001</v>
      </c>
      <c r="Q1875" s="8"/>
    </row>
    <row r="1876" spans="6:18" ht="24" customHeight="1">
      <c r="G1876" s="15" t="s">
        <v>1225</v>
      </c>
      <c r="H1876" s="3" t="s">
        <v>2002</v>
      </c>
      <c r="N1876" s="6"/>
      <c r="O1876" s="12" t="s">
        <v>117</v>
      </c>
      <c r="Q1876" s="8"/>
    </row>
    <row r="1877" spans="6:18" ht="24" customHeight="1">
      <c r="H1877" s="12" t="s">
        <v>117</v>
      </c>
      <c r="M1877" s="17">
        <v>1</v>
      </c>
      <c r="N1877" s="15" t="s">
        <v>231</v>
      </c>
      <c r="O1877" s="3" t="s">
        <v>2003</v>
      </c>
      <c r="P1877" s="17">
        <f>C520</f>
        <v>65</v>
      </c>
      <c r="Q1877" s="3" t="s">
        <v>231</v>
      </c>
      <c r="R1877" s="17">
        <f>(M1877*P1877)</f>
        <v>65</v>
      </c>
    </row>
    <row r="1878" spans="6:18" ht="24" customHeight="1">
      <c r="F1878" s="17">
        <v>1</v>
      </c>
      <c r="G1878" s="15" t="s">
        <v>231</v>
      </c>
      <c r="H1878" s="3" t="s">
        <v>2004</v>
      </c>
      <c r="I1878" s="17">
        <f>C518</f>
        <v>35</v>
      </c>
      <c r="J1878" s="3" t="s">
        <v>231</v>
      </c>
      <c r="K1878" s="17">
        <f>(F1878*I1878)</f>
        <v>35</v>
      </c>
      <c r="M1878" s="17">
        <v>1</v>
      </c>
      <c r="N1878" s="15" t="s">
        <v>129</v>
      </c>
      <c r="O1878" s="3" t="s">
        <v>2005</v>
      </c>
      <c r="P1878" s="17">
        <f>P1877*0.2</f>
        <v>13</v>
      </c>
      <c r="Q1878" s="3" t="s">
        <v>129</v>
      </c>
      <c r="R1878" s="17">
        <f>(M1878*P1878)</f>
        <v>13</v>
      </c>
    </row>
    <row r="1879" spans="6:18" ht="24" customHeight="1">
      <c r="F1879" s="17">
        <v>1</v>
      </c>
      <c r="G1879" s="15" t="s">
        <v>129</v>
      </c>
      <c r="H1879" s="3" t="s">
        <v>2006</v>
      </c>
      <c r="I1879" s="17">
        <f>I1878*0.4</f>
        <v>14</v>
      </c>
      <c r="J1879" s="3" t="s">
        <v>129</v>
      </c>
      <c r="K1879" s="17">
        <f>(F1879*I1879)</f>
        <v>14</v>
      </c>
      <c r="M1879" s="17">
        <v>1</v>
      </c>
      <c r="N1879" s="15" t="s">
        <v>231</v>
      </c>
      <c r="O1879" s="3" t="s">
        <v>1999</v>
      </c>
      <c r="P1879" s="17">
        <f>R1870</f>
        <v>148.32000000000002</v>
      </c>
      <c r="Q1879" s="3" t="s">
        <v>231</v>
      </c>
      <c r="R1879" s="17">
        <f>(M1879*P1879)</f>
        <v>148.32000000000002</v>
      </c>
    </row>
    <row r="1880" spans="6:18" ht="24" customHeight="1">
      <c r="F1880" s="17">
        <v>1</v>
      </c>
      <c r="G1880" s="15" t="s">
        <v>231</v>
      </c>
      <c r="H1880" s="3" t="s">
        <v>1999</v>
      </c>
      <c r="I1880" s="17">
        <f>K1836</f>
        <v>145.45333333333335</v>
      </c>
      <c r="J1880" s="3" t="s">
        <v>231</v>
      </c>
      <c r="K1880" s="17">
        <f>(F1880*I1880)</f>
        <v>145.45333333333335</v>
      </c>
      <c r="N1880" s="6"/>
      <c r="P1880" s="3" t="s">
        <v>115</v>
      </c>
      <c r="Q1880" s="8"/>
      <c r="R1880" s="12" t="s">
        <v>117</v>
      </c>
    </row>
    <row r="1881" spans="6:18" ht="24" customHeight="1">
      <c r="I1881" s="3" t="s">
        <v>115</v>
      </c>
      <c r="K1881" s="12" t="s">
        <v>117</v>
      </c>
      <c r="N1881" s="6"/>
      <c r="O1881" s="3" t="s">
        <v>2000</v>
      </c>
      <c r="Q1881" s="8"/>
      <c r="R1881" s="16">
        <f>SUM(R1877:R1879)</f>
        <v>226.32000000000002</v>
      </c>
    </row>
    <row r="1882" spans="6:18" ht="24" customHeight="1">
      <c r="H1882" s="3" t="s">
        <v>2000</v>
      </c>
      <c r="K1882" s="16">
        <f>SUM(K1878:K1880)</f>
        <v>194.45333333333335</v>
      </c>
      <c r="N1882" s="6"/>
      <c r="P1882" s="3" t="s">
        <v>115</v>
      </c>
      <c r="Q1882" s="8"/>
      <c r="R1882" s="12" t="s">
        <v>155</v>
      </c>
    </row>
    <row r="1883" spans="6:18" ht="24" customHeight="1">
      <c r="I1883" s="3" t="s">
        <v>115</v>
      </c>
      <c r="K1883" s="12" t="s">
        <v>155</v>
      </c>
    </row>
    <row r="1884" spans="6:18" ht="49.5" customHeight="1">
      <c r="G1884" s="15" t="s">
        <v>1196</v>
      </c>
      <c r="H1884" s="3" t="s">
        <v>2007</v>
      </c>
    </row>
    <row r="1885" spans="6:18" ht="24" customHeight="1">
      <c r="H1885" s="12" t="s">
        <v>117</v>
      </c>
      <c r="N1885" s="15" t="s">
        <v>1196</v>
      </c>
      <c r="O1885" s="3" t="s">
        <v>873</v>
      </c>
      <c r="Q1885" s="8"/>
      <c r="R1885" s="3" t="s">
        <v>2008</v>
      </c>
    </row>
    <row r="1886" spans="6:18" ht="24" customHeight="1">
      <c r="F1886" s="17">
        <v>1</v>
      </c>
      <c r="G1886" s="15" t="s">
        <v>231</v>
      </c>
      <c r="H1886" s="3" t="s">
        <v>2009</v>
      </c>
      <c r="I1886" s="17">
        <v>52</v>
      </c>
      <c r="J1886" s="3" t="s">
        <v>231</v>
      </c>
      <c r="K1886" s="17">
        <f>(F1886*I1886)</f>
        <v>52</v>
      </c>
      <c r="N1886" s="6"/>
      <c r="O1886" s="12" t="s">
        <v>117</v>
      </c>
      <c r="Q1886" s="8"/>
      <c r="R1886" s="12" t="s">
        <v>155</v>
      </c>
    </row>
    <row r="1887" spans="6:18" ht="24" customHeight="1">
      <c r="F1887" s="17">
        <v>1</v>
      </c>
      <c r="G1887" s="15" t="s">
        <v>129</v>
      </c>
      <c r="H1887" s="3" t="s">
        <v>2005</v>
      </c>
      <c r="I1887" s="17">
        <f>I1886*0.2</f>
        <v>10.4</v>
      </c>
      <c r="J1887" s="3" t="s">
        <v>129</v>
      </c>
      <c r="K1887" s="17">
        <f>(F1887*I1887)</f>
        <v>10.4</v>
      </c>
      <c r="M1887" s="17">
        <v>30</v>
      </c>
      <c r="N1887" s="15" t="s">
        <v>203</v>
      </c>
      <c r="O1887" s="3" t="s">
        <v>879</v>
      </c>
      <c r="P1887" s="17">
        <v>9.5</v>
      </c>
      <c r="Q1887" s="3" t="s">
        <v>203</v>
      </c>
      <c r="R1887" s="17">
        <f>(M1887*P1887)</f>
        <v>285</v>
      </c>
    </row>
    <row r="1888" spans="6:18" ht="24" customHeight="1">
      <c r="F1888" s="17">
        <v>1</v>
      </c>
      <c r="G1888" s="15" t="s">
        <v>231</v>
      </c>
      <c r="H1888" s="3" t="s">
        <v>1999</v>
      </c>
      <c r="I1888" s="17">
        <f>K1854</f>
        <v>147.87533333333334</v>
      </c>
      <c r="J1888" s="3" t="s">
        <v>231</v>
      </c>
      <c r="K1888" s="17">
        <f>(F1888*I1888)</f>
        <v>147.87533333333334</v>
      </c>
      <c r="M1888" s="3" t="s">
        <v>115</v>
      </c>
      <c r="N1888" s="6"/>
      <c r="O1888" s="3" t="s">
        <v>882</v>
      </c>
      <c r="P1888" s="17" t="str">
        <f t="shared" ref="P1888:P1896" si="216">P1857</f>
        <v/>
      </c>
      <c r="Q1888" s="8"/>
      <c r="R1888" s="3" t="s">
        <v>115</v>
      </c>
    </row>
    <row r="1889" spans="6:18" ht="24" customHeight="1">
      <c r="I1889" s="3" t="s">
        <v>115</v>
      </c>
      <c r="K1889" s="12" t="s">
        <v>117</v>
      </c>
      <c r="M1889" s="17">
        <v>8</v>
      </c>
      <c r="N1889" s="15" t="s">
        <v>209</v>
      </c>
      <c r="O1889" s="3" t="s">
        <v>2010</v>
      </c>
      <c r="P1889" s="25">
        <v>13.8</v>
      </c>
      <c r="Q1889" s="3" t="s">
        <v>209</v>
      </c>
      <c r="R1889" s="17">
        <f t="shared" ref="R1889:R1894" si="217">(M1889*P1889)</f>
        <v>110.4</v>
      </c>
    </row>
    <row r="1890" spans="6:18" ht="24" customHeight="1">
      <c r="H1890" s="3" t="s">
        <v>2000</v>
      </c>
      <c r="K1890" s="16">
        <f>SUM(K1886:K1888)</f>
        <v>210.27533333333335</v>
      </c>
      <c r="M1890" s="17">
        <v>8</v>
      </c>
      <c r="N1890" s="15" t="s">
        <v>209</v>
      </c>
      <c r="O1890" s="3" t="s">
        <v>2011</v>
      </c>
      <c r="P1890" s="25">
        <v>32</v>
      </c>
      <c r="Q1890" s="3" t="s">
        <v>209</v>
      </c>
      <c r="R1890" s="17">
        <f t="shared" si="217"/>
        <v>256</v>
      </c>
    </row>
    <row r="1891" spans="6:18" ht="36.75" customHeight="1">
      <c r="I1891" s="3" t="s">
        <v>115</v>
      </c>
      <c r="K1891" s="12" t="s">
        <v>155</v>
      </c>
      <c r="M1891" s="17">
        <v>3</v>
      </c>
      <c r="N1891" s="15" t="s">
        <v>209</v>
      </c>
      <c r="O1891" s="3" t="s">
        <v>887</v>
      </c>
      <c r="P1891" s="17">
        <f t="shared" si="216"/>
        <v>569</v>
      </c>
      <c r="Q1891" s="3" t="s">
        <v>209</v>
      </c>
      <c r="R1891" s="17">
        <f t="shared" si="217"/>
        <v>1707</v>
      </c>
    </row>
    <row r="1892" spans="6:18" ht="24" customHeight="1">
      <c r="I1892" s="3"/>
      <c r="K1892" s="12"/>
      <c r="M1892" s="17">
        <v>1</v>
      </c>
      <c r="N1892" s="15" t="s">
        <v>209</v>
      </c>
      <c r="O1892" s="3" t="s">
        <v>1978</v>
      </c>
      <c r="P1892" s="17">
        <f t="shared" si="216"/>
        <v>769</v>
      </c>
      <c r="Q1892" s="3" t="s">
        <v>209</v>
      </c>
      <c r="R1892" s="17">
        <f t="shared" si="217"/>
        <v>769</v>
      </c>
    </row>
    <row r="1893" spans="6:18" ht="24" customHeight="1">
      <c r="G1893" s="15" t="s">
        <v>1196</v>
      </c>
      <c r="H1893" s="3" t="s">
        <v>2012</v>
      </c>
      <c r="M1893" s="17">
        <v>2</v>
      </c>
      <c r="N1893" s="15" t="s">
        <v>209</v>
      </c>
      <c r="O1893" s="3" t="s">
        <v>146</v>
      </c>
      <c r="P1893" s="17">
        <f t="shared" si="216"/>
        <v>502</v>
      </c>
      <c r="Q1893" s="3" t="s">
        <v>209</v>
      </c>
      <c r="R1893" s="17">
        <f t="shared" si="217"/>
        <v>1004</v>
      </c>
    </row>
    <row r="1894" spans="6:18" ht="24" customHeight="1">
      <c r="H1894" s="12" t="s">
        <v>117</v>
      </c>
      <c r="M1894" s="17">
        <v>1</v>
      </c>
      <c r="N1894" s="15" t="s">
        <v>209</v>
      </c>
      <c r="O1894" s="3" t="s">
        <v>147</v>
      </c>
      <c r="P1894" s="17">
        <f t="shared" si="216"/>
        <v>412</v>
      </c>
      <c r="Q1894" s="3" t="s">
        <v>209</v>
      </c>
      <c r="R1894" s="17">
        <f t="shared" si="217"/>
        <v>412</v>
      </c>
    </row>
    <row r="1895" spans="6:18" ht="24" customHeight="1">
      <c r="F1895" s="17">
        <v>1</v>
      </c>
      <c r="G1895" s="15" t="s">
        <v>231</v>
      </c>
      <c r="H1895" s="3" t="s">
        <v>2013</v>
      </c>
      <c r="I1895" s="17">
        <f>C521</f>
        <v>82</v>
      </c>
      <c r="J1895" s="3" t="s">
        <v>231</v>
      </c>
      <c r="K1895" s="17">
        <f>(F1895*I1895)</f>
        <v>82</v>
      </c>
      <c r="N1895" s="15" t="s">
        <v>129</v>
      </c>
      <c r="O1895" s="3" t="s">
        <v>1979</v>
      </c>
      <c r="P1895" s="17">
        <f t="shared" si="216"/>
        <v>5.26</v>
      </c>
      <c r="Q1895" s="3" t="s">
        <v>129</v>
      </c>
      <c r="R1895" s="17">
        <v>5</v>
      </c>
    </row>
    <row r="1896" spans="6:18" ht="24" customHeight="1">
      <c r="F1896" s="17">
        <v>1</v>
      </c>
      <c r="G1896" s="15" t="s">
        <v>129</v>
      </c>
      <c r="H1896" s="3" t="s">
        <v>2005</v>
      </c>
      <c r="I1896" s="17">
        <f>I1895*0.2</f>
        <v>16.400000000000002</v>
      </c>
      <c r="J1896" s="3" t="s">
        <v>129</v>
      </c>
      <c r="K1896" s="17">
        <f>(F1896*I1896)</f>
        <v>16.400000000000002</v>
      </c>
      <c r="N1896" s="6"/>
      <c r="O1896" s="3" t="s">
        <v>1980</v>
      </c>
      <c r="P1896" s="17" t="str">
        <f t="shared" si="216"/>
        <v/>
      </c>
      <c r="Q1896" s="8"/>
      <c r="R1896" s="3" t="s">
        <v>115</v>
      </c>
    </row>
    <row r="1897" spans="6:18" ht="24" customHeight="1">
      <c r="F1897" s="17">
        <v>1</v>
      </c>
      <c r="G1897" s="15" t="s">
        <v>231</v>
      </c>
      <c r="H1897" s="3" t="s">
        <v>1999</v>
      </c>
      <c r="I1897" s="17">
        <f>I1888</f>
        <v>147.87533333333334</v>
      </c>
      <c r="J1897" s="3" t="s">
        <v>231</v>
      </c>
      <c r="K1897" s="17">
        <f>(F1897*I1897)</f>
        <v>147.87533333333334</v>
      </c>
      <c r="N1897" s="15" t="s">
        <v>129</v>
      </c>
      <c r="O1897" s="3" t="s">
        <v>130</v>
      </c>
      <c r="P1897" s="17" t="str">
        <f>I1881</f>
        <v/>
      </c>
      <c r="Q1897" s="3" t="s">
        <v>129</v>
      </c>
      <c r="R1897" s="17">
        <v>0</v>
      </c>
    </row>
    <row r="1898" spans="6:18" ht="24" customHeight="1">
      <c r="I1898" s="3" t="s">
        <v>115</v>
      </c>
      <c r="K1898" s="12" t="s">
        <v>117</v>
      </c>
      <c r="N1898" s="6"/>
      <c r="Q1898" s="8"/>
      <c r="R1898" s="12" t="s">
        <v>117</v>
      </c>
    </row>
    <row r="1899" spans="6:18" ht="24" customHeight="1">
      <c r="H1899" s="3" t="s">
        <v>2000</v>
      </c>
      <c r="K1899" s="16">
        <f>SUM(K1895:K1897)</f>
        <v>246.27533333333335</v>
      </c>
      <c r="N1899" s="6"/>
      <c r="O1899" s="3" t="s">
        <v>893</v>
      </c>
      <c r="Q1899" s="8"/>
      <c r="R1899" s="17">
        <f>SUM(R1887:R1897)</f>
        <v>4548.3999999999996</v>
      </c>
    </row>
    <row r="1900" spans="6:18" ht="24" customHeight="1">
      <c r="I1900" s="3" t="s">
        <v>115</v>
      </c>
      <c r="K1900" s="12" t="s">
        <v>155</v>
      </c>
      <c r="N1900" s="6"/>
      <c r="Q1900" s="8"/>
      <c r="R1900" s="12" t="s">
        <v>117</v>
      </c>
    </row>
    <row r="1901" spans="6:18" ht="24" customHeight="1">
      <c r="I1901" s="3"/>
      <c r="K1901" s="12"/>
      <c r="N1901" s="6"/>
      <c r="O1901" s="3" t="s">
        <v>216</v>
      </c>
      <c r="Q1901" s="8"/>
      <c r="R1901" s="17">
        <f>(R1899/30)</f>
        <v>151.61333333333332</v>
      </c>
    </row>
    <row r="1902" spans="6:18" ht="39" customHeight="1">
      <c r="F1902" s="248">
        <v>52.1</v>
      </c>
      <c r="H1902" s="249" t="s">
        <v>2014</v>
      </c>
      <c r="I1902" s="3"/>
      <c r="K1902" s="12"/>
      <c r="N1902" s="6"/>
      <c r="Q1902" s="8"/>
      <c r="R1902" s="12" t="s">
        <v>117</v>
      </c>
    </row>
    <row r="1903" spans="6:18" ht="24" customHeight="1">
      <c r="I1903" s="3"/>
      <c r="K1903" s="12"/>
    </row>
    <row r="1904" spans="6:18" ht="24" customHeight="1">
      <c r="F1904" s="4"/>
      <c r="G1904" s="15"/>
      <c r="H1904" s="3" t="s">
        <v>807</v>
      </c>
      <c r="I1904" s="3"/>
      <c r="K1904" s="12"/>
    </row>
    <row r="1905" spans="6:18" ht="24" customHeight="1">
      <c r="G1905" s="15"/>
      <c r="H1905" s="3" t="s">
        <v>2015</v>
      </c>
      <c r="I1905" s="3"/>
      <c r="K1905" s="12"/>
    </row>
    <row r="1906" spans="6:18" ht="24" customHeight="1">
      <c r="H1906" s="12" t="s">
        <v>117</v>
      </c>
      <c r="I1906" s="3"/>
      <c r="K1906" s="12"/>
      <c r="N1906" s="15" t="s">
        <v>1196</v>
      </c>
      <c r="O1906" s="3" t="s">
        <v>2012</v>
      </c>
      <c r="Q1906" s="8"/>
    </row>
    <row r="1907" spans="6:18" ht="24" customHeight="1">
      <c r="F1907" s="17">
        <v>30</v>
      </c>
      <c r="G1907" s="15" t="s">
        <v>203</v>
      </c>
      <c r="H1907" s="3" t="s">
        <v>2016</v>
      </c>
      <c r="I1907" s="112">
        <f>E661</f>
        <v>10.92</v>
      </c>
      <c r="J1907" s="3" t="s">
        <v>203</v>
      </c>
      <c r="K1907" s="17">
        <f>(F1907*I1907)</f>
        <v>327.60000000000002</v>
      </c>
      <c r="N1907" s="6"/>
      <c r="O1907" s="12" t="s">
        <v>117</v>
      </c>
      <c r="Q1907" s="8"/>
    </row>
    <row r="1908" spans="6:18" ht="24" customHeight="1">
      <c r="F1908" s="17">
        <v>8</v>
      </c>
      <c r="G1908" s="15" t="s">
        <v>209</v>
      </c>
      <c r="H1908" s="3" t="s">
        <v>823</v>
      </c>
      <c r="I1908" s="112">
        <f>C663</f>
        <v>7.1</v>
      </c>
      <c r="J1908" s="3" t="s">
        <v>209</v>
      </c>
      <c r="K1908" s="17">
        <f t="shared" ref="K1908:K1913" si="218">(F1908*I1908)</f>
        <v>56.8</v>
      </c>
      <c r="M1908" s="17">
        <v>1</v>
      </c>
      <c r="N1908" s="15" t="s">
        <v>231</v>
      </c>
      <c r="O1908" s="3" t="s">
        <v>2017</v>
      </c>
      <c r="P1908" s="17">
        <f>C521</f>
        <v>82</v>
      </c>
      <c r="Q1908" s="3" t="s">
        <v>231</v>
      </c>
      <c r="R1908" s="17">
        <f>(M1908*P1908)</f>
        <v>82</v>
      </c>
    </row>
    <row r="1909" spans="6:18" ht="24" customHeight="1">
      <c r="F1909" s="17">
        <v>8</v>
      </c>
      <c r="G1909" s="15" t="s">
        <v>209</v>
      </c>
      <c r="H1909" s="3" t="s">
        <v>826</v>
      </c>
      <c r="I1909" s="112">
        <f>D672</f>
        <v>21.1</v>
      </c>
      <c r="J1909" s="3" t="s">
        <v>209</v>
      </c>
      <c r="K1909" s="17">
        <f t="shared" si="218"/>
        <v>168.8</v>
      </c>
      <c r="M1909" s="17">
        <v>1</v>
      </c>
      <c r="N1909" s="15" t="s">
        <v>129</v>
      </c>
      <c r="O1909" s="3" t="s">
        <v>2005</v>
      </c>
      <c r="P1909" s="17">
        <f>P1908*0.2</f>
        <v>16.400000000000002</v>
      </c>
      <c r="Q1909" s="3" t="s">
        <v>129</v>
      </c>
      <c r="R1909" s="17">
        <f>(M1909*P1909)</f>
        <v>16.400000000000002</v>
      </c>
    </row>
    <row r="1910" spans="6:18" ht="24" customHeight="1">
      <c r="F1910" s="17">
        <v>3</v>
      </c>
      <c r="G1910" s="15" t="s">
        <v>209</v>
      </c>
      <c r="H1910" s="3" t="s">
        <v>887</v>
      </c>
      <c r="I1910" s="112">
        <f>C41</f>
        <v>569</v>
      </c>
      <c r="J1910" s="3" t="s">
        <v>209</v>
      </c>
      <c r="K1910" s="17">
        <f t="shared" si="218"/>
        <v>1707</v>
      </c>
      <c r="M1910" s="17">
        <v>1</v>
      </c>
      <c r="N1910" s="15" t="s">
        <v>231</v>
      </c>
      <c r="O1910" s="3" t="s">
        <v>1999</v>
      </c>
      <c r="P1910" s="17">
        <f>R1901</f>
        <v>151.61333333333332</v>
      </c>
      <c r="Q1910" s="3" t="s">
        <v>231</v>
      </c>
      <c r="R1910" s="17">
        <f>(M1910*P1910)</f>
        <v>151.61333333333332</v>
      </c>
    </row>
    <row r="1911" spans="6:18" ht="24" customHeight="1">
      <c r="F1911" s="17">
        <v>1</v>
      </c>
      <c r="G1911" s="15" t="s">
        <v>209</v>
      </c>
      <c r="H1911" s="3" t="s">
        <v>1978</v>
      </c>
      <c r="I1911" s="112">
        <f>C10</f>
        <v>769</v>
      </c>
      <c r="J1911" s="3" t="s">
        <v>209</v>
      </c>
      <c r="K1911" s="17">
        <f t="shared" si="218"/>
        <v>769</v>
      </c>
      <c r="N1911" s="6"/>
      <c r="P1911" s="3" t="s">
        <v>115</v>
      </c>
      <c r="Q1911" s="8"/>
      <c r="R1911" s="12" t="s">
        <v>117</v>
      </c>
    </row>
    <row r="1912" spans="6:18" ht="24" customHeight="1">
      <c r="F1912" s="17">
        <v>2</v>
      </c>
      <c r="G1912" s="15" t="s">
        <v>209</v>
      </c>
      <c r="H1912" s="3" t="s">
        <v>146</v>
      </c>
      <c r="I1912" s="112">
        <f>C12</f>
        <v>502</v>
      </c>
      <c r="J1912" s="3" t="s">
        <v>209</v>
      </c>
      <c r="K1912" s="17">
        <f t="shared" si="218"/>
        <v>1004</v>
      </c>
      <c r="N1912" s="6"/>
      <c r="O1912" s="3" t="s">
        <v>2000</v>
      </c>
      <c r="Q1912" s="8"/>
      <c r="R1912" s="16">
        <f>SUM(R1908:R1910)</f>
        <v>250.01333333333332</v>
      </c>
    </row>
    <row r="1913" spans="6:18" ht="24" customHeight="1">
      <c r="F1913" s="17">
        <v>1</v>
      </c>
      <c r="G1913" s="15" t="s">
        <v>209</v>
      </c>
      <c r="H1913" s="3" t="s">
        <v>147</v>
      </c>
      <c r="I1913" s="112">
        <f>C13</f>
        <v>412</v>
      </c>
      <c r="J1913" s="3" t="s">
        <v>209</v>
      </c>
      <c r="K1913" s="17">
        <f t="shared" si="218"/>
        <v>412</v>
      </c>
      <c r="N1913" s="6"/>
      <c r="P1913" s="3" t="s">
        <v>115</v>
      </c>
      <c r="Q1913" s="8"/>
      <c r="R1913" s="12" t="s">
        <v>155</v>
      </c>
    </row>
    <row r="1914" spans="6:18" ht="24" customHeight="1">
      <c r="K1914" s="12" t="s">
        <v>117</v>
      </c>
    </row>
    <row r="1915" spans="6:18" ht="24" customHeight="1">
      <c r="H1915" s="3" t="s">
        <v>893</v>
      </c>
      <c r="K1915" s="17">
        <f>SUM(K1907:K1913)</f>
        <v>4445.2</v>
      </c>
    </row>
    <row r="1916" spans="6:18" ht="24" customHeight="1">
      <c r="K1916" s="12" t="s">
        <v>117</v>
      </c>
    </row>
    <row r="1917" spans="6:18" ht="24" customHeight="1">
      <c r="H1917" s="3" t="s">
        <v>216</v>
      </c>
      <c r="K1917" s="17">
        <f>(K1915/30)</f>
        <v>148.17333333333332</v>
      </c>
    </row>
    <row r="1918" spans="6:18" ht="24" customHeight="1">
      <c r="K1918" s="12" t="s">
        <v>117</v>
      </c>
    </row>
    <row r="1919" spans="6:18" ht="24" customHeight="1">
      <c r="I1919" s="3"/>
      <c r="K1919" s="12"/>
    </row>
    <row r="1920" spans="6:18" ht="24" customHeight="1">
      <c r="H1920" s="5" t="s">
        <v>2018</v>
      </c>
      <c r="I1920" s="3"/>
      <c r="K1920" s="12"/>
    </row>
    <row r="1921" spans="6:11" ht="24" customHeight="1">
      <c r="H1921" s="12" t="s">
        <v>117</v>
      </c>
      <c r="I1921" s="3"/>
      <c r="K1921" s="12"/>
    </row>
    <row r="1922" spans="6:11" ht="24" customHeight="1">
      <c r="F1922" s="17">
        <v>1</v>
      </c>
      <c r="G1922" s="15" t="s">
        <v>231</v>
      </c>
      <c r="H1922" s="3" t="s">
        <v>2019</v>
      </c>
      <c r="I1922" s="112">
        <f>E698</f>
        <v>98.6</v>
      </c>
      <c r="J1922" s="3" t="s">
        <v>231</v>
      </c>
      <c r="K1922" s="17">
        <f>(F1922*I1922)</f>
        <v>98.6</v>
      </c>
    </row>
    <row r="1923" spans="6:11" ht="24" customHeight="1">
      <c r="F1923" s="17">
        <v>1</v>
      </c>
      <c r="G1923" s="15" t="s">
        <v>129</v>
      </c>
      <c r="H1923" s="3" t="s">
        <v>2020</v>
      </c>
      <c r="I1923" s="112">
        <f>I1922*0.2</f>
        <v>19.72</v>
      </c>
      <c r="J1923" s="3" t="s">
        <v>129</v>
      </c>
      <c r="K1923" s="17">
        <f>(F1923*I1923)</f>
        <v>19.72</v>
      </c>
    </row>
    <row r="1924" spans="6:11" ht="24" customHeight="1">
      <c r="F1924" s="17">
        <v>1</v>
      </c>
      <c r="G1924" s="15" t="s">
        <v>231</v>
      </c>
      <c r="H1924" s="3" t="s">
        <v>1999</v>
      </c>
      <c r="I1924" s="112">
        <f>K1917</f>
        <v>148.17333333333332</v>
      </c>
      <c r="J1924" s="3" t="s">
        <v>231</v>
      </c>
      <c r="K1924" s="17">
        <f>(F1924*I1924)</f>
        <v>148.17333333333332</v>
      </c>
    </row>
    <row r="1925" spans="6:11" ht="24" customHeight="1">
      <c r="F1925" s="17"/>
      <c r="G1925" s="15"/>
      <c r="H1925" s="62" t="s">
        <v>2021</v>
      </c>
      <c r="I1925" s="112"/>
      <c r="J1925" s="3" t="s">
        <v>129</v>
      </c>
      <c r="K1925" s="17">
        <f>1.25+0.47</f>
        <v>1.72</v>
      </c>
    </row>
    <row r="1926" spans="6:11" ht="24" customHeight="1">
      <c r="I1926" s="3"/>
      <c r="K1926" s="12" t="s">
        <v>117</v>
      </c>
    </row>
    <row r="1927" spans="6:11" ht="24" customHeight="1">
      <c r="H1927" s="3" t="s">
        <v>2000</v>
      </c>
      <c r="I1927" s="3"/>
      <c r="K1927" s="16">
        <f>SUM(K1922:K1925)</f>
        <v>268.21333333333337</v>
      </c>
    </row>
    <row r="1928" spans="6:11" ht="24" customHeight="1">
      <c r="I1928" s="3"/>
      <c r="K1928" s="12" t="s">
        <v>155</v>
      </c>
    </row>
    <row r="1929" spans="6:11" ht="24" customHeight="1">
      <c r="I1929" s="3"/>
      <c r="K1929" s="12"/>
    </row>
    <row r="1930" spans="6:11" ht="24" customHeight="1">
      <c r="I1930" s="3"/>
      <c r="K1930" s="12"/>
    </row>
    <row r="1931" spans="6:11" ht="24" customHeight="1">
      <c r="F1931" s="51">
        <v>53.1</v>
      </c>
      <c r="G1931" s="15" t="s">
        <v>122</v>
      </c>
      <c r="H1931" s="3" t="s">
        <v>2022</v>
      </c>
    </row>
    <row r="1932" spans="6:11" ht="24" customHeight="1">
      <c r="H1932" s="7" t="s">
        <v>2023</v>
      </c>
    </row>
    <row r="1933" spans="6:11" ht="24" customHeight="1">
      <c r="H1933" s="3" t="s">
        <v>2024</v>
      </c>
    </row>
    <row r="1934" spans="6:11" ht="24" customHeight="1">
      <c r="H1934" s="3" t="s">
        <v>2025</v>
      </c>
    </row>
    <row r="1935" spans="6:11" ht="24" customHeight="1">
      <c r="H1935" s="12" t="s">
        <v>117</v>
      </c>
    </row>
    <row r="1936" spans="6:11" ht="85.5" customHeight="1">
      <c r="F1936" s="250">
        <v>1</v>
      </c>
      <c r="G1936" s="250" t="s">
        <v>209</v>
      </c>
      <c r="H1936" s="251" t="s">
        <v>2026</v>
      </c>
      <c r="I1936" s="250">
        <f>(C617)</f>
        <v>1640</v>
      </c>
      <c r="J1936" s="252" t="s">
        <v>209</v>
      </c>
      <c r="K1936" s="250">
        <f>(F1936*I1936)</f>
        <v>1640</v>
      </c>
    </row>
    <row r="1937" spans="6:22" ht="24" customHeight="1">
      <c r="F1937" s="17"/>
      <c r="G1937" s="15"/>
      <c r="H1937" s="37"/>
      <c r="I1937" s="17"/>
      <c r="J1937" s="3"/>
      <c r="K1937" s="17"/>
    </row>
    <row r="1938" spans="6:22" ht="24" customHeight="1">
      <c r="F1938" s="17"/>
      <c r="G1938" s="15"/>
      <c r="H1938" s="37"/>
      <c r="I1938" s="17"/>
      <c r="J1938" s="4"/>
      <c r="K1938" s="17"/>
    </row>
    <row r="1939" spans="6:22" ht="24" customHeight="1">
      <c r="F1939" s="253">
        <v>1</v>
      </c>
      <c r="G1939" s="253" t="s">
        <v>209</v>
      </c>
      <c r="H1939" s="3" t="s">
        <v>2027</v>
      </c>
      <c r="I1939" s="254">
        <v>-166</v>
      </c>
      <c r="J1939" s="37" t="s">
        <v>209</v>
      </c>
      <c r="K1939" s="253">
        <f>(F1939*I1939)</f>
        <v>-166</v>
      </c>
    </row>
    <row r="1940" spans="6:22" ht="24" customHeight="1">
      <c r="F1940" s="24"/>
      <c r="G1940" s="246"/>
      <c r="H1940" s="37"/>
      <c r="I1940" s="24"/>
      <c r="J1940" s="77"/>
      <c r="K1940" s="24"/>
    </row>
    <row r="1941" spans="6:22" ht="24" customHeight="1">
      <c r="F1941" s="24">
        <v>1</v>
      </c>
      <c r="G1941" s="246" t="s">
        <v>209</v>
      </c>
      <c r="H1941" s="37" t="s">
        <v>2028</v>
      </c>
      <c r="I1941" s="255">
        <v>250</v>
      </c>
      <c r="J1941" s="37" t="s">
        <v>209</v>
      </c>
      <c r="K1941" s="256">
        <f>(F1941*I1941)</f>
        <v>250</v>
      </c>
    </row>
    <row r="1942" spans="6:22" ht="24" customHeight="1">
      <c r="F1942" s="17"/>
      <c r="G1942" s="15"/>
      <c r="H1942" s="3"/>
      <c r="I1942" s="17"/>
      <c r="J1942" s="3"/>
      <c r="K1942" s="17"/>
    </row>
    <row r="1943" spans="6:22" ht="24" customHeight="1">
      <c r="F1943" s="17">
        <v>0.5</v>
      </c>
      <c r="G1943" s="15" t="s">
        <v>209</v>
      </c>
      <c r="H1943" s="3" t="s">
        <v>210</v>
      </c>
      <c r="I1943" s="17">
        <f>(C15)</f>
        <v>667</v>
      </c>
      <c r="J1943" s="3" t="s">
        <v>209</v>
      </c>
      <c r="K1943" s="17">
        <f>(F1943*I1943)</f>
        <v>333.5</v>
      </c>
      <c r="N1943" s="5">
        <f>7635</f>
        <v>7635</v>
      </c>
    </row>
    <row r="1944" spans="6:22" ht="24" customHeight="1">
      <c r="F1944" s="17">
        <v>1</v>
      </c>
      <c r="G1944" s="15" t="s">
        <v>209</v>
      </c>
      <c r="H1944" s="3" t="s">
        <v>146</v>
      </c>
      <c r="I1944" s="17">
        <f>(C12)</f>
        <v>502</v>
      </c>
      <c r="J1944" s="3" t="s">
        <v>209</v>
      </c>
      <c r="K1944" s="17">
        <f>(F1944*I1944)</f>
        <v>502</v>
      </c>
      <c r="N1944" s="5">
        <f>N1943*4%</f>
        <v>305.40000000000003</v>
      </c>
    </row>
    <row r="1945" spans="6:22" ht="24" customHeight="1">
      <c r="F1945" s="17">
        <v>0.5</v>
      </c>
      <c r="G1945" s="15" t="s">
        <v>209</v>
      </c>
      <c r="H1945" s="3" t="s">
        <v>144</v>
      </c>
      <c r="I1945" s="17">
        <f>(C10)</f>
        <v>769</v>
      </c>
      <c r="J1945" s="3" t="s">
        <v>209</v>
      </c>
      <c r="K1945" s="17">
        <f>(F1945*I1945)</f>
        <v>384.5</v>
      </c>
      <c r="N1945" s="5">
        <f>SUM(N1943:N1944)</f>
        <v>7940.4</v>
      </c>
    </row>
    <row r="1946" spans="6:22" ht="24" customHeight="1">
      <c r="G1946" s="15" t="s">
        <v>129</v>
      </c>
      <c r="H1946" s="3" t="s">
        <v>2029</v>
      </c>
      <c r="J1946" s="3" t="s">
        <v>129</v>
      </c>
      <c r="K1946" s="17">
        <v>0.82</v>
      </c>
    </row>
    <row r="1947" spans="6:22" ht="24" customHeight="1">
      <c r="K1947" s="12" t="s">
        <v>117</v>
      </c>
    </row>
    <row r="1948" spans="6:22" ht="24" customHeight="1">
      <c r="H1948" s="3" t="s">
        <v>991</v>
      </c>
      <c r="K1948" s="17">
        <f>SUM(K1936:K1946)</f>
        <v>2944.82</v>
      </c>
    </row>
    <row r="1949" spans="6:22" ht="24" customHeight="1">
      <c r="K1949" s="12" t="s">
        <v>117</v>
      </c>
    </row>
    <row r="1950" spans="6:22" ht="24" customHeight="1">
      <c r="F1950" s="4" t="s">
        <v>2030</v>
      </c>
      <c r="H1950" s="3" t="s">
        <v>2031</v>
      </c>
      <c r="J1950" s="3" t="s">
        <v>227</v>
      </c>
      <c r="K1950" s="257">
        <v>967.5</v>
      </c>
      <c r="V1950" s="3" t="s">
        <v>1977</v>
      </c>
    </row>
    <row r="1951" spans="6:22" ht="24" customHeight="1">
      <c r="H1951" s="3" t="s">
        <v>2032</v>
      </c>
      <c r="J1951" s="3" t="s">
        <v>227</v>
      </c>
      <c r="K1951" s="258">
        <v>1828</v>
      </c>
    </row>
    <row r="1952" spans="6:22" ht="24" customHeight="1">
      <c r="F1952" s="4" t="s">
        <v>2033</v>
      </c>
      <c r="H1952" s="3" t="s">
        <v>2034</v>
      </c>
      <c r="J1952" s="3" t="s">
        <v>227</v>
      </c>
      <c r="K1952" s="257">
        <v>30</v>
      </c>
    </row>
    <row r="1953" spans="6:18" ht="24" customHeight="1">
      <c r="F1953" s="4"/>
      <c r="H1953" s="3"/>
      <c r="K1953" s="3"/>
    </row>
    <row r="1954" spans="6:18" ht="24" customHeight="1">
      <c r="F1954" s="38">
        <v>54</v>
      </c>
      <c r="G1954" s="15" t="s">
        <v>122</v>
      </c>
      <c r="H1954" s="3" t="s">
        <v>2035</v>
      </c>
      <c r="J1954" s="3" t="s">
        <v>227</v>
      </c>
      <c r="K1954" s="259">
        <v>202</v>
      </c>
    </row>
    <row r="1955" spans="6:18" ht="24" customHeight="1">
      <c r="K1955" s="12" t="s">
        <v>155</v>
      </c>
    </row>
    <row r="1957" spans="6:18" ht="24" customHeight="1">
      <c r="F1957" s="51">
        <v>54.1</v>
      </c>
      <c r="G1957" s="15" t="s">
        <v>122</v>
      </c>
      <c r="H1957" s="3" t="s">
        <v>2036</v>
      </c>
      <c r="J1957" s="3" t="s">
        <v>227</v>
      </c>
      <c r="K1957" s="123">
        <v>300</v>
      </c>
    </row>
    <row r="1958" spans="6:18" ht="24" customHeight="1">
      <c r="K1958" s="12" t="s">
        <v>155</v>
      </c>
    </row>
    <row r="1960" spans="6:18" ht="24" customHeight="1">
      <c r="F1960" s="51">
        <v>54.2</v>
      </c>
      <c r="G1960" s="15" t="s">
        <v>122</v>
      </c>
      <c r="H1960" s="3" t="s">
        <v>2037</v>
      </c>
      <c r="J1960" s="3" t="s">
        <v>227</v>
      </c>
      <c r="K1960" s="123">
        <v>250</v>
      </c>
    </row>
    <row r="1961" spans="6:18" ht="24" customHeight="1">
      <c r="K1961" s="12" t="s">
        <v>155</v>
      </c>
    </row>
    <row r="1962" spans="6:18" ht="24" hidden="1" customHeight="1"/>
    <row r="1963" spans="6:18" ht="24" customHeight="1">
      <c r="F1963" s="4" t="s">
        <v>2038</v>
      </c>
      <c r="G1963" s="15" t="s">
        <v>122</v>
      </c>
      <c r="H1963" s="3" t="s">
        <v>2039</v>
      </c>
      <c r="M1963" s="4" t="s">
        <v>2038</v>
      </c>
      <c r="N1963" s="15" t="s">
        <v>122</v>
      </c>
      <c r="O1963" s="3" t="s">
        <v>2039</v>
      </c>
      <c r="Q1963" s="8"/>
    </row>
    <row r="1964" spans="6:18" ht="24" customHeight="1">
      <c r="H1964" s="3" t="s">
        <v>2040</v>
      </c>
      <c r="N1964" s="6"/>
      <c r="O1964" s="3" t="s">
        <v>2040</v>
      </c>
      <c r="Q1964" s="8"/>
    </row>
    <row r="1965" spans="6:18" ht="24" customHeight="1">
      <c r="H1965" s="3" t="s">
        <v>2041</v>
      </c>
      <c r="N1965" s="6"/>
      <c r="O1965" s="3" t="s">
        <v>2041</v>
      </c>
      <c r="Q1965" s="8"/>
    </row>
    <row r="1966" spans="6:18" ht="24" customHeight="1">
      <c r="H1966" s="3" t="s">
        <v>2042</v>
      </c>
      <c r="N1966" s="6"/>
      <c r="O1966" s="3" t="s">
        <v>2042</v>
      </c>
      <c r="Q1966" s="8"/>
    </row>
    <row r="1967" spans="6:18" ht="24" customHeight="1">
      <c r="H1967" s="12" t="s">
        <v>117</v>
      </c>
      <c r="N1967" s="6"/>
      <c r="O1967" s="12" t="s">
        <v>117</v>
      </c>
      <c r="Q1967" s="8"/>
    </row>
    <row r="1968" spans="6:18" ht="24" customHeight="1">
      <c r="F1968" s="17">
        <v>1</v>
      </c>
      <c r="G1968" s="15" t="s">
        <v>209</v>
      </c>
      <c r="H1968" s="3" t="s">
        <v>2043</v>
      </c>
      <c r="I1968" s="17">
        <f>(C201)</f>
        <v>1180</v>
      </c>
      <c r="J1968" s="3" t="s">
        <v>209</v>
      </c>
      <c r="K1968" s="17">
        <f t="shared" ref="K1968:K1974" si="219">(F1968*I1968)</f>
        <v>1180</v>
      </c>
      <c r="M1968" s="17">
        <v>1</v>
      </c>
      <c r="N1968" s="15" t="s">
        <v>209</v>
      </c>
      <c r="O1968" s="3" t="s">
        <v>2043</v>
      </c>
      <c r="P1968" s="17">
        <f>I1968</f>
        <v>1180</v>
      </c>
      <c r="Q1968" s="3" t="s">
        <v>209</v>
      </c>
      <c r="R1968" s="17">
        <f t="shared" ref="R1968:R1974" si="220">(M1968*P1968)</f>
        <v>1180</v>
      </c>
    </row>
    <row r="1969" spans="6:18" ht="24" customHeight="1">
      <c r="F1969" s="17">
        <v>0.65</v>
      </c>
      <c r="G1969" s="15" t="s">
        <v>126</v>
      </c>
      <c r="H1969" s="3" t="s">
        <v>2044</v>
      </c>
      <c r="I1969" s="17">
        <f>(C61*2)</f>
        <v>168</v>
      </c>
      <c r="J1969" s="3" t="s">
        <v>126</v>
      </c>
      <c r="K1969" s="17">
        <f t="shared" si="219"/>
        <v>109.2</v>
      </c>
      <c r="M1969" s="17">
        <v>0.65</v>
      </c>
      <c r="N1969" s="15" t="s">
        <v>126</v>
      </c>
      <c r="O1969" s="3" t="s">
        <v>2044</v>
      </c>
      <c r="P1969" s="17">
        <f t="shared" ref="P1969:P1975" si="221">I1969</f>
        <v>168</v>
      </c>
      <c r="Q1969" s="3" t="s">
        <v>126</v>
      </c>
      <c r="R1969" s="17">
        <f t="shared" si="220"/>
        <v>109.2</v>
      </c>
    </row>
    <row r="1970" spans="6:18" ht="24" customHeight="1">
      <c r="F1970" s="17">
        <v>0.56999999999999995</v>
      </c>
      <c r="G1970" s="15" t="s">
        <v>126</v>
      </c>
      <c r="H1970" s="3" t="s">
        <v>2045</v>
      </c>
      <c r="I1970" s="17">
        <f>(C26)</f>
        <v>29.3</v>
      </c>
      <c r="J1970" s="3" t="s">
        <v>126</v>
      </c>
      <c r="K1970" s="17">
        <f t="shared" si="219"/>
        <v>16.701000000000001</v>
      </c>
      <c r="M1970" s="17">
        <v>0.56999999999999995</v>
      </c>
      <c r="N1970" s="15" t="s">
        <v>126</v>
      </c>
      <c r="O1970" s="3" t="s">
        <v>2045</v>
      </c>
      <c r="P1970" s="17">
        <f t="shared" si="221"/>
        <v>29.3</v>
      </c>
      <c r="Q1970" s="3" t="s">
        <v>126</v>
      </c>
      <c r="R1970" s="17">
        <f t="shared" si="220"/>
        <v>16.701000000000001</v>
      </c>
    </row>
    <row r="1971" spans="6:18" ht="24" customHeight="1">
      <c r="F1971" s="49">
        <v>8.1000000000000003E-2</v>
      </c>
      <c r="G1971" s="15" t="s">
        <v>126</v>
      </c>
      <c r="H1971" s="3" t="s">
        <v>2046</v>
      </c>
      <c r="I1971" s="17">
        <f>(R60)</f>
        <v>3498.1949999999997</v>
      </c>
      <c r="J1971" s="3" t="s">
        <v>126</v>
      </c>
      <c r="K1971" s="17">
        <f t="shared" si="219"/>
        <v>283.35379499999999</v>
      </c>
      <c r="M1971" s="49">
        <v>8.1000000000000003E-2</v>
      </c>
      <c r="N1971" s="15" t="s">
        <v>126</v>
      </c>
      <c r="O1971" s="3" t="s">
        <v>2046</v>
      </c>
      <c r="P1971" s="17">
        <f t="shared" si="221"/>
        <v>3498.1949999999997</v>
      </c>
      <c r="Q1971" s="3" t="s">
        <v>126</v>
      </c>
      <c r="R1971" s="17">
        <f t="shared" si="220"/>
        <v>283.35379499999999</v>
      </c>
    </row>
    <row r="1972" spans="6:18" ht="24" customHeight="1">
      <c r="F1972" s="17">
        <v>1</v>
      </c>
      <c r="G1972" s="15" t="s">
        <v>209</v>
      </c>
      <c r="H1972" s="3" t="s">
        <v>210</v>
      </c>
      <c r="I1972" s="17">
        <f>(C15)</f>
        <v>667</v>
      </c>
      <c r="J1972" s="3" t="s">
        <v>209</v>
      </c>
      <c r="K1972" s="17">
        <f t="shared" si="219"/>
        <v>667</v>
      </c>
      <c r="M1972" s="17">
        <v>1</v>
      </c>
      <c r="N1972" s="15" t="s">
        <v>209</v>
      </c>
      <c r="O1972" s="3" t="s">
        <v>210</v>
      </c>
      <c r="P1972" s="17">
        <f t="shared" si="221"/>
        <v>667</v>
      </c>
      <c r="Q1972" s="3" t="s">
        <v>209</v>
      </c>
      <c r="R1972" s="17">
        <f t="shared" si="220"/>
        <v>667</v>
      </c>
    </row>
    <row r="1973" spans="6:18" ht="24" customHeight="1">
      <c r="F1973" s="17">
        <v>0.5</v>
      </c>
      <c r="G1973" s="15" t="s">
        <v>209</v>
      </c>
      <c r="H1973" s="3" t="s">
        <v>145</v>
      </c>
      <c r="I1973" s="17">
        <f>(C11)</f>
        <v>718</v>
      </c>
      <c r="J1973" s="3" t="s">
        <v>209</v>
      </c>
      <c r="K1973" s="17">
        <f t="shared" si="219"/>
        <v>359</v>
      </c>
      <c r="M1973" s="17">
        <v>0.5</v>
      </c>
      <c r="N1973" s="15" t="s">
        <v>209</v>
      </c>
      <c r="O1973" s="3" t="s">
        <v>145</v>
      </c>
      <c r="P1973" s="17">
        <f t="shared" si="221"/>
        <v>718</v>
      </c>
      <c r="Q1973" s="3" t="s">
        <v>209</v>
      </c>
      <c r="R1973" s="17">
        <f t="shared" si="220"/>
        <v>359</v>
      </c>
    </row>
    <row r="1974" spans="6:18" ht="24" customHeight="1">
      <c r="F1974" s="17">
        <v>0.5</v>
      </c>
      <c r="G1974" s="15" t="s">
        <v>209</v>
      </c>
      <c r="H1974" s="3" t="s">
        <v>146</v>
      </c>
      <c r="I1974" s="17">
        <f>(C12)</f>
        <v>502</v>
      </c>
      <c r="J1974" s="3" t="s">
        <v>209</v>
      </c>
      <c r="K1974" s="17">
        <f t="shared" si="219"/>
        <v>251</v>
      </c>
      <c r="M1974" s="17">
        <v>0.5</v>
      </c>
      <c r="N1974" s="15" t="s">
        <v>209</v>
      </c>
      <c r="O1974" s="3" t="s">
        <v>146</v>
      </c>
      <c r="P1974" s="17">
        <f t="shared" si="221"/>
        <v>502</v>
      </c>
      <c r="Q1974" s="3" t="s">
        <v>209</v>
      </c>
      <c r="R1974" s="17">
        <f t="shared" si="220"/>
        <v>251</v>
      </c>
    </row>
    <row r="1975" spans="6:18" ht="24" customHeight="1">
      <c r="G1975" s="15" t="s">
        <v>129</v>
      </c>
      <c r="H1975" s="3" t="s">
        <v>130</v>
      </c>
      <c r="I1975" s="3" t="s">
        <v>115</v>
      </c>
      <c r="J1975" s="3" t="s">
        <v>129</v>
      </c>
      <c r="K1975" s="17">
        <v>1.25</v>
      </c>
      <c r="N1975" s="15"/>
      <c r="O1975" s="7" t="s">
        <v>2047</v>
      </c>
      <c r="P1975" s="17" t="str">
        <f t="shared" si="221"/>
        <v/>
      </c>
      <c r="Q1975" s="3"/>
      <c r="R1975" s="45">
        <v>-164</v>
      </c>
    </row>
    <row r="1976" spans="6:18" ht="24" customHeight="1">
      <c r="K1976" s="12" t="s">
        <v>117</v>
      </c>
      <c r="O1976" s="7" t="s">
        <v>2048</v>
      </c>
      <c r="P1976" s="17"/>
      <c r="Q1976" s="3"/>
      <c r="R1976" s="45">
        <v>134.1</v>
      </c>
    </row>
    <row r="1977" spans="6:18" ht="24" customHeight="1" thickBot="1">
      <c r="H1977" s="3" t="s">
        <v>991</v>
      </c>
      <c r="K1977" s="17">
        <f>SUM(K1968:K1975)</f>
        <v>2867.5047949999998</v>
      </c>
      <c r="N1977" s="6" t="s">
        <v>166</v>
      </c>
      <c r="O1977" s="7" t="s">
        <v>236</v>
      </c>
      <c r="Q1977" s="8"/>
      <c r="R1977" s="17">
        <v>0.32</v>
      </c>
    </row>
    <row r="1978" spans="6:18" ht="24" customHeight="1" thickTop="1">
      <c r="K1978" s="12" t="s">
        <v>155</v>
      </c>
      <c r="N1978" s="6"/>
      <c r="O1978" s="3" t="s">
        <v>991</v>
      </c>
      <c r="Q1978" s="8"/>
      <c r="R1978" s="260">
        <f>SUM(R1968:R1977)</f>
        <v>2836.6747949999999</v>
      </c>
    </row>
    <row r="1979" spans="6:18" ht="24" customHeight="1" thickBot="1">
      <c r="G1979" s="15" t="s">
        <v>115</v>
      </c>
      <c r="H1979" s="3" t="s">
        <v>115</v>
      </c>
      <c r="K1979" s="3" t="s">
        <v>115</v>
      </c>
      <c r="N1979" s="6"/>
      <c r="Q1979" s="8"/>
      <c r="R1979" s="261"/>
    </row>
    <row r="1980" spans="6:18" ht="24" customHeight="1" thickTop="1">
      <c r="J1980" s="3" t="s">
        <v>115</v>
      </c>
      <c r="K1980" s="3" t="s">
        <v>115</v>
      </c>
    </row>
    <row r="1981" spans="6:18" ht="24" customHeight="1">
      <c r="F1981" s="4" t="s">
        <v>2049</v>
      </c>
      <c r="G1981" s="15" t="s">
        <v>122</v>
      </c>
      <c r="H1981" s="3" t="s">
        <v>2039</v>
      </c>
      <c r="M1981" s="4" t="s">
        <v>2049</v>
      </c>
      <c r="N1981" s="15" t="s">
        <v>122</v>
      </c>
      <c r="O1981" s="3" t="s">
        <v>2039</v>
      </c>
      <c r="Q1981" s="8"/>
    </row>
    <row r="1982" spans="6:18" ht="24" customHeight="1">
      <c r="H1982" s="3" t="s">
        <v>2040</v>
      </c>
      <c r="N1982" s="6"/>
      <c r="O1982" s="3" t="s">
        <v>2040</v>
      </c>
      <c r="Q1982" s="8"/>
    </row>
    <row r="1983" spans="6:18" ht="24" customHeight="1">
      <c r="H1983" s="3" t="s">
        <v>2041</v>
      </c>
      <c r="N1983" s="6"/>
      <c r="O1983" s="3" t="s">
        <v>2041</v>
      </c>
      <c r="Q1983" s="8"/>
    </row>
    <row r="1984" spans="6:18" ht="24" customHeight="1">
      <c r="H1984" s="3" t="s">
        <v>2050</v>
      </c>
      <c r="N1984" s="6"/>
      <c r="O1984" s="3" t="s">
        <v>2050</v>
      </c>
      <c r="Q1984" s="8"/>
    </row>
    <row r="1985" spans="6:18" ht="24" customHeight="1">
      <c r="H1985" s="12" t="s">
        <v>117</v>
      </c>
      <c r="N1985" s="6"/>
      <c r="O1985" s="12" t="s">
        <v>117</v>
      </c>
      <c r="Q1985" s="8"/>
    </row>
    <row r="1986" spans="6:18" ht="24" customHeight="1">
      <c r="F1986" s="17">
        <v>1</v>
      </c>
      <c r="G1986" s="15" t="s">
        <v>209</v>
      </c>
      <c r="H1986" s="3" t="s">
        <v>2043</v>
      </c>
      <c r="I1986" s="17">
        <f>(C201)</f>
        <v>1180</v>
      </c>
      <c r="J1986" s="3" t="s">
        <v>209</v>
      </c>
      <c r="K1986" s="17">
        <f>(F1986*I1986)</f>
        <v>1180</v>
      </c>
      <c r="M1986" s="17">
        <v>1</v>
      </c>
      <c r="N1986" s="15" t="s">
        <v>209</v>
      </c>
      <c r="O1986" s="3" t="s">
        <v>2043</v>
      </c>
      <c r="P1986" s="17">
        <f>I1986</f>
        <v>1180</v>
      </c>
      <c r="Q1986" s="3" t="s">
        <v>209</v>
      </c>
      <c r="R1986" s="17">
        <f>(M1986*P1986)</f>
        <v>1180</v>
      </c>
    </row>
    <row r="1987" spans="6:18" ht="24" customHeight="1">
      <c r="F1987" s="49">
        <v>0.40500000000000003</v>
      </c>
      <c r="G1987" s="15" t="s">
        <v>126</v>
      </c>
      <c r="H1987" s="3" t="s">
        <v>2051</v>
      </c>
      <c r="I1987" s="17">
        <f>(K1330)</f>
        <v>3315.0119999999997</v>
      </c>
      <c r="J1987" s="3" t="s">
        <v>126</v>
      </c>
      <c r="K1987" s="17">
        <f>(F1987*I1987)</f>
        <v>1342.5798600000001</v>
      </c>
      <c r="M1987" s="49">
        <v>0.40500000000000003</v>
      </c>
      <c r="N1987" s="15" t="s">
        <v>126</v>
      </c>
      <c r="O1987" s="3" t="s">
        <v>2051</v>
      </c>
      <c r="P1987" s="17">
        <f t="shared" ref="P1987:P1996" si="222">I1987</f>
        <v>3315.0119999999997</v>
      </c>
      <c r="Q1987" s="3" t="s">
        <v>126</v>
      </c>
      <c r="R1987" s="17">
        <f>(M1987*P1987)</f>
        <v>1342.5798600000001</v>
      </c>
    </row>
    <row r="1988" spans="6:18" ht="24" customHeight="1">
      <c r="H1988" s="3" t="s">
        <v>2052</v>
      </c>
      <c r="I1988" s="3" t="s">
        <v>115</v>
      </c>
      <c r="K1988" s="3" t="s">
        <v>115</v>
      </c>
      <c r="N1988" s="6"/>
      <c r="O1988" s="3" t="s">
        <v>2052</v>
      </c>
      <c r="P1988" s="17" t="str">
        <f t="shared" si="222"/>
        <v/>
      </c>
      <c r="Q1988" s="8"/>
      <c r="R1988" s="3" t="s">
        <v>115</v>
      </c>
    </row>
    <row r="1989" spans="6:18" ht="24" customHeight="1">
      <c r="F1989" s="17">
        <v>1.89</v>
      </c>
      <c r="G1989" s="15" t="s">
        <v>140</v>
      </c>
      <c r="H1989" s="3" t="s">
        <v>2053</v>
      </c>
      <c r="I1989" s="17">
        <f>(K1442)</f>
        <v>222.10320000000002</v>
      </c>
      <c r="J1989" s="3" t="s">
        <v>140</v>
      </c>
      <c r="K1989" s="17">
        <f>(F1989*I1989)</f>
        <v>419.77504800000003</v>
      </c>
      <c r="M1989" s="17">
        <v>1.89</v>
      </c>
      <c r="N1989" s="15" t="s">
        <v>140</v>
      </c>
      <c r="O1989" s="3" t="s">
        <v>2053</v>
      </c>
      <c r="P1989" s="17">
        <f t="shared" si="222"/>
        <v>222.10320000000002</v>
      </c>
      <c r="Q1989" s="3" t="s">
        <v>140</v>
      </c>
      <c r="R1989" s="17">
        <f>(M1989*P1989)</f>
        <v>419.77504800000003</v>
      </c>
    </row>
    <row r="1990" spans="6:18" ht="24" customHeight="1">
      <c r="H1990" s="3" t="s">
        <v>2054</v>
      </c>
      <c r="I1990" s="3" t="s">
        <v>115</v>
      </c>
      <c r="K1990" s="3" t="s">
        <v>115</v>
      </c>
      <c r="N1990" s="6"/>
      <c r="O1990" s="3" t="s">
        <v>2054</v>
      </c>
      <c r="P1990" s="17" t="str">
        <f t="shared" si="222"/>
        <v/>
      </c>
      <c r="Q1990" s="8"/>
      <c r="R1990" s="3" t="s">
        <v>115</v>
      </c>
    </row>
    <row r="1991" spans="6:18" ht="24" customHeight="1">
      <c r="F1991" s="49">
        <v>8.1000000000000003E-2</v>
      </c>
      <c r="G1991" s="15" t="s">
        <v>126</v>
      </c>
      <c r="H1991" s="3" t="s">
        <v>2055</v>
      </c>
      <c r="I1991" s="17">
        <f>(R60)</f>
        <v>3498.1949999999997</v>
      </c>
      <c r="J1991" s="3" t="s">
        <v>126</v>
      </c>
      <c r="K1991" s="17">
        <f>(F1991*I1991)</f>
        <v>283.35379499999999</v>
      </c>
      <c r="M1991" s="49">
        <v>8.1000000000000003E-2</v>
      </c>
      <c r="N1991" s="15" t="s">
        <v>126</v>
      </c>
      <c r="O1991" s="3" t="s">
        <v>2055</v>
      </c>
      <c r="P1991" s="17">
        <f t="shared" si="222"/>
        <v>3498.1949999999997</v>
      </c>
      <c r="Q1991" s="3" t="s">
        <v>126</v>
      </c>
      <c r="R1991" s="17">
        <f>(M1991*P1991)</f>
        <v>283.35379499999999</v>
      </c>
    </row>
    <row r="1992" spans="6:18" ht="24" customHeight="1">
      <c r="H1992" s="3" t="s">
        <v>2056</v>
      </c>
      <c r="N1992" s="6"/>
      <c r="O1992" s="3" t="s">
        <v>2056</v>
      </c>
      <c r="P1992" s="17"/>
      <c r="Q1992" s="8"/>
    </row>
    <row r="1993" spans="6:18" ht="24" customHeight="1">
      <c r="F1993" s="17">
        <v>1</v>
      </c>
      <c r="G1993" s="15" t="s">
        <v>1</v>
      </c>
      <c r="H1993" s="3" t="s">
        <v>210</v>
      </c>
      <c r="I1993" s="17">
        <f>(C15)</f>
        <v>667</v>
      </c>
      <c r="J1993" s="3" t="s">
        <v>1</v>
      </c>
      <c r="K1993" s="17">
        <f>(F1993*I1993)</f>
        <v>667</v>
      </c>
      <c r="M1993" s="17">
        <v>1</v>
      </c>
      <c r="N1993" s="15" t="s">
        <v>1</v>
      </c>
      <c r="O1993" s="3" t="s">
        <v>210</v>
      </c>
      <c r="P1993" s="17">
        <f t="shared" si="222"/>
        <v>667</v>
      </c>
      <c r="Q1993" s="3" t="s">
        <v>1</v>
      </c>
      <c r="R1993" s="17">
        <f>(M1993*P1993)</f>
        <v>667</v>
      </c>
    </row>
    <row r="1994" spans="6:18" ht="24" customHeight="1">
      <c r="F1994" s="17">
        <v>0.5</v>
      </c>
      <c r="G1994" s="15" t="s">
        <v>209</v>
      </c>
      <c r="H1994" s="3" t="s">
        <v>145</v>
      </c>
      <c r="I1994" s="17">
        <f>(C11)</f>
        <v>718</v>
      </c>
      <c r="J1994" s="3" t="s">
        <v>209</v>
      </c>
      <c r="K1994" s="17">
        <f>(F1994*I1994)</f>
        <v>359</v>
      </c>
      <c r="M1994" s="17">
        <v>0.5</v>
      </c>
      <c r="N1994" s="15" t="s">
        <v>209</v>
      </c>
      <c r="O1994" s="3" t="s">
        <v>145</v>
      </c>
      <c r="P1994" s="17">
        <f t="shared" si="222"/>
        <v>718</v>
      </c>
      <c r="Q1994" s="3" t="s">
        <v>209</v>
      </c>
      <c r="R1994" s="17">
        <f>(M1994*P1994)</f>
        <v>359</v>
      </c>
    </row>
    <row r="1995" spans="6:18" ht="24" customHeight="1">
      <c r="F1995" s="17">
        <v>0.5</v>
      </c>
      <c r="G1995" s="15" t="s">
        <v>209</v>
      </c>
      <c r="H1995" s="3" t="s">
        <v>146</v>
      </c>
      <c r="I1995" s="17">
        <f>(C12)</f>
        <v>502</v>
      </c>
      <c r="J1995" s="3" t="s">
        <v>209</v>
      </c>
      <c r="K1995" s="17">
        <f>(F1995*I1995)</f>
        <v>251</v>
      </c>
      <c r="M1995" s="17">
        <v>0.5</v>
      </c>
      <c r="N1995" s="15" t="s">
        <v>209</v>
      </c>
      <c r="O1995" s="3" t="s">
        <v>146</v>
      </c>
      <c r="P1995" s="17">
        <f t="shared" si="222"/>
        <v>502</v>
      </c>
      <c r="Q1995" s="3" t="s">
        <v>209</v>
      </c>
      <c r="R1995" s="17">
        <f>(M1995*P1995)</f>
        <v>251</v>
      </c>
    </row>
    <row r="1996" spans="6:18" ht="24" customHeight="1">
      <c r="G1996" s="15" t="s">
        <v>129</v>
      </c>
      <c r="H1996" s="3" t="s">
        <v>130</v>
      </c>
      <c r="I1996" s="3" t="s">
        <v>115</v>
      </c>
      <c r="J1996" s="3" t="s">
        <v>129</v>
      </c>
      <c r="K1996" s="17">
        <v>1.03</v>
      </c>
      <c r="N1996" s="15"/>
      <c r="O1996" s="7" t="s">
        <v>2047</v>
      </c>
      <c r="P1996" s="17" t="str">
        <f t="shared" si="222"/>
        <v/>
      </c>
      <c r="Q1996" s="3"/>
      <c r="R1996" s="45">
        <v>-164</v>
      </c>
    </row>
    <row r="1997" spans="6:18" ht="24" customHeight="1">
      <c r="H1997" s="3" t="s">
        <v>115</v>
      </c>
      <c r="K1997" s="12" t="s">
        <v>117</v>
      </c>
      <c r="O1997" s="7" t="s">
        <v>2048</v>
      </c>
      <c r="P1997" s="17"/>
      <c r="Q1997" s="3"/>
      <c r="R1997" s="45">
        <v>134.1</v>
      </c>
    </row>
    <row r="1998" spans="6:18" ht="24" customHeight="1" thickBot="1">
      <c r="H1998" s="3" t="s">
        <v>991</v>
      </c>
      <c r="K1998" s="17">
        <f>SUM(K1986:K1996)</f>
        <v>4503.738703</v>
      </c>
      <c r="N1998" s="6" t="s">
        <v>166</v>
      </c>
      <c r="O1998" s="7" t="s">
        <v>236</v>
      </c>
      <c r="Q1998" s="8"/>
      <c r="R1998" s="17">
        <v>0.47</v>
      </c>
    </row>
    <row r="1999" spans="6:18" ht="24" customHeight="1" thickTop="1">
      <c r="K1999" s="12" t="s">
        <v>155</v>
      </c>
      <c r="N1999" s="6"/>
      <c r="O1999" s="37" t="s">
        <v>991</v>
      </c>
      <c r="Q1999" s="8"/>
      <c r="R1999" s="260">
        <f>SUM(R1986:R1998)</f>
        <v>4473.2787030000009</v>
      </c>
    </row>
    <row r="2000" spans="6:18" ht="24" customHeight="1" thickBot="1">
      <c r="G2000" s="15" t="s">
        <v>115</v>
      </c>
      <c r="H2000" s="3" t="s">
        <v>115</v>
      </c>
      <c r="K2000" s="3" t="s">
        <v>115</v>
      </c>
      <c r="N2000" s="6"/>
      <c r="Q2000" s="8"/>
      <c r="R2000" s="261"/>
    </row>
    <row r="2001" spans="6:19" ht="24" customHeight="1" thickTop="1">
      <c r="F2001" s="38">
        <v>57</v>
      </c>
      <c r="G2001" s="15" t="s">
        <v>122</v>
      </c>
      <c r="H2001" s="3" t="s">
        <v>2057</v>
      </c>
    </row>
    <row r="2002" spans="6:19" ht="24" customHeight="1">
      <c r="H2002" s="3" t="s">
        <v>2058</v>
      </c>
      <c r="M2002" s="38">
        <v>57</v>
      </c>
      <c r="N2002" s="15" t="s">
        <v>122</v>
      </c>
      <c r="O2002" s="3" t="s">
        <v>2057</v>
      </c>
      <c r="Q2002" s="8"/>
      <c r="S2002" s="5"/>
    </row>
    <row r="2003" spans="6:19" ht="24" customHeight="1">
      <c r="H2003" s="3" t="s">
        <v>2059</v>
      </c>
      <c r="N2003" s="6"/>
      <c r="O2003" s="3" t="s">
        <v>2058</v>
      </c>
      <c r="Q2003" s="8"/>
      <c r="S2003" s="5"/>
    </row>
    <row r="2004" spans="6:19" ht="24" customHeight="1">
      <c r="H2004" s="12" t="s">
        <v>117</v>
      </c>
      <c r="N2004" s="6"/>
      <c r="O2004" s="3" t="s">
        <v>2059</v>
      </c>
      <c r="Q2004" s="8"/>
      <c r="S2004" s="5"/>
    </row>
    <row r="2005" spans="6:19" ht="60.75" customHeight="1">
      <c r="F2005" s="250">
        <v>1</v>
      </c>
      <c r="G2005" s="250" t="s">
        <v>1006</v>
      </c>
      <c r="H2005" s="66" t="s">
        <v>2060</v>
      </c>
      <c r="I2005" s="250">
        <f>C613</f>
        <v>3030</v>
      </c>
      <c r="J2005" s="252" t="s">
        <v>1006</v>
      </c>
      <c r="K2005" s="250">
        <f>(F2005*I2005)</f>
        <v>3030</v>
      </c>
      <c r="N2005" s="6"/>
      <c r="O2005" s="12" t="s">
        <v>117</v>
      </c>
      <c r="Q2005" s="8"/>
      <c r="S2005" s="5"/>
    </row>
    <row r="2006" spans="6:19" ht="48.75" customHeight="1">
      <c r="F2006" s="17"/>
      <c r="G2006" s="15"/>
      <c r="H2006" s="262" t="s">
        <v>2061</v>
      </c>
      <c r="I2006" s="17"/>
      <c r="J2006" s="3"/>
      <c r="K2006" s="17"/>
      <c r="M2006" s="250">
        <v>1</v>
      </c>
      <c r="N2006" s="250" t="s">
        <v>1006</v>
      </c>
      <c r="O2006" s="66" t="s">
        <v>2062</v>
      </c>
      <c r="P2006" s="250">
        <f>I2005</f>
        <v>3030</v>
      </c>
      <c r="Q2006" s="252" t="s">
        <v>1006</v>
      </c>
      <c r="R2006" s="250">
        <f>(M2006*P2006)</f>
        <v>3030</v>
      </c>
      <c r="S2006" s="5"/>
    </row>
    <row r="2007" spans="6:19" ht="36" customHeight="1">
      <c r="F2007" s="17">
        <v>1</v>
      </c>
      <c r="G2007" s="15" t="s">
        <v>209</v>
      </c>
      <c r="H2007" s="3" t="s">
        <v>144</v>
      </c>
      <c r="I2007" s="17">
        <f>(C10)</f>
        <v>769</v>
      </c>
      <c r="J2007" s="3" t="s">
        <v>209</v>
      </c>
      <c r="K2007" s="17">
        <f>(F2007*I2007)</f>
        <v>769</v>
      </c>
      <c r="M2007" s="17"/>
      <c r="N2007" s="15"/>
      <c r="O2007" s="262" t="s">
        <v>2061</v>
      </c>
      <c r="P2007" s="17"/>
      <c r="Q2007" s="3"/>
      <c r="R2007" s="17"/>
      <c r="S2007" s="5"/>
    </row>
    <row r="2008" spans="6:19" ht="24" customHeight="1">
      <c r="F2008" s="17">
        <v>2</v>
      </c>
      <c r="G2008" s="15" t="s">
        <v>209</v>
      </c>
      <c r="H2008" s="3" t="s">
        <v>210</v>
      </c>
      <c r="I2008" s="17">
        <f>(C15)</f>
        <v>667</v>
      </c>
      <c r="J2008" s="3" t="s">
        <v>209</v>
      </c>
      <c r="K2008" s="17">
        <f>(F2008*I2008)</f>
        <v>1334</v>
      </c>
      <c r="M2008" s="17">
        <v>1</v>
      </c>
      <c r="N2008" s="15" t="s">
        <v>209</v>
      </c>
      <c r="O2008" s="3" t="s">
        <v>144</v>
      </c>
      <c r="P2008" s="17">
        <f t="shared" ref="P2008:P2013" si="223">I2007</f>
        <v>769</v>
      </c>
      <c r="Q2008" s="3" t="s">
        <v>209</v>
      </c>
      <c r="R2008" s="17">
        <f>(M2008*P2008)</f>
        <v>769</v>
      </c>
      <c r="S2008" s="5"/>
    </row>
    <row r="2009" spans="6:19" ht="24" customHeight="1">
      <c r="F2009" s="17">
        <v>1</v>
      </c>
      <c r="G2009" s="15" t="s">
        <v>209</v>
      </c>
      <c r="H2009" s="3" t="s">
        <v>147</v>
      </c>
      <c r="I2009" s="17">
        <f>(C13)</f>
        <v>412</v>
      </c>
      <c r="J2009" s="3" t="s">
        <v>209</v>
      </c>
      <c r="K2009" s="17">
        <f>(F2009*I2009)</f>
        <v>412</v>
      </c>
      <c r="M2009" s="17">
        <v>2</v>
      </c>
      <c r="N2009" s="15" t="s">
        <v>209</v>
      </c>
      <c r="O2009" s="3" t="s">
        <v>210</v>
      </c>
      <c r="P2009" s="17">
        <f t="shared" si="223"/>
        <v>667</v>
      </c>
      <c r="Q2009" s="3" t="s">
        <v>209</v>
      </c>
      <c r="R2009" s="17">
        <f>(M2009*P2009)</f>
        <v>1334</v>
      </c>
      <c r="S2009" s="5"/>
    </row>
    <row r="2010" spans="6:19" ht="24" customHeight="1">
      <c r="F2010" s="17"/>
      <c r="G2010" s="15"/>
      <c r="H2010" s="262" t="s">
        <v>2063</v>
      </c>
      <c r="I2010" s="17"/>
      <c r="J2010" s="3"/>
      <c r="K2010" s="17"/>
      <c r="M2010" s="17">
        <v>1</v>
      </c>
      <c r="N2010" s="15" t="s">
        <v>209</v>
      </c>
      <c r="O2010" s="3" t="s">
        <v>147</v>
      </c>
      <c r="P2010" s="17">
        <f t="shared" si="223"/>
        <v>412</v>
      </c>
      <c r="Q2010" s="3" t="s">
        <v>209</v>
      </c>
      <c r="R2010" s="17">
        <f>(M2010*P2010)</f>
        <v>412</v>
      </c>
      <c r="S2010" s="5"/>
    </row>
    <row r="2011" spans="6:19" ht="24" customHeight="1">
      <c r="F2011" s="17">
        <v>0.5</v>
      </c>
      <c r="G2011" s="15" t="s">
        <v>209</v>
      </c>
      <c r="H2011" s="3" t="s">
        <v>210</v>
      </c>
      <c r="I2011" s="17">
        <f>(C15)</f>
        <v>667</v>
      </c>
      <c r="J2011" s="3" t="s">
        <v>209</v>
      </c>
      <c r="K2011" s="17">
        <f>(F2011*I2011)</f>
        <v>333.5</v>
      </c>
      <c r="M2011" s="17"/>
      <c r="N2011" s="15"/>
      <c r="O2011" s="262" t="s">
        <v>2063</v>
      </c>
      <c r="P2011" s="17"/>
      <c r="Q2011" s="3"/>
      <c r="R2011" s="17"/>
      <c r="S2011" s="5"/>
    </row>
    <row r="2012" spans="6:19" ht="24" customHeight="1">
      <c r="F2012" s="17">
        <v>0.5</v>
      </c>
      <c r="G2012" s="15" t="s">
        <v>209</v>
      </c>
      <c r="H2012" s="3" t="s">
        <v>146</v>
      </c>
      <c r="I2012" s="17">
        <f>(C12)</f>
        <v>502</v>
      </c>
      <c r="J2012" s="3" t="s">
        <v>209</v>
      </c>
      <c r="K2012" s="17">
        <f>(F2012*I2012)</f>
        <v>251</v>
      </c>
      <c r="M2012" s="17">
        <v>0.5</v>
      </c>
      <c r="N2012" s="15" t="s">
        <v>209</v>
      </c>
      <c r="O2012" s="3" t="s">
        <v>210</v>
      </c>
      <c r="P2012" s="17">
        <f t="shared" si="223"/>
        <v>667</v>
      </c>
      <c r="Q2012" s="3" t="s">
        <v>209</v>
      </c>
      <c r="R2012" s="17">
        <f>(M2012*P2012)</f>
        <v>333.5</v>
      </c>
      <c r="S2012" s="5"/>
    </row>
    <row r="2013" spans="6:19" ht="24" customHeight="1">
      <c r="G2013" s="15" t="s">
        <v>129</v>
      </c>
      <c r="H2013" s="3" t="s">
        <v>130</v>
      </c>
      <c r="J2013" s="3" t="s">
        <v>129</v>
      </c>
      <c r="K2013" s="17">
        <v>0.7</v>
      </c>
      <c r="M2013" s="17">
        <v>0.5</v>
      </c>
      <c r="N2013" s="15" t="s">
        <v>209</v>
      </c>
      <c r="O2013" s="3" t="s">
        <v>146</v>
      </c>
      <c r="P2013" s="17">
        <f t="shared" si="223"/>
        <v>502</v>
      </c>
      <c r="Q2013" s="3" t="s">
        <v>209</v>
      </c>
      <c r="R2013" s="17">
        <f>(M2013*P2013)</f>
        <v>251</v>
      </c>
      <c r="S2013" s="5"/>
    </row>
    <row r="2014" spans="6:19" ht="24" customHeight="1">
      <c r="K2014" s="12" t="s">
        <v>117</v>
      </c>
      <c r="M2014" s="17"/>
      <c r="N2014" s="15"/>
      <c r="O2014" s="7" t="s">
        <v>2047</v>
      </c>
      <c r="P2014" s="17">
        <f>I2014</f>
        <v>0</v>
      </c>
      <c r="Q2014" s="3"/>
      <c r="R2014" s="45">
        <v>-164</v>
      </c>
      <c r="S2014" s="5"/>
    </row>
    <row r="2015" spans="6:19" ht="24" customHeight="1">
      <c r="H2015" s="3" t="s">
        <v>991</v>
      </c>
      <c r="K2015" s="17">
        <f>SUM(K2005:K2013)</f>
        <v>6130.2</v>
      </c>
      <c r="M2015" s="17"/>
      <c r="N2015" s="15"/>
      <c r="O2015" s="7" t="s">
        <v>2048</v>
      </c>
      <c r="P2015" s="17"/>
      <c r="Q2015" s="3"/>
      <c r="R2015" s="45">
        <v>134.1</v>
      </c>
      <c r="S2015" s="5"/>
    </row>
    <row r="2016" spans="6:19" ht="24" customHeight="1">
      <c r="F2016" s="3" t="s">
        <v>115</v>
      </c>
      <c r="N2016" s="15" t="s">
        <v>129</v>
      </c>
      <c r="O2016" s="3" t="s">
        <v>130</v>
      </c>
      <c r="Q2016" s="3" t="s">
        <v>129</v>
      </c>
      <c r="R2016" s="17">
        <v>0.7</v>
      </c>
      <c r="S2016" s="5"/>
    </row>
    <row r="2017" spans="6:19" ht="24" customHeight="1">
      <c r="K2017" s="12" t="s">
        <v>117</v>
      </c>
      <c r="N2017" s="6"/>
      <c r="O2017" s="3" t="s">
        <v>991</v>
      </c>
      <c r="Q2017" s="8"/>
      <c r="R2017" s="17"/>
      <c r="S2017" s="5"/>
    </row>
    <row r="2018" spans="6:19" ht="24" customHeight="1">
      <c r="G2018" s="15" t="s">
        <v>115</v>
      </c>
      <c r="H2018" s="3" t="s">
        <v>115</v>
      </c>
      <c r="K2018" s="3" t="s">
        <v>115</v>
      </c>
      <c r="N2018" s="6"/>
      <c r="Q2018" s="8"/>
      <c r="R2018" s="50">
        <f>SUM(R2006:R2017)</f>
        <v>6100.3</v>
      </c>
      <c r="S2018" s="5"/>
    </row>
    <row r="2019" spans="6:19" ht="24" customHeight="1">
      <c r="H2019" s="3" t="s">
        <v>115</v>
      </c>
      <c r="M2019" s="3" t="s">
        <v>115</v>
      </c>
      <c r="N2019" s="6"/>
      <c r="S2019" s="5"/>
    </row>
    <row r="2020" spans="6:19" ht="24" customHeight="1">
      <c r="F2020" s="51">
        <v>57.1</v>
      </c>
      <c r="G2020" s="15" t="s">
        <v>122</v>
      </c>
      <c r="H2020" s="3" t="s">
        <v>2064</v>
      </c>
      <c r="M2020" s="38">
        <v>57</v>
      </c>
      <c r="N2020" s="15" t="s">
        <v>122</v>
      </c>
      <c r="O2020" s="3" t="s">
        <v>2064</v>
      </c>
      <c r="Q2020" s="8"/>
      <c r="S2020" s="5"/>
    </row>
    <row r="2021" spans="6:19" ht="24" customHeight="1">
      <c r="H2021" s="3" t="s">
        <v>2058</v>
      </c>
      <c r="N2021" s="6"/>
      <c r="O2021" s="3" t="s">
        <v>2058</v>
      </c>
      <c r="Q2021" s="8"/>
    </row>
    <row r="2022" spans="6:19" ht="24" customHeight="1">
      <c r="H2022" s="3" t="s">
        <v>2059</v>
      </c>
      <c r="N2022" s="6"/>
      <c r="O2022" s="3" t="s">
        <v>2059</v>
      </c>
      <c r="Q2022" s="8"/>
    </row>
    <row r="2023" spans="6:19" ht="24" customHeight="1">
      <c r="H2023" s="12" t="s">
        <v>117</v>
      </c>
      <c r="N2023" s="6"/>
      <c r="O2023" s="12" t="s">
        <v>117</v>
      </c>
      <c r="Q2023" s="8"/>
    </row>
    <row r="2024" spans="6:19" ht="62.25" customHeight="1">
      <c r="F2024" s="250">
        <v>1</v>
      </c>
      <c r="G2024" s="250" t="s">
        <v>1006</v>
      </c>
      <c r="H2024" s="62" t="s">
        <v>2062</v>
      </c>
      <c r="I2024" s="5">
        <f>E613</f>
        <v>3420</v>
      </c>
      <c r="J2024" s="252" t="s">
        <v>1006</v>
      </c>
      <c r="K2024" s="250">
        <f>(F2024*I2024)</f>
        <v>3420</v>
      </c>
      <c r="M2024" s="250">
        <v>1</v>
      </c>
      <c r="N2024" s="250" t="s">
        <v>1006</v>
      </c>
      <c r="O2024" s="66" t="s">
        <v>2062</v>
      </c>
      <c r="P2024" s="250">
        <f>I2024</f>
        <v>3420</v>
      </c>
      <c r="Q2024" s="252" t="s">
        <v>1006</v>
      </c>
      <c r="R2024" s="250">
        <f>(M2024*P2024)</f>
        <v>3420</v>
      </c>
    </row>
    <row r="2025" spans="6:19" ht="54.75" customHeight="1">
      <c r="F2025" s="17"/>
      <c r="G2025" s="15"/>
      <c r="H2025" s="262" t="s">
        <v>2061</v>
      </c>
      <c r="J2025" s="3"/>
      <c r="K2025" s="17"/>
      <c r="M2025" s="17"/>
      <c r="N2025" s="15"/>
      <c r="O2025" s="262" t="s">
        <v>2061</v>
      </c>
      <c r="P2025" s="17"/>
      <c r="Q2025" s="3"/>
      <c r="R2025" s="250"/>
    </row>
    <row r="2026" spans="6:19" ht="24" customHeight="1">
      <c r="F2026" s="17">
        <v>1</v>
      </c>
      <c r="G2026" s="15" t="s">
        <v>209</v>
      </c>
      <c r="H2026" s="3" t="s">
        <v>144</v>
      </c>
      <c r="I2026" s="5">
        <f>C10</f>
        <v>769</v>
      </c>
      <c r="J2026" s="3" t="s">
        <v>209</v>
      </c>
      <c r="K2026" s="17">
        <f>(F2026*I2026)</f>
        <v>769</v>
      </c>
      <c r="M2026" s="17">
        <v>1</v>
      </c>
      <c r="N2026" s="15" t="s">
        <v>209</v>
      </c>
      <c r="O2026" s="3" t="s">
        <v>144</v>
      </c>
      <c r="P2026" s="17">
        <f>I2026</f>
        <v>769</v>
      </c>
      <c r="Q2026" s="3" t="s">
        <v>209</v>
      </c>
      <c r="R2026" s="250">
        <f>(M2026*P2026)</f>
        <v>769</v>
      </c>
    </row>
    <row r="2027" spans="6:19" ht="24" customHeight="1">
      <c r="F2027" s="17">
        <v>2</v>
      </c>
      <c r="G2027" s="15" t="s">
        <v>209</v>
      </c>
      <c r="H2027" s="3" t="s">
        <v>210</v>
      </c>
      <c r="I2027" s="5">
        <f>C15</f>
        <v>667</v>
      </c>
      <c r="J2027" s="3" t="s">
        <v>209</v>
      </c>
      <c r="K2027" s="17">
        <f>(F2027*I2027)</f>
        <v>1334</v>
      </c>
      <c r="M2027" s="17">
        <v>2</v>
      </c>
      <c r="N2027" s="15" t="s">
        <v>209</v>
      </c>
      <c r="O2027" s="3" t="s">
        <v>210</v>
      </c>
      <c r="P2027" s="17">
        <f>I2027</f>
        <v>667</v>
      </c>
      <c r="Q2027" s="3" t="s">
        <v>209</v>
      </c>
      <c r="R2027" s="250">
        <f>(M2027*P2027)</f>
        <v>1334</v>
      </c>
    </row>
    <row r="2028" spans="6:19" ht="24" customHeight="1">
      <c r="F2028" s="17">
        <v>1</v>
      </c>
      <c r="G2028" s="15" t="s">
        <v>209</v>
      </c>
      <c r="H2028" s="3" t="s">
        <v>147</v>
      </c>
      <c r="I2028" s="5">
        <f>C13</f>
        <v>412</v>
      </c>
      <c r="J2028" s="3" t="s">
        <v>209</v>
      </c>
      <c r="K2028" s="17">
        <f>(F2028*I2028)</f>
        <v>412</v>
      </c>
      <c r="M2028" s="17">
        <v>1</v>
      </c>
      <c r="N2028" s="15" t="s">
        <v>209</v>
      </c>
      <c r="O2028" s="3" t="s">
        <v>147</v>
      </c>
      <c r="P2028" s="17">
        <f>I2028</f>
        <v>412</v>
      </c>
      <c r="Q2028" s="3" t="s">
        <v>209</v>
      </c>
      <c r="R2028" s="250">
        <f>(M2028*P2028)</f>
        <v>412</v>
      </c>
    </row>
    <row r="2029" spans="6:19" ht="24" customHeight="1">
      <c r="F2029" s="17"/>
      <c r="G2029" s="15"/>
      <c r="H2029" s="262" t="s">
        <v>2063</v>
      </c>
      <c r="J2029" s="3"/>
      <c r="K2029" s="17"/>
      <c r="M2029" s="17"/>
      <c r="N2029" s="15"/>
      <c r="O2029" s="262" t="s">
        <v>2063</v>
      </c>
      <c r="Q2029" s="3"/>
      <c r="R2029" s="17"/>
    </row>
    <row r="2030" spans="6:19" ht="24" customHeight="1">
      <c r="F2030" s="17">
        <v>0.5</v>
      </c>
      <c r="G2030" s="15" t="s">
        <v>209</v>
      </c>
      <c r="H2030" s="3" t="s">
        <v>210</v>
      </c>
      <c r="I2030" s="5">
        <f>C15</f>
        <v>667</v>
      </c>
      <c r="J2030" s="3" t="s">
        <v>209</v>
      </c>
      <c r="K2030" s="17">
        <f>(F2030*I2030)</f>
        <v>333.5</v>
      </c>
      <c r="M2030" s="17">
        <v>0.5</v>
      </c>
      <c r="N2030" s="15" t="s">
        <v>209</v>
      </c>
      <c r="O2030" s="3" t="s">
        <v>210</v>
      </c>
      <c r="P2030" s="17">
        <f>I2030</f>
        <v>667</v>
      </c>
      <c r="Q2030" s="3" t="s">
        <v>209</v>
      </c>
      <c r="R2030" s="17">
        <f>(M2030*P2030)</f>
        <v>333.5</v>
      </c>
    </row>
    <row r="2031" spans="6:19" ht="24" customHeight="1">
      <c r="F2031" s="17">
        <v>0.5</v>
      </c>
      <c r="G2031" s="15" t="s">
        <v>209</v>
      </c>
      <c r="H2031" s="3" t="s">
        <v>146</v>
      </c>
      <c r="I2031" s="5">
        <f>C12</f>
        <v>502</v>
      </c>
      <c r="J2031" s="3" t="s">
        <v>209</v>
      </c>
      <c r="K2031" s="17">
        <f>(F2031*I2031)</f>
        <v>251</v>
      </c>
      <c r="M2031" s="17">
        <v>0.5</v>
      </c>
      <c r="N2031" s="15" t="s">
        <v>209</v>
      </c>
      <c r="O2031" s="3" t="s">
        <v>146</v>
      </c>
      <c r="P2031" s="17">
        <f>I2031</f>
        <v>502</v>
      </c>
      <c r="Q2031" s="3" t="s">
        <v>209</v>
      </c>
      <c r="R2031" s="17">
        <f>(M2031*P2031)</f>
        <v>251</v>
      </c>
    </row>
    <row r="2032" spans="6:19" ht="24" customHeight="1">
      <c r="G2032" s="15" t="s">
        <v>129</v>
      </c>
      <c r="H2032" s="3" t="s">
        <v>130</v>
      </c>
      <c r="J2032" s="3" t="s">
        <v>129</v>
      </c>
      <c r="K2032" s="17">
        <v>0.7</v>
      </c>
      <c r="M2032" s="17"/>
      <c r="N2032" s="15"/>
      <c r="O2032" s="7" t="s">
        <v>2047</v>
      </c>
      <c r="P2032" s="17">
        <f>I2032</f>
        <v>0</v>
      </c>
      <c r="Q2032" s="3"/>
      <c r="R2032" s="45">
        <v>-164</v>
      </c>
    </row>
    <row r="2033" spans="6:18" ht="24" customHeight="1">
      <c r="K2033" s="12" t="s">
        <v>117</v>
      </c>
      <c r="M2033" s="17"/>
      <c r="N2033" s="15"/>
      <c r="O2033" s="7" t="s">
        <v>2048</v>
      </c>
      <c r="P2033" s="17"/>
      <c r="Q2033" s="3"/>
      <c r="R2033" s="45">
        <v>134.1</v>
      </c>
    </row>
    <row r="2034" spans="6:18" ht="24" customHeight="1">
      <c r="H2034" s="3" t="s">
        <v>991</v>
      </c>
      <c r="K2034" s="17">
        <f>SUM(K2024:K2032)</f>
        <v>6520.2</v>
      </c>
      <c r="N2034" s="15" t="s">
        <v>129</v>
      </c>
      <c r="O2034" s="3" t="s">
        <v>130</v>
      </c>
      <c r="Q2034" s="3" t="s">
        <v>129</v>
      </c>
      <c r="R2034" s="17">
        <v>0.7</v>
      </c>
    </row>
    <row r="2035" spans="6:18" ht="24" customHeight="1">
      <c r="H2035" s="3"/>
      <c r="N2035" s="6"/>
      <c r="Q2035" s="8"/>
      <c r="R2035" s="12" t="s">
        <v>117</v>
      </c>
    </row>
    <row r="2036" spans="6:18" ht="24" customHeight="1">
      <c r="H2036" s="3"/>
      <c r="K2036" s="12" t="s">
        <v>117</v>
      </c>
      <c r="N2036" s="6"/>
      <c r="O2036" s="3" t="s">
        <v>991</v>
      </c>
      <c r="Q2036" s="8"/>
      <c r="R2036" s="17"/>
    </row>
    <row r="2037" spans="6:18" ht="24" customHeight="1">
      <c r="H2037" s="3"/>
      <c r="M2037" s="3" t="s">
        <v>115</v>
      </c>
      <c r="N2037" s="6"/>
      <c r="Q2037" s="8"/>
      <c r="R2037" s="50">
        <f>SUM(R2024:R2036)</f>
        <v>6490.3</v>
      </c>
    </row>
    <row r="2038" spans="6:18" ht="24" customHeight="1">
      <c r="F2038" s="4" t="s">
        <v>193</v>
      </c>
      <c r="G2038" s="15" t="s">
        <v>122</v>
      </c>
      <c r="H2038" s="3" t="s">
        <v>194</v>
      </c>
      <c r="N2038" s="6"/>
      <c r="Q2038" s="8"/>
      <c r="R2038" s="12" t="s">
        <v>117</v>
      </c>
    </row>
    <row r="2039" spans="6:18" ht="24" customHeight="1">
      <c r="H2039" s="3" t="s">
        <v>195</v>
      </c>
    </row>
    <row r="2040" spans="6:18" ht="24" customHeight="1">
      <c r="H2040" s="12" t="s">
        <v>117</v>
      </c>
    </row>
    <row r="2041" spans="6:18" ht="24" customHeight="1">
      <c r="G2041" s="15" t="s">
        <v>196</v>
      </c>
      <c r="H2041" s="3" t="s">
        <v>197</v>
      </c>
    </row>
    <row r="2042" spans="6:18" ht="24" customHeight="1">
      <c r="H2042" s="3" t="s">
        <v>2065</v>
      </c>
    </row>
    <row r="2043" spans="6:18" ht="24" customHeight="1">
      <c r="H2043" s="3" t="s">
        <v>198</v>
      </c>
    </row>
    <row r="2044" spans="6:18" ht="24" customHeight="1">
      <c r="H2044" s="3" t="s">
        <v>199</v>
      </c>
    </row>
    <row r="2045" spans="6:18" ht="24" customHeight="1">
      <c r="H2045" s="3" t="s">
        <v>200</v>
      </c>
    </row>
    <row r="2046" spans="6:18" ht="24" customHeight="1">
      <c r="H2046" s="3" t="s">
        <v>201</v>
      </c>
    </row>
    <row r="2047" spans="6:18" ht="24" customHeight="1">
      <c r="H2047" s="3" t="s">
        <v>202</v>
      </c>
    </row>
    <row r="2048" spans="6:18" ht="24" customHeight="1">
      <c r="H2048" s="12" t="s">
        <v>117</v>
      </c>
    </row>
    <row r="2049" spans="6:11" ht="24" customHeight="1">
      <c r="F2049" s="17">
        <v>3</v>
      </c>
      <c r="G2049" s="15" t="s">
        <v>203</v>
      </c>
      <c r="H2049" s="3" t="s">
        <v>204</v>
      </c>
      <c r="I2049" s="107">
        <f>(C620)</f>
        <v>193.05</v>
      </c>
      <c r="J2049" s="3" t="s">
        <v>203</v>
      </c>
      <c r="K2049" s="17">
        <f t="shared" ref="K2049:K2055" si="224">(F2049*I2049)</f>
        <v>579.15000000000009</v>
      </c>
    </row>
    <row r="2050" spans="6:11" ht="24" customHeight="1">
      <c r="F2050" s="17">
        <v>1</v>
      </c>
      <c r="G2050" s="15" t="s">
        <v>1</v>
      </c>
      <c r="H2050" s="3" t="s">
        <v>205</v>
      </c>
      <c r="I2050" s="45">
        <v>76</v>
      </c>
      <c r="J2050" s="3" t="s">
        <v>206</v>
      </c>
      <c r="K2050" s="17">
        <f t="shared" si="224"/>
        <v>76</v>
      </c>
    </row>
    <row r="2051" spans="6:11" ht="24" customHeight="1">
      <c r="F2051" s="17">
        <v>1</v>
      </c>
      <c r="G2051" s="15" t="s">
        <v>1</v>
      </c>
      <c r="H2051" s="3" t="s">
        <v>207</v>
      </c>
      <c r="I2051" s="17">
        <f>C648</f>
        <v>70</v>
      </c>
      <c r="J2051" s="3" t="s">
        <v>206</v>
      </c>
      <c r="K2051" s="17">
        <f t="shared" si="224"/>
        <v>70</v>
      </c>
    </row>
    <row r="2052" spans="6:11" ht="24" customHeight="1">
      <c r="F2052" s="17">
        <v>1</v>
      </c>
      <c r="G2052" s="15" t="s">
        <v>1</v>
      </c>
      <c r="H2052" s="3" t="s">
        <v>208</v>
      </c>
      <c r="I2052" s="17">
        <f>C645</f>
        <v>159.80000000000001</v>
      </c>
      <c r="J2052" s="3" t="s">
        <v>206</v>
      </c>
      <c r="K2052" s="17">
        <f t="shared" si="224"/>
        <v>159.80000000000001</v>
      </c>
    </row>
    <row r="2053" spans="6:11" ht="24" customHeight="1">
      <c r="F2053" s="17">
        <v>0.5</v>
      </c>
      <c r="G2053" s="15" t="s">
        <v>209</v>
      </c>
      <c r="H2053" s="3" t="s">
        <v>210</v>
      </c>
      <c r="I2053" s="17">
        <f>(C15)</f>
        <v>667</v>
      </c>
      <c r="J2053" s="3" t="s">
        <v>206</v>
      </c>
      <c r="K2053" s="17">
        <f t="shared" si="224"/>
        <v>333.5</v>
      </c>
    </row>
    <row r="2054" spans="6:11" ht="24" customHeight="1">
      <c r="F2054" s="17">
        <v>0.5</v>
      </c>
      <c r="G2054" s="15" t="s">
        <v>209</v>
      </c>
      <c r="H2054" s="3" t="s">
        <v>145</v>
      </c>
      <c r="I2054" s="17">
        <f>(C11)</f>
        <v>718</v>
      </c>
      <c r="J2054" s="3" t="s">
        <v>206</v>
      </c>
      <c r="K2054" s="17">
        <f t="shared" si="224"/>
        <v>359</v>
      </c>
    </row>
    <row r="2055" spans="6:11" ht="24" customHeight="1">
      <c r="F2055" s="17">
        <v>0.5</v>
      </c>
      <c r="G2055" s="15" t="s">
        <v>209</v>
      </c>
      <c r="H2055" s="3" t="s">
        <v>146</v>
      </c>
      <c r="I2055" s="17">
        <f>(C12)</f>
        <v>502</v>
      </c>
      <c r="J2055" s="3" t="s">
        <v>206</v>
      </c>
      <c r="K2055" s="17">
        <f t="shared" si="224"/>
        <v>251</v>
      </c>
    </row>
    <row r="2056" spans="6:11" ht="24" customHeight="1">
      <c r="G2056" s="15" t="s">
        <v>129</v>
      </c>
      <c r="H2056" s="3" t="s">
        <v>211</v>
      </c>
      <c r="I2056" s="107">
        <v>2.79</v>
      </c>
      <c r="J2056" s="3" t="s">
        <v>129</v>
      </c>
      <c r="K2056" s="17">
        <v>2.79</v>
      </c>
    </row>
    <row r="2057" spans="6:11" ht="24" customHeight="1">
      <c r="H2057" s="3" t="s">
        <v>212</v>
      </c>
    </row>
    <row r="2058" spans="6:11" ht="24" customHeight="1">
      <c r="H2058" s="3" t="s">
        <v>213</v>
      </c>
    </row>
    <row r="2059" spans="6:11" ht="24" customHeight="1">
      <c r="H2059" s="3" t="s">
        <v>214</v>
      </c>
      <c r="J2059" s="3" t="s">
        <v>129</v>
      </c>
      <c r="K2059" s="17">
        <v>0.12</v>
      </c>
    </row>
    <row r="2060" spans="6:11" ht="24" customHeight="1">
      <c r="K2060" s="12" t="s">
        <v>117</v>
      </c>
    </row>
    <row r="2061" spans="6:11" ht="24" customHeight="1">
      <c r="H2061" s="3" t="s">
        <v>215</v>
      </c>
      <c r="K2061" s="17">
        <f>SUM(K2049:K2059)</f>
        <v>1831.36</v>
      </c>
    </row>
    <row r="2062" spans="6:11" ht="24" customHeight="1">
      <c r="K2062" s="12" t="s">
        <v>117</v>
      </c>
    </row>
    <row r="2063" spans="6:11" ht="24" customHeight="1">
      <c r="H2063" s="3" t="s">
        <v>216</v>
      </c>
      <c r="K2063" s="17">
        <f>(K2061/3)</f>
        <v>610.45333333333326</v>
      </c>
    </row>
    <row r="2064" spans="6:11" ht="24" customHeight="1">
      <c r="K2064" s="12" t="s">
        <v>117</v>
      </c>
    </row>
    <row r="2065" spans="6:11" ht="24" customHeight="1">
      <c r="F2065" s="4" t="s">
        <v>217</v>
      </c>
      <c r="G2065" s="15" t="s">
        <v>218</v>
      </c>
      <c r="H2065" s="3" t="s">
        <v>219</v>
      </c>
    </row>
    <row r="2066" spans="6:11" ht="24" customHeight="1">
      <c r="H2066" s="3" t="s">
        <v>2066</v>
      </c>
    </row>
    <row r="2067" spans="6:11" ht="24" customHeight="1">
      <c r="H2067" s="3" t="s">
        <v>198</v>
      </c>
    </row>
    <row r="2068" spans="6:11" ht="24" customHeight="1">
      <c r="H2068" s="3" t="s">
        <v>220</v>
      </c>
    </row>
    <row r="2069" spans="6:11" ht="24" customHeight="1">
      <c r="H2069" s="3" t="s">
        <v>221</v>
      </c>
    </row>
    <row r="2070" spans="6:11" ht="24" customHeight="1">
      <c r="H2070" s="3" t="s">
        <v>201</v>
      </c>
    </row>
    <row r="2071" spans="6:11" ht="24" customHeight="1">
      <c r="H2071" s="3" t="s">
        <v>202</v>
      </c>
    </row>
    <row r="2072" spans="6:11" ht="24" customHeight="1">
      <c r="H2072" s="12" t="s">
        <v>117</v>
      </c>
    </row>
    <row r="2073" spans="6:11" ht="24" customHeight="1">
      <c r="F2073" s="17">
        <v>3</v>
      </c>
      <c r="G2073" s="15" t="s">
        <v>203</v>
      </c>
      <c r="H2073" s="3" t="s">
        <v>222</v>
      </c>
      <c r="I2073" s="45">
        <f>C621</f>
        <v>115.85</v>
      </c>
      <c r="J2073" s="3" t="s">
        <v>203</v>
      </c>
      <c r="K2073" s="17">
        <f t="shared" ref="K2073:K2079" si="225">(F2073*I2073)</f>
        <v>347.54999999999995</v>
      </c>
    </row>
    <row r="2074" spans="6:11" ht="24" customHeight="1">
      <c r="F2074" s="17">
        <v>1</v>
      </c>
      <c r="G2074" s="15" t="s">
        <v>1</v>
      </c>
      <c r="H2074" s="3" t="s">
        <v>223</v>
      </c>
      <c r="I2074" s="45">
        <f>C624</f>
        <v>45</v>
      </c>
      <c r="J2074" s="3" t="s">
        <v>206</v>
      </c>
      <c r="K2074" s="17">
        <f t="shared" si="225"/>
        <v>45</v>
      </c>
    </row>
    <row r="2075" spans="6:11" ht="24" customHeight="1">
      <c r="F2075" s="17">
        <v>1</v>
      </c>
      <c r="G2075" s="15" t="s">
        <v>1</v>
      </c>
      <c r="H2075" s="3" t="s">
        <v>224</v>
      </c>
      <c r="I2075" s="17">
        <f>C649</f>
        <v>47.3</v>
      </c>
      <c r="J2075" s="3" t="s">
        <v>206</v>
      </c>
      <c r="K2075" s="17">
        <f t="shared" si="225"/>
        <v>47.3</v>
      </c>
    </row>
    <row r="2076" spans="6:11" ht="24" customHeight="1">
      <c r="F2076" s="17">
        <v>1</v>
      </c>
      <c r="G2076" s="15" t="s">
        <v>1</v>
      </c>
      <c r="H2076" s="3" t="s">
        <v>225</v>
      </c>
      <c r="I2076" s="17">
        <f>C646</f>
        <v>106.6</v>
      </c>
      <c r="J2076" s="3" t="s">
        <v>206</v>
      </c>
      <c r="K2076" s="17">
        <f t="shared" si="225"/>
        <v>106.6</v>
      </c>
    </row>
    <row r="2077" spans="6:11" ht="24" customHeight="1">
      <c r="F2077" s="17">
        <v>0.5</v>
      </c>
      <c r="G2077" s="15" t="s">
        <v>209</v>
      </c>
      <c r="H2077" s="3" t="s">
        <v>210</v>
      </c>
      <c r="I2077" s="17">
        <f>(C15)</f>
        <v>667</v>
      </c>
      <c r="J2077" s="3" t="s">
        <v>206</v>
      </c>
      <c r="K2077" s="17">
        <f t="shared" si="225"/>
        <v>333.5</v>
      </c>
    </row>
    <row r="2078" spans="6:11" ht="24" customHeight="1">
      <c r="F2078" s="17">
        <v>0.5</v>
      </c>
      <c r="G2078" s="15" t="s">
        <v>209</v>
      </c>
      <c r="H2078" s="3" t="s">
        <v>145</v>
      </c>
      <c r="I2078" s="17">
        <f>(C11)</f>
        <v>718</v>
      </c>
      <c r="J2078" s="3" t="s">
        <v>206</v>
      </c>
      <c r="K2078" s="17">
        <f t="shared" si="225"/>
        <v>359</v>
      </c>
    </row>
    <row r="2079" spans="6:11" ht="24" customHeight="1">
      <c r="F2079" s="17">
        <v>0.5</v>
      </c>
      <c r="G2079" s="15" t="s">
        <v>209</v>
      </c>
      <c r="H2079" s="3" t="s">
        <v>146</v>
      </c>
      <c r="I2079" s="17">
        <f>(C12)</f>
        <v>502</v>
      </c>
      <c r="J2079" s="3" t="s">
        <v>206</v>
      </c>
      <c r="K2079" s="17">
        <f t="shared" si="225"/>
        <v>251</v>
      </c>
    </row>
    <row r="2080" spans="6:11" ht="24" customHeight="1">
      <c r="G2080" s="15" t="s">
        <v>129</v>
      </c>
      <c r="H2080" s="3" t="s">
        <v>211</v>
      </c>
      <c r="I2080" s="3" t="s">
        <v>115</v>
      </c>
      <c r="J2080" s="3" t="s">
        <v>129</v>
      </c>
      <c r="K2080" s="17">
        <v>2.73</v>
      </c>
    </row>
    <row r="2081" spans="6:11" ht="24" customHeight="1">
      <c r="H2081" s="3" t="s">
        <v>212</v>
      </c>
    </row>
    <row r="2082" spans="6:11" ht="24" customHeight="1">
      <c r="H2082" s="3" t="s">
        <v>213</v>
      </c>
    </row>
    <row r="2083" spans="6:11" ht="24" customHeight="1">
      <c r="H2083" s="3" t="s">
        <v>214</v>
      </c>
      <c r="J2083" s="3" t="s">
        <v>129</v>
      </c>
      <c r="K2083" s="17">
        <v>0.27</v>
      </c>
    </row>
    <row r="2084" spans="6:11" ht="24" customHeight="1">
      <c r="K2084" s="12" t="s">
        <v>117</v>
      </c>
    </row>
    <row r="2085" spans="6:11" ht="24" customHeight="1">
      <c r="H2085" s="3" t="s">
        <v>215</v>
      </c>
      <c r="K2085" s="17">
        <f>SUM(K2073:K2083)</f>
        <v>1492.9499999999998</v>
      </c>
    </row>
    <row r="2086" spans="6:11" ht="24" customHeight="1">
      <c r="K2086" s="12" t="s">
        <v>117</v>
      </c>
    </row>
    <row r="2087" spans="6:11" ht="24" customHeight="1">
      <c r="H2087" s="3" t="s">
        <v>216</v>
      </c>
      <c r="K2087" s="17">
        <f>(K2085/3)</f>
        <v>497.64999999999992</v>
      </c>
    </row>
    <row r="2088" spans="6:11" ht="24" customHeight="1">
      <c r="K2088" s="12" t="s">
        <v>117</v>
      </c>
    </row>
    <row r="2089" spans="6:11" ht="24" customHeight="1">
      <c r="F2089" s="4" t="s">
        <v>2067</v>
      </c>
      <c r="H2089" s="3" t="s">
        <v>2068</v>
      </c>
    </row>
    <row r="2090" spans="6:11" ht="24" customHeight="1">
      <c r="H2090" s="3" t="s">
        <v>2069</v>
      </c>
    </row>
    <row r="2091" spans="6:11" ht="24" customHeight="1">
      <c r="F2091" s="3" t="s">
        <v>115</v>
      </c>
      <c r="H2091" s="3" t="s">
        <v>2070</v>
      </c>
    </row>
    <row r="2092" spans="6:11" ht="24" customHeight="1">
      <c r="H2092" s="12" t="s">
        <v>117</v>
      </c>
    </row>
    <row r="2093" spans="6:11" ht="24" customHeight="1">
      <c r="F2093" s="17">
        <v>3</v>
      </c>
      <c r="G2093" s="15" t="s">
        <v>1944</v>
      </c>
      <c r="H2093" s="3" t="s">
        <v>2071</v>
      </c>
      <c r="I2093" s="45">
        <f>D620</f>
        <v>120.54</v>
      </c>
      <c r="J2093" s="3" t="s">
        <v>1944</v>
      </c>
      <c r="K2093" s="17">
        <f>(F2093*I2093)</f>
        <v>361.62</v>
      </c>
    </row>
    <row r="2094" spans="6:11" ht="24" customHeight="1">
      <c r="F2094" s="17">
        <v>1</v>
      </c>
      <c r="G2094" s="15" t="s">
        <v>1895</v>
      </c>
      <c r="H2094" s="3" t="s">
        <v>2072</v>
      </c>
      <c r="I2094" s="17">
        <f>C648</f>
        <v>70</v>
      </c>
      <c r="J2094" s="3" t="s">
        <v>1895</v>
      </c>
      <c r="K2094" s="17">
        <f>(F2094*I2094)</f>
        <v>70</v>
      </c>
    </row>
    <row r="2095" spans="6:11" ht="24" customHeight="1">
      <c r="F2095" s="17">
        <v>1</v>
      </c>
      <c r="G2095" s="15" t="s">
        <v>1895</v>
      </c>
      <c r="H2095" s="3" t="s">
        <v>2073</v>
      </c>
      <c r="I2095" s="17">
        <v>8</v>
      </c>
      <c r="J2095" s="3" t="s">
        <v>1895</v>
      </c>
      <c r="K2095" s="17">
        <f>(F2095*I2095)</f>
        <v>8</v>
      </c>
    </row>
    <row r="2096" spans="6:11" ht="24" customHeight="1">
      <c r="F2096" s="4" t="s">
        <v>1947</v>
      </c>
      <c r="H2096" s="3" t="s">
        <v>2074</v>
      </c>
      <c r="I2096" s="4" t="s">
        <v>1947</v>
      </c>
      <c r="K2096" s="17">
        <f>1.21+0.47+0.4</f>
        <v>2.08</v>
      </c>
    </row>
    <row r="2097" spans="6:11" ht="24" customHeight="1">
      <c r="K2097" s="12" t="s">
        <v>117</v>
      </c>
    </row>
    <row r="2098" spans="6:11" ht="24" customHeight="1">
      <c r="H2098" s="3" t="s">
        <v>2075</v>
      </c>
      <c r="K2098" s="17">
        <f>SUM(K2093:K2096)</f>
        <v>441.7</v>
      </c>
    </row>
    <row r="2099" spans="6:11" ht="24" customHeight="1">
      <c r="K2099" s="12" t="s">
        <v>117</v>
      </c>
    </row>
    <row r="2101" spans="6:11" ht="24" customHeight="1">
      <c r="F2101" s="4" t="s">
        <v>2076</v>
      </c>
      <c r="G2101" s="15" t="s">
        <v>122</v>
      </c>
      <c r="H2101" s="3" t="s">
        <v>2077</v>
      </c>
    </row>
    <row r="2102" spans="6:11" ht="24" customHeight="1">
      <c r="H2102" s="3" t="s">
        <v>2078</v>
      </c>
    </row>
    <row r="2103" spans="6:11" ht="24" customHeight="1">
      <c r="H2103" s="12" t="s">
        <v>117</v>
      </c>
    </row>
    <row r="2104" spans="6:11" ht="24" customHeight="1">
      <c r="F2104" s="17">
        <v>1</v>
      </c>
      <c r="G2104" s="15" t="s">
        <v>209</v>
      </c>
      <c r="H2104" s="3" t="s">
        <v>2078</v>
      </c>
      <c r="I2104" s="17">
        <f>(C266)</f>
        <v>167.1</v>
      </c>
      <c r="J2104" s="3" t="s">
        <v>209</v>
      </c>
      <c r="K2104" s="17">
        <f>(F2104*I2104)</f>
        <v>167.1</v>
      </c>
    </row>
    <row r="2105" spans="6:11" ht="24" customHeight="1">
      <c r="F2105" s="17">
        <v>0.05</v>
      </c>
      <c r="G2105" s="15" t="s">
        <v>126</v>
      </c>
      <c r="H2105" s="3" t="s">
        <v>2079</v>
      </c>
      <c r="I2105" s="17">
        <f>(R60)</f>
        <v>3498.1949999999997</v>
      </c>
      <c r="J2105" s="3" t="s">
        <v>126</v>
      </c>
      <c r="K2105" s="17">
        <f>(F2105*I2105)</f>
        <v>174.90975</v>
      </c>
    </row>
    <row r="2106" spans="6:11" ht="24" customHeight="1">
      <c r="F2106" s="17">
        <v>0.5</v>
      </c>
      <c r="G2106" s="15" t="s">
        <v>209</v>
      </c>
      <c r="H2106" s="3" t="s">
        <v>210</v>
      </c>
      <c r="I2106" s="17">
        <f>(C15)</f>
        <v>667</v>
      </c>
      <c r="J2106" s="3" t="s">
        <v>209</v>
      </c>
      <c r="K2106" s="17">
        <f>(F2106*I2106)</f>
        <v>333.5</v>
      </c>
    </row>
    <row r="2107" spans="6:11" ht="24" customHeight="1">
      <c r="F2107" s="17">
        <v>1</v>
      </c>
      <c r="G2107" s="15" t="s">
        <v>209</v>
      </c>
      <c r="H2107" s="3" t="s">
        <v>146</v>
      </c>
      <c r="I2107" s="17">
        <f>(C12)</f>
        <v>502</v>
      </c>
      <c r="J2107" s="3" t="s">
        <v>209</v>
      </c>
      <c r="K2107" s="17">
        <f>(F2107*I2107)</f>
        <v>502</v>
      </c>
    </row>
    <row r="2108" spans="6:11" ht="24" customHeight="1">
      <c r="F2108" s="17">
        <v>1</v>
      </c>
      <c r="G2108" s="15" t="s">
        <v>209</v>
      </c>
      <c r="H2108" s="3" t="s">
        <v>147</v>
      </c>
      <c r="I2108" s="17">
        <f>(C13)</f>
        <v>412</v>
      </c>
      <c r="J2108" s="3" t="s">
        <v>209</v>
      </c>
      <c r="K2108" s="17">
        <f>(F2108*I2108)</f>
        <v>412</v>
      </c>
    </row>
    <row r="2109" spans="6:11" ht="24" customHeight="1">
      <c r="G2109" s="15" t="s">
        <v>129</v>
      </c>
      <c r="H2109" s="3" t="s">
        <v>130</v>
      </c>
      <c r="I2109" s="3" t="s">
        <v>115</v>
      </c>
      <c r="J2109" s="3" t="s">
        <v>129</v>
      </c>
      <c r="K2109" s="17">
        <v>0.54</v>
      </c>
    </row>
    <row r="2110" spans="6:11" ht="24" customHeight="1">
      <c r="H2110" s="3" t="s">
        <v>115</v>
      </c>
      <c r="K2110" s="12" t="s">
        <v>117</v>
      </c>
    </row>
    <row r="2111" spans="6:11" ht="24" customHeight="1">
      <c r="H2111" s="3" t="s">
        <v>991</v>
      </c>
      <c r="K2111" s="17">
        <f>SUM(K2104:K2109)</f>
        <v>1590.0497499999999</v>
      </c>
    </row>
    <row r="2112" spans="6:11" ht="24" customHeight="1">
      <c r="K2112" s="12" t="s">
        <v>155</v>
      </c>
    </row>
    <row r="2113" spans="6:11" ht="24" customHeight="1">
      <c r="F2113" s="4" t="s">
        <v>2080</v>
      </c>
      <c r="G2113" s="15" t="s">
        <v>122</v>
      </c>
      <c r="H2113" s="3" t="s">
        <v>2081</v>
      </c>
    </row>
    <row r="2114" spans="6:11" ht="24" customHeight="1">
      <c r="H2114" s="3" t="s">
        <v>2082</v>
      </c>
    </row>
    <row r="2115" spans="6:11" ht="24" customHeight="1">
      <c r="H2115" s="12" t="s">
        <v>117</v>
      </c>
    </row>
    <row r="2116" spans="6:11" ht="24" customHeight="1">
      <c r="F2116" s="17">
        <v>1</v>
      </c>
      <c r="G2116" s="15" t="s">
        <v>209</v>
      </c>
      <c r="H2116" s="3" t="s">
        <v>2083</v>
      </c>
      <c r="I2116" s="17">
        <f>(D267)</f>
        <v>132.69999999999999</v>
      </c>
      <c r="J2116" s="3" t="s">
        <v>209</v>
      </c>
      <c r="K2116" s="17">
        <f>(F2116*I2116)</f>
        <v>132.69999999999999</v>
      </c>
    </row>
    <row r="2117" spans="6:11" ht="24" customHeight="1">
      <c r="G2117" s="15" t="s">
        <v>129</v>
      </c>
      <c r="H2117" s="3" t="s">
        <v>2084</v>
      </c>
      <c r="J2117" s="3" t="s">
        <v>129</v>
      </c>
      <c r="K2117" s="17">
        <v>4</v>
      </c>
    </row>
    <row r="2118" spans="6:11" ht="24" customHeight="1">
      <c r="J2118" s="3" t="s">
        <v>115</v>
      </c>
      <c r="K2118" s="12" t="s">
        <v>117</v>
      </c>
    </row>
    <row r="2119" spans="6:11" ht="24" customHeight="1">
      <c r="H2119" s="3" t="s">
        <v>991</v>
      </c>
      <c r="K2119" s="17">
        <f>SUM(K2116:K2118)</f>
        <v>136.69999999999999</v>
      </c>
    </row>
    <row r="2120" spans="6:11" ht="24" customHeight="1">
      <c r="K2120" s="12" t="s">
        <v>117</v>
      </c>
    </row>
    <row r="2121" spans="6:11" ht="24" customHeight="1">
      <c r="F2121" s="4" t="s">
        <v>2085</v>
      </c>
      <c r="G2121" s="15" t="s">
        <v>122</v>
      </c>
      <c r="H2121" s="3" t="s">
        <v>2086</v>
      </c>
    </row>
    <row r="2122" spans="6:11" ht="24" customHeight="1">
      <c r="H2122" s="3" t="s">
        <v>2087</v>
      </c>
    </row>
    <row r="2123" spans="6:11" ht="24" customHeight="1">
      <c r="H2123" s="12" t="s">
        <v>117</v>
      </c>
    </row>
    <row r="2124" spans="6:11" ht="24" customHeight="1">
      <c r="F2124" s="17">
        <v>50</v>
      </c>
      <c r="G2124" s="15" t="s">
        <v>209</v>
      </c>
      <c r="H2124" s="3" t="s">
        <v>2088</v>
      </c>
      <c r="I2124" s="24">
        <f>C204</f>
        <v>62.2</v>
      </c>
      <c r="J2124" s="3" t="s">
        <v>209</v>
      </c>
      <c r="K2124" s="17">
        <f t="shared" ref="K2124:K2133" si="226">(F2124*I2124)</f>
        <v>3110</v>
      </c>
    </row>
    <row r="2125" spans="6:11" ht="24" customHeight="1">
      <c r="F2125" s="17">
        <v>21.6</v>
      </c>
      <c r="G2125" s="15" t="s">
        <v>126</v>
      </c>
      <c r="H2125" s="3" t="s">
        <v>2089</v>
      </c>
      <c r="I2125" s="17">
        <f>(C61*2)</f>
        <v>168</v>
      </c>
      <c r="J2125" s="3" t="s">
        <v>126</v>
      </c>
      <c r="K2125" s="17">
        <f t="shared" si="226"/>
        <v>3628.8</v>
      </c>
    </row>
    <row r="2126" spans="6:11" ht="24" customHeight="1">
      <c r="F2126" s="17">
        <v>21.6</v>
      </c>
      <c r="G2126" s="15" t="s">
        <v>126</v>
      </c>
      <c r="H2126" s="3" t="s">
        <v>2045</v>
      </c>
      <c r="I2126" s="17">
        <f>(C26)</f>
        <v>29.3</v>
      </c>
      <c r="J2126" s="3" t="s">
        <v>126</v>
      </c>
      <c r="K2126" s="17">
        <f t="shared" si="226"/>
        <v>632.88000000000011</v>
      </c>
    </row>
    <row r="2127" spans="6:11" ht="24" customHeight="1">
      <c r="F2127" s="17">
        <v>45</v>
      </c>
      <c r="G2127" s="15" t="s">
        <v>148</v>
      </c>
      <c r="H2127" s="3" t="s">
        <v>125</v>
      </c>
      <c r="I2127" s="17">
        <f>(C67/1000)</f>
        <v>5.8</v>
      </c>
      <c r="J2127" s="3" t="s">
        <v>148</v>
      </c>
      <c r="K2127" s="17">
        <f t="shared" si="226"/>
        <v>261</v>
      </c>
    </row>
    <row r="2128" spans="6:11" ht="24" customHeight="1">
      <c r="F2128" s="17">
        <v>0.04</v>
      </c>
      <c r="G2128" s="15" t="s">
        <v>126</v>
      </c>
      <c r="H2128" s="3" t="s">
        <v>127</v>
      </c>
      <c r="I2128" s="17">
        <f>(C78)</f>
        <v>1322.8</v>
      </c>
      <c r="J2128" s="3" t="s">
        <v>126</v>
      </c>
      <c r="K2128" s="17">
        <f t="shared" si="226"/>
        <v>52.911999999999999</v>
      </c>
    </row>
    <row r="2129" spans="6:11" ht="24" customHeight="1">
      <c r="F2129" s="17">
        <v>3.63</v>
      </c>
      <c r="G2129" s="15" t="s">
        <v>148</v>
      </c>
      <c r="H2129" s="3" t="s">
        <v>2090</v>
      </c>
      <c r="I2129" s="17">
        <f>(C607)</f>
        <v>11.6</v>
      </c>
      <c r="J2129" s="3" t="s">
        <v>148</v>
      </c>
      <c r="K2129" s="17">
        <f t="shared" si="226"/>
        <v>42.107999999999997</v>
      </c>
    </row>
    <row r="2130" spans="6:11" ht="24" customHeight="1">
      <c r="F2130" s="17">
        <v>2</v>
      </c>
      <c r="G2130" s="15" t="s">
        <v>209</v>
      </c>
      <c r="H2130" s="3" t="s">
        <v>144</v>
      </c>
      <c r="I2130" s="17">
        <f>(C10)</f>
        <v>769</v>
      </c>
      <c r="J2130" s="3" t="s">
        <v>209</v>
      </c>
      <c r="K2130" s="17">
        <f t="shared" si="226"/>
        <v>1538</v>
      </c>
    </row>
    <row r="2131" spans="6:11" ht="24" customHeight="1">
      <c r="F2131" s="17">
        <v>1</v>
      </c>
      <c r="G2131" s="15" t="s">
        <v>209</v>
      </c>
      <c r="H2131" s="3" t="s">
        <v>2091</v>
      </c>
      <c r="I2131" s="17">
        <f>AE37</f>
        <v>647</v>
      </c>
      <c r="J2131" s="3" t="s">
        <v>209</v>
      </c>
      <c r="K2131" s="17">
        <f t="shared" si="226"/>
        <v>647</v>
      </c>
    </row>
    <row r="2132" spans="6:11" ht="24" customHeight="1">
      <c r="F2132" s="17">
        <v>5</v>
      </c>
      <c r="G2132" s="15" t="s">
        <v>209</v>
      </c>
      <c r="H2132" s="3" t="s">
        <v>146</v>
      </c>
      <c r="I2132" s="17">
        <f>(C12)</f>
        <v>502</v>
      </c>
      <c r="J2132" s="3" t="s">
        <v>209</v>
      </c>
      <c r="K2132" s="17">
        <f t="shared" si="226"/>
        <v>2510</v>
      </c>
    </row>
    <row r="2133" spans="6:11" ht="24" customHeight="1">
      <c r="F2133" s="17">
        <v>2</v>
      </c>
      <c r="G2133" s="15" t="s">
        <v>209</v>
      </c>
      <c r="H2133" s="3" t="s">
        <v>147</v>
      </c>
      <c r="I2133" s="17">
        <f>(C13)</f>
        <v>412</v>
      </c>
      <c r="J2133" s="3" t="s">
        <v>209</v>
      </c>
      <c r="K2133" s="17">
        <f t="shared" si="226"/>
        <v>824</v>
      </c>
    </row>
    <row r="2134" spans="6:11" ht="24" customHeight="1">
      <c r="G2134" s="15" t="s">
        <v>129</v>
      </c>
      <c r="H2134" s="3" t="s">
        <v>2092</v>
      </c>
      <c r="J2134" s="3" t="s">
        <v>129</v>
      </c>
      <c r="K2134" s="17">
        <f>SUM(K2130:K2133)/10+7.5</f>
        <v>559.4</v>
      </c>
    </row>
    <row r="2135" spans="6:11" ht="24" customHeight="1">
      <c r="K2135" s="12" t="s">
        <v>117</v>
      </c>
    </row>
    <row r="2136" spans="6:11" ht="24" customHeight="1">
      <c r="H2136" s="3" t="s">
        <v>2093</v>
      </c>
      <c r="K2136" s="17">
        <f>SUM(K2124:K2134)</f>
        <v>13806.1</v>
      </c>
    </row>
    <row r="2137" spans="6:11" ht="24" customHeight="1">
      <c r="K2137" s="12" t="s">
        <v>117</v>
      </c>
    </row>
    <row r="2138" spans="6:11" ht="24" customHeight="1">
      <c r="H2138" s="3" t="s">
        <v>2094</v>
      </c>
      <c r="K2138" s="17">
        <f>(K2136/30)</f>
        <v>460.20333333333332</v>
      </c>
    </row>
    <row r="2139" spans="6:11" ht="24" customHeight="1">
      <c r="K2139" s="12" t="s">
        <v>155</v>
      </c>
    </row>
    <row r="2141" spans="6:11" ht="24" customHeight="1">
      <c r="F2141" s="4" t="s">
        <v>2095</v>
      </c>
      <c r="G2141" s="15" t="s">
        <v>122</v>
      </c>
      <c r="H2141" s="3" t="s">
        <v>2096</v>
      </c>
    </row>
    <row r="2142" spans="6:11" ht="24" customHeight="1">
      <c r="H2142" s="3" t="s">
        <v>2087</v>
      </c>
    </row>
    <row r="2143" spans="6:11" ht="24" customHeight="1">
      <c r="H2143" s="12" t="s">
        <v>117</v>
      </c>
    </row>
    <row r="2144" spans="6:11" ht="24" customHeight="1">
      <c r="F2144" s="17">
        <v>50</v>
      </c>
      <c r="G2144" s="15" t="s">
        <v>209</v>
      </c>
      <c r="H2144" s="3" t="s">
        <v>2097</v>
      </c>
      <c r="I2144" s="24">
        <f>C205</f>
        <v>100</v>
      </c>
      <c r="J2144" s="3" t="s">
        <v>209</v>
      </c>
      <c r="K2144" s="17">
        <f t="shared" ref="K2144:K2153" si="227">(F2144*I2144)</f>
        <v>5000</v>
      </c>
    </row>
    <row r="2145" spans="6:18" ht="24" customHeight="1">
      <c r="F2145" s="17">
        <v>21.6</v>
      </c>
      <c r="G2145" s="15" t="s">
        <v>126</v>
      </c>
      <c r="H2145" s="3" t="s">
        <v>2089</v>
      </c>
      <c r="I2145" s="17">
        <f>(C61*2)</f>
        <v>168</v>
      </c>
      <c r="J2145" s="3" t="s">
        <v>126</v>
      </c>
      <c r="K2145" s="17">
        <f t="shared" si="227"/>
        <v>3628.8</v>
      </c>
    </row>
    <row r="2146" spans="6:18" ht="24" customHeight="1">
      <c r="F2146" s="17">
        <v>21.6</v>
      </c>
      <c r="G2146" s="15" t="s">
        <v>126</v>
      </c>
      <c r="H2146" s="3" t="s">
        <v>2045</v>
      </c>
      <c r="I2146" s="17">
        <f>(C26)</f>
        <v>29.3</v>
      </c>
      <c r="J2146" s="3" t="s">
        <v>126</v>
      </c>
      <c r="K2146" s="17">
        <f t="shared" si="227"/>
        <v>632.88000000000011</v>
      </c>
    </row>
    <row r="2147" spans="6:18" ht="24" customHeight="1">
      <c r="F2147" s="17">
        <v>68</v>
      </c>
      <c r="G2147" s="15" t="s">
        <v>148</v>
      </c>
      <c r="H2147" s="3" t="s">
        <v>125</v>
      </c>
      <c r="I2147" s="17">
        <f>(C67/1000)</f>
        <v>5.8</v>
      </c>
      <c r="J2147" s="3" t="s">
        <v>148</v>
      </c>
      <c r="K2147" s="17">
        <f t="shared" si="227"/>
        <v>394.4</v>
      </c>
    </row>
    <row r="2148" spans="6:18" ht="24" customHeight="1">
      <c r="F2148" s="17">
        <v>7.0000000000000007E-2</v>
      </c>
      <c r="G2148" s="15" t="s">
        <v>126</v>
      </c>
      <c r="H2148" s="3" t="s">
        <v>127</v>
      </c>
      <c r="I2148" s="17">
        <f>(C78)</f>
        <v>1322.8</v>
      </c>
      <c r="J2148" s="3" t="s">
        <v>126</v>
      </c>
      <c r="K2148" s="17">
        <f t="shared" si="227"/>
        <v>92.596000000000004</v>
      </c>
      <c r="M2148" s="4" t="s">
        <v>2095</v>
      </c>
      <c r="N2148" s="15" t="s">
        <v>122</v>
      </c>
      <c r="O2148" s="3" t="s">
        <v>2098</v>
      </c>
      <c r="Q2148" s="8"/>
    </row>
    <row r="2149" spans="6:18" ht="24" customHeight="1">
      <c r="F2149" s="17">
        <v>5.45</v>
      </c>
      <c r="G2149" s="15" t="s">
        <v>148</v>
      </c>
      <c r="H2149" s="3" t="s">
        <v>2090</v>
      </c>
      <c r="I2149" s="17">
        <f>(C607)</f>
        <v>11.6</v>
      </c>
      <c r="J2149" s="3" t="s">
        <v>148</v>
      </c>
      <c r="K2149" s="17">
        <f t="shared" si="227"/>
        <v>63.22</v>
      </c>
      <c r="N2149" s="6"/>
      <c r="O2149" s="3" t="s">
        <v>2087</v>
      </c>
      <c r="Q2149" s="8"/>
    </row>
    <row r="2150" spans="6:18" ht="24" customHeight="1">
      <c r="F2150" s="17">
        <v>3</v>
      </c>
      <c r="G2150" s="15" t="s">
        <v>209</v>
      </c>
      <c r="H2150" s="3" t="s">
        <v>144</v>
      </c>
      <c r="I2150" s="17">
        <f>(C10)</f>
        <v>769</v>
      </c>
      <c r="J2150" s="3" t="s">
        <v>209</v>
      </c>
      <c r="K2150" s="17">
        <f t="shared" si="227"/>
        <v>2307</v>
      </c>
      <c r="N2150" s="6"/>
      <c r="O2150" s="12" t="s">
        <v>117</v>
      </c>
      <c r="Q2150" s="8"/>
    </row>
    <row r="2151" spans="6:18" ht="39" customHeight="1">
      <c r="F2151" s="17">
        <v>2</v>
      </c>
      <c r="G2151" s="15" t="s">
        <v>209</v>
      </c>
      <c r="H2151" s="3" t="s">
        <v>2091</v>
      </c>
      <c r="I2151" s="17">
        <f>AE37</f>
        <v>647</v>
      </c>
      <c r="J2151" s="3" t="s">
        <v>209</v>
      </c>
      <c r="K2151" s="17">
        <f t="shared" si="227"/>
        <v>1294</v>
      </c>
      <c r="M2151" s="17">
        <v>50</v>
      </c>
      <c r="N2151" s="15" t="s">
        <v>209</v>
      </c>
      <c r="O2151" s="62" t="s">
        <v>2099</v>
      </c>
      <c r="P2151" s="263">
        <v>412</v>
      </c>
      <c r="Q2151" s="3" t="s">
        <v>209</v>
      </c>
      <c r="R2151" s="17">
        <f t="shared" ref="R2151:R2160" si="228">(M2151*P2151)</f>
        <v>20600</v>
      </c>
    </row>
    <row r="2152" spans="6:18" ht="24" customHeight="1">
      <c r="F2152" s="17">
        <v>6</v>
      </c>
      <c r="G2152" s="15" t="s">
        <v>209</v>
      </c>
      <c r="H2152" s="3" t="s">
        <v>146</v>
      </c>
      <c r="I2152" s="17">
        <f>(C12)</f>
        <v>502</v>
      </c>
      <c r="J2152" s="3" t="s">
        <v>209</v>
      </c>
      <c r="K2152" s="17">
        <f t="shared" si="227"/>
        <v>3012</v>
      </c>
      <c r="M2152" s="17">
        <v>21.6</v>
      </c>
      <c r="N2152" s="15" t="s">
        <v>126</v>
      </c>
      <c r="O2152" s="3" t="s">
        <v>2089</v>
      </c>
      <c r="P2152" s="17">
        <f>I2145</f>
        <v>168</v>
      </c>
      <c r="Q2152" s="3" t="s">
        <v>126</v>
      </c>
      <c r="R2152" s="17">
        <f t="shared" si="228"/>
        <v>3628.8</v>
      </c>
    </row>
    <row r="2153" spans="6:18" ht="24" customHeight="1">
      <c r="F2153" s="17">
        <v>3</v>
      </c>
      <c r="G2153" s="15" t="s">
        <v>209</v>
      </c>
      <c r="H2153" s="3" t="s">
        <v>147</v>
      </c>
      <c r="I2153" s="17">
        <f>(C13)</f>
        <v>412</v>
      </c>
      <c r="J2153" s="3" t="s">
        <v>209</v>
      </c>
      <c r="K2153" s="17">
        <f t="shared" si="227"/>
        <v>1236</v>
      </c>
      <c r="M2153" s="17">
        <v>21.6</v>
      </c>
      <c r="N2153" s="15" t="s">
        <v>126</v>
      </c>
      <c r="O2153" s="3" t="s">
        <v>2045</v>
      </c>
      <c r="P2153" s="17">
        <f t="shared" ref="P2153:P2160" si="229">I2146</f>
        <v>29.3</v>
      </c>
      <c r="Q2153" s="3" t="s">
        <v>126</v>
      </c>
      <c r="R2153" s="17">
        <f t="shared" si="228"/>
        <v>632.88000000000011</v>
      </c>
    </row>
    <row r="2154" spans="6:18" ht="24" customHeight="1">
      <c r="G2154" s="15" t="s">
        <v>129</v>
      </c>
      <c r="H2154" s="3" t="s">
        <v>2092</v>
      </c>
      <c r="J2154" s="3" t="s">
        <v>129</v>
      </c>
      <c r="K2154" s="17">
        <f>SUM(K2150:K2153)/10+4.8</f>
        <v>789.69999999999993</v>
      </c>
      <c r="M2154" s="17">
        <v>115</v>
      </c>
      <c r="N2154" s="15" t="s">
        <v>148</v>
      </c>
      <c r="O2154" s="3" t="s">
        <v>125</v>
      </c>
      <c r="P2154" s="17">
        <f t="shared" si="229"/>
        <v>5.8</v>
      </c>
      <c r="Q2154" s="3" t="s">
        <v>148</v>
      </c>
      <c r="R2154" s="17">
        <f t="shared" si="228"/>
        <v>667</v>
      </c>
    </row>
    <row r="2155" spans="6:18" ht="24" customHeight="1">
      <c r="K2155" s="12" t="s">
        <v>117</v>
      </c>
      <c r="M2155" s="17">
        <v>0.11</v>
      </c>
      <c r="N2155" s="15" t="s">
        <v>126</v>
      </c>
      <c r="O2155" s="3" t="s">
        <v>127</v>
      </c>
      <c r="P2155" s="17">
        <f t="shared" si="229"/>
        <v>1322.8</v>
      </c>
      <c r="Q2155" s="3" t="s">
        <v>126</v>
      </c>
      <c r="R2155" s="17">
        <f t="shared" si="228"/>
        <v>145.50800000000001</v>
      </c>
    </row>
    <row r="2156" spans="6:18" ht="24" customHeight="1">
      <c r="H2156" s="3" t="s">
        <v>2093</v>
      </c>
      <c r="K2156" s="17">
        <f>SUM(K2144:K2154)</f>
        <v>18450.596000000001</v>
      </c>
      <c r="M2156" s="17">
        <v>8.35</v>
      </c>
      <c r="N2156" s="15" t="s">
        <v>148</v>
      </c>
      <c r="O2156" s="3" t="s">
        <v>2090</v>
      </c>
      <c r="P2156" s="17">
        <f t="shared" si="229"/>
        <v>11.6</v>
      </c>
      <c r="Q2156" s="3" t="s">
        <v>148</v>
      </c>
      <c r="R2156" s="17">
        <f t="shared" si="228"/>
        <v>96.86</v>
      </c>
    </row>
    <row r="2157" spans="6:18" ht="24" customHeight="1">
      <c r="K2157" s="12" t="s">
        <v>117</v>
      </c>
      <c r="M2157" s="17">
        <v>5</v>
      </c>
      <c r="N2157" s="15" t="s">
        <v>209</v>
      </c>
      <c r="O2157" s="3" t="s">
        <v>144</v>
      </c>
      <c r="P2157" s="17">
        <f t="shared" si="229"/>
        <v>769</v>
      </c>
      <c r="Q2157" s="3" t="s">
        <v>209</v>
      </c>
      <c r="R2157" s="17">
        <f t="shared" si="228"/>
        <v>3845</v>
      </c>
    </row>
    <row r="2158" spans="6:18" ht="24" customHeight="1">
      <c r="H2158" s="3" t="s">
        <v>2094</v>
      </c>
      <c r="K2158" s="17">
        <f>(K2156/30)</f>
        <v>615.01986666666676</v>
      </c>
      <c r="M2158" s="17">
        <v>3</v>
      </c>
      <c r="N2158" s="15" t="s">
        <v>209</v>
      </c>
      <c r="O2158" s="3" t="s">
        <v>2091</v>
      </c>
      <c r="P2158" s="17">
        <f t="shared" si="229"/>
        <v>647</v>
      </c>
      <c r="Q2158" s="3" t="s">
        <v>209</v>
      </c>
      <c r="R2158" s="17">
        <f t="shared" si="228"/>
        <v>1941</v>
      </c>
    </row>
    <row r="2159" spans="6:18" ht="24" customHeight="1">
      <c r="K2159" s="12" t="s">
        <v>155</v>
      </c>
      <c r="M2159" s="17">
        <v>7</v>
      </c>
      <c r="N2159" s="15" t="s">
        <v>209</v>
      </c>
      <c r="O2159" s="3" t="s">
        <v>146</v>
      </c>
      <c r="P2159" s="17">
        <f t="shared" si="229"/>
        <v>502</v>
      </c>
      <c r="Q2159" s="3" t="s">
        <v>209</v>
      </c>
      <c r="R2159" s="17">
        <f t="shared" si="228"/>
        <v>3514</v>
      </c>
    </row>
    <row r="2160" spans="6:18" ht="24" customHeight="1">
      <c r="F2160" s="4" t="s">
        <v>2100</v>
      </c>
      <c r="G2160" s="15" t="s">
        <v>122</v>
      </c>
      <c r="H2160" s="3" t="s">
        <v>2086</v>
      </c>
      <c r="M2160" s="17">
        <v>5</v>
      </c>
      <c r="N2160" s="15" t="s">
        <v>209</v>
      </c>
      <c r="O2160" s="3" t="s">
        <v>147</v>
      </c>
      <c r="P2160" s="17">
        <f t="shared" si="229"/>
        <v>412</v>
      </c>
      <c r="Q2160" s="3" t="s">
        <v>209</v>
      </c>
      <c r="R2160" s="17">
        <f t="shared" si="228"/>
        <v>2060</v>
      </c>
    </row>
    <row r="2161" spans="6:18" ht="24" customHeight="1">
      <c r="H2161" s="3" t="s">
        <v>2101</v>
      </c>
      <c r="N2161" s="15" t="s">
        <v>129</v>
      </c>
      <c r="O2161" s="3" t="s">
        <v>2092</v>
      </c>
      <c r="Q2161" s="3" t="s">
        <v>129</v>
      </c>
      <c r="R2161" s="17">
        <v>234</v>
      </c>
    </row>
    <row r="2162" spans="6:18" ht="24" customHeight="1">
      <c r="H2162" s="12" t="s">
        <v>117</v>
      </c>
      <c r="N2162" s="6"/>
      <c r="Q2162" s="8"/>
      <c r="R2162" s="12" t="s">
        <v>117</v>
      </c>
    </row>
    <row r="2163" spans="6:18" ht="24" customHeight="1">
      <c r="F2163" s="17">
        <v>50</v>
      </c>
      <c r="G2163" s="15" t="s">
        <v>209</v>
      </c>
      <c r="H2163" s="3" t="s">
        <v>2102</v>
      </c>
      <c r="I2163" s="17">
        <f>C204</f>
        <v>62.2</v>
      </c>
      <c r="J2163" s="3" t="s">
        <v>209</v>
      </c>
      <c r="K2163" s="17">
        <f>(F2163*I2163)</f>
        <v>3110</v>
      </c>
      <c r="N2163" s="6"/>
      <c r="O2163" s="3" t="s">
        <v>2093</v>
      </c>
      <c r="Q2163" s="8"/>
      <c r="R2163" s="17">
        <f>SUM(R2151:R2161)</f>
        <v>37365.048000000003</v>
      </c>
    </row>
    <row r="2164" spans="6:18" ht="24" customHeight="1">
      <c r="F2164" s="17">
        <v>1</v>
      </c>
      <c r="G2164" s="15" t="s">
        <v>209</v>
      </c>
      <c r="H2164" s="3" t="s">
        <v>2091</v>
      </c>
      <c r="I2164" s="17">
        <f>AE37</f>
        <v>647</v>
      </c>
      <c r="J2164" s="3" t="s">
        <v>209</v>
      </c>
      <c r="K2164" s="17">
        <f>(F2164*I2164)</f>
        <v>647</v>
      </c>
      <c r="N2164" s="6"/>
      <c r="Q2164" s="8"/>
      <c r="R2164" s="12" t="s">
        <v>117</v>
      </c>
    </row>
    <row r="2165" spans="6:18" ht="24" customHeight="1">
      <c r="F2165" s="17">
        <v>5</v>
      </c>
      <c r="G2165" s="15" t="s">
        <v>209</v>
      </c>
      <c r="H2165" s="3" t="s">
        <v>146</v>
      </c>
      <c r="I2165" s="17">
        <f>C12</f>
        <v>502</v>
      </c>
      <c r="J2165" s="3" t="s">
        <v>209</v>
      </c>
      <c r="K2165" s="17">
        <f>(F2165*I2165)</f>
        <v>2510</v>
      </c>
      <c r="N2165" s="6"/>
      <c r="O2165" s="3" t="s">
        <v>2094</v>
      </c>
      <c r="Q2165" s="8"/>
      <c r="R2165" s="17">
        <f>(R2163/30)</f>
        <v>1245.5016000000001</v>
      </c>
    </row>
    <row r="2166" spans="6:18" ht="24" customHeight="1">
      <c r="H2166" s="3" t="s">
        <v>236</v>
      </c>
      <c r="K2166" s="112">
        <v>1.8</v>
      </c>
      <c r="N2166" s="6"/>
      <c r="Q2166" s="8"/>
      <c r="R2166" s="12" t="s">
        <v>155</v>
      </c>
    </row>
    <row r="2167" spans="6:18" ht="24" customHeight="1">
      <c r="H2167" s="3" t="s">
        <v>2093</v>
      </c>
      <c r="K2167" s="17">
        <f>SUM(K2163:K2166)</f>
        <v>6268.8</v>
      </c>
    </row>
    <row r="2168" spans="6:18" ht="24" customHeight="1">
      <c r="F2168" s="3" t="s">
        <v>115</v>
      </c>
      <c r="K2168" s="12" t="s">
        <v>117</v>
      </c>
    </row>
    <row r="2169" spans="6:18" ht="24" customHeight="1">
      <c r="H2169" s="3" t="s">
        <v>2094</v>
      </c>
      <c r="K2169" s="17">
        <f>(K2167/30)</f>
        <v>208.96</v>
      </c>
    </row>
    <row r="2170" spans="6:18" ht="24" customHeight="1">
      <c r="F2170" s="3" t="s">
        <v>115</v>
      </c>
    </row>
    <row r="2171" spans="6:18" ht="24" customHeight="1">
      <c r="F2171" s="3" t="s">
        <v>115</v>
      </c>
    </row>
    <row r="2172" spans="6:18" ht="24" customHeight="1">
      <c r="K2172" s="12" t="s">
        <v>155</v>
      </c>
    </row>
    <row r="2173" spans="6:18" ht="24" customHeight="1">
      <c r="F2173" s="4" t="s">
        <v>2095</v>
      </c>
      <c r="G2173" s="15" t="s">
        <v>122</v>
      </c>
      <c r="H2173" s="3" t="s">
        <v>2096</v>
      </c>
    </row>
    <row r="2174" spans="6:18" ht="24" customHeight="1">
      <c r="H2174" s="17" t="str">
        <f>H2161</f>
        <v>DIA S.W.PIPE(LOOSE JOINTING)</v>
      </c>
    </row>
    <row r="2175" spans="6:18" ht="24" customHeight="1">
      <c r="H2175" s="12" t="s">
        <v>117</v>
      </c>
    </row>
    <row r="2176" spans="6:18" ht="24" customHeight="1">
      <c r="F2176" s="17">
        <v>50</v>
      </c>
      <c r="G2176" s="15" t="s">
        <v>209</v>
      </c>
      <c r="H2176" s="3" t="s">
        <v>2103</v>
      </c>
      <c r="I2176" s="17">
        <f>C205</f>
        <v>100</v>
      </c>
      <c r="J2176" s="3" t="s">
        <v>209</v>
      </c>
      <c r="K2176" s="17">
        <f>(F2176*I2176)</f>
        <v>5000</v>
      </c>
    </row>
    <row r="2177" spans="6:11" ht="24" customHeight="1">
      <c r="F2177" s="17">
        <v>2</v>
      </c>
      <c r="G2177" s="15" t="s">
        <v>209</v>
      </c>
      <c r="H2177" s="3" t="s">
        <v>2091</v>
      </c>
      <c r="I2177" s="17">
        <f>AE37</f>
        <v>647</v>
      </c>
      <c r="J2177" s="3" t="s">
        <v>209</v>
      </c>
      <c r="K2177" s="17">
        <f>(F2177*I2177)</f>
        <v>1294</v>
      </c>
    </row>
    <row r="2178" spans="6:11" ht="24" customHeight="1">
      <c r="F2178" s="17">
        <v>6</v>
      </c>
      <c r="G2178" s="15" t="s">
        <v>209</v>
      </c>
      <c r="H2178" s="3" t="s">
        <v>146</v>
      </c>
      <c r="I2178" s="17">
        <f>C12</f>
        <v>502</v>
      </c>
      <c r="J2178" s="3" t="s">
        <v>209</v>
      </c>
      <c r="K2178" s="17">
        <f>(F2178*I2178)</f>
        <v>3012</v>
      </c>
    </row>
    <row r="2179" spans="6:11" ht="24" customHeight="1">
      <c r="H2179" s="3" t="s">
        <v>236</v>
      </c>
      <c r="K2179" s="112">
        <v>0.6</v>
      </c>
    </row>
    <row r="2180" spans="6:11" ht="24" customHeight="1">
      <c r="H2180" s="3" t="s">
        <v>2093</v>
      </c>
      <c r="K2180" s="17">
        <f>SUM(K2176:K2179)</f>
        <v>9306.6</v>
      </c>
    </row>
    <row r="2181" spans="6:11" ht="24" customHeight="1">
      <c r="K2181" s="12" t="s">
        <v>117</v>
      </c>
    </row>
    <row r="2182" spans="6:11" ht="24" customHeight="1">
      <c r="H2182" s="3" t="s">
        <v>2094</v>
      </c>
      <c r="K2182" s="17">
        <f>(K2180/30)</f>
        <v>310.22000000000003</v>
      </c>
    </row>
    <row r="2183" spans="6:11" ht="24" customHeight="1">
      <c r="K2183" s="12" t="s">
        <v>155</v>
      </c>
    </row>
    <row r="2184" spans="6:11" ht="24" customHeight="1">
      <c r="H2184" s="4" t="s">
        <v>2104</v>
      </c>
      <c r="K2184" s="17">
        <f>SUM(K2181:K2182)</f>
        <v>310.22000000000003</v>
      </c>
    </row>
    <row r="2185" spans="6:11" ht="24" customHeight="1">
      <c r="K2185" s="12" t="s">
        <v>155</v>
      </c>
    </row>
    <row r="2186" spans="6:11" ht="24" customHeight="1">
      <c r="F2186" s="4" t="s">
        <v>2105</v>
      </c>
      <c r="G2186" s="15" t="s">
        <v>122</v>
      </c>
      <c r="H2186" s="3" t="s">
        <v>2086</v>
      </c>
    </row>
    <row r="2187" spans="6:11" ht="24" customHeight="1">
      <c r="H2187" s="3" t="s">
        <v>2106</v>
      </c>
    </row>
    <row r="2188" spans="6:11" ht="24" customHeight="1">
      <c r="H2188" s="12" t="s">
        <v>117</v>
      </c>
    </row>
    <row r="2189" spans="6:11" ht="24" customHeight="1">
      <c r="F2189" s="17">
        <v>1</v>
      </c>
      <c r="G2189" s="15" t="s">
        <v>209</v>
      </c>
      <c r="H2189" s="3" t="s">
        <v>2107</v>
      </c>
      <c r="I2189" s="17">
        <f>C206</f>
        <v>99.6</v>
      </c>
      <c r="J2189" s="3" t="s">
        <v>209</v>
      </c>
      <c r="K2189" s="17">
        <f>(F2189*I2189)</f>
        <v>99.6</v>
      </c>
    </row>
    <row r="2190" spans="6:11" ht="24" customHeight="1">
      <c r="F2190" s="3" t="s">
        <v>115</v>
      </c>
      <c r="H2190" s="3" t="s">
        <v>2108</v>
      </c>
    </row>
    <row r="2191" spans="6:11" ht="24" customHeight="1">
      <c r="F2191" s="3" t="s">
        <v>115</v>
      </c>
      <c r="H2191" s="3" t="s">
        <v>2109</v>
      </c>
      <c r="I2191" s="4" t="s">
        <v>129</v>
      </c>
      <c r="K2191" s="17">
        <v>2.5</v>
      </c>
    </row>
    <row r="2192" spans="6:11" ht="24" customHeight="1">
      <c r="K2192" s="12" t="s">
        <v>117</v>
      </c>
    </row>
    <row r="2193" spans="6:11" ht="24" customHeight="1">
      <c r="H2193" s="3" t="s">
        <v>2093</v>
      </c>
      <c r="K2193" s="17">
        <f>SUM(K2189:K2191)</f>
        <v>102.1</v>
      </c>
    </row>
    <row r="2194" spans="6:11" ht="24" customHeight="1">
      <c r="F2194" s="4" t="s">
        <v>2105</v>
      </c>
      <c r="G2194" s="15" t="s">
        <v>122</v>
      </c>
      <c r="H2194" s="3" t="s">
        <v>2096</v>
      </c>
      <c r="K2194" s="12" t="s">
        <v>117</v>
      </c>
    </row>
    <row r="2195" spans="6:11" ht="24" customHeight="1">
      <c r="H2195" s="3" t="s">
        <v>2106</v>
      </c>
      <c r="K2195" s="17"/>
    </row>
    <row r="2196" spans="6:11" ht="24" customHeight="1">
      <c r="H2196" s="12" t="s">
        <v>117</v>
      </c>
      <c r="K2196" s="12" t="s">
        <v>117</v>
      </c>
    </row>
    <row r="2197" spans="6:11" ht="24" customHeight="1">
      <c r="F2197" s="5">
        <v>1</v>
      </c>
      <c r="G2197" s="6" t="s">
        <v>1</v>
      </c>
      <c r="H2197" s="3" t="s">
        <v>2110</v>
      </c>
      <c r="J2197" s="8">
        <f>E206</f>
        <v>138</v>
      </c>
      <c r="K2197" s="17">
        <f>J2197</f>
        <v>138</v>
      </c>
    </row>
    <row r="2198" spans="6:11" ht="24" customHeight="1">
      <c r="H2198" s="3" t="s">
        <v>2109</v>
      </c>
      <c r="I2198" s="4" t="s">
        <v>129</v>
      </c>
      <c r="K2198" s="17">
        <v>2.5</v>
      </c>
    </row>
    <row r="2199" spans="6:11" ht="24" customHeight="1">
      <c r="F2199" s="4" t="s">
        <v>2111</v>
      </c>
      <c r="G2199" s="15" t="s">
        <v>122</v>
      </c>
      <c r="H2199" s="7" t="s">
        <v>2086</v>
      </c>
      <c r="K2199" s="12" t="s">
        <v>117</v>
      </c>
    </row>
    <row r="2200" spans="6:11" ht="24" customHeight="1">
      <c r="H2200" s="7" t="s">
        <v>2112</v>
      </c>
      <c r="K2200" s="17">
        <f>SUM(K2196:K2198)</f>
        <v>140.5</v>
      </c>
    </row>
    <row r="2201" spans="6:11" ht="24" customHeight="1">
      <c r="H2201" s="12" t="s">
        <v>117</v>
      </c>
      <c r="K2201" s="12" t="s">
        <v>117</v>
      </c>
    </row>
    <row r="2202" spans="6:11" ht="24" customHeight="1">
      <c r="F2202" s="17">
        <v>1</v>
      </c>
      <c r="G2202" s="15" t="s">
        <v>209</v>
      </c>
      <c r="H2202" s="3" t="s">
        <v>2113</v>
      </c>
      <c r="I2202" s="17">
        <f>C203</f>
        <v>125.6</v>
      </c>
      <c r="J2202" s="3" t="s">
        <v>209</v>
      </c>
      <c r="K2202" s="17">
        <f>(F2202*I2202)</f>
        <v>125.6</v>
      </c>
    </row>
    <row r="2203" spans="6:11" ht="24" customHeight="1">
      <c r="F2203" s="3" t="s">
        <v>115</v>
      </c>
      <c r="H2203" s="3" t="s">
        <v>2108</v>
      </c>
    </row>
    <row r="2204" spans="6:11" ht="24" customHeight="1">
      <c r="F2204" s="3" t="s">
        <v>115</v>
      </c>
      <c r="H2204" s="3" t="s">
        <v>2109</v>
      </c>
      <c r="I2204" s="4" t="s">
        <v>129</v>
      </c>
      <c r="K2204" s="17">
        <v>3</v>
      </c>
    </row>
    <row r="2205" spans="6:11" ht="24" customHeight="1">
      <c r="K2205" s="12" t="s">
        <v>117</v>
      </c>
    </row>
    <row r="2206" spans="6:11" ht="24" customHeight="1">
      <c r="H2206" s="3" t="s">
        <v>2093</v>
      </c>
      <c r="K2206" s="17">
        <f>SUM(K2202:K2204)</f>
        <v>128.6</v>
      </c>
    </row>
    <row r="2207" spans="6:11" ht="24" customHeight="1">
      <c r="K2207" s="12" t="s">
        <v>117</v>
      </c>
    </row>
    <row r="2209" spans="6:12" ht="24" customHeight="1">
      <c r="F2209" s="4" t="s">
        <v>2114</v>
      </c>
      <c r="G2209" s="15" t="s">
        <v>122</v>
      </c>
      <c r="H2209" s="7" t="s">
        <v>2096</v>
      </c>
    </row>
    <row r="2210" spans="6:12" ht="24" customHeight="1">
      <c r="H2210" s="7" t="s">
        <v>2112</v>
      </c>
    </row>
    <row r="2211" spans="6:12" ht="24" customHeight="1">
      <c r="H2211" s="12" t="s">
        <v>117</v>
      </c>
    </row>
    <row r="2212" spans="6:12" ht="24" customHeight="1">
      <c r="F2212" s="17">
        <v>1</v>
      </c>
      <c r="G2212" s="15" t="s">
        <v>209</v>
      </c>
      <c r="H2212" s="3" t="s">
        <v>2115</v>
      </c>
      <c r="I2212" s="17">
        <f>C208</f>
        <v>162.9</v>
      </c>
      <c r="J2212" s="3" t="s">
        <v>209</v>
      </c>
      <c r="K2212" s="17">
        <f>(F2212*I2212)</f>
        <v>162.9</v>
      </c>
    </row>
    <row r="2213" spans="6:12" ht="24" customHeight="1">
      <c r="F2213" s="3" t="s">
        <v>115</v>
      </c>
      <c r="H2213" s="3" t="s">
        <v>2108</v>
      </c>
    </row>
    <row r="2214" spans="6:12" ht="24" customHeight="1">
      <c r="F2214" s="3" t="s">
        <v>115</v>
      </c>
      <c r="H2214" s="3" t="s">
        <v>2109</v>
      </c>
      <c r="I2214" s="4" t="s">
        <v>129</v>
      </c>
      <c r="K2214" s="17">
        <v>3</v>
      </c>
    </row>
    <row r="2215" spans="6:12" ht="24" customHeight="1">
      <c r="K2215" s="12" t="s">
        <v>117</v>
      </c>
    </row>
    <row r="2216" spans="6:12" ht="24" customHeight="1">
      <c r="H2216" s="7" t="s">
        <v>2093</v>
      </c>
      <c r="K2216" s="17">
        <f>SUM(K2212:K2214)</f>
        <v>165.9</v>
      </c>
    </row>
    <row r="2217" spans="6:12" ht="24" customHeight="1">
      <c r="K2217" s="12" t="s">
        <v>117</v>
      </c>
    </row>
    <row r="2218" spans="6:12" ht="24" customHeight="1">
      <c r="F2218" s="4" t="s">
        <v>2116</v>
      </c>
      <c r="H2218" s="7" t="s">
        <v>2117</v>
      </c>
    </row>
    <row r="2219" spans="6:12" ht="24" customHeight="1">
      <c r="H2219" s="7" t="s">
        <v>2118</v>
      </c>
    </row>
    <row r="2220" spans="6:12" ht="24" customHeight="1">
      <c r="H2220" s="12" t="s">
        <v>117</v>
      </c>
    </row>
    <row r="2221" spans="6:12" ht="24" customHeight="1">
      <c r="F2221" s="17">
        <v>2.5</v>
      </c>
      <c r="G2221" s="15" t="s">
        <v>2119</v>
      </c>
      <c r="H2221" s="3" t="s">
        <v>2117</v>
      </c>
      <c r="I2221" s="17">
        <f>C588</f>
        <v>30</v>
      </c>
      <c r="J2221" s="3">
        <v>2.5</v>
      </c>
      <c r="K2221" s="264">
        <f>(F2221*I2221)/F2221</f>
        <v>30</v>
      </c>
      <c r="L2221" s="5">
        <f>1394*1.62-K2252</f>
        <v>-1324.4650000000001</v>
      </c>
    </row>
    <row r="2222" spans="6:12" ht="24" customHeight="1">
      <c r="H2222" s="3" t="s">
        <v>2120</v>
      </c>
      <c r="J2222" s="3" t="s">
        <v>2119</v>
      </c>
      <c r="K2222" s="265"/>
    </row>
    <row r="2223" spans="6:12" ht="24" customHeight="1">
      <c r="G2223" s="15" t="s">
        <v>129</v>
      </c>
      <c r="H2223" s="3" t="s">
        <v>2121</v>
      </c>
      <c r="J2223" s="3" t="s">
        <v>129</v>
      </c>
      <c r="K2223" s="123">
        <v>1.87</v>
      </c>
    </row>
    <row r="2224" spans="6:12" ht="24" customHeight="1">
      <c r="K2224" s="12" t="s">
        <v>117</v>
      </c>
    </row>
    <row r="2225" spans="6:11" ht="24" customHeight="1">
      <c r="H2225" s="19" t="s">
        <v>2104</v>
      </c>
      <c r="K2225" s="16">
        <f>SUM(K2221:K2223)</f>
        <v>31.87</v>
      </c>
    </row>
    <row r="2226" spans="6:11" ht="24" customHeight="1">
      <c r="K2226" s="12" t="s">
        <v>155</v>
      </c>
    </row>
    <row r="2228" spans="6:11" ht="24" customHeight="1">
      <c r="F2228" s="4" t="s">
        <v>2122</v>
      </c>
      <c r="G2228" s="15" t="s">
        <v>122</v>
      </c>
      <c r="H2228" s="3" t="s">
        <v>2123</v>
      </c>
    </row>
    <row r="2229" spans="6:11" ht="24" customHeight="1">
      <c r="H2229" s="3" t="s">
        <v>2124</v>
      </c>
    </row>
    <row r="2230" spans="6:11" ht="24" customHeight="1">
      <c r="H2230" s="3" t="s">
        <v>2125</v>
      </c>
    </row>
    <row r="2231" spans="6:11" ht="24" customHeight="1">
      <c r="H2231" s="3" t="s">
        <v>2126</v>
      </c>
    </row>
    <row r="2232" spans="6:11" ht="24" customHeight="1">
      <c r="H2232" s="3" t="s">
        <v>2127</v>
      </c>
    </row>
    <row r="2233" spans="6:11" ht="24" customHeight="1">
      <c r="H2233" s="3" t="s">
        <v>2128</v>
      </c>
    </row>
    <row r="2234" spans="6:11" ht="24" customHeight="1">
      <c r="H2234" s="3" t="s">
        <v>2129</v>
      </c>
    </row>
    <row r="2235" spans="6:11" ht="24" customHeight="1">
      <c r="H2235" s="3" t="s">
        <v>2130</v>
      </c>
    </row>
    <row r="2236" spans="6:11" ht="24" customHeight="1">
      <c r="H2236" s="3" t="s">
        <v>2131</v>
      </c>
    </row>
    <row r="2237" spans="6:11" ht="24" customHeight="1">
      <c r="H2237" s="3" t="s">
        <v>2132</v>
      </c>
    </row>
    <row r="2238" spans="6:11" ht="24" customHeight="1">
      <c r="H2238" s="3" t="s">
        <v>2133</v>
      </c>
    </row>
    <row r="2239" spans="6:11" ht="24" customHeight="1">
      <c r="H2239" s="3" t="s">
        <v>2134</v>
      </c>
    </row>
    <row r="2240" spans="6:11" ht="24" customHeight="1">
      <c r="H2240" s="12" t="s">
        <v>117</v>
      </c>
      <c r="I2240" s="12" t="s">
        <v>117</v>
      </c>
    </row>
    <row r="2241" spans="6:13" ht="24" customHeight="1">
      <c r="F2241" s="3" t="s">
        <v>115</v>
      </c>
    </row>
    <row r="2242" spans="6:13" ht="24" customHeight="1">
      <c r="F2242" s="81">
        <v>1.7399999999999999E-2</v>
      </c>
      <c r="G2242" s="15" t="s">
        <v>429</v>
      </c>
      <c r="H2242" s="3" t="s">
        <v>2135</v>
      </c>
      <c r="I2242" s="17">
        <f>C86</f>
        <v>34300</v>
      </c>
      <c r="J2242" s="3" t="s">
        <v>429</v>
      </c>
      <c r="K2242" s="17">
        <f t="shared" ref="K2242:K2249" si="230">F2242*I2242</f>
        <v>596.81999999999994</v>
      </c>
    </row>
    <row r="2243" spans="6:13" ht="24" customHeight="1">
      <c r="F2243" s="81">
        <v>2.93E-2</v>
      </c>
      <c r="G2243" s="15" t="s">
        <v>429</v>
      </c>
      <c r="H2243" s="3" t="s">
        <v>2136</v>
      </c>
      <c r="I2243" s="17">
        <f>C87</f>
        <v>39400</v>
      </c>
      <c r="J2243" s="3" t="s">
        <v>429</v>
      </c>
      <c r="K2243" s="17">
        <f t="shared" si="230"/>
        <v>1154.42</v>
      </c>
    </row>
    <row r="2244" spans="6:13" ht="24" customHeight="1">
      <c r="F2244" s="81">
        <v>1.093</v>
      </c>
      <c r="G2244" s="15" t="s">
        <v>174</v>
      </c>
      <c r="H2244" s="3" t="s">
        <v>2137</v>
      </c>
      <c r="I2244" s="17">
        <f>C199</f>
        <v>295</v>
      </c>
      <c r="J2244" s="3" t="s">
        <v>174</v>
      </c>
      <c r="K2244" s="17">
        <f t="shared" si="230"/>
        <v>322.435</v>
      </c>
    </row>
    <row r="2245" spans="6:13" ht="24" customHeight="1">
      <c r="F2245" s="17">
        <v>6</v>
      </c>
      <c r="G2245" s="15" t="s">
        <v>233</v>
      </c>
      <c r="H2245" s="3" t="s">
        <v>2138</v>
      </c>
      <c r="I2245" s="17">
        <f>C297</f>
        <v>7</v>
      </c>
      <c r="J2245" s="3" t="s">
        <v>227</v>
      </c>
      <c r="K2245" s="17">
        <f t="shared" si="230"/>
        <v>42</v>
      </c>
    </row>
    <row r="2246" spans="6:13" ht="24" customHeight="1">
      <c r="F2246" s="17">
        <v>1</v>
      </c>
      <c r="G2246" s="15" t="s">
        <v>233</v>
      </c>
      <c r="H2246" s="3" t="s">
        <v>2139</v>
      </c>
      <c r="I2246" s="17">
        <f>C287</f>
        <v>89.7</v>
      </c>
      <c r="J2246" s="3" t="s">
        <v>227</v>
      </c>
      <c r="K2246" s="17">
        <f t="shared" si="230"/>
        <v>89.7</v>
      </c>
    </row>
    <row r="2247" spans="6:13" ht="24" customHeight="1">
      <c r="F2247" s="17">
        <v>2</v>
      </c>
      <c r="G2247" s="15" t="s">
        <v>233</v>
      </c>
      <c r="H2247" s="3" t="s">
        <v>2140</v>
      </c>
      <c r="I2247" s="17">
        <f>C308</f>
        <v>3</v>
      </c>
      <c r="J2247" s="3" t="s">
        <v>227</v>
      </c>
      <c r="K2247" s="17">
        <f t="shared" si="230"/>
        <v>6</v>
      </c>
    </row>
    <row r="2248" spans="6:13" ht="24" customHeight="1">
      <c r="F2248" s="17">
        <v>6</v>
      </c>
      <c r="G2248" s="15" t="s">
        <v>233</v>
      </c>
      <c r="H2248" s="3" t="s">
        <v>2141</v>
      </c>
      <c r="I2248" s="266">
        <v>10.5</v>
      </c>
      <c r="J2248" s="3" t="s">
        <v>227</v>
      </c>
      <c r="K2248" s="17">
        <f t="shared" si="230"/>
        <v>63</v>
      </c>
    </row>
    <row r="2249" spans="6:13" ht="24" customHeight="1">
      <c r="F2249" s="49">
        <v>1.62</v>
      </c>
      <c r="G2249" s="15" t="s">
        <v>174</v>
      </c>
      <c r="H2249" s="3" t="s">
        <v>2142</v>
      </c>
      <c r="I2249" s="17">
        <f>D33</f>
        <v>805</v>
      </c>
      <c r="J2249" s="3" t="s">
        <v>174</v>
      </c>
      <c r="K2249" s="17">
        <f t="shared" si="230"/>
        <v>1304.1000000000001</v>
      </c>
    </row>
    <row r="2250" spans="6:13" ht="24" customHeight="1">
      <c r="G2250" s="15" t="s">
        <v>129</v>
      </c>
      <c r="H2250" s="3" t="s">
        <v>2143</v>
      </c>
      <c r="J2250" s="3" t="s">
        <v>129</v>
      </c>
      <c r="K2250" s="17">
        <v>4.2699999999999996</v>
      </c>
    </row>
    <row r="2251" spans="6:13" ht="24" customHeight="1">
      <c r="K2251" s="12" t="s">
        <v>117</v>
      </c>
    </row>
    <row r="2252" spans="6:13" ht="24" customHeight="1">
      <c r="H2252" s="19" t="s">
        <v>2144</v>
      </c>
      <c r="K2252" s="16">
        <f>SUM(K2242:K2250)</f>
        <v>3582.7450000000003</v>
      </c>
    </row>
    <row r="2253" spans="6:13" ht="24" customHeight="1">
      <c r="K2253" s="61" t="s">
        <v>117</v>
      </c>
    </row>
    <row r="2254" spans="6:13" ht="24" customHeight="1">
      <c r="K2254" s="50"/>
    </row>
    <row r="2255" spans="6:13" ht="24" customHeight="1">
      <c r="H2255" s="19" t="s">
        <v>2145</v>
      </c>
      <c r="I2255" s="3" t="s">
        <v>115</v>
      </c>
      <c r="K2255" s="16">
        <f>K2252/1.62</f>
        <v>2211.570987654321</v>
      </c>
      <c r="M2255" s="5">
        <f>1921*1.62</f>
        <v>3112.02</v>
      </c>
    </row>
    <row r="2256" spans="6:13" ht="15" customHeight="1">
      <c r="F2256" s="3" t="s">
        <v>115</v>
      </c>
      <c r="G2256" s="15" t="s">
        <v>115</v>
      </c>
      <c r="H2256" s="3" t="s">
        <v>115</v>
      </c>
      <c r="I2256" s="3" t="s">
        <v>115</v>
      </c>
      <c r="J2256" s="3" t="s">
        <v>115</v>
      </c>
      <c r="M2256" s="5">
        <f>M2255-K2252</f>
        <v>-470.72500000000036</v>
      </c>
    </row>
    <row r="2257" spans="6:12" ht="13.5" hidden="1" customHeight="1"/>
    <row r="2258" spans="6:12" ht="24" customHeight="1">
      <c r="G2258" s="15" t="s">
        <v>589</v>
      </c>
      <c r="H2258" s="7" t="s">
        <v>1271</v>
      </c>
    </row>
    <row r="2259" spans="6:12" ht="24" customHeight="1">
      <c r="H2259" s="3" t="s">
        <v>2146</v>
      </c>
      <c r="L2259" s="5">
        <f>3.6*1.1</f>
        <v>3.9600000000000004</v>
      </c>
    </row>
    <row r="2260" spans="6:12" ht="24" customHeight="1">
      <c r="F2260" s="3" t="s">
        <v>115</v>
      </c>
      <c r="H2260" s="3" t="s">
        <v>2147</v>
      </c>
      <c r="L2260" s="5">
        <f>3.6*1.6</f>
        <v>5.7600000000000007</v>
      </c>
    </row>
    <row r="2261" spans="6:12" ht="35.25" customHeight="1">
      <c r="F2261" s="4" t="s">
        <v>2148</v>
      </c>
      <c r="H2261" s="3" t="s">
        <v>1275</v>
      </c>
      <c r="K2261" s="36">
        <f>[5]Elec.Data!K2860</f>
        <v>1340</v>
      </c>
    </row>
    <row r="2262" spans="6:12" ht="30.75" customHeight="1">
      <c r="F2262" s="4" t="s">
        <v>2149</v>
      </c>
      <c r="H2262" s="4" t="s">
        <v>1279</v>
      </c>
      <c r="K2262" s="36">
        <f>[5]Elec.Data!K2884</f>
        <v>1344</v>
      </c>
    </row>
    <row r="2263" spans="6:12" ht="30.75" customHeight="1">
      <c r="F2263" s="4" t="s">
        <v>2150</v>
      </c>
      <c r="H2263" s="3" t="s">
        <v>1342</v>
      </c>
      <c r="K2263" s="36">
        <f>[5]Elec.Data!K2899</f>
        <v>1372</v>
      </c>
    </row>
    <row r="2264" spans="6:12" ht="30.75" customHeight="1">
      <c r="F2264" s="38">
        <v>65</v>
      </c>
      <c r="H2264" s="3" t="s">
        <v>1281</v>
      </c>
      <c r="K2264" s="36">
        <f>[5]Elec.Data!K2921</f>
        <v>1399</v>
      </c>
    </row>
    <row r="2265" spans="6:12" ht="30.75" customHeight="1">
      <c r="F2265" s="38">
        <v>66</v>
      </c>
      <c r="H2265" s="3" t="s">
        <v>1288</v>
      </c>
      <c r="K2265" s="36">
        <f>[5]Elec.Data!K2945</f>
        <v>2507</v>
      </c>
    </row>
    <row r="2266" spans="6:12" ht="30.75" customHeight="1">
      <c r="F2266" s="38">
        <v>67</v>
      </c>
      <c r="H2266" s="3" t="s">
        <v>1284</v>
      </c>
      <c r="K2266" s="36">
        <f>[5]Elec.Data!K2977</f>
        <v>688</v>
      </c>
    </row>
    <row r="2267" spans="6:12" ht="30.75" customHeight="1">
      <c r="F2267" s="38">
        <v>68</v>
      </c>
      <c r="H2267" s="3" t="s">
        <v>1286</v>
      </c>
      <c r="K2267" s="36">
        <f>[5]Elec.Data!K2965</f>
        <v>934</v>
      </c>
    </row>
    <row r="2268" spans="6:12" ht="30.75" customHeight="1">
      <c r="F2268" s="38">
        <v>69</v>
      </c>
      <c r="H2268" s="3" t="s">
        <v>2151</v>
      </c>
      <c r="K2268" s="36">
        <f>[5]Elec.Data!K2988</f>
        <v>129</v>
      </c>
    </row>
    <row r="2269" spans="6:12" ht="30.75" customHeight="1">
      <c r="F2269" s="38" t="s">
        <v>2152</v>
      </c>
      <c r="H2269" s="3" t="s">
        <v>1351</v>
      </c>
      <c r="K2269" s="36">
        <f>[5]Elec.Data!K3135</f>
        <v>462</v>
      </c>
    </row>
    <row r="2270" spans="6:12" ht="30.75" customHeight="1">
      <c r="F2270" s="38" t="s">
        <v>2153</v>
      </c>
      <c r="H2270" s="3" t="s">
        <v>2154</v>
      </c>
      <c r="J2270" s="10"/>
      <c r="K2270" s="36"/>
      <c r="L2270" s="5">
        <f>37.7*90</f>
        <v>3393.0000000000005</v>
      </c>
    </row>
    <row r="2271" spans="6:12" ht="30.75" customHeight="1">
      <c r="F2271" s="38" t="s">
        <v>2155</v>
      </c>
      <c r="H2271" s="3" t="s">
        <v>2156</v>
      </c>
      <c r="K2271" s="24">
        <v>12</v>
      </c>
    </row>
    <row r="2272" spans="6:12" ht="24" customHeight="1">
      <c r="F2272" s="38" t="s">
        <v>2157</v>
      </c>
      <c r="H2272" s="3" t="s">
        <v>2158</v>
      </c>
      <c r="K2272" s="107">
        <v>10</v>
      </c>
    </row>
    <row r="2273" spans="6:11" ht="24" customHeight="1">
      <c r="F2273" s="38">
        <v>71</v>
      </c>
      <c r="H2273" s="3" t="s">
        <v>1352</v>
      </c>
      <c r="K2273" s="36">
        <f>[3]Elec.Data!K3154</f>
        <v>562</v>
      </c>
    </row>
    <row r="2274" spans="6:11" ht="24" customHeight="1">
      <c r="F2274" s="38">
        <v>72</v>
      </c>
      <c r="H2274" s="3" t="s">
        <v>2159</v>
      </c>
      <c r="K2274" s="107">
        <v>33.9</v>
      </c>
    </row>
    <row r="2275" spans="6:11" ht="24" customHeight="1">
      <c r="F2275" s="38" t="s">
        <v>2160</v>
      </c>
      <c r="H2275" s="3" t="s">
        <v>1355</v>
      </c>
      <c r="K2275" s="36">
        <f>[5]Elec.Data!K3233</f>
        <v>4020</v>
      </c>
    </row>
    <row r="2276" spans="6:11" ht="24" customHeight="1">
      <c r="F2276" s="38" t="s">
        <v>2161</v>
      </c>
      <c r="H2276" s="3" t="s">
        <v>2162</v>
      </c>
      <c r="K2276" s="36">
        <f>[5]Elec.Data!K3221</f>
        <v>3250</v>
      </c>
    </row>
    <row r="2277" spans="6:11" ht="24" customHeight="1">
      <c r="F2277" s="38">
        <v>74</v>
      </c>
      <c r="H2277" s="3" t="s">
        <v>242</v>
      </c>
      <c r="K2277" s="36">
        <f>[5]Elec.Data!K3277</f>
        <v>467</v>
      </c>
    </row>
    <row r="2278" spans="6:11" ht="24" customHeight="1">
      <c r="F2278" s="38" t="s">
        <v>2163</v>
      </c>
      <c r="H2278" s="3" t="s">
        <v>2164</v>
      </c>
      <c r="K2278" s="36">
        <v>1185</v>
      </c>
    </row>
    <row r="2279" spans="6:11" ht="24" customHeight="1">
      <c r="F2279" s="38" t="s">
        <v>2165</v>
      </c>
      <c r="H2279" s="3" t="s">
        <v>1358</v>
      </c>
    </row>
    <row r="2280" spans="6:11" ht="24" customHeight="1">
      <c r="F2280" s="38">
        <v>112</v>
      </c>
      <c r="H2280" s="3" t="s">
        <v>2166</v>
      </c>
      <c r="K2280" s="36">
        <f>[5]Elec.Data!K3744</f>
        <v>1920</v>
      </c>
    </row>
    <row r="2281" spans="6:11" ht="34.5" customHeight="1">
      <c r="F2281" s="38">
        <v>76</v>
      </c>
      <c r="H2281" s="3" t="s">
        <v>1360</v>
      </c>
      <c r="K2281" s="36">
        <f>[5]Elec.Data!K3295</f>
        <v>0</v>
      </c>
    </row>
    <row r="2282" spans="6:11" ht="31.5" customHeight="1">
      <c r="F2282" s="38">
        <v>77</v>
      </c>
      <c r="H2282" s="3" t="s">
        <v>2167</v>
      </c>
      <c r="K2282" s="36">
        <f>[5]Elec.Data!K3080</f>
        <v>172</v>
      </c>
    </row>
    <row r="2283" spans="6:11" ht="38.25" customHeight="1">
      <c r="F2283" s="267">
        <v>77.099999999999994</v>
      </c>
      <c r="H2283" s="62" t="s">
        <v>2168</v>
      </c>
      <c r="K2283" s="268">
        <f>[5]Elec.Data!K3105</f>
        <v>219</v>
      </c>
    </row>
    <row r="2284" spans="6:11" ht="24" customHeight="1">
      <c r="F2284" s="51">
        <v>77.2</v>
      </c>
      <c r="H2284" s="3" t="s">
        <v>2169</v>
      </c>
      <c r="K2284" s="36">
        <v>500</v>
      </c>
    </row>
    <row r="2285" spans="6:11" ht="24" customHeight="1">
      <c r="F2285" s="51">
        <v>77.3</v>
      </c>
      <c r="H2285" s="3" t="s">
        <v>2170</v>
      </c>
      <c r="K2285" s="45">
        <f>[5]Elec.Data!K3712</f>
        <v>80</v>
      </c>
    </row>
    <row r="2286" spans="6:11" ht="24" customHeight="1">
      <c r="F2286" s="38">
        <v>78</v>
      </c>
      <c r="H2286" s="3" t="s">
        <v>1366</v>
      </c>
      <c r="K2286" s="36">
        <f>[5]Elec.Data!K3319</f>
        <v>2355</v>
      </c>
    </row>
    <row r="2287" spans="6:11" ht="24" customHeight="1">
      <c r="F2287" s="38">
        <v>80</v>
      </c>
      <c r="H2287" s="3" t="s">
        <v>1373</v>
      </c>
      <c r="K2287" s="36">
        <f>[5]Elec.Data!K3441</f>
        <v>718</v>
      </c>
    </row>
    <row r="2288" spans="6:11" ht="24" customHeight="1">
      <c r="F2288" s="38">
        <v>81</v>
      </c>
      <c r="H2288" s="3" t="s">
        <v>1376</v>
      </c>
      <c r="K2288" s="17">
        <f>K2255</f>
        <v>2211.570987654321</v>
      </c>
    </row>
    <row r="2289" spans="6:33" ht="24" customHeight="1">
      <c r="F2289" s="38">
        <v>82</v>
      </c>
      <c r="H2289" s="3" t="s">
        <v>1378</v>
      </c>
      <c r="K2289" s="36">
        <f>[5]Elec.Data!K3638</f>
        <v>2579</v>
      </c>
    </row>
    <row r="2290" spans="6:33" ht="24" customHeight="1">
      <c r="F2290" s="38">
        <v>87</v>
      </c>
      <c r="H2290" s="3" t="s">
        <v>1381</v>
      </c>
      <c r="K2290" s="36">
        <f>[5]Elec.Data!K3458</f>
        <v>2505</v>
      </c>
    </row>
    <row r="2291" spans="6:33" ht="24" customHeight="1">
      <c r="H2291" s="269" t="s">
        <v>2171</v>
      </c>
      <c r="K2291" s="36">
        <f>[5]Elec.Data!K3762</f>
        <v>1770</v>
      </c>
    </row>
    <row r="2292" spans="6:33" ht="24" customHeight="1">
      <c r="H2292" s="270" t="s">
        <v>2172</v>
      </c>
      <c r="K2292" s="36">
        <v>137</v>
      </c>
    </row>
    <row r="2293" spans="6:33" ht="28.5" customHeight="1">
      <c r="F2293" s="271">
        <v>77.400000000000006</v>
      </c>
      <c r="H2293" s="272" t="s">
        <v>2173</v>
      </c>
    </row>
    <row r="2294" spans="6:33" ht="27" customHeight="1">
      <c r="H2294" s="3" t="s">
        <v>2146</v>
      </c>
    </row>
    <row r="2295" spans="6:33" ht="42.75" customHeight="1">
      <c r="F2295" s="5">
        <v>90</v>
      </c>
      <c r="G2295" s="6" t="s">
        <v>2174</v>
      </c>
      <c r="H2295" s="249" t="s">
        <v>2175</v>
      </c>
      <c r="I2295" s="273">
        <v>17.100000000000001</v>
      </c>
      <c r="J2295" s="8" t="s">
        <v>2174</v>
      </c>
      <c r="K2295" s="5">
        <f>I2295*F2295</f>
        <v>1539.0000000000002</v>
      </c>
    </row>
    <row r="2296" spans="6:33" ht="24" customHeight="1">
      <c r="F2296" s="5">
        <v>0.15</v>
      </c>
      <c r="G2296" s="6" t="s">
        <v>1123</v>
      </c>
      <c r="H2296" s="5" t="s">
        <v>125</v>
      </c>
      <c r="I2296" s="5">
        <f>AC31</f>
        <v>5800</v>
      </c>
      <c r="J2296" s="8" t="s">
        <v>1123</v>
      </c>
      <c r="K2296" s="5">
        <f>I2296*F2296</f>
        <v>870</v>
      </c>
    </row>
    <row r="2297" spans="6:33" ht="24" customHeight="1">
      <c r="F2297" s="5">
        <v>1</v>
      </c>
      <c r="G2297" s="6" t="s">
        <v>1</v>
      </c>
      <c r="H2297" s="5" t="s">
        <v>2176</v>
      </c>
      <c r="I2297" s="274">
        <f>C809</f>
        <v>636</v>
      </c>
      <c r="J2297" s="8" t="s">
        <v>1</v>
      </c>
      <c r="K2297" s="5">
        <f>I2297*F2297</f>
        <v>636</v>
      </c>
    </row>
    <row r="2298" spans="6:33" ht="24" customHeight="1">
      <c r="F2298" s="5">
        <v>2</v>
      </c>
      <c r="G2298" s="6" t="s">
        <v>1</v>
      </c>
      <c r="H2298" s="5" t="s">
        <v>145</v>
      </c>
      <c r="I2298" s="5">
        <f>AE10</f>
        <v>718</v>
      </c>
      <c r="J2298" s="8" t="s">
        <v>1</v>
      </c>
      <c r="K2298" s="5">
        <f>I2298*F2298</f>
        <v>1436</v>
      </c>
    </row>
    <row r="2299" spans="6:33" ht="24" customHeight="1">
      <c r="F2299" s="5">
        <v>4</v>
      </c>
      <c r="G2299" s="6" t="s">
        <v>1</v>
      </c>
      <c r="H2299" s="5" t="str">
        <f>B810</f>
        <v>Electrical HELPERp-15 it-100</v>
      </c>
      <c r="I2299" s="274">
        <f>C810</f>
        <v>497</v>
      </c>
      <c r="J2299" s="8" t="s">
        <v>1</v>
      </c>
      <c r="K2299" s="5">
        <f>I2299*F2299</f>
        <v>1988</v>
      </c>
    </row>
    <row r="2300" spans="6:33" ht="24" customHeight="1">
      <c r="H2300" s="5" t="s">
        <v>2177</v>
      </c>
      <c r="K2300" s="5">
        <v>11.5</v>
      </c>
    </row>
    <row r="2301" spans="6:33" ht="24" customHeight="1">
      <c r="K2301" s="12" t="s">
        <v>117</v>
      </c>
    </row>
    <row r="2302" spans="6:33" ht="36.75" customHeight="1">
      <c r="H2302" s="3" t="s">
        <v>2178</v>
      </c>
      <c r="K2302" s="17">
        <f>SUM(K2295:K2300)</f>
        <v>6480.5</v>
      </c>
    </row>
    <row r="2303" spans="6:33" ht="24" customHeight="1">
      <c r="K2303" s="12" t="s">
        <v>117</v>
      </c>
    </row>
    <row r="2304" spans="6:33" ht="24" customHeight="1">
      <c r="H2304" s="3" t="s">
        <v>2094</v>
      </c>
      <c r="K2304" s="17">
        <f>(K2302/90)</f>
        <v>72.00555555555556</v>
      </c>
      <c r="AG2304" s="5">
        <v>0</v>
      </c>
    </row>
    <row r="2305" spans="5:253" ht="24" customHeight="1">
      <c r="K2305" s="12" t="s">
        <v>155</v>
      </c>
      <c r="IS2305" s="5">
        <v>0</v>
      </c>
    </row>
    <row r="2307" spans="5:253" ht="24" customHeight="1">
      <c r="F2307" s="106">
        <v>78.099999999999994</v>
      </c>
      <c r="H2307" s="7" t="s">
        <v>2179</v>
      </c>
      <c r="L2307" s="5">
        <f>31.5+85</f>
        <v>116.5</v>
      </c>
    </row>
    <row r="2308" spans="5:253" ht="24" customHeight="1">
      <c r="H2308" s="3" t="s">
        <v>2146</v>
      </c>
      <c r="L2308" s="5">
        <f>L2307*10%</f>
        <v>11.65</v>
      </c>
    </row>
    <row r="2309" spans="5:253" ht="24" customHeight="1">
      <c r="F2309" s="5">
        <v>2.5</v>
      </c>
      <c r="G2309" s="6" t="s">
        <v>1</v>
      </c>
      <c r="H2309" s="5" t="s">
        <v>2180</v>
      </c>
      <c r="I2309" s="113">
        <f>C395</f>
        <v>163</v>
      </c>
      <c r="J2309" s="8" t="s">
        <v>1</v>
      </c>
      <c r="K2309" s="5">
        <f t="shared" ref="K2309:K2314" si="231">I2309*F2309</f>
        <v>407.5</v>
      </c>
    </row>
    <row r="2310" spans="5:253" ht="24" customHeight="1">
      <c r="F2310" s="5">
        <v>20</v>
      </c>
      <c r="G2310" s="6" t="s">
        <v>1962</v>
      </c>
      <c r="H2310" s="275" t="s">
        <v>2181</v>
      </c>
      <c r="I2310" s="276">
        <f>[5]Elec.Data!I3313</f>
        <v>4.96</v>
      </c>
      <c r="J2310" s="8" t="s">
        <v>1962</v>
      </c>
      <c r="K2310" s="5">
        <f t="shared" si="231"/>
        <v>99.2</v>
      </c>
    </row>
    <row r="2311" spans="5:253" ht="24" customHeight="1">
      <c r="F2311" s="5">
        <v>9</v>
      </c>
      <c r="G2311" s="6" t="s">
        <v>1962</v>
      </c>
      <c r="H2311" s="5" t="s">
        <v>2182</v>
      </c>
      <c r="I2311" s="113">
        <f>[5]Elec.Data!I3316</f>
        <v>3.7</v>
      </c>
      <c r="J2311" s="8" t="s">
        <v>1962</v>
      </c>
      <c r="K2311" s="5">
        <f t="shared" si="231"/>
        <v>33.300000000000004</v>
      </c>
    </row>
    <row r="2312" spans="5:253" ht="51.75" customHeight="1">
      <c r="F2312" s="5">
        <v>0.5</v>
      </c>
      <c r="G2312" s="6" t="s">
        <v>1962</v>
      </c>
      <c r="H2312" s="5" t="s">
        <v>2183</v>
      </c>
      <c r="I2312" s="277">
        <f>[5]Elec.Data!I3289</f>
        <v>82.6</v>
      </c>
      <c r="J2312" s="8" t="s">
        <v>1962</v>
      </c>
      <c r="K2312" s="5">
        <f t="shared" si="231"/>
        <v>41.3</v>
      </c>
    </row>
    <row r="2313" spans="5:253" ht="36.75" customHeight="1">
      <c r="E2313" s="9">
        <f>25.2/5</f>
        <v>5.04</v>
      </c>
      <c r="F2313" s="5">
        <v>0.5</v>
      </c>
      <c r="G2313" s="6" t="s">
        <v>1</v>
      </c>
      <c r="H2313" s="5" t="s">
        <v>2184</v>
      </c>
      <c r="I2313" s="5">
        <f>I2297</f>
        <v>636</v>
      </c>
      <c r="J2313" s="8" t="s">
        <v>1</v>
      </c>
      <c r="K2313" s="5">
        <f t="shared" si="231"/>
        <v>318</v>
      </c>
    </row>
    <row r="2314" spans="5:253" ht="24" customHeight="1">
      <c r="F2314" s="5">
        <v>1</v>
      </c>
      <c r="G2314" s="6" t="s">
        <v>1</v>
      </c>
      <c r="H2314" s="5" t="s">
        <v>2185</v>
      </c>
      <c r="I2314" s="5">
        <f>I2299</f>
        <v>497</v>
      </c>
      <c r="J2314" s="8" t="s">
        <v>1</v>
      </c>
      <c r="K2314" s="5">
        <f t="shared" si="231"/>
        <v>497</v>
      </c>
    </row>
    <row r="2315" spans="5:253" ht="45.75" customHeight="1">
      <c r="G2315" s="6" t="s">
        <v>166</v>
      </c>
      <c r="H2315" s="120" t="s">
        <v>2186</v>
      </c>
      <c r="J2315" s="8" t="s">
        <v>166</v>
      </c>
      <c r="K2315" s="5">
        <v>200</v>
      </c>
    </row>
    <row r="2316" spans="5:253" ht="24" customHeight="1">
      <c r="G2316" s="6" t="s">
        <v>166</v>
      </c>
      <c r="H2316" s="5" t="s">
        <v>2187</v>
      </c>
      <c r="J2316" s="8" t="s">
        <v>166</v>
      </c>
      <c r="K2316" s="5">
        <v>8.32</v>
      </c>
    </row>
    <row r="2317" spans="5:253" ht="24" customHeight="1">
      <c r="K2317" s="12" t="s">
        <v>117</v>
      </c>
    </row>
    <row r="2318" spans="5:253" ht="24" customHeight="1">
      <c r="H2318" s="5" t="s">
        <v>1440</v>
      </c>
      <c r="K2318" s="17">
        <f>SUM(K2309:K2316)</f>
        <v>1604.62</v>
      </c>
      <c r="L2318" s="5">
        <f>K2352/3</f>
        <v>29.117999999999999</v>
      </c>
    </row>
    <row r="2319" spans="5:253" ht="27" customHeight="1">
      <c r="K2319" s="12" t="s">
        <v>117</v>
      </c>
    </row>
    <row r="2320" spans="5:253" ht="45" customHeight="1">
      <c r="H2320" s="50" t="s">
        <v>2188</v>
      </c>
    </row>
    <row r="2321" spans="6:19" ht="24" customHeight="1">
      <c r="F2321" s="5">
        <v>0.7</v>
      </c>
      <c r="G2321" s="6" t="s">
        <v>1</v>
      </c>
      <c r="H2321" s="5" t="s">
        <v>2189</v>
      </c>
      <c r="I2321" s="5">
        <f>C17</f>
        <v>679</v>
      </c>
      <c r="J2321" s="8" t="s">
        <v>227</v>
      </c>
      <c r="K2321" s="5">
        <f>I2321*F2321</f>
        <v>475.29999999999995</v>
      </c>
      <c r="S2321" s="9">
        <f>R2359+R2360</f>
        <v>681.5</v>
      </c>
    </row>
    <row r="2322" spans="6:19" ht="24" customHeight="1">
      <c r="F2322" s="5">
        <v>0.5</v>
      </c>
      <c r="G2322" s="6" t="s">
        <v>1</v>
      </c>
      <c r="H2322" s="5" t="s">
        <v>2190</v>
      </c>
      <c r="I2322" s="5">
        <f>C12</f>
        <v>502</v>
      </c>
      <c r="J2322" s="8" t="s">
        <v>227</v>
      </c>
      <c r="K2322" s="5">
        <f>I2322*F2322</f>
        <v>251</v>
      </c>
    </row>
    <row r="2323" spans="6:19" ht="24" customHeight="1">
      <c r="H2323" s="5" t="s">
        <v>2191</v>
      </c>
      <c r="K2323" s="5">
        <f>SUM(K2321:K2322)</f>
        <v>726.3</v>
      </c>
    </row>
    <row r="2324" spans="6:19" ht="24" customHeight="1">
      <c r="H2324" s="5" t="s">
        <v>2192</v>
      </c>
      <c r="K2324" s="50">
        <f>K2323/8.16</f>
        <v>89.007352941176464</v>
      </c>
    </row>
    <row r="2326" spans="6:19" ht="24" customHeight="1">
      <c r="H2326" s="50" t="s">
        <v>2193</v>
      </c>
    </row>
    <row r="2327" spans="6:19" ht="24" customHeight="1">
      <c r="F2327" s="5">
        <v>2</v>
      </c>
      <c r="G2327" s="6" t="s">
        <v>654</v>
      </c>
      <c r="H2327" s="5" t="s">
        <v>2194</v>
      </c>
      <c r="I2327" s="278">
        <v>60.9</v>
      </c>
      <c r="J2327" s="8" t="s">
        <v>654</v>
      </c>
      <c r="K2327" s="5">
        <f>I2327*F2327</f>
        <v>121.8</v>
      </c>
    </row>
    <row r="2328" spans="6:19" ht="24" customHeight="1">
      <c r="F2328" s="5">
        <v>0.2</v>
      </c>
      <c r="G2328" s="6" t="s">
        <v>654</v>
      </c>
      <c r="H2328" s="5" t="s">
        <v>2195</v>
      </c>
      <c r="I2328" s="5">
        <f>C143/1000</f>
        <v>43.75</v>
      </c>
      <c r="J2328" s="8" t="s">
        <v>654</v>
      </c>
      <c r="K2328" s="5">
        <f>I2328*F2328</f>
        <v>8.75</v>
      </c>
    </row>
    <row r="2329" spans="6:19" ht="24" customHeight="1">
      <c r="F2329" s="5">
        <v>2</v>
      </c>
      <c r="G2329" s="6" t="s">
        <v>654</v>
      </c>
      <c r="H2329" s="5" t="s">
        <v>2196</v>
      </c>
      <c r="I2329" s="5">
        <f>K2324</f>
        <v>89.007352941176464</v>
      </c>
      <c r="J2329" s="8" t="s">
        <v>654</v>
      </c>
      <c r="K2329" s="5">
        <f>I2329*F2329</f>
        <v>178.01470588235293</v>
      </c>
    </row>
    <row r="2330" spans="6:19" ht="24" customHeight="1">
      <c r="H2330" s="5" t="s">
        <v>2197</v>
      </c>
      <c r="K2330" s="5">
        <f>SUM(K2327:K2329)</f>
        <v>308.56470588235294</v>
      </c>
    </row>
    <row r="2331" spans="6:19" ht="24" customHeight="1">
      <c r="H2331" s="5" t="s">
        <v>2198</v>
      </c>
      <c r="K2331" s="50">
        <f>K2330/10</f>
        <v>30.856470588235293</v>
      </c>
    </row>
    <row r="2333" spans="6:19" ht="24" customHeight="1">
      <c r="H2333" s="50" t="s">
        <v>2199</v>
      </c>
      <c r="N2333" s="6"/>
      <c r="O2333" s="50" t="s">
        <v>2200</v>
      </c>
      <c r="Q2333" s="8"/>
    </row>
    <row r="2334" spans="6:19" ht="24" customHeight="1">
      <c r="F2334" s="5">
        <v>0.25</v>
      </c>
      <c r="G2334" s="6" t="s">
        <v>233</v>
      </c>
      <c r="H2334" s="5" t="s">
        <v>2201</v>
      </c>
      <c r="I2334" s="5">
        <f>C11</f>
        <v>718</v>
      </c>
      <c r="J2334" s="8" t="s">
        <v>227</v>
      </c>
      <c r="K2334" s="5">
        <f>I2334*F2334</f>
        <v>179.5</v>
      </c>
      <c r="M2334" s="5">
        <v>15</v>
      </c>
      <c r="N2334" s="6" t="s">
        <v>110</v>
      </c>
      <c r="O2334" s="190" t="s">
        <v>2202</v>
      </c>
      <c r="P2334" s="79">
        <v>157.19999999999999</v>
      </c>
      <c r="Q2334" s="8" t="s">
        <v>110</v>
      </c>
      <c r="R2334" s="5">
        <f>P2334*M2334</f>
        <v>2358</v>
      </c>
    </row>
    <row r="2335" spans="6:19" ht="24" customHeight="1">
      <c r="F2335" s="5">
        <v>1</v>
      </c>
      <c r="G2335" s="6" t="s">
        <v>233</v>
      </c>
      <c r="H2335" s="5" t="s">
        <v>2190</v>
      </c>
      <c r="I2335" s="5">
        <f>C12</f>
        <v>502</v>
      </c>
      <c r="J2335" s="8" t="s">
        <v>227</v>
      </c>
      <c r="K2335" s="5">
        <f>I2335*F2335</f>
        <v>502</v>
      </c>
      <c r="M2335" s="5">
        <v>0.5</v>
      </c>
      <c r="N2335" s="6" t="s">
        <v>654</v>
      </c>
      <c r="O2335" s="5" t="s">
        <v>2195</v>
      </c>
      <c r="P2335" s="5">
        <f>C143/1000</f>
        <v>43.75</v>
      </c>
      <c r="Q2335" s="8" t="s">
        <v>654</v>
      </c>
      <c r="R2335" s="5">
        <f>P2335*M2335</f>
        <v>21.875</v>
      </c>
    </row>
    <row r="2336" spans="6:19" ht="24" customHeight="1">
      <c r="G2336" s="8" t="s">
        <v>129</v>
      </c>
      <c r="H2336" s="5" t="s">
        <v>2203</v>
      </c>
      <c r="I2336" s="5">
        <f>SUM(K2334:K2335)*10/100</f>
        <v>68.150000000000006</v>
      </c>
      <c r="J2336" s="8" t="s">
        <v>129</v>
      </c>
      <c r="K2336" s="5">
        <f>I2336</f>
        <v>68.150000000000006</v>
      </c>
      <c r="M2336" s="5">
        <v>0.5</v>
      </c>
      <c r="N2336" s="6" t="s">
        <v>233</v>
      </c>
      <c r="O2336" s="5" t="s">
        <v>2189</v>
      </c>
      <c r="P2336" s="5">
        <f>C17</f>
        <v>679</v>
      </c>
      <c r="Q2336" s="8" t="s">
        <v>654</v>
      </c>
      <c r="R2336" s="5">
        <f>P2336*M2336</f>
        <v>339.5</v>
      </c>
    </row>
    <row r="2337" spans="4:18" ht="24" customHeight="1">
      <c r="H2337" s="5" t="s">
        <v>2204</v>
      </c>
      <c r="K2337" s="5">
        <f>SUM(K2334:K2336)</f>
        <v>749.65</v>
      </c>
      <c r="M2337" s="5">
        <v>0.5</v>
      </c>
      <c r="N2337" s="6" t="s">
        <v>233</v>
      </c>
      <c r="O2337" s="5" t="s">
        <v>2190</v>
      </c>
      <c r="P2337" s="5">
        <f>C12</f>
        <v>502</v>
      </c>
      <c r="Q2337" s="8" t="s">
        <v>654</v>
      </c>
      <c r="R2337" s="5">
        <f>P2337*M2337</f>
        <v>251</v>
      </c>
    </row>
    <row r="2338" spans="4:18" ht="24" customHeight="1">
      <c r="H2338" s="5" t="s">
        <v>2205</v>
      </c>
      <c r="K2338" s="50">
        <f>K2337/2.44</f>
        <v>307.23360655737707</v>
      </c>
      <c r="N2338" s="6"/>
      <c r="O2338" s="5" t="s">
        <v>2206</v>
      </c>
      <c r="Q2338" s="8"/>
      <c r="R2338" s="5">
        <f>SUM(R2334:R2337)</f>
        <v>2970.375</v>
      </c>
    </row>
    <row r="2339" spans="4:18" ht="24" customHeight="1">
      <c r="K2339" s="5">
        <v>0</v>
      </c>
      <c r="O2339" s="50" t="s">
        <v>2207</v>
      </c>
      <c r="Q2339" s="8"/>
      <c r="R2339" s="50">
        <f>R2338/15</f>
        <v>198.02500000000001</v>
      </c>
    </row>
    <row r="2340" spans="4:18" ht="24" customHeight="1">
      <c r="H2340" s="50" t="s">
        <v>2208</v>
      </c>
    </row>
    <row r="2341" spans="4:18" ht="24" customHeight="1">
      <c r="F2341" s="9">
        <v>7.0999999999999994E-2</v>
      </c>
      <c r="G2341" s="6" t="s">
        <v>2209</v>
      </c>
      <c r="H2341" s="5" t="s">
        <v>2210</v>
      </c>
      <c r="I2341" s="5">
        <f>K280</f>
        <v>6712.4579999999987</v>
      </c>
      <c r="J2341" s="8" t="s">
        <v>2211</v>
      </c>
      <c r="K2341" s="5">
        <f>I2341*F2341</f>
        <v>476.58451799999989</v>
      </c>
    </row>
    <row r="2342" spans="4:18" ht="24" customHeight="1">
      <c r="F2342" s="5">
        <v>1</v>
      </c>
      <c r="G2342" s="6" t="s">
        <v>1944</v>
      </c>
      <c r="H2342" s="5" t="s">
        <v>656</v>
      </c>
      <c r="I2342" s="5">
        <f>K2338</f>
        <v>307.23360655737707</v>
      </c>
      <c r="J2342" s="8" t="s">
        <v>1944</v>
      </c>
      <c r="K2342" s="5">
        <f>I2342*F2342</f>
        <v>307.23360655737707</v>
      </c>
    </row>
    <row r="2343" spans="4:18" ht="43.5" customHeight="1">
      <c r="F2343" s="5" t="s">
        <v>115</v>
      </c>
      <c r="H2343" s="5" t="s">
        <v>2212</v>
      </c>
      <c r="K2343" s="50">
        <f>SUM(K2341:K2342)</f>
        <v>783.8181245573769</v>
      </c>
      <c r="N2343" s="6"/>
      <c r="O2343" s="1502" t="s">
        <v>2213</v>
      </c>
      <c r="P2343" s="1503"/>
      <c r="Q2343" s="1503"/>
    </row>
    <row r="2344" spans="4:18" ht="51" customHeight="1">
      <c r="M2344" s="5">
        <v>0.47</v>
      </c>
      <c r="N2344" s="6" t="s">
        <v>429</v>
      </c>
      <c r="O2344" s="5" t="s">
        <v>1938</v>
      </c>
      <c r="P2344" s="5">
        <f>K90</f>
        <v>168</v>
      </c>
      <c r="Q2344" s="8" t="s">
        <v>227</v>
      </c>
      <c r="R2344" s="5">
        <f>P2344*M2344</f>
        <v>78.959999999999994</v>
      </c>
    </row>
    <row r="2346" spans="4:18" ht="36.75" customHeight="1">
      <c r="H2346" s="279" t="s">
        <v>2214</v>
      </c>
      <c r="K2346" s="9"/>
      <c r="M2346" s="5">
        <v>0.24</v>
      </c>
      <c r="N2346" s="6" t="s">
        <v>429</v>
      </c>
      <c r="O2346" s="5" t="s">
        <v>2215</v>
      </c>
      <c r="P2346" s="5">
        <f>AC15</f>
        <v>1243.02</v>
      </c>
      <c r="Q2346" s="8" t="s">
        <v>227</v>
      </c>
      <c r="R2346" s="5">
        <f>P2346*M2346</f>
        <v>298.32479999999998</v>
      </c>
    </row>
    <row r="2347" spans="4:18" ht="41.25" customHeight="1">
      <c r="D2347" s="5">
        <f>24/5</f>
        <v>4.8</v>
      </c>
      <c r="F2347" s="5">
        <v>98.5</v>
      </c>
      <c r="G2347" s="144" t="s">
        <v>203</v>
      </c>
      <c r="H2347" s="280" t="s">
        <v>2216</v>
      </c>
      <c r="I2347" s="281">
        <f>E2313</f>
        <v>5.04</v>
      </c>
      <c r="J2347" s="8" t="s">
        <v>203</v>
      </c>
      <c r="K2347" s="5">
        <f>I2347*F2347</f>
        <v>496.44</v>
      </c>
      <c r="M2347" s="5">
        <v>0.79</v>
      </c>
      <c r="N2347" s="8" t="s">
        <v>174</v>
      </c>
      <c r="O2347" s="119" t="s">
        <v>2217</v>
      </c>
      <c r="P2347" s="5">
        <f>X559</f>
        <v>1274.7074368573351</v>
      </c>
      <c r="Q2347" s="8" t="s">
        <v>129</v>
      </c>
      <c r="R2347" s="5">
        <f>P2347*M2347</f>
        <v>1007.0188751172948</v>
      </c>
    </row>
    <row r="2348" spans="4:18" ht="24" customHeight="1">
      <c r="F2348" s="5">
        <v>0.3</v>
      </c>
      <c r="G2348" s="6" t="s">
        <v>203</v>
      </c>
      <c r="H2348" s="5" t="s">
        <v>1354</v>
      </c>
      <c r="I2348" s="5">
        <f>C16</f>
        <v>752</v>
      </c>
      <c r="J2348" s="8" t="s">
        <v>227</v>
      </c>
      <c r="K2348" s="5">
        <f>I2348*F2348</f>
        <v>225.6</v>
      </c>
      <c r="M2348" s="5">
        <v>0.24</v>
      </c>
      <c r="N2348" s="6" t="s">
        <v>429</v>
      </c>
      <c r="O2348" s="5" t="s">
        <v>653</v>
      </c>
      <c r="P2348" s="5">
        <f>I140</f>
        <v>1322.8</v>
      </c>
      <c r="Q2348" s="8"/>
      <c r="R2348" s="5">
        <f>P2348*M2348</f>
        <v>317.47199999999998</v>
      </c>
    </row>
    <row r="2349" spans="4:18" ht="24" customHeight="1">
      <c r="F2349" s="5">
        <v>0.3</v>
      </c>
      <c r="G2349" s="5" t="s">
        <v>203</v>
      </c>
      <c r="H2349" s="5" t="s">
        <v>2190</v>
      </c>
      <c r="I2349" s="5">
        <f>C12</f>
        <v>502</v>
      </c>
      <c r="J2349" s="8" t="s">
        <v>227</v>
      </c>
      <c r="K2349" s="5">
        <f>I2349*F2349</f>
        <v>150.6</v>
      </c>
      <c r="N2349" s="6"/>
      <c r="O2349" s="5" t="s">
        <v>236</v>
      </c>
      <c r="Q2349" s="8"/>
      <c r="R2349" s="5" t="s">
        <v>2218</v>
      </c>
    </row>
    <row r="2350" spans="4:18" ht="24" customHeight="1">
      <c r="H2350" s="5" t="s">
        <v>2219</v>
      </c>
      <c r="K2350" s="5">
        <v>0.9</v>
      </c>
      <c r="R2350" s="50">
        <f>SUM(R2344:R2348)</f>
        <v>1701.7756751172947</v>
      </c>
    </row>
    <row r="2351" spans="4:18" ht="24" customHeight="1">
      <c r="H2351" s="50" t="s">
        <v>2220</v>
      </c>
      <c r="K2351" s="50">
        <f>SUM(K2347:K2350)</f>
        <v>873.54</v>
      </c>
      <c r="R2351" s="5" t="s">
        <v>2221</v>
      </c>
    </row>
    <row r="2352" spans="4:18" ht="24" customHeight="1">
      <c r="H2352" s="50" t="s">
        <v>2222</v>
      </c>
      <c r="K2352" s="50">
        <f>K2351/10</f>
        <v>87.353999999999999</v>
      </c>
      <c r="R2352" s="5">
        <v>0</v>
      </c>
    </row>
    <row r="2353" spans="6:18" ht="24" customHeight="1">
      <c r="H2353" s="50" t="s">
        <v>2223</v>
      </c>
      <c r="K2353" s="50">
        <f>K2352/3</f>
        <v>29.117999999999999</v>
      </c>
      <c r="N2353" s="6"/>
      <c r="O2353" s="1502" t="s">
        <v>2224</v>
      </c>
      <c r="P2353" s="1503"/>
      <c r="Q2353" s="1503"/>
    </row>
    <row r="2354" spans="6:18" ht="24" customHeight="1">
      <c r="G2354" s="191" t="s">
        <v>2225</v>
      </c>
      <c r="H2354" s="113" t="s">
        <v>2226</v>
      </c>
      <c r="I2354" s="50">
        <f>I2356-K2352</f>
        <v>664.30621999999994</v>
      </c>
      <c r="K2354" s="50"/>
      <c r="M2354" s="5">
        <v>1</v>
      </c>
      <c r="N2354" s="6" t="s">
        <v>429</v>
      </c>
      <c r="O2354" s="5" t="s">
        <v>656</v>
      </c>
      <c r="P2354" s="5">
        <f>R2365</f>
        <v>307.23360655737707</v>
      </c>
      <c r="Q2354" s="8" t="s">
        <v>227</v>
      </c>
      <c r="R2354" s="5">
        <f>P2354*M2354</f>
        <v>307.23360655737707</v>
      </c>
    </row>
    <row r="2355" spans="6:18" ht="24" customHeight="1">
      <c r="G2355" s="75"/>
      <c r="H2355" s="113"/>
      <c r="I2355" s="50"/>
      <c r="K2355" s="50"/>
      <c r="M2355" s="9">
        <v>7.0999999999999994E-2</v>
      </c>
      <c r="N2355" s="6" t="s">
        <v>429</v>
      </c>
      <c r="O2355" s="5" t="s">
        <v>2215</v>
      </c>
      <c r="P2355" s="5">
        <f>P2346</f>
        <v>1243.02</v>
      </c>
      <c r="Q2355" s="8" t="s">
        <v>227</v>
      </c>
      <c r="R2355" s="5">
        <f>P2355*M2355</f>
        <v>88.254419999999996</v>
      </c>
    </row>
    <row r="2356" spans="6:18" ht="24" customHeight="1">
      <c r="G2356" s="191" t="s">
        <v>1225</v>
      </c>
      <c r="H2356" s="113" t="s">
        <v>2227</v>
      </c>
      <c r="I2356" s="50">
        <f>K770</f>
        <v>751.66021999999998</v>
      </c>
      <c r="K2356" s="50"/>
      <c r="R2356" s="5" t="s">
        <v>2218</v>
      </c>
    </row>
    <row r="2357" spans="6:18" ht="24" customHeight="1">
      <c r="G2357" s="75"/>
      <c r="H2357" s="113"/>
      <c r="I2357" s="50"/>
      <c r="K2357" s="50"/>
      <c r="N2357" s="8"/>
      <c r="Q2357" s="8"/>
      <c r="R2357" s="50">
        <f>SUM(R2354:R2355)</f>
        <v>395.48802655737705</v>
      </c>
    </row>
    <row r="2358" spans="6:18" ht="24" customHeight="1">
      <c r="G2358" s="282" t="s">
        <v>1258</v>
      </c>
      <c r="H2358" s="283" t="s">
        <v>2228</v>
      </c>
      <c r="I2358" s="50">
        <f>I2356*1.2</f>
        <v>901.99226399999998</v>
      </c>
      <c r="K2358" s="50"/>
      <c r="N2358" s="6"/>
      <c r="Q2358" s="8"/>
      <c r="R2358" s="5" t="s">
        <v>2218</v>
      </c>
    </row>
    <row r="2359" spans="6:18" ht="24" customHeight="1">
      <c r="G2359" s="191"/>
      <c r="H2359" s="113"/>
      <c r="K2359" s="50"/>
      <c r="M2359" s="5">
        <v>0.25</v>
      </c>
      <c r="N2359" s="6" t="s">
        <v>164</v>
      </c>
      <c r="O2359" s="5" t="s">
        <v>2229</v>
      </c>
      <c r="P2359" s="5">
        <f>AE10</f>
        <v>718</v>
      </c>
      <c r="Q2359" s="8"/>
      <c r="R2359" s="5">
        <f>P2359*M2359</f>
        <v>179.5</v>
      </c>
    </row>
    <row r="2360" spans="6:18" ht="24" customHeight="1">
      <c r="G2360" s="191" t="s">
        <v>2230</v>
      </c>
      <c r="H2360" s="113" t="s">
        <v>2231</v>
      </c>
      <c r="I2360" s="50">
        <f>I2356*1.1</f>
        <v>826.82624200000009</v>
      </c>
      <c r="K2360" s="50"/>
      <c r="M2360" s="5">
        <v>1</v>
      </c>
      <c r="N2360" s="6" t="s">
        <v>164</v>
      </c>
      <c r="O2360" s="5" t="s">
        <v>2232</v>
      </c>
      <c r="P2360" s="5">
        <f>AE11</f>
        <v>502</v>
      </c>
      <c r="R2360" s="5">
        <f>P2360*M2360</f>
        <v>502</v>
      </c>
    </row>
    <row r="2361" spans="6:18" ht="42" customHeight="1">
      <c r="H2361" s="113"/>
      <c r="K2361" s="50"/>
      <c r="M2361" s="5">
        <v>1</v>
      </c>
      <c r="N2361" s="5" t="s">
        <v>164</v>
      </c>
      <c r="O2361" s="249" t="s">
        <v>2233</v>
      </c>
      <c r="P2361" s="5" t="s">
        <v>166</v>
      </c>
      <c r="R2361" s="5">
        <f>(R2359+R2360)*10%</f>
        <v>68.150000000000006</v>
      </c>
    </row>
    <row r="2362" spans="6:18" ht="24" customHeight="1">
      <c r="R2362" s="5" t="s">
        <v>2218</v>
      </c>
    </row>
    <row r="2363" spans="6:18" ht="24" customHeight="1">
      <c r="H2363" s="50" t="s">
        <v>2234</v>
      </c>
      <c r="R2363" s="50">
        <f>SUM(R2359:R2361)</f>
        <v>749.65</v>
      </c>
    </row>
    <row r="2364" spans="6:18" ht="24" customHeight="1">
      <c r="F2364" s="5">
        <v>11.5</v>
      </c>
      <c r="G2364" s="6" t="s">
        <v>174</v>
      </c>
      <c r="H2364" s="109" t="s">
        <v>2235</v>
      </c>
      <c r="I2364" s="43">
        <v>186</v>
      </c>
      <c r="J2364" s="8" t="s">
        <v>174</v>
      </c>
      <c r="K2364" s="5">
        <f t="shared" ref="K2364:K2369" si="232">F2364*I2364</f>
        <v>2139</v>
      </c>
      <c r="R2364" s="5" t="s">
        <v>2218</v>
      </c>
    </row>
    <row r="2365" spans="6:18" ht="24" customHeight="1">
      <c r="F2365" s="5">
        <v>2</v>
      </c>
      <c r="G2365" s="6" t="s">
        <v>2236</v>
      </c>
      <c r="H2365" s="109" t="s">
        <v>2237</v>
      </c>
      <c r="I2365" s="43">
        <v>192.6</v>
      </c>
      <c r="J2365" s="8" t="s">
        <v>2238</v>
      </c>
      <c r="K2365" s="5">
        <f t="shared" si="232"/>
        <v>385.2</v>
      </c>
      <c r="R2365" s="5">
        <f>R2363/2.44</f>
        <v>307.23360655737707</v>
      </c>
    </row>
    <row r="2366" spans="6:18" ht="24" customHeight="1">
      <c r="F2366" s="5">
        <v>20</v>
      </c>
      <c r="G2366" s="6" t="s">
        <v>2239</v>
      </c>
      <c r="H2366" s="284" t="s">
        <v>2240</v>
      </c>
      <c r="I2366" s="43">
        <v>3.84</v>
      </c>
      <c r="J2366" s="8" t="s">
        <v>2239</v>
      </c>
      <c r="K2366" s="5">
        <f t="shared" si="232"/>
        <v>76.8</v>
      </c>
    </row>
    <row r="2367" spans="6:18" ht="24" customHeight="1">
      <c r="F2367" s="5">
        <v>2.2000000000000002</v>
      </c>
      <c r="G2367" s="6" t="s">
        <v>164</v>
      </c>
      <c r="H2367" s="5" t="s">
        <v>2241</v>
      </c>
      <c r="I2367" s="5">
        <f>AE18</f>
        <v>660</v>
      </c>
      <c r="J2367" s="8" t="s">
        <v>227</v>
      </c>
      <c r="K2367" s="5">
        <f t="shared" si="232"/>
        <v>1452.0000000000002</v>
      </c>
    </row>
    <row r="2368" spans="6:18" ht="24" customHeight="1">
      <c r="F2368" s="5">
        <v>1.1000000000000001</v>
      </c>
      <c r="G2368" s="6" t="s">
        <v>164</v>
      </c>
      <c r="H2368" s="5" t="s">
        <v>2242</v>
      </c>
      <c r="I2368" s="5">
        <f>C16</f>
        <v>752</v>
      </c>
      <c r="J2368" s="8" t="s">
        <v>227</v>
      </c>
      <c r="K2368" s="5">
        <f t="shared" si="232"/>
        <v>827.2</v>
      </c>
    </row>
    <row r="2369" spans="6:18" ht="24" customHeight="1">
      <c r="F2369" s="5">
        <v>3.2</v>
      </c>
      <c r="G2369" s="6" t="s">
        <v>164</v>
      </c>
      <c r="H2369" s="5" t="s">
        <v>2243</v>
      </c>
      <c r="I2369" s="5">
        <f>C12</f>
        <v>502</v>
      </c>
      <c r="J2369" s="8" t="s">
        <v>227</v>
      </c>
      <c r="K2369" s="5">
        <f t="shared" si="232"/>
        <v>1606.4</v>
      </c>
      <c r="O2369" s="10"/>
    </row>
    <row r="2370" spans="6:18" ht="24" customHeight="1">
      <c r="H2370" s="5" t="s">
        <v>2244</v>
      </c>
      <c r="J2370" s="8" t="s">
        <v>129</v>
      </c>
      <c r="K2370" s="5">
        <v>0.5</v>
      </c>
      <c r="N2370" s="6"/>
      <c r="O2370" s="285" t="s">
        <v>2245</v>
      </c>
      <c r="Q2370" s="8"/>
    </row>
    <row r="2371" spans="6:18" ht="24" customHeight="1">
      <c r="K2371" s="53" t="s">
        <v>1586</v>
      </c>
      <c r="M2371" s="5">
        <v>11</v>
      </c>
      <c r="N2371" s="6" t="s">
        <v>174</v>
      </c>
      <c r="O2371" s="113" t="s">
        <v>2246</v>
      </c>
      <c r="P2371" s="39">
        <f>I2364</f>
        <v>186</v>
      </c>
      <c r="Q2371" s="8" t="s">
        <v>174</v>
      </c>
      <c r="R2371" s="5">
        <f>M2371*P2371</f>
        <v>2046</v>
      </c>
    </row>
    <row r="2372" spans="6:18" ht="24" customHeight="1">
      <c r="H2372" s="285" t="s">
        <v>168</v>
      </c>
      <c r="K2372" s="50">
        <f>SUM(K2364:K2371)</f>
        <v>6487.1</v>
      </c>
      <c r="M2372" s="5">
        <v>20</v>
      </c>
      <c r="N2372" s="8" t="s">
        <v>1885</v>
      </c>
      <c r="O2372" s="113" t="s">
        <v>2247</v>
      </c>
      <c r="P2372" s="39">
        <f>I2366</f>
        <v>3.84</v>
      </c>
      <c r="Q2372" s="8" t="s">
        <v>1885</v>
      </c>
      <c r="R2372" s="5">
        <f>M2372*P2372</f>
        <v>76.8</v>
      </c>
    </row>
    <row r="2373" spans="6:18" ht="24" customHeight="1">
      <c r="K2373" s="53" t="s">
        <v>1586</v>
      </c>
      <c r="M2373" s="5">
        <v>2.2000000000000002</v>
      </c>
      <c r="N2373" s="6" t="s">
        <v>164</v>
      </c>
      <c r="O2373" s="5" t="s">
        <v>2241</v>
      </c>
      <c r="P2373" s="5">
        <f>AE18</f>
        <v>660</v>
      </c>
      <c r="Q2373" s="8" t="s">
        <v>227</v>
      </c>
      <c r="R2373" s="5">
        <f>M2373*P2373</f>
        <v>1452.0000000000002</v>
      </c>
    </row>
    <row r="2374" spans="6:18" ht="24" customHeight="1">
      <c r="H2374" s="285" t="s">
        <v>1926</v>
      </c>
      <c r="I2374" s="5" t="s">
        <v>115</v>
      </c>
      <c r="K2374" s="50">
        <f>K2372/10</f>
        <v>648.71</v>
      </c>
      <c r="M2374" s="5">
        <v>1.1000000000000001</v>
      </c>
      <c r="N2374" s="6" t="s">
        <v>164</v>
      </c>
      <c r="O2374" s="5" t="s">
        <v>2242</v>
      </c>
      <c r="P2374" s="5">
        <f>I2368</f>
        <v>752</v>
      </c>
      <c r="Q2374" s="8" t="s">
        <v>227</v>
      </c>
      <c r="R2374" s="5">
        <f>M2374*P2374</f>
        <v>827.2</v>
      </c>
    </row>
    <row r="2375" spans="6:18" ht="24" customHeight="1">
      <c r="K2375" s="53" t="s">
        <v>1586</v>
      </c>
      <c r="M2375" s="5">
        <v>3.2</v>
      </c>
      <c r="N2375" s="6" t="s">
        <v>164</v>
      </c>
      <c r="O2375" s="5" t="s">
        <v>2243</v>
      </c>
      <c r="P2375" s="5">
        <f>I2369</f>
        <v>502</v>
      </c>
      <c r="Q2375" s="8" t="s">
        <v>227</v>
      </c>
      <c r="R2375" s="5">
        <f>M2375*P2375</f>
        <v>1606.4</v>
      </c>
    </row>
    <row r="2376" spans="6:18" ht="24" customHeight="1">
      <c r="N2376" s="6"/>
      <c r="O2376" s="5" t="s">
        <v>2244</v>
      </c>
      <c r="Q2376" s="8" t="s">
        <v>166</v>
      </c>
      <c r="R2376" s="5">
        <v>0.74</v>
      </c>
    </row>
    <row r="2378" spans="6:18" ht="39" customHeight="1">
      <c r="G2378" s="5"/>
      <c r="H2378" s="286" t="s">
        <v>2248</v>
      </c>
      <c r="N2378" s="6"/>
      <c r="Q2378" s="8"/>
      <c r="R2378" s="53" t="s">
        <v>1586</v>
      </c>
    </row>
    <row r="2379" spans="6:18" ht="24" customHeight="1">
      <c r="G2379" s="5"/>
      <c r="N2379" s="6"/>
      <c r="O2379" s="285" t="s">
        <v>168</v>
      </c>
      <c r="Q2379" s="8"/>
      <c r="R2379" s="50">
        <f>SUM(R2371:R2378)</f>
        <v>6009.1399999999994</v>
      </c>
    </row>
    <row r="2380" spans="6:18" ht="24" customHeight="1">
      <c r="F2380" s="5" t="s">
        <v>557</v>
      </c>
      <c r="G2380" s="5"/>
      <c r="H2380" s="5" t="s">
        <v>2249</v>
      </c>
      <c r="N2380" s="6"/>
      <c r="Q2380" s="8"/>
      <c r="R2380" s="53" t="s">
        <v>1586</v>
      </c>
    </row>
    <row r="2381" spans="6:18" ht="24" customHeight="1">
      <c r="G2381" s="5"/>
      <c r="H2381" s="5" t="s">
        <v>2250</v>
      </c>
      <c r="N2381" s="6"/>
      <c r="O2381" s="285" t="s">
        <v>2251</v>
      </c>
      <c r="Q2381" s="8"/>
      <c r="R2381" s="50">
        <f>R2379/10</f>
        <v>600.91399999999999</v>
      </c>
    </row>
    <row r="2382" spans="6:18" ht="24" customHeight="1">
      <c r="G2382" s="5"/>
      <c r="N2382" s="6"/>
      <c r="Q2382" s="8"/>
      <c r="R2382" s="53" t="s">
        <v>1586</v>
      </c>
    </row>
    <row r="2383" spans="6:18" ht="24" customHeight="1">
      <c r="F2383" s="5">
        <v>1.96</v>
      </c>
      <c r="G2383" s="5" t="s">
        <v>429</v>
      </c>
      <c r="H2383" s="5" t="s">
        <v>2252</v>
      </c>
      <c r="I2383" s="5">
        <f>K1713</f>
        <v>4959.2280000000001</v>
      </c>
      <c r="J2383" s="3" t="s">
        <v>126</v>
      </c>
      <c r="K2383" s="17">
        <f t="shared" ref="K2383:K2388" si="233">(F2383*I2383)</f>
        <v>9720.0868800000007</v>
      </c>
    </row>
    <row r="2384" spans="6:18" ht="24" customHeight="1">
      <c r="F2384" s="5">
        <v>2</v>
      </c>
      <c r="G2384" s="5" t="s">
        <v>164</v>
      </c>
      <c r="H2384" s="5" t="s">
        <v>2253</v>
      </c>
      <c r="I2384" s="5">
        <f>C10</f>
        <v>769</v>
      </c>
      <c r="J2384" s="3" t="s">
        <v>209</v>
      </c>
      <c r="K2384" s="17">
        <f t="shared" si="233"/>
        <v>1538</v>
      </c>
    </row>
    <row r="2385" spans="5:18" ht="24" customHeight="1">
      <c r="F2385" s="5">
        <v>2</v>
      </c>
      <c r="G2385" s="5" t="s">
        <v>164</v>
      </c>
      <c r="H2385" s="5" t="s">
        <v>2254</v>
      </c>
      <c r="I2385" s="5">
        <f>C13</f>
        <v>412</v>
      </c>
      <c r="J2385" s="3" t="s">
        <v>209</v>
      </c>
      <c r="K2385" s="17">
        <f t="shared" si="233"/>
        <v>824</v>
      </c>
      <c r="N2385" s="15" t="s">
        <v>122</v>
      </c>
      <c r="Q2385" s="8"/>
    </row>
    <row r="2386" spans="5:18" ht="24" customHeight="1">
      <c r="F2386" s="5">
        <v>0.28000000000000003</v>
      </c>
      <c r="G2386" s="5" t="s">
        <v>174</v>
      </c>
      <c r="H2386" s="5" t="s">
        <v>2255</v>
      </c>
      <c r="I2386" s="5">
        <f>I2354</f>
        <v>664.30621999999994</v>
      </c>
      <c r="J2386" s="3" t="s">
        <v>209</v>
      </c>
      <c r="K2386" s="17">
        <f t="shared" si="233"/>
        <v>186.00574159999999</v>
      </c>
      <c r="N2386" s="6"/>
      <c r="O2386" s="3" t="s">
        <v>2256</v>
      </c>
      <c r="Q2386" s="10"/>
    </row>
    <row r="2387" spans="5:18" ht="24" customHeight="1">
      <c r="F2387" s="5">
        <v>500</v>
      </c>
      <c r="G2387" s="5" t="s">
        <v>164</v>
      </c>
      <c r="H2387" s="287" t="s">
        <v>2257</v>
      </c>
      <c r="I2387" s="5">
        <v>2</v>
      </c>
      <c r="J2387" s="3" t="s">
        <v>209</v>
      </c>
      <c r="K2387" s="17">
        <f t="shared" si="233"/>
        <v>1000</v>
      </c>
      <c r="N2387" s="6"/>
      <c r="O2387" s="3" t="s">
        <v>2258</v>
      </c>
      <c r="Q2387" s="10"/>
    </row>
    <row r="2388" spans="5:18" ht="24" customHeight="1">
      <c r="F2388" s="5">
        <v>8.5</v>
      </c>
      <c r="G2388" s="5" t="s">
        <v>2259</v>
      </c>
      <c r="H2388" s="288" t="s">
        <v>2260</v>
      </c>
      <c r="I2388" s="110">
        <v>43.6</v>
      </c>
      <c r="J2388" s="8" t="s">
        <v>2259</v>
      </c>
      <c r="K2388" s="17">
        <f t="shared" si="233"/>
        <v>370.6</v>
      </c>
      <c r="N2388" s="6"/>
      <c r="O2388" s="3" t="s">
        <v>2261</v>
      </c>
      <c r="Q2388" s="10"/>
    </row>
    <row r="2389" spans="5:18" ht="24" customHeight="1">
      <c r="G2389" s="5"/>
      <c r="H2389" s="5" t="s">
        <v>236</v>
      </c>
      <c r="K2389" s="112">
        <v>1.96</v>
      </c>
      <c r="N2389" s="6"/>
      <c r="O2389" s="3" t="s">
        <v>2262</v>
      </c>
      <c r="Q2389" s="10"/>
    </row>
    <row r="2390" spans="5:18" ht="24" customHeight="1">
      <c r="G2390" s="5"/>
      <c r="I2390" s="5" t="s">
        <v>2263</v>
      </c>
      <c r="K2390" s="17">
        <f>SUM(K2383:K2389)</f>
        <v>13640.6526216</v>
      </c>
      <c r="N2390" s="6"/>
      <c r="O2390" s="12" t="s">
        <v>117</v>
      </c>
      <c r="P2390" s="12" t="s">
        <v>117</v>
      </c>
      <c r="Q2390" s="10"/>
      <c r="R2390" s="17"/>
    </row>
    <row r="2391" spans="5:18" ht="24" customHeight="1">
      <c r="G2391" s="5"/>
      <c r="K2391" s="12" t="s">
        <v>117</v>
      </c>
      <c r="M2391" s="5">
        <v>8</v>
      </c>
      <c r="N2391" s="15" t="s">
        <v>1576</v>
      </c>
      <c r="O2391" s="3" t="s">
        <v>2264</v>
      </c>
      <c r="P2391" s="289">
        <v>4.0999999999999996</v>
      </c>
      <c r="Q2391" s="4" t="s">
        <v>227</v>
      </c>
      <c r="R2391" s="17">
        <f>P2391*M2391</f>
        <v>32.799999999999997</v>
      </c>
    </row>
    <row r="2392" spans="5:18" ht="24" customHeight="1">
      <c r="E2392" s="5">
        <f>23+26.65</f>
        <v>49.65</v>
      </c>
      <c r="G2392" s="5"/>
      <c r="I2392" s="5" t="s">
        <v>2207</v>
      </c>
      <c r="K2392" s="16">
        <f>K2390/39.2</f>
        <v>347.97583218367345</v>
      </c>
      <c r="M2392" s="5">
        <v>8</v>
      </c>
      <c r="N2392" s="15" t="s">
        <v>1576</v>
      </c>
      <c r="O2392" s="3" t="s">
        <v>2265</v>
      </c>
      <c r="P2392" s="289">
        <v>3.69</v>
      </c>
      <c r="Q2392" s="4" t="s">
        <v>227</v>
      </c>
      <c r="R2392" s="17">
        <f>P2392*M2392</f>
        <v>29.52</v>
      </c>
    </row>
    <row r="2393" spans="5:18" ht="24" customHeight="1">
      <c r="E2393" s="5">
        <f>E2392/2</f>
        <v>24.824999999999999</v>
      </c>
      <c r="G2393" s="5"/>
      <c r="K2393" s="12" t="s">
        <v>155</v>
      </c>
      <c r="M2393" s="5">
        <v>8</v>
      </c>
      <c r="N2393" s="15" t="s">
        <v>1576</v>
      </c>
      <c r="O2393" s="3" t="s">
        <v>2266</v>
      </c>
      <c r="P2393" s="289">
        <v>4.0999999999999996</v>
      </c>
      <c r="Q2393" s="4" t="s">
        <v>227</v>
      </c>
      <c r="R2393" s="17">
        <f>P2393*M2393</f>
        <v>32.799999999999997</v>
      </c>
    </row>
    <row r="2394" spans="5:18" ht="24" customHeight="1">
      <c r="G2394" s="5"/>
      <c r="M2394" s="5">
        <v>0.75</v>
      </c>
      <c r="N2394" s="15" t="s">
        <v>148</v>
      </c>
      <c r="O2394" s="3" t="s">
        <v>2267</v>
      </c>
      <c r="P2394" s="45">
        <v>176.4</v>
      </c>
      <c r="Q2394" s="4" t="s">
        <v>227</v>
      </c>
      <c r="R2394" s="17">
        <f t="shared" ref="R2394:R2399" si="234">(M2394*P2394)</f>
        <v>132.30000000000001</v>
      </c>
    </row>
    <row r="2395" spans="5:18" ht="24" customHeight="1">
      <c r="G2395" s="5"/>
      <c r="M2395" s="5">
        <v>2.25</v>
      </c>
      <c r="N2395" s="15" t="s">
        <v>2268</v>
      </c>
      <c r="O2395" s="3" t="s">
        <v>2269</v>
      </c>
      <c r="P2395" s="45">
        <v>140.41</v>
      </c>
      <c r="Q2395" s="4" t="s">
        <v>2268</v>
      </c>
      <c r="R2395" s="17">
        <f t="shared" si="234"/>
        <v>315.92250000000001</v>
      </c>
    </row>
    <row r="2396" spans="5:18" ht="24" customHeight="1">
      <c r="G2396" s="5"/>
      <c r="H2396" s="50" t="s">
        <v>115</v>
      </c>
      <c r="M2396" s="5">
        <v>4.5</v>
      </c>
      <c r="N2396" s="15" t="s">
        <v>2268</v>
      </c>
      <c r="O2396" s="3" t="s">
        <v>2270</v>
      </c>
      <c r="P2396" s="45">
        <v>65</v>
      </c>
      <c r="Q2396" s="4" t="s">
        <v>2268</v>
      </c>
      <c r="R2396" s="17">
        <f t="shared" si="234"/>
        <v>292.5</v>
      </c>
    </row>
    <row r="2397" spans="5:18" ht="34.5" customHeight="1">
      <c r="F2397" s="5">
        <v>1</v>
      </c>
      <c r="G2397" s="5" t="s">
        <v>164</v>
      </c>
      <c r="H2397" s="290" t="s">
        <v>2271</v>
      </c>
      <c r="I2397" s="43">
        <v>446</v>
      </c>
      <c r="J2397" s="3" t="s">
        <v>209</v>
      </c>
      <c r="K2397" s="17">
        <f>(F2397*I2397)</f>
        <v>446</v>
      </c>
      <c r="M2397" s="5">
        <v>6</v>
      </c>
      <c r="N2397" s="15" t="s">
        <v>1576</v>
      </c>
      <c r="O2397" s="3" t="s">
        <v>2272</v>
      </c>
      <c r="P2397" s="45">
        <v>8</v>
      </c>
      <c r="Q2397" s="4" t="s">
        <v>227</v>
      </c>
      <c r="R2397" s="17">
        <f t="shared" si="234"/>
        <v>48</v>
      </c>
    </row>
    <row r="2398" spans="5:18" ht="24" customHeight="1">
      <c r="F2398" s="5">
        <v>0.25</v>
      </c>
      <c r="G2398" s="5" t="s">
        <v>164</v>
      </c>
      <c r="H2398" s="5" t="s">
        <v>2253</v>
      </c>
      <c r="I2398" s="5">
        <f>I2384</f>
        <v>769</v>
      </c>
      <c r="J2398" s="3" t="s">
        <v>209</v>
      </c>
      <c r="K2398" s="17">
        <f>(F2398*I2398)</f>
        <v>192.25</v>
      </c>
      <c r="M2398" s="5">
        <v>6</v>
      </c>
      <c r="N2398" s="15" t="s">
        <v>1576</v>
      </c>
      <c r="O2398" s="3" t="s">
        <v>2273</v>
      </c>
      <c r="P2398" s="45">
        <v>8.61</v>
      </c>
      <c r="Q2398" s="4" t="s">
        <v>227</v>
      </c>
      <c r="R2398" s="17">
        <f t="shared" si="234"/>
        <v>51.66</v>
      </c>
    </row>
    <row r="2399" spans="5:18" ht="24" customHeight="1">
      <c r="F2399" s="5">
        <v>0.28000000000000003</v>
      </c>
      <c r="G2399" s="5" t="s">
        <v>174</v>
      </c>
      <c r="H2399" s="5" t="s">
        <v>2190</v>
      </c>
      <c r="I2399" s="5">
        <f>C12</f>
        <v>502</v>
      </c>
      <c r="J2399" s="3" t="s">
        <v>209</v>
      </c>
      <c r="K2399" s="17">
        <f>(F2399*I2399)</f>
        <v>140.56</v>
      </c>
      <c r="M2399" s="5">
        <v>4</v>
      </c>
      <c r="N2399" s="15" t="s">
        <v>1576</v>
      </c>
      <c r="O2399" s="3" t="s">
        <v>2274</v>
      </c>
      <c r="P2399" s="45">
        <v>8.61</v>
      </c>
      <c r="Q2399" s="4" t="s">
        <v>227</v>
      </c>
      <c r="R2399" s="17">
        <f t="shared" si="234"/>
        <v>34.44</v>
      </c>
    </row>
    <row r="2400" spans="5:18" ht="24" customHeight="1">
      <c r="G2400" s="5"/>
      <c r="H2400" s="287"/>
      <c r="J2400" s="3"/>
      <c r="K2400" s="17"/>
      <c r="M2400" s="5">
        <v>300</v>
      </c>
      <c r="N2400" s="15" t="s">
        <v>2275</v>
      </c>
      <c r="O2400" s="3" t="s">
        <v>2276</v>
      </c>
      <c r="P2400" s="45">
        <v>30</v>
      </c>
      <c r="Q2400" s="4" t="s">
        <v>2277</v>
      </c>
      <c r="R2400" s="17">
        <f>P2400*M2400/100</f>
        <v>90</v>
      </c>
    </row>
    <row r="2401" spans="6:18" ht="24" customHeight="1">
      <c r="G2401" s="5"/>
      <c r="K2401" s="17"/>
      <c r="M2401" s="5">
        <v>300</v>
      </c>
      <c r="N2401" s="15" t="s">
        <v>2275</v>
      </c>
      <c r="O2401" s="3" t="s">
        <v>2278</v>
      </c>
      <c r="P2401" s="45">
        <v>44.99</v>
      </c>
      <c r="Q2401" s="4" t="s">
        <v>2279</v>
      </c>
      <c r="R2401" s="17">
        <f>P2401*M2401/500</f>
        <v>26.994</v>
      </c>
    </row>
    <row r="2402" spans="6:18" ht="24" customHeight="1">
      <c r="G2402" s="5"/>
      <c r="K2402" s="291" t="s">
        <v>1586</v>
      </c>
      <c r="M2402" s="5">
        <v>1.5</v>
      </c>
      <c r="N2402" s="15" t="s">
        <v>148</v>
      </c>
      <c r="O2402" s="3" t="s">
        <v>2280</v>
      </c>
      <c r="P2402" s="45">
        <v>20.95</v>
      </c>
      <c r="Q2402" s="4" t="s">
        <v>148</v>
      </c>
      <c r="R2402" s="17">
        <f>P2402*M2402</f>
        <v>31.424999999999997</v>
      </c>
    </row>
    <row r="2403" spans="6:18" ht="24" customHeight="1">
      <c r="G2403" s="5"/>
      <c r="K2403" s="16">
        <f>SUM(K2397:K2402)</f>
        <v>778.81</v>
      </c>
      <c r="M2403" s="5">
        <v>2.25</v>
      </c>
      <c r="N2403" s="15" t="s">
        <v>2268</v>
      </c>
      <c r="O2403" s="3" t="s">
        <v>2281</v>
      </c>
      <c r="P2403" s="45">
        <v>212.41</v>
      </c>
      <c r="Q2403" s="4" t="s">
        <v>2268</v>
      </c>
      <c r="R2403" s="17">
        <f>(M2403*P2403)</f>
        <v>477.92250000000001</v>
      </c>
    </row>
    <row r="2404" spans="6:18" ht="24" customHeight="1">
      <c r="G2404" s="5"/>
      <c r="K2404" s="291" t="s">
        <v>1586</v>
      </c>
      <c r="M2404" s="5">
        <v>0.75</v>
      </c>
      <c r="N2404" s="15" t="s">
        <v>2268</v>
      </c>
      <c r="O2404" s="3" t="s">
        <v>2282</v>
      </c>
      <c r="P2404" s="45">
        <v>205.21</v>
      </c>
      <c r="Q2404" s="4" t="s">
        <v>2268</v>
      </c>
      <c r="R2404" s="17">
        <f>(M2404*P2404)</f>
        <v>153.9075</v>
      </c>
    </row>
    <row r="2405" spans="6:18" ht="24" customHeight="1">
      <c r="G2405" s="5"/>
      <c r="K2405" s="17"/>
      <c r="M2405" s="5">
        <v>2.25</v>
      </c>
      <c r="N2405" s="15" t="s">
        <v>2268</v>
      </c>
      <c r="O2405" s="3" t="s">
        <v>2283</v>
      </c>
      <c r="P2405" s="45">
        <v>185.21</v>
      </c>
      <c r="Q2405" s="4" t="s">
        <v>2268</v>
      </c>
      <c r="R2405" s="17">
        <f>(M2405*P2405)</f>
        <v>416.72250000000003</v>
      </c>
    </row>
    <row r="2406" spans="6:18" ht="24" customHeight="1">
      <c r="G2406" s="5"/>
      <c r="M2406" s="5">
        <v>500</v>
      </c>
      <c r="N2406" s="15" t="s">
        <v>2275</v>
      </c>
      <c r="O2406" s="3" t="s">
        <v>2284</v>
      </c>
      <c r="P2406" s="45">
        <v>52.25</v>
      </c>
      <c r="Q2406" s="4" t="s">
        <v>148</v>
      </c>
      <c r="R2406" s="17">
        <f>(M2406*P2406)/1000</f>
        <v>26.125</v>
      </c>
    </row>
    <row r="2407" spans="6:18" ht="24" customHeight="1">
      <c r="G2407" s="5"/>
      <c r="H2407" s="50" t="s">
        <v>2285</v>
      </c>
      <c r="M2407" s="5">
        <v>1</v>
      </c>
      <c r="N2407" s="15" t="s">
        <v>1576</v>
      </c>
      <c r="O2407" s="3" t="s">
        <v>2286</v>
      </c>
      <c r="P2407" s="45">
        <v>131.21</v>
      </c>
      <c r="Q2407" s="10" t="s">
        <v>2287</v>
      </c>
      <c r="R2407" s="24">
        <f>P2407/1</f>
        <v>131.21</v>
      </c>
    </row>
    <row r="2408" spans="6:18" ht="24" customHeight="1">
      <c r="F2408" s="5">
        <v>1</v>
      </c>
      <c r="G2408" s="5" t="s">
        <v>164</v>
      </c>
      <c r="H2408" s="109" t="s">
        <v>2288</v>
      </c>
      <c r="I2408" s="5">
        <f>C619</f>
        <v>922</v>
      </c>
      <c r="J2408" s="3" t="s">
        <v>209</v>
      </c>
      <c r="K2408" s="17">
        <f>(F2408*I2408)</f>
        <v>922</v>
      </c>
      <c r="M2408" s="5">
        <v>1</v>
      </c>
      <c r="N2408" s="15" t="s">
        <v>1576</v>
      </c>
      <c r="O2408" s="3" t="s">
        <v>2289</v>
      </c>
      <c r="P2408" s="45">
        <v>12.3</v>
      </c>
      <c r="Q2408" s="10" t="s">
        <v>2287</v>
      </c>
      <c r="R2408" s="24">
        <f>P2408/1</f>
        <v>12.3</v>
      </c>
    </row>
    <row r="2409" spans="6:18" ht="24" customHeight="1">
      <c r="F2409" s="5">
        <v>0.5</v>
      </c>
      <c r="G2409" s="5" t="s">
        <v>164</v>
      </c>
      <c r="H2409" s="5" t="s">
        <v>2290</v>
      </c>
      <c r="I2409" s="5">
        <f>C15</f>
        <v>667</v>
      </c>
      <c r="J2409" s="3" t="s">
        <v>209</v>
      </c>
      <c r="K2409" s="17">
        <f>(F2409*I2409)</f>
        <v>333.5</v>
      </c>
      <c r="M2409" s="5">
        <v>4</v>
      </c>
      <c r="N2409" s="15" t="s">
        <v>1576</v>
      </c>
      <c r="O2409" s="70" t="s">
        <v>2291</v>
      </c>
      <c r="P2409" s="17">
        <f>AE13</f>
        <v>615</v>
      </c>
      <c r="Q2409" s="4" t="s">
        <v>227</v>
      </c>
      <c r="R2409" s="17">
        <f>(M2409*P2409)</f>
        <v>2460</v>
      </c>
    </row>
    <row r="2410" spans="6:18" ht="24" customHeight="1">
      <c r="F2410" s="5">
        <v>0.5</v>
      </c>
      <c r="G2410" s="5" t="s">
        <v>164</v>
      </c>
      <c r="H2410" s="5" t="s">
        <v>2253</v>
      </c>
      <c r="I2410" s="5">
        <f>I2398</f>
        <v>769</v>
      </c>
      <c r="J2410" s="3" t="s">
        <v>209</v>
      </c>
      <c r="K2410" s="17">
        <f>(F2410*I2410)</f>
        <v>384.5</v>
      </c>
      <c r="M2410" s="5">
        <v>2</v>
      </c>
      <c r="N2410" s="15" t="s">
        <v>1576</v>
      </c>
      <c r="O2410" s="70" t="s">
        <v>2292</v>
      </c>
      <c r="P2410" s="17">
        <f>AE14</f>
        <v>595</v>
      </c>
      <c r="Q2410" s="4" t="s">
        <v>227</v>
      </c>
      <c r="R2410" s="17">
        <f>(M2410*P2410)</f>
        <v>1190</v>
      </c>
    </row>
    <row r="2411" spans="6:18" ht="24" customHeight="1">
      <c r="F2411" s="5">
        <v>0.5</v>
      </c>
      <c r="G2411" s="5" t="s">
        <v>174</v>
      </c>
      <c r="H2411" s="5" t="s">
        <v>2190</v>
      </c>
      <c r="I2411" s="5">
        <f>I2399</f>
        <v>502</v>
      </c>
      <c r="J2411" s="3" t="s">
        <v>209</v>
      </c>
      <c r="K2411" s="17">
        <f>(F2411*I2411)</f>
        <v>251</v>
      </c>
      <c r="M2411" s="5">
        <v>2</v>
      </c>
      <c r="N2411" s="15" t="s">
        <v>1576</v>
      </c>
      <c r="O2411" s="70" t="s">
        <v>2293</v>
      </c>
      <c r="P2411" s="17">
        <f>AE12</f>
        <v>412</v>
      </c>
      <c r="Q2411" s="4" t="s">
        <v>227</v>
      </c>
      <c r="R2411" s="17">
        <f>(M2411*P2411)</f>
        <v>824</v>
      </c>
    </row>
    <row r="2412" spans="6:18" ht="24" customHeight="1">
      <c r="G2412" s="5"/>
      <c r="H2412" s="5" t="s">
        <v>2294</v>
      </c>
      <c r="J2412" s="4" t="s">
        <v>2295</v>
      </c>
      <c r="K2412" s="17">
        <v>0.25</v>
      </c>
      <c r="N2412" s="15"/>
      <c r="O2412" s="3" t="s">
        <v>2296</v>
      </c>
      <c r="P2412" s="17"/>
      <c r="Q2412" s="4"/>
      <c r="R2412" s="17">
        <v>20</v>
      </c>
    </row>
    <row r="2413" spans="6:18" ht="24" customHeight="1">
      <c r="G2413" s="5"/>
      <c r="K2413" s="17"/>
      <c r="N2413" s="6"/>
      <c r="P2413" s="17"/>
      <c r="Q2413" s="8"/>
      <c r="R2413" s="53" t="s">
        <v>2297</v>
      </c>
    </row>
    <row r="2414" spans="6:18" ht="24" customHeight="1">
      <c r="G2414" s="5"/>
      <c r="K2414" s="291" t="s">
        <v>1586</v>
      </c>
      <c r="N2414" s="6"/>
      <c r="O2414" s="3" t="s">
        <v>2298</v>
      </c>
      <c r="Q2414" s="8"/>
      <c r="R2414" s="5">
        <f>SUM(R2391:R2413)</f>
        <v>6830.549</v>
      </c>
    </row>
    <row r="2415" spans="6:18" ht="26.25" customHeight="1">
      <c r="G2415" s="5"/>
      <c r="K2415" s="16">
        <f>SUM(K2408:K2414)</f>
        <v>1891.25</v>
      </c>
      <c r="N2415" s="6"/>
      <c r="O2415" s="50"/>
      <c r="P2415" s="50"/>
      <c r="Q2415" s="59"/>
      <c r="R2415" s="12" t="s">
        <v>155</v>
      </c>
    </row>
    <row r="2416" spans="6:18" ht="24" customHeight="1">
      <c r="G2416" s="5"/>
      <c r="K2416" s="291" t="s">
        <v>1586</v>
      </c>
      <c r="N2416" s="6"/>
      <c r="O2416" s="50" t="s">
        <v>169</v>
      </c>
      <c r="P2416" s="50"/>
      <c r="Q2416" s="59"/>
      <c r="R2416" s="14">
        <f>R2414/5.67</f>
        <v>1204.6823633156966</v>
      </c>
    </row>
    <row r="2417" spans="6:18" ht="32.25" customHeight="1">
      <c r="G2417" s="5"/>
      <c r="K2417" s="4"/>
    </row>
    <row r="2418" spans="6:18" ht="24" customHeight="1">
      <c r="G2418" s="5"/>
      <c r="K2418" s="4"/>
    </row>
    <row r="2419" spans="6:18" ht="24" customHeight="1">
      <c r="G2419" s="5"/>
      <c r="K2419" s="4"/>
    </row>
    <row r="2420" spans="6:18" ht="24" customHeight="1">
      <c r="F2420" s="77" t="s">
        <v>1635</v>
      </c>
      <c r="G2420" s="77"/>
      <c r="H2420" s="1504" t="s">
        <v>2299</v>
      </c>
      <c r="I2420" s="1504"/>
      <c r="J2420" s="1504"/>
      <c r="K2420" s="1504"/>
    </row>
    <row r="2421" spans="6:18" ht="24" customHeight="1">
      <c r="F2421" s="77"/>
      <c r="G2421" s="77"/>
      <c r="H2421" s="77"/>
      <c r="I2421" s="77"/>
      <c r="J2421" s="145"/>
      <c r="K2421" s="113"/>
    </row>
    <row r="2422" spans="6:18" ht="24" customHeight="1">
      <c r="F2422" s="24">
        <v>10.5</v>
      </c>
      <c r="G2422" s="246" t="s">
        <v>174</v>
      </c>
      <c r="H2422" s="1505" t="s">
        <v>2300</v>
      </c>
      <c r="I2422" s="23">
        <v>312</v>
      </c>
      <c r="J2422" s="37" t="s">
        <v>174</v>
      </c>
      <c r="K2422" s="24">
        <f>(F2422*I2422)</f>
        <v>3276</v>
      </c>
    </row>
    <row r="2423" spans="6:18" ht="24" customHeight="1">
      <c r="F2423" s="113"/>
      <c r="G2423" s="144"/>
      <c r="H2423" s="1506"/>
      <c r="I2423" s="37" t="s">
        <v>115</v>
      </c>
      <c r="J2423" s="145"/>
      <c r="K2423" s="37" t="s">
        <v>115</v>
      </c>
    </row>
    <row r="2424" spans="6:18" ht="24" customHeight="1">
      <c r="F2424" s="24">
        <v>0.22</v>
      </c>
      <c r="G2424" s="246" t="s">
        <v>126</v>
      </c>
      <c r="H2424" s="37" t="s">
        <v>142</v>
      </c>
      <c r="I2424" s="24">
        <f>K32</f>
        <v>4193.8</v>
      </c>
      <c r="J2424" s="37" t="s">
        <v>126</v>
      </c>
      <c r="K2424" s="24">
        <f>(F2424*I2424)</f>
        <v>922.63600000000008</v>
      </c>
    </row>
    <row r="2425" spans="6:18" ht="24" customHeight="1">
      <c r="F2425" s="24">
        <v>64</v>
      </c>
      <c r="G2425" s="246" t="s">
        <v>148</v>
      </c>
      <c r="H2425" s="37" t="s">
        <v>2301</v>
      </c>
      <c r="I2425" s="24">
        <f>C67</f>
        <v>5800</v>
      </c>
      <c r="J2425" s="37" t="s">
        <v>2302</v>
      </c>
      <c r="K2425" s="24">
        <f>I2425*F2425/1000</f>
        <v>371.2</v>
      </c>
    </row>
    <row r="2426" spans="6:18" ht="24" customHeight="1">
      <c r="F2426" s="24">
        <v>4.5</v>
      </c>
      <c r="G2426" s="246" t="s">
        <v>148</v>
      </c>
      <c r="H2426" s="292" t="s">
        <v>2303</v>
      </c>
      <c r="I2426" s="24">
        <f>C608</f>
        <v>24.5</v>
      </c>
      <c r="J2426" s="37" t="s">
        <v>148</v>
      </c>
      <c r="K2426" s="24">
        <f>F2426*I2426</f>
        <v>110.25</v>
      </c>
    </row>
    <row r="2427" spans="6:18" ht="24" customHeight="1">
      <c r="F2427" s="24">
        <v>5.4</v>
      </c>
      <c r="G2427" s="246" t="s">
        <v>1</v>
      </c>
      <c r="H2427" s="3" t="s">
        <v>2304</v>
      </c>
      <c r="I2427" s="24">
        <f>C11</f>
        <v>718</v>
      </c>
      <c r="J2427" s="37" t="s">
        <v>1</v>
      </c>
      <c r="K2427" s="24">
        <f>(F2427*I2427)</f>
        <v>3877.2000000000003</v>
      </c>
      <c r="M2427" s="77" t="s">
        <v>1635</v>
      </c>
      <c r="N2427" s="77"/>
      <c r="O2427" s="1507" t="s">
        <v>2305</v>
      </c>
      <c r="P2427" s="1507"/>
      <c r="Q2427" s="1507"/>
      <c r="R2427" s="1507"/>
    </row>
    <row r="2428" spans="6:18" ht="24" customHeight="1">
      <c r="F2428" s="24">
        <v>2.16</v>
      </c>
      <c r="G2428" s="246" t="s">
        <v>1</v>
      </c>
      <c r="H2428" s="37" t="s">
        <v>1606</v>
      </c>
      <c r="I2428" s="24">
        <f>C12</f>
        <v>502</v>
      </c>
      <c r="J2428" s="37" t="s">
        <v>1</v>
      </c>
      <c r="K2428" s="24">
        <f>(F2428*I2428)</f>
        <v>1084.3200000000002</v>
      </c>
      <c r="M2428" s="77"/>
      <c r="N2428" s="77"/>
      <c r="O2428" s="77"/>
      <c r="P2428" s="77"/>
      <c r="Q2428" s="145"/>
      <c r="R2428" s="113"/>
    </row>
    <row r="2429" spans="6:18" ht="24" customHeight="1">
      <c r="F2429" s="24">
        <v>6.5</v>
      </c>
      <c r="G2429" s="246" t="s">
        <v>1</v>
      </c>
      <c r="H2429" s="37" t="s">
        <v>1607</v>
      </c>
      <c r="I2429" s="24">
        <f>C13</f>
        <v>412</v>
      </c>
      <c r="J2429" s="37" t="s">
        <v>1</v>
      </c>
      <c r="K2429" s="24">
        <f>(F2429*I2429)</f>
        <v>2678</v>
      </c>
      <c r="M2429" s="24">
        <v>10.5</v>
      </c>
      <c r="N2429" s="246" t="s">
        <v>174</v>
      </c>
      <c r="O2429" s="1508" t="s">
        <v>2306</v>
      </c>
      <c r="P2429" s="25">
        <v>476</v>
      </c>
      <c r="Q2429" s="37" t="s">
        <v>174</v>
      </c>
      <c r="R2429" s="24">
        <f>(M2429*P2429)</f>
        <v>4998</v>
      </c>
    </row>
    <row r="2430" spans="6:18" ht="24" customHeight="1">
      <c r="F2430" s="24"/>
      <c r="G2430" s="246"/>
      <c r="H2430" s="37"/>
      <c r="I2430" s="24"/>
      <c r="J2430" s="37" t="s">
        <v>1</v>
      </c>
      <c r="K2430" s="24">
        <v>0</v>
      </c>
      <c r="M2430" s="113"/>
      <c r="N2430" s="144"/>
      <c r="O2430" s="1509"/>
      <c r="P2430" s="37" t="s">
        <v>115</v>
      </c>
      <c r="Q2430" s="145"/>
      <c r="R2430" s="37" t="s">
        <v>115</v>
      </c>
    </row>
    <row r="2431" spans="6:18" ht="24" customHeight="1">
      <c r="F2431" s="293"/>
      <c r="G2431" s="246"/>
      <c r="H2431" s="113"/>
      <c r="I2431" s="24"/>
      <c r="J2431" s="37"/>
      <c r="K2431" s="24"/>
      <c r="M2431" s="24">
        <v>0.22</v>
      </c>
      <c r="N2431" s="246" t="s">
        <v>126</v>
      </c>
      <c r="O2431" s="37" t="s">
        <v>142</v>
      </c>
      <c r="P2431" s="24">
        <f t="shared" ref="P2431:P2436" si="235">I2424</f>
        <v>4193.8</v>
      </c>
      <c r="Q2431" s="37" t="s">
        <v>126</v>
      </c>
      <c r="R2431" s="24">
        <f>(M2431*P2431)</f>
        <v>922.63600000000008</v>
      </c>
    </row>
    <row r="2432" spans="6:18" ht="24" customHeight="1">
      <c r="F2432" s="24"/>
      <c r="G2432" s="246"/>
      <c r="H2432" s="7" t="s">
        <v>153</v>
      </c>
      <c r="I2432" s="113"/>
      <c r="J2432" s="145"/>
      <c r="K2432" s="294" t="s">
        <v>1586</v>
      </c>
      <c r="M2432" s="24">
        <v>64</v>
      </c>
      <c r="N2432" s="246" t="s">
        <v>148</v>
      </c>
      <c r="O2432" s="37" t="s">
        <v>2301</v>
      </c>
      <c r="P2432" s="24">
        <f t="shared" si="235"/>
        <v>5800</v>
      </c>
      <c r="Q2432" s="37" t="s">
        <v>2302</v>
      </c>
      <c r="R2432" s="24">
        <f>P2432*M2432/1000</f>
        <v>371.2</v>
      </c>
    </row>
    <row r="2433" spans="6:18" ht="24" customHeight="1">
      <c r="F2433" s="24"/>
      <c r="G2433" s="246"/>
      <c r="H2433" s="7"/>
      <c r="I2433" s="113"/>
      <c r="J2433" s="145"/>
      <c r="K2433" s="16">
        <f>SUM(K2422:K2430)</f>
        <v>12319.606</v>
      </c>
      <c r="M2433" s="24">
        <v>4.5</v>
      </c>
      <c r="N2433" s="246" t="s">
        <v>148</v>
      </c>
      <c r="O2433" s="37" t="s">
        <v>2307</v>
      </c>
      <c r="P2433" s="24">
        <f t="shared" si="235"/>
        <v>24.5</v>
      </c>
      <c r="Q2433" s="37" t="s">
        <v>148</v>
      </c>
      <c r="R2433" s="24">
        <f>M2433*P2433</f>
        <v>110.25</v>
      </c>
    </row>
    <row r="2434" spans="6:18" ht="24" customHeight="1">
      <c r="F2434" s="24"/>
      <c r="G2434" s="246"/>
      <c r="H2434" s="7"/>
      <c r="I2434" s="24"/>
      <c r="J2434" s="37"/>
      <c r="K2434" s="295" t="s">
        <v>748</v>
      </c>
      <c r="M2434" s="24">
        <v>5.4</v>
      </c>
      <c r="N2434" s="246" t="s">
        <v>1</v>
      </c>
      <c r="O2434" s="37" t="s">
        <v>2304</v>
      </c>
      <c r="P2434" s="24">
        <f t="shared" si="235"/>
        <v>718</v>
      </c>
      <c r="Q2434" s="37" t="s">
        <v>1</v>
      </c>
      <c r="R2434" s="24">
        <f>(M2434*P2434)</f>
        <v>3877.2000000000003</v>
      </c>
    </row>
    <row r="2435" spans="6:18" ht="24" customHeight="1">
      <c r="F2435" s="37"/>
      <c r="G2435" s="144"/>
      <c r="H2435" s="7" t="s">
        <v>154</v>
      </c>
      <c r="I2435" s="37"/>
      <c r="J2435" s="145"/>
      <c r="K2435" s="14">
        <f>K2433/10</f>
        <v>1231.9605999999999</v>
      </c>
      <c r="M2435" s="24">
        <v>2.16</v>
      </c>
      <c r="N2435" s="246" t="s">
        <v>1</v>
      </c>
      <c r="O2435" s="37" t="s">
        <v>1606</v>
      </c>
      <c r="P2435" s="24">
        <f t="shared" si="235"/>
        <v>502</v>
      </c>
      <c r="Q2435" s="37" t="s">
        <v>1</v>
      </c>
      <c r="R2435" s="24">
        <f>(M2435*P2435)</f>
        <v>1084.3200000000002</v>
      </c>
    </row>
    <row r="2436" spans="6:18" ht="24" customHeight="1">
      <c r="K2436" s="53" t="s">
        <v>1586</v>
      </c>
      <c r="M2436" s="24">
        <v>6.5</v>
      </c>
      <c r="N2436" s="246" t="s">
        <v>1</v>
      </c>
      <c r="O2436" s="37" t="s">
        <v>1607</v>
      </c>
      <c r="P2436" s="24">
        <f t="shared" si="235"/>
        <v>412</v>
      </c>
      <c r="Q2436" s="37" t="s">
        <v>1</v>
      </c>
      <c r="R2436" s="24">
        <f>(M2436*P2436)</f>
        <v>2678</v>
      </c>
    </row>
    <row r="2437" spans="6:18" ht="24" customHeight="1">
      <c r="M2437" s="24"/>
      <c r="N2437" s="246"/>
      <c r="O2437" s="37"/>
      <c r="P2437" s="24"/>
      <c r="Q2437" s="37" t="s">
        <v>1</v>
      </c>
      <c r="R2437" s="24">
        <f>(M2437*P2437)</f>
        <v>0</v>
      </c>
    </row>
    <row r="2438" spans="6:18" ht="24" customHeight="1">
      <c r="M2438" s="293"/>
      <c r="N2438" s="246"/>
      <c r="O2438" s="113"/>
      <c r="P2438" s="24"/>
      <c r="Q2438" s="37"/>
      <c r="R2438" s="24"/>
    </row>
    <row r="2439" spans="6:18" ht="24" customHeight="1">
      <c r="F2439" s="24"/>
      <c r="G2439" s="246"/>
      <c r="H2439" s="7" t="s">
        <v>2308</v>
      </c>
      <c r="I2439" s="24"/>
      <c r="J2439" s="37"/>
      <c r="K2439" s="24"/>
      <c r="M2439" s="24"/>
      <c r="N2439" s="246"/>
      <c r="O2439" s="7" t="s">
        <v>153</v>
      </c>
      <c r="P2439" s="113"/>
      <c r="Q2439" s="145"/>
      <c r="R2439" s="294" t="s">
        <v>1586</v>
      </c>
    </row>
    <row r="2440" spans="6:18" ht="24" customHeight="1">
      <c r="F2440" s="24"/>
      <c r="G2440" s="246"/>
      <c r="H2440" s="113"/>
      <c r="I2440" s="24"/>
      <c r="J2440" s="37"/>
      <c r="K2440" s="113"/>
      <c r="M2440" s="24"/>
      <c r="N2440" s="246"/>
      <c r="O2440" s="7"/>
      <c r="P2440" s="113"/>
      <c r="Q2440" s="145"/>
      <c r="R2440" s="16">
        <f>SUM(R2429:R2437)</f>
        <v>14041.606</v>
      </c>
    </row>
    <row r="2441" spans="6:18" ht="24" customHeight="1">
      <c r="F2441" s="24">
        <v>10</v>
      </c>
      <c r="G2441" s="246" t="s">
        <v>174</v>
      </c>
      <c r="H2441" s="37" t="s">
        <v>2309</v>
      </c>
      <c r="I2441" s="24">
        <f>K1213</f>
        <v>403.57160000000005</v>
      </c>
      <c r="J2441" s="37" t="s">
        <v>174</v>
      </c>
      <c r="K2441" s="24">
        <f>F2441*I2441</f>
        <v>4035.7160000000003</v>
      </c>
      <c r="M2441" s="24"/>
      <c r="N2441" s="246"/>
      <c r="O2441" s="7"/>
      <c r="P2441" s="24"/>
      <c r="Q2441" s="37"/>
      <c r="R2441" s="295" t="s">
        <v>748</v>
      </c>
    </row>
    <row r="2442" spans="6:18" ht="24" customHeight="1">
      <c r="F2442" s="113">
        <v>9.8000000000000007</v>
      </c>
      <c r="G2442" s="246" t="s">
        <v>148</v>
      </c>
      <c r="H2442" s="5" t="s">
        <v>2310</v>
      </c>
      <c r="I2442" s="24">
        <f>C148</f>
        <v>142.4</v>
      </c>
      <c r="J2442" s="37" t="s">
        <v>148</v>
      </c>
      <c r="K2442" s="24">
        <f>F2442*I2442</f>
        <v>1395.5200000000002</v>
      </c>
      <c r="M2442" s="37"/>
      <c r="N2442" s="144"/>
      <c r="O2442" s="7" t="s">
        <v>154</v>
      </c>
      <c r="P2442" s="37"/>
      <c r="Q2442" s="145"/>
      <c r="R2442" s="14">
        <f>R2440/10</f>
        <v>1404.1605999999999</v>
      </c>
    </row>
    <row r="2443" spans="6:18" ht="24" customHeight="1">
      <c r="F2443" s="113">
        <v>1.1000000000000001</v>
      </c>
      <c r="G2443" s="144" t="s">
        <v>1576</v>
      </c>
      <c r="H2443" s="37" t="s">
        <v>144</v>
      </c>
      <c r="I2443" s="113">
        <f>I2410</f>
        <v>769</v>
      </c>
      <c r="J2443" s="145" t="s">
        <v>227</v>
      </c>
      <c r="K2443" s="113">
        <f>F2443*I2443</f>
        <v>845.90000000000009</v>
      </c>
      <c r="N2443" s="6"/>
      <c r="Q2443" s="8"/>
      <c r="R2443" s="53" t="s">
        <v>1586</v>
      </c>
    </row>
    <row r="2444" spans="6:18" ht="24" customHeight="1">
      <c r="F2444" s="113"/>
      <c r="G2444" s="144"/>
      <c r="H2444" s="5" t="s">
        <v>236</v>
      </c>
      <c r="I2444" s="113"/>
      <c r="J2444" s="145"/>
      <c r="K2444" s="113">
        <v>0.2</v>
      </c>
    </row>
    <row r="2445" spans="6:18" ht="24" customHeight="1">
      <c r="F2445" s="113"/>
      <c r="G2445" s="144"/>
      <c r="H2445" s="113"/>
      <c r="I2445" s="113"/>
      <c r="J2445" s="145"/>
      <c r="K2445" s="69" t="s">
        <v>155</v>
      </c>
    </row>
    <row r="2446" spans="6:18" ht="24" customHeight="1">
      <c r="F2446" s="37" t="s">
        <v>115</v>
      </c>
      <c r="G2446" s="144"/>
      <c r="H2446" s="7" t="s">
        <v>153</v>
      </c>
      <c r="I2446" s="113"/>
      <c r="J2446" s="145"/>
      <c r="K2446" s="50">
        <f>SUM(K2441:K2444)</f>
        <v>6277.3360000000002</v>
      </c>
    </row>
    <row r="2447" spans="6:18" ht="24" customHeight="1">
      <c r="F2447" s="113"/>
      <c r="G2447" s="144"/>
      <c r="H2447" s="113"/>
      <c r="I2447" s="113"/>
      <c r="J2447" s="145"/>
      <c r="K2447" s="296" t="s">
        <v>1586</v>
      </c>
    </row>
    <row r="2448" spans="6:18" ht="24" customHeight="1">
      <c r="F2448" s="37" t="s">
        <v>115</v>
      </c>
      <c r="G2448" s="144"/>
      <c r="H2448" s="7" t="s">
        <v>154</v>
      </c>
      <c r="I2448" s="113"/>
      <c r="J2448" s="145"/>
      <c r="K2448" s="14">
        <f>K2446/10</f>
        <v>627.73360000000002</v>
      </c>
    </row>
    <row r="2449" spans="6:11" ht="24" customHeight="1">
      <c r="F2449" s="113"/>
      <c r="G2449" s="144"/>
      <c r="I2449" s="113"/>
      <c r="J2449" s="145"/>
      <c r="K2449" s="53" t="s">
        <v>1586</v>
      </c>
    </row>
    <row r="2450" spans="6:11" ht="24" customHeight="1">
      <c r="F2450" s="113"/>
      <c r="G2450" s="144"/>
      <c r="H2450" s="113"/>
      <c r="I2450" s="113"/>
      <c r="J2450" s="145"/>
      <c r="K2450" s="113"/>
    </row>
    <row r="2451" spans="6:11" ht="24" customHeight="1">
      <c r="F2451" s="113"/>
      <c r="G2451" s="144"/>
      <c r="H2451" s="113"/>
      <c r="I2451" s="113"/>
      <c r="J2451" s="145"/>
      <c r="K2451" s="113"/>
    </row>
    <row r="2452" spans="6:11" ht="24" customHeight="1">
      <c r="F2452" s="113"/>
      <c r="G2452" s="144"/>
      <c r="H2452" s="113"/>
      <c r="I2452" s="113"/>
      <c r="J2452" s="145"/>
      <c r="K2452" s="113"/>
    </row>
    <row r="2453" spans="6:11" ht="24" customHeight="1">
      <c r="F2453" s="113"/>
      <c r="G2453" s="144"/>
      <c r="H2453" s="113"/>
      <c r="I2453" s="113"/>
      <c r="J2453" s="145"/>
      <c r="K2453" s="113"/>
    </row>
    <row r="2454" spans="6:11" ht="24" customHeight="1">
      <c r="F2454" s="113"/>
      <c r="G2454" s="144"/>
      <c r="H2454" s="50" t="s">
        <v>2311</v>
      </c>
      <c r="I2454" s="113"/>
      <c r="J2454" s="145"/>
      <c r="K2454" s="113"/>
    </row>
    <row r="2455" spans="6:11" ht="24" customHeight="1">
      <c r="F2455" s="113"/>
      <c r="G2455" s="144"/>
      <c r="H2455" s="113"/>
      <c r="I2455" s="113"/>
      <c r="J2455" s="145"/>
      <c r="K2455" s="113"/>
    </row>
    <row r="2456" spans="6:11" ht="24" customHeight="1">
      <c r="F2456" s="145" t="s">
        <v>2312</v>
      </c>
      <c r="G2456" s="145"/>
      <c r="H2456" s="145"/>
      <c r="I2456" s="113">
        <v>15.21</v>
      </c>
      <c r="J2456" s="145" t="s">
        <v>1962</v>
      </c>
      <c r="K2456" s="113"/>
    </row>
    <row r="2457" spans="6:11" ht="24" customHeight="1">
      <c r="F2457" s="113" t="s">
        <v>2313</v>
      </c>
      <c r="G2457" s="144"/>
      <c r="H2457" s="113"/>
      <c r="I2457" s="113">
        <v>22.61</v>
      </c>
      <c r="J2457" s="145" t="s">
        <v>1962</v>
      </c>
      <c r="K2457" s="113"/>
    </row>
    <row r="2458" spans="6:11" ht="24" customHeight="1">
      <c r="F2458" s="113" t="s">
        <v>2314</v>
      </c>
      <c r="G2458" s="144"/>
      <c r="H2458" s="113"/>
      <c r="I2458" s="113">
        <v>3.24</v>
      </c>
      <c r="J2458" s="145" t="s">
        <v>1962</v>
      </c>
      <c r="K2458" s="113"/>
    </row>
    <row r="2459" spans="6:11" ht="24" customHeight="1">
      <c r="F2459" s="113" t="s">
        <v>2315</v>
      </c>
      <c r="G2459" s="144"/>
      <c r="H2459" s="113"/>
      <c r="I2459" s="113">
        <v>2.16</v>
      </c>
      <c r="J2459" s="145" t="s">
        <v>1962</v>
      </c>
      <c r="K2459" s="113"/>
    </row>
    <row r="2460" spans="6:11" ht="24" customHeight="1">
      <c r="F2460" s="113"/>
      <c r="G2460" s="144"/>
      <c r="H2460" s="113"/>
      <c r="I2460" s="113"/>
      <c r="J2460" s="145"/>
      <c r="K2460" s="113"/>
    </row>
    <row r="2461" spans="6:11" ht="24" customHeight="1">
      <c r="F2461" s="113"/>
      <c r="G2461" s="144"/>
      <c r="H2461" s="113"/>
      <c r="I2461" s="148" t="s">
        <v>1586</v>
      </c>
      <c r="J2461" s="145"/>
      <c r="K2461" s="113"/>
    </row>
    <row r="2462" spans="6:11" ht="24" customHeight="1">
      <c r="F2462" s="113"/>
      <c r="G2462" s="144"/>
      <c r="H2462" s="113"/>
      <c r="I2462" s="113">
        <f>SUM(I2456:I2460)</f>
        <v>43.22</v>
      </c>
      <c r="J2462" s="145"/>
      <c r="K2462" s="113"/>
    </row>
    <row r="2463" spans="6:11" ht="24" customHeight="1">
      <c r="F2463" s="113"/>
      <c r="G2463" s="144"/>
      <c r="H2463" s="113"/>
      <c r="I2463" s="113" t="s">
        <v>2316</v>
      </c>
      <c r="J2463" s="145"/>
      <c r="K2463" s="113"/>
    </row>
    <row r="2464" spans="6:11" ht="24" customHeight="1">
      <c r="F2464" s="113"/>
      <c r="G2464" s="144"/>
      <c r="H2464" s="113"/>
      <c r="I2464" s="113"/>
      <c r="J2464" s="145"/>
      <c r="K2464" s="113"/>
    </row>
    <row r="2465" spans="6:11" ht="24" customHeight="1">
      <c r="F2465" s="113"/>
      <c r="G2465" s="144"/>
      <c r="H2465" s="113"/>
      <c r="I2465" s="113"/>
      <c r="J2465" s="145"/>
      <c r="K2465" s="113"/>
    </row>
    <row r="2466" spans="6:11" ht="24" customHeight="1">
      <c r="F2466" s="113">
        <v>43.22</v>
      </c>
      <c r="G2466" s="144" t="s">
        <v>148</v>
      </c>
      <c r="H2466" s="277" t="s">
        <v>2317</v>
      </c>
      <c r="I2466" s="113">
        <f>C660</f>
        <v>54.5</v>
      </c>
      <c r="J2466" s="145" t="s">
        <v>148</v>
      </c>
      <c r="K2466" s="113">
        <f>I2466*F2466</f>
        <v>2355.4899999999998</v>
      </c>
    </row>
    <row r="2467" spans="6:11" ht="24" customHeight="1">
      <c r="F2467" s="113">
        <v>0.81</v>
      </c>
      <c r="G2467" s="144" t="s">
        <v>174</v>
      </c>
      <c r="H2467" s="113" t="s">
        <v>2318</v>
      </c>
      <c r="I2467" s="113">
        <f>C199</f>
        <v>295</v>
      </c>
      <c r="J2467" s="145" t="s">
        <v>174</v>
      </c>
      <c r="K2467" s="113">
        <f>I2467*F2467</f>
        <v>238.95000000000002</v>
      </c>
    </row>
    <row r="2468" spans="6:11" ht="24" customHeight="1">
      <c r="F2468" s="113">
        <v>0.81</v>
      </c>
      <c r="G2468" s="144" t="s">
        <v>174</v>
      </c>
      <c r="H2468" s="113" t="s">
        <v>2319</v>
      </c>
      <c r="I2468" s="113">
        <f>D199</f>
        <v>91</v>
      </c>
      <c r="J2468" s="145" t="s">
        <v>174</v>
      </c>
      <c r="K2468" s="113">
        <f>I2468*F2468</f>
        <v>73.710000000000008</v>
      </c>
    </row>
    <row r="2469" spans="6:11" ht="24" customHeight="1">
      <c r="F2469" s="113"/>
      <c r="G2469" s="144"/>
      <c r="H2469" s="113" t="s">
        <v>2320</v>
      </c>
      <c r="I2469" s="297">
        <f>46.61</f>
        <v>46.61</v>
      </c>
      <c r="J2469" s="145" t="s">
        <v>129</v>
      </c>
      <c r="K2469" s="113">
        <f>I2469</f>
        <v>46.61</v>
      </c>
    </row>
    <row r="2470" spans="6:11" ht="24" customHeight="1">
      <c r="F2470" s="113"/>
      <c r="G2470" s="144"/>
      <c r="H2470" s="113"/>
      <c r="I2470" s="113"/>
      <c r="J2470" s="145"/>
      <c r="K2470" s="148" t="s">
        <v>1586</v>
      </c>
    </row>
    <row r="2471" spans="6:11" ht="24" customHeight="1">
      <c r="F2471" s="113"/>
      <c r="G2471" s="144"/>
      <c r="H2471" s="50" t="s">
        <v>2321</v>
      </c>
      <c r="I2471" s="113"/>
      <c r="J2471" s="145"/>
      <c r="K2471" s="50">
        <f>SUM(K2466:K2469)</f>
        <v>2714.7599999999998</v>
      </c>
    </row>
    <row r="2472" spans="6:11" ht="24" customHeight="1">
      <c r="F2472" s="113"/>
      <c r="G2472" s="144"/>
      <c r="H2472" s="113">
        <f>0.6*1.35</f>
        <v>0.81</v>
      </c>
      <c r="I2472" s="113"/>
      <c r="J2472" s="145"/>
      <c r="K2472" s="148" t="s">
        <v>1586</v>
      </c>
    </row>
    <row r="2473" spans="6:11" ht="24" customHeight="1">
      <c r="F2473" s="113"/>
      <c r="G2473" s="144"/>
      <c r="H2473" s="50" t="s">
        <v>2322</v>
      </c>
      <c r="I2473" s="113"/>
      <c r="J2473" s="145"/>
      <c r="K2473" s="50">
        <f>K2471/H2472</f>
        <v>3351.5555555555552</v>
      </c>
    </row>
    <row r="2474" spans="6:11" ht="24" customHeight="1">
      <c r="F2474" s="113"/>
      <c r="G2474" s="144"/>
      <c r="H2474" s="113"/>
      <c r="I2474" s="113"/>
      <c r="J2474" s="145"/>
      <c r="K2474" s="113"/>
    </row>
    <row r="2475" spans="6:11" ht="24" customHeight="1">
      <c r="F2475" s="145" t="s">
        <v>2323</v>
      </c>
      <c r="G2475" s="145"/>
      <c r="H2475" s="145"/>
      <c r="I2475" s="113">
        <v>11.78</v>
      </c>
      <c r="J2475" s="145" t="s">
        <v>1962</v>
      </c>
      <c r="K2475" s="113"/>
    </row>
    <row r="2476" spans="6:11" ht="24" customHeight="1">
      <c r="F2476" s="113" t="s">
        <v>2324</v>
      </c>
      <c r="G2476" s="144"/>
      <c r="H2476" s="113"/>
      <c r="I2476" s="113">
        <v>15.07</v>
      </c>
      <c r="J2476" s="145" t="s">
        <v>1962</v>
      </c>
      <c r="K2476" s="113"/>
    </row>
    <row r="2477" spans="6:11" ht="24" customHeight="1">
      <c r="F2477" s="113" t="s">
        <v>2325</v>
      </c>
      <c r="G2477" s="144"/>
      <c r="H2477" s="113"/>
      <c r="I2477" s="113">
        <v>2.16</v>
      </c>
      <c r="J2477" s="145" t="s">
        <v>1962</v>
      </c>
      <c r="K2477" s="113"/>
    </row>
    <row r="2478" spans="6:11" ht="24" customHeight="1">
      <c r="F2478" s="113" t="s">
        <v>2315</v>
      </c>
      <c r="G2478" s="144"/>
      <c r="H2478" s="113"/>
      <c r="I2478" s="113">
        <v>2.16</v>
      </c>
      <c r="J2478" s="145" t="s">
        <v>1962</v>
      </c>
      <c r="K2478" s="113"/>
    </row>
    <row r="2479" spans="6:11" ht="24" customHeight="1">
      <c r="F2479" s="113" t="s">
        <v>2326</v>
      </c>
      <c r="G2479" s="144"/>
      <c r="H2479" s="113"/>
      <c r="I2479" s="113">
        <f>1.91-0.08</f>
        <v>1.8299999999999998</v>
      </c>
      <c r="J2479" s="145"/>
      <c r="K2479" s="113"/>
    </row>
    <row r="2480" spans="6:11" ht="24" customHeight="1">
      <c r="F2480" s="113"/>
      <c r="G2480" s="144"/>
      <c r="H2480" s="113"/>
      <c r="I2480" s="148" t="s">
        <v>2327</v>
      </c>
      <c r="J2480" s="145"/>
      <c r="K2480" s="113"/>
    </row>
    <row r="2481" spans="6:11" ht="24" customHeight="1">
      <c r="F2481" s="113"/>
      <c r="G2481" s="144"/>
      <c r="H2481" s="113"/>
      <c r="I2481" s="50">
        <f>SUM(I2475:I2479)</f>
        <v>33</v>
      </c>
      <c r="J2481" s="145" t="s">
        <v>1962</v>
      </c>
      <c r="K2481" s="113"/>
    </row>
    <row r="2482" spans="6:11" ht="24" customHeight="1">
      <c r="F2482" s="113"/>
      <c r="G2482" s="144"/>
      <c r="H2482" s="113"/>
      <c r="I2482" s="148" t="s">
        <v>2327</v>
      </c>
      <c r="J2482" s="145"/>
      <c r="K2482" s="113"/>
    </row>
    <row r="2483" spans="6:11" ht="24" customHeight="1">
      <c r="F2483" s="113"/>
      <c r="G2483" s="144"/>
      <c r="H2483" s="113"/>
      <c r="I2483" s="113"/>
      <c r="J2483" s="145"/>
      <c r="K2483" s="113"/>
    </row>
    <row r="2484" spans="6:11" ht="24" customHeight="1">
      <c r="F2484" s="113"/>
      <c r="G2484" s="144"/>
      <c r="H2484" s="113"/>
      <c r="I2484" s="113"/>
      <c r="J2484" s="145"/>
      <c r="K2484" s="113"/>
    </row>
    <row r="2485" spans="6:11" ht="24" customHeight="1">
      <c r="F2485" s="113">
        <f>I2481</f>
        <v>33</v>
      </c>
      <c r="G2485" s="144" t="s">
        <v>148</v>
      </c>
      <c r="H2485" s="113" t="s">
        <v>2317</v>
      </c>
      <c r="I2485" s="113">
        <f>I2466</f>
        <v>54.5</v>
      </c>
      <c r="J2485" s="145" t="s">
        <v>148</v>
      </c>
      <c r="K2485" s="113">
        <f>I2485*F2485</f>
        <v>1798.5</v>
      </c>
    </row>
    <row r="2486" spans="6:11" ht="24" customHeight="1">
      <c r="F2486" s="113">
        <v>0.54</v>
      </c>
      <c r="G2486" s="144" t="s">
        <v>174</v>
      </c>
      <c r="H2486" s="113" t="s">
        <v>2318</v>
      </c>
      <c r="I2486" s="113">
        <f>I2467</f>
        <v>295</v>
      </c>
      <c r="J2486" s="145" t="s">
        <v>174</v>
      </c>
      <c r="K2486" s="113">
        <f>I2486*F2486</f>
        <v>159.30000000000001</v>
      </c>
    </row>
    <row r="2487" spans="6:11" ht="24" customHeight="1">
      <c r="F2487" s="113">
        <v>0.54</v>
      </c>
      <c r="G2487" s="144" t="s">
        <v>174</v>
      </c>
      <c r="H2487" s="113" t="str">
        <f>H2468</f>
        <v>Fly proof  Mesh</v>
      </c>
      <c r="I2487" s="113">
        <f>I2468</f>
        <v>91</v>
      </c>
      <c r="J2487" s="145" t="s">
        <v>174</v>
      </c>
      <c r="K2487" s="113">
        <f>I2487*F2487</f>
        <v>49.14</v>
      </c>
    </row>
    <row r="2488" spans="6:11" ht="24" customHeight="1">
      <c r="F2488" s="113"/>
      <c r="G2488" s="144"/>
      <c r="H2488" s="113" t="s">
        <v>2320</v>
      </c>
      <c r="I2488" s="297">
        <v>53.5</v>
      </c>
      <c r="J2488" s="145" t="s">
        <v>129</v>
      </c>
      <c r="K2488" s="113">
        <v>52.8</v>
      </c>
    </row>
    <row r="2489" spans="6:11" ht="24" customHeight="1">
      <c r="F2489" s="113"/>
      <c r="G2489" s="144"/>
      <c r="H2489" s="113"/>
      <c r="I2489" s="113"/>
      <c r="J2489" s="145"/>
      <c r="K2489" s="148" t="s">
        <v>1586</v>
      </c>
    </row>
    <row r="2490" spans="6:11" ht="24" customHeight="1">
      <c r="F2490" s="113"/>
      <c r="G2490" s="144"/>
      <c r="H2490" s="50" t="s">
        <v>2321</v>
      </c>
      <c r="I2490" s="113"/>
      <c r="J2490" s="145"/>
      <c r="K2490" s="50">
        <f>SUM(K2485:K2488)</f>
        <v>2059.7400000000002</v>
      </c>
    </row>
    <row r="2491" spans="6:11" ht="24" customHeight="1">
      <c r="F2491" s="113"/>
      <c r="G2491" s="144"/>
      <c r="H2491" s="113"/>
      <c r="I2491" s="113"/>
      <c r="J2491" s="145"/>
      <c r="K2491" s="148" t="s">
        <v>1586</v>
      </c>
    </row>
    <row r="2492" spans="6:11" ht="24" customHeight="1">
      <c r="F2492" s="113"/>
      <c r="G2492" s="144"/>
      <c r="H2492" s="113"/>
      <c r="I2492" s="50" t="s">
        <v>2328</v>
      </c>
      <c r="J2492" s="145"/>
      <c r="K2492" s="50">
        <f>K2490/0.54</f>
        <v>3814.3333333333335</v>
      </c>
    </row>
    <row r="2493" spans="6:11" ht="24" customHeight="1">
      <c r="F2493" s="113"/>
      <c r="G2493" s="144"/>
      <c r="H2493" s="113"/>
      <c r="I2493" s="113"/>
      <c r="J2493" s="145"/>
      <c r="K2493" s="113"/>
    </row>
    <row r="2494" spans="6:11" ht="24" customHeight="1">
      <c r="F2494" s="113"/>
      <c r="G2494" s="144"/>
      <c r="H2494" s="113"/>
      <c r="I2494" s="113"/>
      <c r="J2494" s="145"/>
      <c r="K2494" s="113"/>
    </row>
    <row r="2495" spans="6:11" ht="24" customHeight="1">
      <c r="F2495" s="113"/>
      <c r="G2495" s="144"/>
      <c r="H2495" s="50" t="s">
        <v>2329</v>
      </c>
      <c r="I2495" s="113"/>
      <c r="J2495" s="145"/>
      <c r="K2495" s="113"/>
    </row>
    <row r="2496" spans="6:11" ht="24" customHeight="1">
      <c r="F2496" s="113"/>
      <c r="G2496" s="144"/>
      <c r="H2496" s="113"/>
      <c r="I2496" s="113"/>
      <c r="J2496" s="145"/>
      <c r="K2496" s="113"/>
    </row>
    <row r="2497" spans="6:18" ht="24" customHeight="1">
      <c r="F2497" s="145" t="s">
        <v>2330</v>
      </c>
      <c r="G2497" s="145"/>
      <c r="H2497" s="145"/>
      <c r="I2497" s="113">
        <v>9.42</v>
      </c>
      <c r="J2497" s="145" t="s">
        <v>1962</v>
      </c>
      <c r="K2497" s="145"/>
    </row>
    <row r="2498" spans="6:18" ht="24" customHeight="1">
      <c r="F2498" s="113" t="s">
        <v>2331</v>
      </c>
      <c r="G2498" s="144"/>
      <c r="H2498" s="113"/>
      <c r="I2498" s="113">
        <v>9.42</v>
      </c>
      <c r="J2498" s="145" t="s">
        <v>1962</v>
      </c>
      <c r="K2498" s="145"/>
    </row>
    <row r="2499" spans="6:18" ht="24" customHeight="1">
      <c r="F2499" s="113" t="s">
        <v>2332</v>
      </c>
      <c r="G2499" s="144"/>
      <c r="H2499" s="113"/>
      <c r="I2499" s="113">
        <v>1.44</v>
      </c>
      <c r="J2499" s="145" t="s">
        <v>1962</v>
      </c>
      <c r="K2499" s="145"/>
    </row>
    <row r="2500" spans="6:18" ht="24" customHeight="1">
      <c r="F2500" s="113" t="s">
        <v>2315</v>
      </c>
      <c r="G2500" s="144"/>
      <c r="H2500" s="113"/>
      <c r="I2500" s="113">
        <v>2.16</v>
      </c>
      <c r="J2500" s="145" t="s">
        <v>1962</v>
      </c>
      <c r="K2500" s="145"/>
    </row>
    <row r="2501" spans="6:18" ht="24" customHeight="1">
      <c r="F2501" s="113" t="s">
        <v>2326</v>
      </c>
      <c r="G2501" s="144"/>
      <c r="H2501" s="113"/>
      <c r="I2501" s="113">
        <v>1.56</v>
      </c>
      <c r="J2501" s="145"/>
      <c r="K2501" s="145"/>
    </row>
    <row r="2502" spans="6:18" ht="24" customHeight="1">
      <c r="F2502" s="113"/>
      <c r="G2502" s="144"/>
      <c r="H2502" s="113"/>
      <c r="I2502" s="148" t="s">
        <v>2327</v>
      </c>
      <c r="J2502" s="145"/>
      <c r="K2502" s="145"/>
      <c r="M2502" s="113"/>
      <c r="N2502" s="144"/>
      <c r="O2502" s="50" t="s">
        <v>2333</v>
      </c>
      <c r="P2502" s="113"/>
      <c r="Q2502" s="145"/>
      <c r="R2502" s="113"/>
    </row>
    <row r="2503" spans="6:18" ht="24" customHeight="1">
      <c r="F2503" s="113"/>
      <c r="G2503" s="144"/>
      <c r="H2503" s="113"/>
      <c r="I2503" s="113">
        <f>SUM(I2497:I2501)</f>
        <v>24</v>
      </c>
      <c r="J2503" s="145" t="s">
        <v>1962</v>
      </c>
      <c r="K2503" s="145"/>
      <c r="M2503" s="113"/>
      <c r="N2503" s="144"/>
      <c r="O2503" s="113"/>
      <c r="P2503" s="113"/>
      <c r="Q2503" s="145"/>
      <c r="R2503" s="113"/>
    </row>
    <row r="2504" spans="6:18" ht="24" customHeight="1">
      <c r="F2504" s="113"/>
      <c r="G2504" s="144"/>
      <c r="H2504" s="113"/>
      <c r="I2504" s="148" t="s">
        <v>2327</v>
      </c>
      <c r="J2504" s="145"/>
      <c r="K2504" s="113"/>
      <c r="M2504" s="145" t="s">
        <v>2334</v>
      </c>
      <c r="N2504" s="145"/>
      <c r="O2504" s="145"/>
      <c r="P2504" s="147">
        <f>3.77*3.9</f>
        <v>14.702999999999999</v>
      </c>
      <c r="Q2504" s="145" t="s">
        <v>1962</v>
      </c>
      <c r="R2504" s="145"/>
    </row>
    <row r="2505" spans="6:18" ht="24" customHeight="1">
      <c r="F2505" s="113"/>
      <c r="G2505" s="144"/>
      <c r="H2505" s="113"/>
      <c r="I2505" s="113"/>
      <c r="J2505" s="145"/>
      <c r="K2505" s="113"/>
      <c r="M2505" s="113" t="s">
        <v>2335</v>
      </c>
      <c r="N2505" s="144"/>
      <c r="O2505" s="113"/>
      <c r="P2505" s="113">
        <f>12*0.6*3.14</f>
        <v>22.607999999999997</v>
      </c>
      <c r="Q2505" s="145" t="s">
        <v>1962</v>
      </c>
      <c r="R2505" s="145"/>
    </row>
    <row r="2506" spans="6:18" ht="24" customHeight="1">
      <c r="F2506" s="113"/>
      <c r="G2506" s="144"/>
      <c r="H2506" s="113"/>
      <c r="I2506" s="113"/>
      <c r="J2506" s="145"/>
      <c r="K2506" s="113"/>
      <c r="M2506" s="113" t="s">
        <v>2336</v>
      </c>
      <c r="N2506" s="144"/>
      <c r="O2506" s="113"/>
      <c r="P2506" s="113">
        <f>2*1.285*1.2</f>
        <v>3.0839999999999996</v>
      </c>
      <c r="Q2506" s="145" t="s">
        <v>1962</v>
      </c>
      <c r="R2506" s="145"/>
    </row>
    <row r="2507" spans="6:18" ht="24" customHeight="1">
      <c r="F2507" s="113">
        <v>24</v>
      </c>
      <c r="G2507" s="144" t="s">
        <v>148</v>
      </c>
      <c r="H2507" s="113" t="s">
        <v>2317</v>
      </c>
      <c r="I2507" s="113">
        <f>I2485</f>
        <v>54.5</v>
      </c>
      <c r="J2507" s="145" t="s">
        <v>148</v>
      </c>
      <c r="K2507" s="113">
        <f>I2507*F2507</f>
        <v>1308</v>
      </c>
      <c r="M2507" s="113" t="s">
        <v>2315</v>
      </c>
      <c r="N2507" s="144"/>
      <c r="O2507" s="113"/>
      <c r="P2507" s="113">
        <f>3*0.6*1.2</f>
        <v>2.1599999999999997</v>
      </c>
      <c r="Q2507" s="145" t="s">
        <v>1962</v>
      </c>
      <c r="R2507" s="145"/>
    </row>
    <row r="2508" spans="6:18" ht="24" customHeight="1">
      <c r="F2508" s="113">
        <v>0.36</v>
      </c>
      <c r="G2508" s="144" t="s">
        <v>174</v>
      </c>
      <c r="H2508" s="113" t="s">
        <v>2318</v>
      </c>
      <c r="I2508" s="113">
        <f>I2486</f>
        <v>295</v>
      </c>
      <c r="J2508" s="145" t="s">
        <v>174</v>
      </c>
      <c r="K2508" s="113">
        <f>I2508*F2508</f>
        <v>106.2</v>
      </c>
      <c r="M2508" s="113" t="s">
        <v>2326</v>
      </c>
      <c r="N2508" s="144"/>
      <c r="O2508" s="113"/>
      <c r="P2508" s="113">
        <v>0.16</v>
      </c>
      <c r="Q2508" s="145"/>
      <c r="R2508" s="145"/>
    </row>
    <row r="2509" spans="6:18" ht="24" customHeight="1">
      <c r="F2509" s="113">
        <v>0.36</v>
      </c>
      <c r="G2509" s="144" t="s">
        <v>174</v>
      </c>
      <c r="H2509" s="113" t="s">
        <v>2337</v>
      </c>
      <c r="I2509" s="113">
        <f>C198</f>
        <v>31.65</v>
      </c>
      <c r="J2509" s="145" t="s">
        <v>174</v>
      </c>
      <c r="K2509" s="113">
        <f>I2509*F2509</f>
        <v>11.393999999999998</v>
      </c>
      <c r="M2509" s="113"/>
      <c r="N2509" s="144"/>
      <c r="O2509" s="113"/>
      <c r="P2509" s="148" t="s">
        <v>2327</v>
      </c>
      <c r="Q2509" s="145"/>
      <c r="R2509" s="145"/>
    </row>
    <row r="2510" spans="6:18" ht="24" customHeight="1">
      <c r="F2510" s="113"/>
      <c r="G2510" s="144"/>
      <c r="H2510" s="113" t="s">
        <v>2338</v>
      </c>
      <c r="I2510" s="297">
        <v>28.34</v>
      </c>
      <c r="J2510" s="145" t="s">
        <v>129</v>
      </c>
      <c r="K2510" s="113">
        <f>28.14</f>
        <v>28.14</v>
      </c>
      <c r="M2510" s="113"/>
      <c r="N2510" s="144"/>
      <c r="O2510" s="113"/>
      <c r="P2510" s="143">
        <f>SUM(P2504:P2508)</f>
        <v>42.714999999999989</v>
      </c>
      <c r="Q2510" s="145" t="s">
        <v>1962</v>
      </c>
      <c r="R2510" s="145">
        <f>42.55-42.713</f>
        <v>-0.16300000000000381</v>
      </c>
    </row>
    <row r="2511" spans="6:18" ht="24" customHeight="1">
      <c r="F2511" s="113"/>
      <c r="G2511" s="144"/>
      <c r="H2511" s="113"/>
      <c r="I2511" s="113"/>
      <c r="J2511" s="145"/>
      <c r="K2511" s="148" t="s">
        <v>1586</v>
      </c>
      <c r="M2511" s="113"/>
      <c r="N2511" s="144"/>
      <c r="O2511" s="113"/>
      <c r="P2511" s="148" t="s">
        <v>2327</v>
      </c>
      <c r="Q2511" s="145"/>
      <c r="R2511" s="113"/>
    </row>
    <row r="2512" spans="6:18" ht="24" customHeight="1">
      <c r="F2512" s="113"/>
      <c r="G2512" s="144"/>
      <c r="H2512" s="50" t="s">
        <v>2321</v>
      </c>
      <c r="I2512" s="113"/>
      <c r="J2512" s="145"/>
      <c r="K2512" s="50">
        <f>SUM(K2507:K2510)</f>
        <v>1453.7340000000002</v>
      </c>
      <c r="M2512" s="113"/>
      <c r="N2512" s="144"/>
      <c r="O2512" s="113"/>
      <c r="P2512" s="113"/>
      <c r="Q2512" s="145"/>
      <c r="R2512" s="113"/>
    </row>
    <row r="2513" spans="6:18" ht="24" customHeight="1">
      <c r="F2513" s="113"/>
      <c r="G2513" s="144"/>
      <c r="H2513" s="113"/>
      <c r="I2513" s="113"/>
      <c r="J2513" s="145"/>
      <c r="K2513" s="148" t="s">
        <v>1586</v>
      </c>
      <c r="M2513" s="113"/>
      <c r="N2513" s="144"/>
      <c r="O2513" s="113"/>
      <c r="P2513" s="113"/>
      <c r="Q2513" s="145"/>
      <c r="R2513" s="113"/>
    </row>
    <row r="2514" spans="6:18" ht="24" customHeight="1">
      <c r="F2514" s="113"/>
      <c r="G2514" s="144"/>
      <c r="H2514" s="113"/>
      <c r="I2514" s="113"/>
      <c r="J2514" s="145"/>
      <c r="K2514" s="113">
        <f>0.6*0.6</f>
        <v>0.36</v>
      </c>
      <c r="M2514" s="147">
        <f>P2510</f>
        <v>42.714999999999989</v>
      </c>
      <c r="N2514" s="144" t="s">
        <v>148</v>
      </c>
      <c r="O2514" s="113" t="s">
        <v>2317</v>
      </c>
      <c r="P2514" s="113">
        <f>I2507</f>
        <v>54.5</v>
      </c>
      <c r="Q2514" s="145" t="s">
        <v>148</v>
      </c>
      <c r="R2514" s="113">
        <f>P2514*M2514</f>
        <v>2327.9674999999993</v>
      </c>
    </row>
    <row r="2515" spans="6:18" ht="24" customHeight="1">
      <c r="F2515" s="113"/>
      <c r="G2515" s="144"/>
      <c r="H2515" s="50" t="s">
        <v>2339</v>
      </c>
      <c r="I2515" s="113"/>
      <c r="J2515" s="145"/>
      <c r="K2515" s="113">
        <f>K2512/K2514</f>
        <v>4038.1500000000005</v>
      </c>
      <c r="M2515" s="113">
        <v>0.77</v>
      </c>
      <c r="N2515" s="144" t="s">
        <v>174</v>
      </c>
      <c r="O2515" s="113" t="s">
        <v>2318</v>
      </c>
      <c r="P2515" s="113">
        <f>I2508</f>
        <v>295</v>
      </c>
      <c r="Q2515" s="145" t="s">
        <v>174</v>
      </c>
      <c r="R2515" s="113">
        <f>P2515*M2515</f>
        <v>227.15</v>
      </c>
    </row>
    <row r="2516" spans="6:18" ht="24" customHeight="1">
      <c r="F2516" s="113"/>
      <c r="G2516" s="144"/>
      <c r="H2516" s="113"/>
      <c r="I2516" s="113"/>
      <c r="J2516" s="145"/>
      <c r="K2516" s="113"/>
      <c r="M2516" s="113">
        <v>0.77</v>
      </c>
      <c r="N2516" s="144" t="s">
        <v>174</v>
      </c>
      <c r="O2516" s="113" t="s">
        <v>2337</v>
      </c>
      <c r="P2516" s="113">
        <f>I2509</f>
        <v>31.65</v>
      </c>
      <c r="Q2516" s="145" t="s">
        <v>174</v>
      </c>
      <c r="R2516" s="113">
        <f>P2516*M2516</f>
        <v>24.3705</v>
      </c>
    </row>
    <row r="2517" spans="6:18" ht="24" customHeight="1">
      <c r="F2517" s="50" t="s">
        <v>2340</v>
      </c>
      <c r="G2517" s="75"/>
      <c r="H2517" s="113"/>
      <c r="I2517" s="113"/>
      <c r="J2517" s="145"/>
      <c r="K2517" s="113"/>
      <c r="M2517" s="113"/>
      <c r="N2517" s="144"/>
      <c r="O2517" s="113" t="s">
        <v>2338</v>
      </c>
      <c r="P2517" s="113">
        <f>I2510</f>
        <v>28.34</v>
      </c>
      <c r="Q2517" s="145" t="s">
        <v>129</v>
      </c>
      <c r="R2517" s="113">
        <f>28.34+0.11</f>
        <v>28.45</v>
      </c>
    </row>
    <row r="2518" spans="6:18" ht="24" customHeight="1">
      <c r="F2518" s="113"/>
      <c r="G2518" s="144"/>
      <c r="H2518" s="113"/>
      <c r="I2518" s="113"/>
      <c r="J2518" s="145"/>
      <c r="K2518" s="113"/>
      <c r="M2518" s="113"/>
      <c r="N2518" s="144"/>
      <c r="O2518" s="113"/>
      <c r="P2518" s="113"/>
      <c r="Q2518" s="145"/>
      <c r="R2518" s="148" t="s">
        <v>1586</v>
      </c>
    </row>
    <row r="2519" spans="6:18" ht="24" customHeight="1">
      <c r="F2519" s="113" t="s">
        <v>2341</v>
      </c>
      <c r="G2519" s="144"/>
      <c r="H2519" s="113"/>
      <c r="I2519" s="113">
        <v>3.93</v>
      </c>
      <c r="J2519" s="145" t="s">
        <v>148</v>
      </c>
      <c r="K2519" s="113"/>
      <c r="M2519" s="113"/>
      <c r="N2519" s="144"/>
      <c r="O2519" s="50" t="s">
        <v>2321</v>
      </c>
      <c r="P2519" s="113"/>
      <c r="Q2519" s="145"/>
      <c r="R2519" s="50">
        <f>SUM(R2514:R2517)</f>
        <v>2607.9379999999992</v>
      </c>
    </row>
    <row r="2520" spans="6:18" ht="24" customHeight="1">
      <c r="F2520" s="113" t="s">
        <v>2342</v>
      </c>
      <c r="G2520" s="144"/>
      <c r="H2520" s="113"/>
      <c r="I2520" s="113">
        <v>3.14</v>
      </c>
      <c r="J2520" s="145" t="s">
        <v>148</v>
      </c>
      <c r="K2520" s="113"/>
      <c r="M2520" s="113"/>
      <c r="N2520" s="144"/>
      <c r="O2520" s="113"/>
      <c r="P2520" s="113"/>
      <c r="Q2520" s="145"/>
      <c r="R2520" s="148" t="s">
        <v>1586</v>
      </c>
    </row>
    <row r="2521" spans="6:18" ht="24" customHeight="1">
      <c r="F2521" s="113" t="s">
        <v>2343</v>
      </c>
      <c r="G2521" s="144"/>
      <c r="H2521" s="113"/>
      <c r="I2521" s="113">
        <v>1.18</v>
      </c>
      <c r="J2521" s="145" t="s">
        <v>148</v>
      </c>
      <c r="K2521" s="113"/>
      <c r="M2521" s="113"/>
      <c r="N2521" s="144"/>
      <c r="O2521" s="191" t="s">
        <v>2328</v>
      </c>
      <c r="P2521" s="113"/>
      <c r="Q2521" s="145"/>
      <c r="R2521" s="50">
        <f>R2519/M2515</f>
        <v>3386.9324675324665</v>
      </c>
    </row>
    <row r="2522" spans="6:18" ht="24" customHeight="1">
      <c r="F2522" s="113"/>
      <c r="G2522" s="144"/>
      <c r="H2522" s="113"/>
      <c r="I2522" s="113"/>
      <c r="J2522" s="145"/>
      <c r="K2522" s="113"/>
      <c r="N2522" s="5">
        <f>1.285*0.6</f>
        <v>0.77099999999999991</v>
      </c>
    </row>
    <row r="2523" spans="6:18" ht="24" customHeight="1">
      <c r="F2523" s="113"/>
      <c r="G2523" s="144"/>
      <c r="H2523" s="113"/>
      <c r="I2523" s="113"/>
      <c r="J2523" s="145"/>
      <c r="K2523" s="113"/>
    </row>
    <row r="2524" spans="6:18" ht="24" customHeight="1">
      <c r="F2524" s="113"/>
      <c r="G2524" s="144"/>
      <c r="H2524" s="50" t="s">
        <v>2339</v>
      </c>
      <c r="I2524" s="113"/>
      <c r="J2524" s="145"/>
      <c r="K2524" s="113"/>
    </row>
    <row r="2525" spans="6:18" ht="24" customHeight="1">
      <c r="F2525" s="113"/>
      <c r="G2525" s="144"/>
      <c r="H2525" s="113"/>
      <c r="I2525" s="113"/>
      <c r="J2525" s="145"/>
      <c r="K2525" s="113"/>
    </row>
    <row r="2526" spans="6:18" ht="24" customHeight="1">
      <c r="F2526" s="113"/>
      <c r="G2526" s="144"/>
      <c r="H2526" s="113"/>
      <c r="I2526" s="113"/>
      <c r="J2526" s="145"/>
      <c r="K2526" s="113"/>
    </row>
    <row r="2527" spans="6:18" ht="24" customHeight="1">
      <c r="F2527" s="113" t="s">
        <v>2344</v>
      </c>
      <c r="G2527" s="144"/>
      <c r="H2527" s="113"/>
      <c r="I2527" s="113">
        <v>24.34</v>
      </c>
      <c r="J2527" s="145" t="s">
        <v>148</v>
      </c>
      <c r="K2527" s="113"/>
    </row>
    <row r="2528" spans="6:18" ht="24" customHeight="1">
      <c r="F2528" s="113" t="s">
        <v>2345</v>
      </c>
      <c r="G2528" s="144"/>
      <c r="H2528" s="113"/>
      <c r="I2528" s="113">
        <v>11.78</v>
      </c>
      <c r="J2528" s="145" t="s">
        <v>148</v>
      </c>
      <c r="K2528" s="113"/>
    </row>
    <row r="2529" spans="6:12" ht="24" customHeight="1">
      <c r="F2529" s="113" t="s">
        <v>2346</v>
      </c>
      <c r="G2529" s="144"/>
      <c r="H2529" s="113"/>
      <c r="I2529" s="113">
        <v>59.35</v>
      </c>
      <c r="J2529" s="145" t="s">
        <v>148</v>
      </c>
      <c r="K2529" s="113"/>
    </row>
    <row r="2530" spans="6:12" ht="24" customHeight="1">
      <c r="F2530" s="113" t="s">
        <v>2347</v>
      </c>
      <c r="G2530" s="144"/>
      <c r="H2530" s="113"/>
      <c r="I2530" s="113">
        <v>5.04</v>
      </c>
      <c r="J2530" s="145" t="s">
        <v>148</v>
      </c>
      <c r="K2530" s="113"/>
    </row>
    <row r="2531" spans="6:12" ht="24" customHeight="1">
      <c r="F2531" s="113" t="s">
        <v>2348</v>
      </c>
      <c r="G2531" s="144"/>
      <c r="H2531" s="113"/>
      <c r="I2531" s="113">
        <v>4.8</v>
      </c>
      <c r="J2531" s="145" t="s">
        <v>148</v>
      </c>
      <c r="K2531" s="113"/>
    </row>
    <row r="2532" spans="6:12" ht="24" customHeight="1">
      <c r="F2532" s="113" t="s">
        <v>2349</v>
      </c>
      <c r="G2532" s="144"/>
      <c r="H2532" s="113"/>
      <c r="I2532" s="113">
        <v>2.69</v>
      </c>
      <c r="J2532" s="145"/>
      <c r="K2532" s="113"/>
    </row>
    <row r="2533" spans="6:12" ht="24" customHeight="1">
      <c r="F2533" s="113"/>
      <c r="G2533" s="144"/>
      <c r="H2533" s="113"/>
      <c r="I2533" s="148" t="s">
        <v>2327</v>
      </c>
      <c r="J2533" s="145"/>
      <c r="K2533" s="113"/>
    </row>
    <row r="2534" spans="6:12" ht="24" customHeight="1">
      <c r="F2534" s="113"/>
      <c r="G2534" s="144"/>
      <c r="H2534" s="113"/>
      <c r="I2534" s="50">
        <f>SUM(I2527:I2532)</f>
        <v>108</v>
      </c>
      <c r="J2534" s="145" t="s">
        <v>148</v>
      </c>
      <c r="K2534" s="113"/>
    </row>
    <row r="2535" spans="6:12" ht="24" customHeight="1">
      <c r="F2535" s="113"/>
      <c r="G2535" s="144"/>
      <c r="H2535" s="113"/>
      <c r="I2535" s="148" t="s">
        <v>2327</v>
      </c>
      <c r="J2535" s="145"/>
      <c r="K2535" s="113"/>
    </row>
    <row r="2536" spans="6:12" ht="24" customHeight="1">
      <c r="F2536" s="113"/>
      <c r="G2536" s="144"/>
      <c r="H2536" s="113"/>
      <c r="I2536" s="113"/>
      <c r="J2536" s="145"/>
      <c r="K2536" s="113"/>
      <c r="L2536" s="5" t="s">
        <v>2350</v>
      </c>
    </row>
    <row r="2537" spans="6:12" ht="24" customHeight="1">
      <c r="F2537" s="113">
        <v>108</v>
      </c>
      <c r="G2537" s="144" t="s">
        <v>148</v>
      </c>
      <c r="H2537" s="113" t="s">
        <v>2351</v>
      </c>
      <c r="I2537" s="113">
        <f>I2466</f>
        <v>54.5</v>
      </c>
      <c r="J2537" s="145" t="s">
        <v>148</v>
      </c>
      <c r="K2537" s="113">
        <f>F2537*I2537</f>
        <v>5886</v>
      </c>
    </row>
    <row r="2538" spans="6:12" ht="24" customHeight="1">
      <c r="F2538" s="113">
        <v>2.1</v>
      </c>
      <c r="G2538" s="144" t="s">
        <v>174</v>
      </c>
      <c r="H2538" s="113" t="s">
        <v>2318</v>
      </c>
      <c r="I2538" s="113">
        <f>I2467</f>
        <v>295</v>
      </c>
      <c r="J2538" s="145" t="s">
        <v>174</v>
      </c>
      <c r="K2538" s="113">
        <f>F2538*I2538</f>
        <v>619.5</v>
      </c>
      <c r="L2538" s="9">
        <v>42.713000000000001</v>
      </c>
    </row>
    <row r="2539" spans="6:12" ht="24" customHeight="1">
      <c r="F2539" s="113">
        <v>2.1</v>
      </c>
      <c r="G2539" s="144" t="s">
        <v>174</v>
      </c>
      <c r="H2539" s="113" t="s">
        <v>2352</v>
      </c>
      <c r="I2539" s="113">
        <f>I2468</f>
        <v>91</v>
      </c>
      <c r="J2539" s="145" t="s">
        <v>174</v>
      </c>
      <c r="K2539" s="113">
        <f>F2539*I2539</f>
        <v>191.1</v>
      </c>
      <c r="L2539" s="5">
        <v>0.77</v>
      </c>
    </row>
    <row r="2540" spans="6:12" ht="24" customHeight="1">
      <c r="F2540" s="113"/>
      <c r="G2540" s="144"/>
      <c r="H2540" s="113" t="s">
        <v>2353</v>
      </c>
      <c r="I2540" s="113">
        <v>267.10000000000002</v>
      </c>
      <c r="J2540" s="145" t="s">
        <v>129</v>
      </c>
      <c r="K2540" s="113">
        <f>I2540</f>
        <v>267.10000000000002</v>
      </c>
      <c r="L2540" s="5">
        <v>0.77</v>
      </c>
    </row>
    <row r="2541" spans="6:12" ht="24" customHeight="1">
      <c r="F2541" s="113"/>
      <c r="G2541" s="144"/>
      <c r="H2541" s="113"/>
      <c r="I2541" s="113"/>
      <c r="J2541" s="145"/>
      <c r="K2541" s="148" t="s">
        <v>1586</v>
      </c>
    </row>
    <row r="2542" spans="6:12" ht="24" customHeight="1">
      <c r="F2542" s="113"/>
      <c r="G2542" s="144"/>
      <c r="H2542" s="113"/>
      <c r="I2542" s="113"/>
      <c r="J2542" s="145"/>
      <c r="K2542" s="113">
        <f>SUM(K2537:K2540)</f>
        <v>6963.7000000000007</v>
      </c>
    </row>
    <row r="2543" spans="6:12" ht="24" customHeight="1">
      <c r="F2543" s="113"/>
      <c r="G2543" s="144"/>
      <c r="H2543" s="113" t="s">
        <v>2354</v>
      </c>
      <c r="I2543" s="113">
        <v>500</v>
      </c>
      <c r="J2543" s="145" t="s">
        <v>129</v>
      </c>
      <c r="K2543" s="113">
        <f>I2543</f>
        <v>500</v>
      </c>
    </row>
    <row r="2544" spans="6:12" ht="24" customHeight="1">
      <c r="F2544" s="113"/>
      <c r="G2544" s="144"/>
      <c r="H2544" s="113"/>
      <c r="I2544" s="113"/>
      <c r="J2544" s="145"/>
      <c r="K2544" s="148" t="s">
        <v>1586</v>
      </c>
    </row>
    <row r="2545" spans="6:11" ht="24" customHeight="1">
      <c r="F2545" s="113"/>
      <c r="G2545" s="144"/>
      <c r="H2545" s="50" t="s">
        <v>2355</v>
      </c>
      <c r="I2545" s="113"/>
      <c r="J2545" s="145"/>
      <c r="K2545" s="50">
        <f>SUM(K2542:K2543)</f>
        <v>7463.7000000000007</v>
      </c>
    </row>
    <row r="2546" spans="6:11" ht="24" customHeight="1">
      <c r="F2546" s="113"/>
      <c r="G2546" s="144"/>
      <c r="H2546" s="113"/>
      <c r="I2546" s="113"/>
      <c r="J2546" s="145"/>
      <c r="K2546" s="148" t="s">
        <v>1586</v>
      </c>
    </row>
    <row r="2547" spans="6:11" ht="24" customHeight="1">
      <c r="F2547" s="113"/>
      <c r="G2547" s="144"/>
      <c r="H2547" s="113"/>
      <c r="I2547" s="113"/>
      <c r="J2547" s="145"/>
      <c r="K2547" s="113"/>
    </row>
    <row r="2548" spans="6:11" ht="24" customHeight="1">
      <c r="F2548" s="113"/>
      <c r="G2548" s="144"/>
      <c r="H2548" s="113"/>
      <c r="I2548" s="113"/>
      <c r="J2548" s="145"/>
      <c r="K2548" s="113">
        <f>8054-K2545</f>
        <v>590.29999999999927</v>
      </c>
    </row>
    <row r="2549" spans="6:11" ht="24" customHeight="1">
      <c r="F2549" s="113"/>
      <c r="G2549" s="144"/>
      <c r="H2549" s="113"/>
      <c r="I2549" s="113"/>
      <c r="J2549" s="145"/>
      <c r="K2549" s="113"/>
    </row>
    <row r="2550" spans="6:11" ht="24" customHeight="1">
      <c r="F2550" s="113"/>
      <c r="G2550" s="144"/>
      <c r="H2550" s="50" t="s">
        <v>2356</v>
      </c>
      <c r="I2550" s="113"/>
      <c r="J2550" s="145"/>
      <c r="K2550" s="113"/>
    </row>
    <row r="2551" spans="6:11" ht="24" customHeight="1">
      <c r="F2551" s="113"/>
      <c r="G2551" s="144"/>
      <c r="H2551" s="113"/>
      <c r="I2551" s="113"/>
      <c r="J2551" s="145"/>
      <c r="K2551" s="113"/>
    </row>
    <row r="2552" spans="6:11" ht="24" customHeight="1">
      <c r="F2552" s="50" t="s">
        <v>2340</v>
      </c>
      <c r="G2552" s="75"/>
      <c r="H2552" s="113"/>
      <c r="I2552" s="113"/>
      <c r="J2552" s="145"/>
      <c r="K2552" s="113"/>
    </row>
    <row r="2553" spans="6:11" ht="24" customHeight="1">
      <c r="F2553" s="113"/>
      <c r="G2553" s="144"/>
      <c r="H2553" s="113"/>
      <c r="I2553" s="113"/>
      <c r="J2553" s="145"/>
      <c r="K2553" s="113"/>
    </row>
    <row r="2554" spans="6:11" ht="24" customHeight="1">
      <c r="F2554" s="113" t="s">
        <v>2357</v>
      </c>
      <c r="G2554" s="144"/>
      <c r="H2554" s="113"/>
      <c r="I2554" s="147">
        <v>2.944</v>
      </c>
      <c r="J2554" s="145" t="s">
        <v>148</v>
      </c>
      <c r="K2554" s="113"/>
    </row>
    <row r="2555" spans="6:11" ht="24" customHeight="1">
      <c r="F2555" s="113" t="s">
        <v>2358</v>
      </c>
      <c r="G2555" s="144"/>
      <c r="H2555" s="113"/>
      <c r="I2555" s="147">
        <v>2.355</v>
      </c>
      <c r="J2555" s="145" t="s">
        <v>148</v>
      </c>
      <c r="K2555" s="113"/>
    </row>
    <row r="2556" spans="6:11" ht="24" customHeight="1">
      <c r="F2556" s="113" t="s">
        <v>2359</v>
      </c>
      <c r="G2556" s="144"/>
      <c r="H2556" s="113"/>
      <c r="I2556" s="147">
        <v>0.88300000000000001</v>
      </c>
      <c r="J2556" s="145" t="s">
        <v>148</v>
      </c>
      <c r="K2556" s="113"/>
    </row>
    <row r="2557" spans="6:11" ht="24" customHeight="1">
      <c r="F2557" s="113"/>
      <c r="G2557" s="144"/>
      <c r="H2557" s="113"/>
      <c r="I2557" s="113"/>
      <c r="J2557" s="145"/>
      <c r="K2557" s="113"/>
    </row>
    <row r="2558" spans="6:11" ht="24" customHeight="1">
      <c r="F2558" s="113"/>
      <c r="G2558" s="144"/>
      <c r="H2558" s="113"/>
      <c r="I2558" s="113"/>
      <c r="J2558" s="145"/>
      <c r="K2558" s="113"/>
    </row>
    <row r="2559" spans="6:11" ht="24" customHeight="1">
      <c r="F2559" s="113"/>
      <c r="G2559" s="144"/>
      <c r="H2559" s="50" t="s">
        <v>2356</v>
      </c>
      <c r="I2559" s="113"/>
      <c r="J2559" s="145"/>
      <c r="K2559" s="113"/>
    </row>
    <row r="2560" spans="6:11" ht="24" customHeight="1">
      <c r="F2560" s="113"/>
      <c r="G2560" s="144"/>
      <c r="H2560" s="113"/>
      <c r="I2560" s="113"/>
      <c r="J2560" s="145"/>
      <c r="K2560" s="113"/>
    </row>
    <row r="2561" spans="6:18" ht="24" customHeight="1">
      <c r="F2561" s="113"/>
      <c r="G2561" s="144"/>
      <c r="H2561" s="113"/>
      <c r="I2561" s="113"/>
      <c r="J2561" s="145"/>
      <c r="K2561" s="113"/>
      <c r="M2561" s="113"/>
      <c r="N2561" s="298">
        <v>24.1</v>
      </c>
      <c r="O2561" s="50" t="s">
        <v>2333</v>
      </c>
      <c r="P2561" s="113"/>
      <c r="Q2561" s="145"/>
      <c r="R2561" s="113"/>
    </row>
    <row r="2562" spans="6:18" ht="24" customHeight="1">
      <c r="F2562" s="113" t="s">
        <v>2360</v>
      </c>
      <c r="G2562" s="144"/>
      <c r="H2562" s="113"/>
      <c r="I2562" s="113">
        <v>16.38</v>
      </c>
      <c r="J2562" s="145" t="s">
        <v>148</v>
      </c>
      <c r="K2562" s="113"/>
      <c r="M2562" s="113"/>
      <c r="N2562" s="299" t="s">
        <v>155</v>
      </c>
      <c r="O2562" s="300"/>
      <c r="P2562" s="113"/>
      <c r="Q2562" s="145"/>
      <c r="R2562" s="113"/>
    </row>
    <row r="2563" spans="6:18" ht="24" customHeight="1">
      <c r="F2563" s="113" t="s">
        <v>2361</v>
      </c>
      <c r="G2563" s="144"/>
      <c r="H2563" s="113"/>
      <c r="I2563" s="113">
        <v>8.7799999999999994</v>
      </c>
      <c r="J2563" s="145" t="s">
        <v>148</v>
      </c>
      <c r="K2563" s="113"/>
      <c r="M2563" s="145" t="s">
        <v>2362</v>
      </c>
      <c r="N2563" s="145"/>
      <c r="O2563" s="145"/>
      <c r="P2563" s="113">
        <v>14.8</v>
      </c>
      <c r="Q2563" s="145" t="s">
        <v>1962</v>
      </c>
      <c r="R2563" s="113"/>
    </row>
    <row r="2564" spans="6:18" ht="24" customHeight="1">
      <c r="F2564" s="113" t="s">
        <v>2363</v>
      </c>
      <c r="G2564" s="144"/>
      <c r="H2564" s="113"/>
      <c r="I2564" s="113">
        <v>37.67</v>
      </c>
      <c r="J2564" s="145" t="s">
        <v>148</v>
      </c>
      <c r="K2564" s="113"/>
      <c r="M2564" s="113" t="s">
        <v>2313</v>
      </c>
      <c r="N2564" s="144"/>
      <c r="O2564" s="113"/>
      <c r="P2564" s="113">
        <v>22.61</v>
      </c>
      <c r="Q2564" s="145" t="s">
        <v>1962</v>
      </c>
      <c r="R2564" s="113"/>
    </row>
    <row r="2565" spans="6:18" ht="24" customHeight="1">
      <c r="F2565" s="113" t="s">
        <v>2364</v>
      </c>
      <c r="G2565" s="144"/>
      <c r="H2565" s="113"/>
      <c r="I2565" s="113">
        <v>3.24</v>
      </c>
      <c r="J2565" s="145" t="s">
        <v>148</v>
      </c>
      <c r="K2565" s="113"/>
      <c r="M2565" s="113" t="s">
        <v>2314</v>
      </c>
      <c r="N2565" s="144"/>
      <c r="O2565" s="113"/>
      <c r="P2565" s="113">
        <v>3.24</v>
      </c>
      <c r="Q2565" s="145" t="s">
        <v>1962</v>
      </c>
      <c r="R2565" s="113"/>
    </row>
    <row r="2566" spans="6:18" ht="24" customHeight="1">
      <c r="F2566" s="113" t="s">
        <v>2365</v>
      </c>
      <c r="G2566" s="144"/>
      <c r="H2566" s="113"/>
      <c r="I2566" s="113">
        <v>3.6</v>
      </c>
      <c r="J2566" s="145" t="s">
        <v>148</v>
      </c>
      <c r="K2566" s="113"/>
      <c r="M2566" s="113" t="s">
        <v>2315</v>
      </c>
      <c r="N2566" s="144"/>
      <c r="O2566" s="113"/>
      <c r="P2566" s="113">
        <v>2.16</v>
      </c>
      <c r="Q2566" s="145" t="s">
        <v>1962</v>
      </c>
      <c r="R2566" s="113"/>
    </row>
    <row r="2567" spans="6:18" ht="24" customHeight="1">
      <c r="F2567" s="113" t="s">
        <v>2349</v>
      </c>
      <c r="G2567" s="144"/>
      <c r="H2567" s="113"/>
      <c r="I2567" s="113">
        <v>2.88</v>
      </c>
      <c r="J2567" s="145"/>
      <c r="K2567" s="113"/>
      <c r="M2567" s="113"/>
      <c r="N2567" s="144"/>
      <c r="O2567" s="113"/>
      <c r="P2567" s="113"/>
      <c r="Q2567" s="145"/>
      <c r="R2567" s="113"/>
    </row>
    <row r="2568" spans="6:18" ht="24" customHeight="1">
      <c r="F2568" s="113"/>
      <c r="G2568" s="144"/>
      <c r="H2568" s="113"/>
      <c r="I2568" s="148" t="s">
        <v>2327</v>
      </c>
      <c r="J2568" s="145"/>
      <c r="K2568" s="113"/>
      <c r="M2568" s="113"/>
      <c r="N2568" s="144"/>
      <c r="O2568" s="113"/>
      <c r="P2568" s="148" t="s">
        <v>1586</v>
      </c>
      <c r="Q2568" s="145"/>
      <c r="R2568" s="113"/>
    </row>
    <row r="2569" spans="6:18" ht="24" customHeight="1">
      <c r="F2569" s="113"/>
      <c r="G2569" s="144"/>
      <c r="H2569" s="113"/>
      <c r="I2569" s="50">
        <f>SUM(I2562:I2567)</f>
        <v>72.549999999999983</v>
      </c>
      <c r="J2569" s="145" t="s">
        <v>148</v>
      </c>
      <c r="K2569" s="113"/>
      <c r="M2569" s="113"/>
      <c r="N2569" s="144"/>
      <c r="O2569" s="113"/>
      <c r="P2569" s="113">
        <f>SUM(P2563:P2567)</f>
        <v>42.81</v>
      </c>
      <c r="Q2569" s="145"/>
      <c r="R2569" s="113"/>
    </row>
    <row r="2570" spans="6:18" ht="24" customHeight="1">
      <c r="F2570" s="113"/>
      <c r="G2570" s="144"/>
      <c r="H2570" s="113"/>
      <c r="I2570" s="148" t="s">
        <v>2327</v>
      </c>
      <c r="J2570" s="145"/>
      <c r="K2570" s="113"/>
      <c r="M2570" s="113"/>
      <c r="N2570" s="144"/>
      <c r="O2570" s="113"/>
      <c r="P2570" s="113" t="s">
        <v>2316</v>
      </c>
      <c r="Q2570" s="145"/>
      <c r="R2570" s="113"/>
    </row>
    <row r="2571" spans="6:18" ht="24" customHeight="1">
      <c r="F2571" s="113"/>
      <c r="G2571" s="144"/>
      <c r="H2571" s="113"/>
      <c r="I2571" s="113"/>
      <c r="J2571" s="145"/>
      <c r="K2571" s="113"/>
      <c r="M2571" s="113"/>
      <c r="N2571" s="144"/>
      <c r="O2571" s="113"/>
      <c r="P2571" s="113"/>
      <c r="Q2571" s="145"/>
      <c r="R2571" s="113"/>
    </row>
    <row r="2572" spans="6:18" ht="24" customHeight="1">
      <c r="F2572" s="113">
        <v>72.55</v>
      </c>
      <c r="G2572" s="144" t="s">
        <v>148</v>
      </c>
      <c r="H2572" s="113" t="s">
        <v>2351</v>
      </c>
      <c r="I2572" s="113">
        <f>I2537</f>
        <v>54.5</v>
      </c>
      <c r="J2572" s="145" t="s">
        <v>148</v>
      </c>
      <c r="K2572" s="113">
        <f>F2572*I2572</f>
        <v>3953.9749999999999</v>
      </c>
      <c r="M2572" s="113"/>
      <c r="N2572" s="144"/>
      <c r="O2572" s="113"/>
      <c r="P2572" s="113"/>
      <c r="Q2572" s="145"/>
      <c r="R2572" s="113"/>
    </row>
    <row r="2573" spans="6:18" ht="24" customHeight="1">
      <c r="F2573" s="113">
        <v>1.01</v>
      </c>
      <c r="G2573" s="144" t="s">
        <v>174</v>
      </c>
      <c r="H2573" s="113" t="s">
        <v>2318</v>
      </c>
      <c r="I2573" s="113">
        <f>I2538</f>
        <v>295</v>
      </c>
      <c r="J2573" s="145" t="s">
        <v>174</v>
      </c>
      <c r="K2573" s="113">
        <f>F2573*I2573</f>
        <v>297.95</v>
      </c>
      <c r="M2573" s="113">
        <v>42.81</v>
      </c>
      <c r="N2573" s="144" t="s">
        <v>148</v>
      </c>
      <c r="O2573" s="5" t="s">
        <v>2366</v>
      </c>
      <c r="P2573" s="113">
        <f>I2572</f>
        <v>54.5</v>
      </c>
      <c r="Q2573" s="145" t="s">
        <v>148</v>
      </c>
      <c r="R2573" s="113">
        <f>P2573*M2573</f>
        <v>2333.145</v>
      </c>
    </row>
    <row r="2574" spans="6:18" ht="24" customHeight="1">
      <c r="F2574" s="113">
        <v>1.01</v>
      </c>
      <c r="G2574" s="144" t="s">
        <v>174</v>
      </c>
      <c r="H2574" s="113" t="str">
        <f>H2539</f>
        <v>Fly proof mesh</v>
      </c>
      <c r="I2574" s="113">
        <f>I2539</f>
        <v>91</v>
      </c>
      <c r="J2574" s="145" t="s">
        <v>174</v>
      </c>
      <c r="K2574" s="113">
        <f>F2574*I2574</f>
        <v>91.91</v>
      </c>
      <c r="M2574" s="113">
        <v>0.77</v>
      </c>
      <c r="N2574" s="144" t="s">
        <v>174</v>
      </c>
      <c r="O2574" s="113" t="s">
        <v>2367</v>
      </c>
      <c r="P2574" s="113">
        <f>I2573</f>
        <v>295</v>
      </c>
      <c r="Q2574" s="145" t="s">
        <v>174</v>
      </c>
      <c r="R2574" s="113">
        <f>P2574*M2574</f>
        <v>227.15</v>
      </c>
    </row>
    <row r="2575" spans="6:18" ht="24" customHeight="1">
      <c r="F2575" s="113"/>
      <c r="G2575" s="144"/>
      <c r="H2575" s="113" t="s">
        <v>2353</v>
      </c>
      <c r="I2575" s="113">
        <v>266.49</v>
      </c>
      <c r="J2575" s="145" t="s">
        <v>129</v>
      </c>
      <c r="K2575" s="113">
        <f>I2575</f>
        <v>266.49</v>
      </c>
      <c r="M2575" s="113">
        <v>0.77</v>
      </c>
      <c r="N2575" s="144" t="s">
        <v>174</v>
      </c>
      <c r="O2575" s="190" t="s">
        <v>2368</v>
      </c>
      <c r="P2575" s="113">
        <f>I2574</f>
        <v>91</v>
      </c>
      <c r="Q2575" s="145" t="s">
        <v>174</v>
      </c>
      <c r="R2575" s="113">
        <f>P2575*M2575</f>
        <v>70.070000000000007</v>
      </c>
    </row>
    <row r="2576" spans="6:18" ht="24" customHeight="1">
      <c r="F2576" s="113"/>
      <c r="G2576" s="144"/>
      <c r="H2576" s="113"/>
      <c r="I2576" s="113"/>
      <c r="J2576" s="145"/>
      <c r="K2576" s="148" t="s">
        <v>1586</v>
      </c>
      <c r="M2576" s="113"/>
      <c r="N2576" s="144"/>
      <c r="O2576" s="113" t="s">
        <v>2320</v>
      </c>
      <c r="P2576" s="113">
        <f>46.62+0.48</f>
        <v>47.099999999999994</v>
      </c>
      <c r="Q2576" s="145" t="s">
        <v>129</v>
      </c>
      <c r="R2576" s="113">
        <f>P2576</f>
        <v>47.099999999999994</v>
      </c>
    </row>
    <row r="2577" spans="6:24" ht="24" customHeight="1">
      <c r="F2577" s="113"/>
      <c r="G2577" s="144"/>
      <c r="H2577" s="113"/>
      <c r="I2577" s="113"/>
      <c r="J2577" s="145"/>
      <c r="K2577" s="113">
        <f>SUM(K2572:K2575)</f>
        <v>4610.3249999999998</v>
      </c>
      <c r="M2577" s="113"/>
      <c r="N2577" s="144"/>
      <c r="O2577" s="113"/>
      <c r="P2577" s="113"/>
      <c r="Q2577" s="145"/>
      <c r="R2577" s="148" t="s">
        <v>1586</v>
      </c>
    </row>
    <row r="2578" spans="6:24" ht="24" customHeight="1">
      <c r="F2578" s="113"/>
      <c r="G2578" s="144"/>
      <c r="H2578" s="113" t="s">
        <v>2354</v>
      </c>
      <c r="I2578" s="113">
        <v>255</v>
      </c>
      <c r="J2578" s="145" t="s">
        <v>129</v>
      </c>
      <c r="K2578" s="5">
        <v>255</v>
      </c>
      <c r="M2578" s="113"/>
      <c r="N2578" s="144"/>
      <c r="O2578" s="50" t="s">
        <v>2321</v>
      </c>
      <c r="P2578" s="113"/>
      <c r="Q2578" s="145"/>
      <c r="R2578" s="50">
        <f>SUM(R2573:R2576)</f>
        <v>2677.4650000000001</v>
      </c>
    </row>
    <row r="2579" spans="6:24" ht="24" customHeight="1">
      <c r="F2579" s="113"/>
      <c r="G2579" s="144"/>
      <c r="H2579" s="113"/>
      <c r="I2579" s="113"/>
      <c r="J2579" s="145"/>
      <c r="K2579" s="148" t="s">
        <v>1586</v>
      </c>
      <c r="M2579" s="113"/>
      <c r="N2579" s="144"/>
      <c r="O2579" s="113"/>
      <c r="P2579" s="113"/>
      <c r="Q2579" s="145"/>
      <c r="R2579" s="148" t="s">
        <v>1586</v>
      </c>
    </row>
    <row r="2580" spans="6:24" ht="24" customHeight="1">
      <c r="F2580" s="113"/>
      <c r="G2580" s="144"/>
      <c r="H2580" s="50" t="s">
        <v>2355</v>
      </c>
      <c r="I2580" s="113"/>
      <c r="J2580" s="145"/>
      <c r="K2580" s="50">
        <f>SUM(K2577:K2578)</f>
        <v>4865.3249999999998</v>
      </c>
      <c r="N2580" s="6"/>
      <c r="O2580" s="5">
        <f>1.285*0.6</f>
        <v>0.77099999999999991</v>
      </c>
      <c r="Q2580" s="8"/>
      <c r="R2580" s="5">
        <f>R2578/O2580</f>
        <v>3472.717250324255</v>
      </c>
    </row>
    <row r="2581" spans="6:24" ht="24" customHeight="1">
      <c r="F2581" s="113"/>
      <c r="G2581" s="144"/>
      <c r="H2581" s="113"/>
      <c r="I2581" s="113"/>
      <c r="J2581" s="145"/>
      <c r="K2581" s="148" t="s">
        <v>1586</v>
      </c>
      <c r="M2581" s="113">
        <f>I2574</f>
        <v>91</v>
      </c>
      <c r="O2581" s="8">
        <f>M2581*L2540</f>
        <v>70.070000000000007</v>
      </c>
    </row>
    <row r="2582" spans="6:24" ht="24" customHeight="1">
      <c r="F2582" s="113"/>
      <c r="G2582" s="144"/>
      <c r="H2582" s="113"/>
      <c r="I2582" s="113"/>
      <c r="J2582" s="145"/>
      <c r="K2582" s="113"/>
      <c r="M2582" s="113"/>
      <c r="O2582" s="8">
        <v>0.8</v>
      </c>
    </row>
    <row r="2583" spans="6:24" ht="24" customHeight="1">
      <c r="F2583" s="113"/>
      <c r="G2583" s="144"/>
      <c r="H2583" s="113"/>
      <c r="I2583" s="113"/>
      <c r="J2583" s="145"/>
      <c r="K2583" s="113">
        <f>5261-K2580</f>
        <v>395.67500000000018</v>
      </c>
      <c r="O2583" s="8">
        <f>SUM(O2579:O2582)</f>
        <v>71.641000000000005</v>
      </c>
    </row>
    <row r="2584" spans="6:24" ht="24" customHeight="1">
      <c r="F2584" s="113"/>
      <c r="G2584" s="144"/>
      <c r="H2584" s="113"/>
      <c r="I2584" s="113"/>
      <c r="J2584" s="145"/>
      <c r="K2584" s="113"/>
      <c r="O2584" s="8">
        <f>O2583/0.77</f>
        <v>93.040259740259742</v>
      </c>
    </row>
    <row r="2585" spans="6:24" ht="24" customHeight="1">
      <c r="F2585" s="113"/>
      <c r="G2585" s="144"/>
      <c r="H2585" s="50" t="s">
        <v>2356</v>
      </c>
      <c r="I2585" s="113"/>
      <c r="J2585" s="145"/>
      <c r="K2585" s="113"/>
    </row>
    <row r="2586" spans="6:24" ht="24" customHeight="1">
      <c r="F2586" s="113"/>
      <c r="G2586" s="144"/>
      <c r="H2586" s="113"/>
      <c r="I2586" s="113"/>
      <c r="J2586" s="145"/>
      <c r="K2586" s="113"/>
    </row>
    <row r="2587" spans="6:24" ht="24" customHeight="1">
      <c r="F2587" s="50" t="s">
        <v>2340</v>
      </c>
      <c r="G2587" s="75"/>
      <c r="H2587" s="113"/>
      <c r="I2587" s="113"/>
      <c r="J2587" s="145"/>
      <c r="K2587" s="113"/>
      <c r="S2587" s="147"/>
      <c r="T2587" s="144"/>
      <c r="U2587" s="5" t="s">
        <v>2369</v>
      </c>
      <c r="V2587" s="113"/>
      <c r="W2587" s="145"/>
      <c r="X2587" s="113"/>
    </row>
    <row r="2588" spans="6:24" ht="24" customHeight="1">
      <c r="F2588" s="113"/>
      <c r="G2588" s="144"/>
      <c r="H2588" s="113"/>
      <c r="I2588" s="113"/>
      <c r="J2588" s="145"/>
      <c r="K2588" s="113"/>
      <c r="S2588" s="147"/>
      <c r="T2588" s="144"/>
      <c r="U2588" s="113"/>
      <c r="V2588" s="113"/>
      <c r="W2588" s="145"/>
      <c r="X2588" s="113"/>
    </row>
    <row r="2589" spans="6:24" ht="24" customHeight="1">
      <c r="F2589" s="113" t="s">
        <v>2357</v>
      </c>
      <c r="G2589" s="144"/>
      <c r="H2589" s="113"/>
      <c r="I2589" s="147">
        <v>2.944</v>
      </c>
      <c r="J2589" s="145" t="s">
        <v>148</v>
      </c>
      <c r="K2589" s="113"/>
      <c r="S2589" s="147" t="s">
        <v>2370</v>
      </c>
      <c r="T2589" s="144"/>
      <c r="U2589" s="113"/>
      <c r="V2589" s="301">
        <f>2*0.85*2.025</f>
        <v>3.4424999999999999</v>
      </c>
      <c r="W2589" s="145"/>
      <c r="X2589" s="113"/>
    </row>
    <row r="2590" spans="6:24" ht="24" customHeight="1">
      <c r="F2590" s="113" t="s">
        <v>2358</v>
      </c>
      <c r="G2590" s="144"/>
      <c r="H2590" s="113"/>
      <c r="I2590" s="147">
        <v>2.355</v>
      </c>
      <c r="J2590" s="145" t="s">
        <v>148</v>
      </c>
      <c r="K2590" s="113"/>
      <c r="S2590" s="147" t="s">
        <v>2371</v>
      </c>
      <c r="T2590" s="144"/>
      <c r="U2590" s="113"/>
      <c r="V2590" s="301">
        <v>2.2800000000000001E-2</v>
      </c>
      <c r="W2590" s="145"/>
      <c r="X2590" s="113"/>
    </row>
    <row r="2591" spans="6:24" ht="24" customHeight="1">
      <c r="F2591" s="113" t="s">
        <v>2359</v>
      </c>
      <c r="G2591" s="144"/>
      <c r="H2591" s="113"/>
      <c r="I2591" s="147">
        <v>0.88300000000000001</v>
      </c>
      <c r="J2591" s="145" t="s">
        <v>148</v>
      </c>
      <c r="K2591" s="113"/>
      <c r="S2591" s="147" t="s">
        <v>2372</v>
      </c>
      <c r="T2591" s="144"/>
      <c r="U2591" s="113"/>
      <c r="V2591" s="143">
        <f>2*3*0.85*0.15*0.0375</f>
        <v>2.8687499999999994E-2</v>
      </c>
      <c r="W2591" s="145"/>
      <c r="X2591" s="113"/>
    </row>
    <row r="2592" spans="6:24" ht="24" customHeight="1">
      <c r="F2592" s="113"/>
      <c r="G2592" s="144"/>
      <c r="H2592" s="113"/>
      <c r="I2592" s="113"/>
      <c r="J2592" s="145"/>
      <c r="K2592" s="113"/>
      <c r="S2592" s="147"/>
      <c r="T2592" s="144" t="s">
        <v>2373</v>
      </c>
      <c r="U2592" s="113"/>
      <c r="V2592" s="143">
        <f>2*3*0.85*0.075*0.0375</f>
        <v>1.4343749999999997E-2</v>
      </c>
      <c r="W2592" s="145"/>
      <c r="X2592" s="113"/>
    </row>
    <row r="2593" spans="6:33" ht="24" customHeight="1">
      <c r="F2593" s="113"/>
      <c r="G2593" s="144"/>
      <c r="H2593" s="113"/>
      <c r="I2593" s="113"/>
      <c r="J2593" s="145"/>
      <c r="K2593" s="113"/>
      <c r="S2593" s="147"/>
      <c r="T2593" s="144"/>
      <c r="U2593" s="113"/>
      <c r="V2593" s="302">
        <f>SUM(V2591:V2592)</f>
        <v>4.3031249999999993E-2</v>
      </c>
      <c r="W2593" s="145"/>
      <c r="X2593" s="113"/>
    </row>
    <row r="2594" spans="6:33" ht="24" customHeight="1">
      <c r="F2594" s="113"/>
      <c r="G2594" s="144"/>
      <c r="H2594" s="50" t="s">
        <v>2356</v>
      </c>
      <c r="I2594" s="113"/>
      <c r="J2594" s="145"/>
      <c r="K2594" s="113"/>
      <c r="S2594" s="147"/>
      <c r="T2594" s="144"/>
      <c r="U2594" s="113"/>
      <c r="V2594" s="113"/>
      <c r="W2594" s="145"/>
      <c r="X2594" s="113"/>
    </row>
    <row r="2595" spans="6:33" ht="24" customHeight="1">
      <c r="F2595" s="113"/>
      <c r="G2595" s="144"/>
      <c r="H2595" s="113"/>
      <c r="I2595" s="113"/>
      <c r="J2595" s="145"/>
      <c r="K2595" s="113"/>
      <c r="S2595" s="147"/>
      <c r="T2595" s="144"/>
      <c r="U2595" s="113"/>
      <c r="V2595" s="113"/>
      <c r="W2595" s="145"/>
      <c r="X2595" s="113"/>
    </row>
    <row r="2596" spans="6:33" ht="24" customHeight="1">
      <c r="F2596" s="113"/>
      <c r="G2596" s="144"/>
      <c r="H2596" s="113"/>
      <c r="I2596" s="113"/>
      <c r="J2596" s="145"/>
      <c r="K2596" s="113"/>
      <c r="S2596" s="147" t="s">
        <v>2374</v>
      </c>
      <c r="T2596" s="144"/>
      <c r="U2596" s="113"/>
      <c r="V2596" s="143">
        <f>2*4*0.725*0.3*0.01875</f>
        <v>3.2625000000000001E-2</v>
      </c>
      <c r="W2596" s="145"/>
      <c r="X2596" s="113"/>
    </row>
    <row r="2597" spans="6:33" ht="24" customHeight="1">
      <c r="F2597" s="113" t="s">
        <v>2360</v>
      </c>
      <c r="G2597" s="144"/>
      <c r="H2597" s="113"/>
      <c r="I2597" s="113">
        <v>16.38</v>
      </c>
      <c r="J2597" s="145" t="s">
        <v>148</v>
      </c>
      <c r="K2597" s="113"/>
      <c r="S2597" s="147" t="s">
        <v>2375</v>
      </c>
      <c r="T2597" s="144"/>
      <c r="U2597" s="113"/>
      <c r="V2597" s="143">
        <f>2*0.725*0.3*0.01875</f>
        <v>8.1562500000000003E-3</v>
      </c>
      <c r="W2597" s="145"/>
      <c r="X2597" s="113"/>
    </row>
    <row r="2598" spans="6:33" ht="24" customHeight="1">
      <c r="F2598" s="113" t="s">
        <v>2361</v>
      </c>
      <c r="G2598" s="144"/>
      <c r="H2598" s="113"/>
      <c r="I2598" s="113">
        <v>8.7799999999999994</v>
      </c>
      <c r="J2598" s="145" t="s">
        <v>148</v>
      </c>
      <c r="K2598" s="113"/>
      <c r="S2598" s="147"/>
      <c r="T2598" s="144"/>
      <c r="U2598" s="113"/>
      <c r="V2598" s="302">
        <f>SUM(V2596:V2597)</f>
        <v>4.0781250000000005E-2</v>
      </c>
      <c r="W2598" s="145"/>
      <c r="X2598" s="113"/>
    </row>
    <row r="2599" spans="6:33" ht="24" customHeight="1">
      <c r="F2599" s="113" t="s">
        <v>2363</v>
      </c>
      <c r="G2599" s="144"/>
      <c r="H2599" s="113"/>
      <c r="I2599" s="113">
        <v>37.67</v>
      </c>
      <c r="J2599" s="145" t="s">
        <v>148</v>
      </c>
      <c r="K2599" s="113"/>
      <c r="S2599" s="147"/>
      <c r="T2599" s="144"/>
      <c r="U2599" s="50" t="s">
        <v>2376</v>
      </c>
      <c r="V2599" s="113"/>
      <c r="W2599" s="145"/>
      <c r="X2599" s="113"/>
      <c r="Y2599" s="101">
        <v>2.3099999999999999E-2</v>
      </c>
      <c r="Z2599" s="5">
        <f>Y2599*V2601</f>
        <v>2577.96</v>
      </c>
    </row>
    <row r="2600" spans="6:33" ht="24" customHeight="1">
      <c r="F2600" s="113" t="s">
        <v>2364</v>
      </c>
      <c r="G2600" s="144"/>
      <c r="H2600" s="113"/>
      <c r="I2600" s="113">
        <v>3.24</v>
      </c>
      <c r="J2600" s="145" t="s">
        <v>148</v>
      </c>
      <c r="K2600" s="113"/>
      <c r="S2600" s="147"/>
      <c r="T2600" s="144"/>
      <c r="U2600" s="113"/>
      <c r="V2600" s="113"/>
      <c r="W2600" s="145"/>
      <c r="X2600" s="113"/>
      <c r="Y2600" s="101">
        <v>4.48E-2</v>
      </c>
      <c r="Z2600" s="5">
        <f>Y2600*V2602</f>
        <v>4453.12</v>
      </c>
    </row>
    <row r="2601" spans="6:33" ht="40.5" customHeight="1">
      <c r="F2601" s="113" t="s">
        <v>2365</v>
      </c>
      <c r="G2601" s="144"/>
      <c r="H2601" s="113"/>
      <c r="I2601" s="113">
        <v>3.6</v>
      </c>
      <c r="J2601" s="145" t="s">
        <v>148</v>
      </c>
      <c r="K2601" s="113"/>
      <c r="S2601" s="143">
        <f>V2590</f>
        <v>2.2800000000000001E-2</v>
      </c>
      <c r="T2601" s="144" t="s">
        <v>126</v>
      </c>
      <c r="U2601" s="113" t="s">
        <v>2377</v>
      </c>
      <c r="V2601" s="113">
        <f>I2633</f>
        <v>111600</v>
      </c>
      <c r="W2601" s="145" t="s">
        <v>126</v>
      </c>
      <c r="X2601" s="113">
        <f>S2601*V2601</f>
        <v>2544.48</v>
      </c>
      <c r="Y2601" s="101">
        <v>2.2690000000000001</v>
      </c>
      <c r="Z2601" s="5">
        <f>Y2601*336</f>
        <v>762.38400000000001</v>
      </c>
      <c r="AB2601" s="113"/>
      <c r="AC2601" s="144"/>
      <c r="AD2601" s="1495" t="s">
        <v>2378</v>
      </c>
      <c r="AE2601" s="1495"/>
      <c r="AF2601" s="1495"/>
      <c r="AG2601" s="1495"/>
    </row>
    <row r="2602" spans="6:33" ht="24" customHeight="1">
      <c r="F2602" s="113" t="s">
        <v>2349</v>
      </c>
      <c r="G2602" s="144"/>
      <c r="H2602" s="113"/>
      <c r="I2602" s="113">
        <v>2.88</v>
      </c>
      <c r="J2602" s="145"/>
      <c r="K2602" s="113"/>
      <c r="S2602" s="143">
        <f>V2593</f>
        <v>4.3031249999999993E-2</v>
      </c>
      <c r="T2602" s="144" t="s">
        <v>126</v>
      </c>
      <c r="U2602" s="113" t="s">
        <v>1572</v>
      </c>
      <c r="V2602" s="113">
        <f t="shared" ref="V2602:V2610" si="236">I2634</f>
        <v>99400</v>
      </c>
      <c r="W2602" s="145" t="s">
        <v>126</v>
      </c>
      <c r="X2602" s="113">
        <f t="shared" ref="X2602:X2612" si="237">S2602*V2602</f>
        <v>4277.3062499999996</v>
      </c>
      <c r="Y2602" s="101">
        <v>3.4849999999999999</v>
      </c>
      <c r="Z2602" s="5">
        <f>Y2602*V2604</f>
        <v>4025.1749999999997</v>
      </c>
      <c r="AB2602" s="113"/>
      <c r="AC2602" s="144"/>
      <c r="AD2602" s="113"/>
      <c r="AE2602" s="113"/>
      <c r="AF2602" s="145"/>
      <c r="AG2602" s="113"/>
    </row>
    <row r="2603" spans="6:33" ht="24" customHeight="1">
      <c r="F2603" s="113"/>
      <c r="G2603" s="144"/>
      <c r="H2603" s="113"/>
      <c r="I2603" s="148" t="s">
        <v>2327</v>
      </c>
      <c r="J2603" s="145"/>
      <c r="K2603" s="113"/>
      <c r="S2603" s="143">
        <f>V2598</f>
        <v>4.0781250000000005E-2</v>
      </c>
      <c r="T2603" s="144" t="s">
        <v>126</v>
      </c>
      <c r="U2603" s="113" t="s">
        <v>1573</v>
      </c>
      <c r="V2603" s="113">
        <f t="shared" si="236"/>
        <v>101921.4</v>
      </c>
      <c r="W2603" s="145" t="s">
        <v>126</v>
      </c>
      <c r="X2603" s="113">
        <f t="shared" si="237"/>
        <v>4156.4820937499999</v>
      </c>
      <c r="Y2603" s="101">
        <v>2</v>
      </c>
      <c r="Z2603" s="5">
        <f>Y2603*V2605</f>
        <v>900</v>
      </c>
      <c r="AB2603" s="113" t="s">
        <v>2379</v>
      </c>
      <c r="AC2603" s="144"/>
      <c r="AD2603" s="113"/>
      <c r="AE2603" s="301">
        <f>2*0.95*2.025</f>
        <v>3.8474999999999997</v>
      </c>
      <c r="AF2603" s="145"/>
      <c r="AG2603" s="113"/>
    </row>
    <row r="2604" spans="6:33" ht="24" customHeight="1">
      <c r="F2604" s="113"/>
      <c r="G2604" s="144"/>
      <c r="H2604" s="113"/>
      <c r="I2604" s="50">
        <f>SUM(I2597:I2602)</f>
        <v>72.549999999999983</v>
      </c>
      <c r="J2604" s="145" t="s">
        <v>148</v>
      </c>
      <c r="K2604" s="113"/>
      <c r="S2604" s="143">
        <f>V2589</f>
        <v>3.4424999999999999</v>
      </c>
      <c r="T2604" s="144" t="s">
        <v>140</v>
      </c>
      <c r="U2604" s="113" t="s">
        <v>1574</v>
      </c>
      <c r="V2604" s="113">
        <f t="shared" si="236"/>
        <v>1155</v>
      </c>
      <c r="W2604" s="145" t="s">
        <v>140</v>
      </c>
      <c r="X2604" s="113">
        <f t="shared" si="237"/>
        <v>3976.0875000000001</v>
      </c>
      <c r="Y2604" s="101">
        <v>6</v>
      </c>
      <c r="Z2604" s="5">
        <f>Y2604*V2606</f>
        <v>474</v>
      </c>
      <c r="AB2604" s="113" t="s">
        <v>2371</v>
      </c>
      <c r="AC2604" s="144"/>
      <c r="AD2604" s="113"/>
      <c r="AE2604" s="301">
        <v>2.2800000000000001E-2</v>
      </c>
      <c r="AF2604" s="145"/>
      <c r="AG2604" s="113"/>
    </row>
    <row r="2605" spans="6:33" ht="24" customHeight="1">
      <c r="F2605" s="113"/>
      <c r="G2605" s="144"/>
      <c r="H2605" s="113"/>
      <c r="I2605" s="148" t="s">
        <v>2327</v>
      </c>
      <c r="J2605" s="145"/>
      <c r="K2605" s="113"/>
      <c r="S2605" s="147">
        <v>2</v>
      </c>
      <c r="T2605" s="144" t="s">
        <v>1576</v>
      </c>
      <c r="U2605" s="113" t="s">
        <v>1577</v>
      </c>
      <c r="V2605" s="113">
        <f t="shared" si="236"/>
        <v>450</v>
      </c>
      <c r="W2605" s="145" t="s">
        <v>227</v>
      </c>
      <c r="X2605" s="113">
        <f t="shared" si="237"/>
        <v>900</v>
      </c>
      <c r="Y2605" s="101">
        <v>4</v>
      </c>
      <c r="Z2605" s="5">
        <f>Y2605*V2607</f>
        <v>520</v>
      </c>
      <c r="AB2605" s="113" t="s">
        <v>2380</v>
      </c>
      <c r="AC2605" s="144"/>
      <c r="AD2605" s="113"/>
      <c r="AE2605" s="143">
        <f>2*3*0.95*0.15*0.0375</f>
        <v>3.2062499999999994E-2</v>
      </c>
      <c r="AF2605" s="145"/>
      <c r="AG2605" s="113"/>
    </row>
    <row r="2606" spans="6:33" ht="24" customHeight="1">
      <c r="F2606" s="113"/>
      <c r="G2606" s="144"/>
      <c r="H2606" s="113"/>
      <c r="I2606" s="113"/>
      <c r="J2606" s="145"/>
      <c r="K2606" s="113"/>
      <c r="S2606" s="147">
        <v>6</v>
      </c>
      <c r="T2606" s="144" t="s">
        <v>1576</v>
      </c>
      <c r="U2606" s="113" t="s">
        <v>1578</v>
      </c>
      <c r="V2606" s="113">
        <f t="shared" si="236"/>
        <v>79</v>
      </c>
      <c r="W2606" s="145" t="s">
        <v>227</v>
      </c>
      <c r="X2606" s="113">
        <f t="shared" si="237"/>
        <v>474</v>
      </c>
      <c r="Y2606" s="101">
        <v>1</v>
      </c>
      <c r="Z2606" s="5">
        <f>Y2606*X2608</f>
        <v>985</v>
      </c>
      <c r="AB2606" s="113"/>
      <c r="AC2606" s="144" t="s">
        <v>2381</v>
      </c>
      <c r="AD2606" s="113"/>
      <c r="AE2606" s="143">
        <f>2*3*0.95*0.075*0.0375</f>
        <v>1.6031249999999997E-2</v>
      </c>
      <c r="AF2606" s="145"/>
      <c r="AG2606" s="113"/>
    </row>
    <row r="2607" spans="6:33" ht="24" customHeight="1">
      <c r="F2607" s="113">
        <v>73</v>
      </c>
      <c r="G2607" s="144" t="s">
        <v>148</v>
      </c>
      <c r="H2607" s="113" t="s">
        <v>2351</v>
      </c>
      <c r="I2607" s="113">
        <f>I2572</f>
        <v>54.5</v>
      </c>
      <c r="J2607" s="145" t="s">
        <v>148</v>
      </c>
      <c r="K2607" s="113">
        <f>F2607*I2607</f>
        <v>3978.5</v>
      </c>
      <c r="S2607" s="147">
        <v>4</v>
      </c>
      <c r="T2607" s="144" t="s">
        <v>1576</v>
      </c>
      <c r="U2607" s="113" t="s">
        <v>1579</v>
      </c>
      <c r="V2607" s="113">
        <f t="shared" si="236"/>
        <v>130</v>
      </c>
      <c r="W2607" s="145" t="s">
        <v>227</v>
      </c>
      <c r="X2607" s="113">
        <f t="shared" si="237"/>
        <v>520</v>
      </c>
      <c r="Y2607" s="101">
        <v>2</v>
      </c>
      <c r="Z2607" s="5">
        <f>Y2607*V2609</f>
        <v>15</v>
      </c>
      <c r="AB2607" s="113"/>
      <c r="AC2607" s="144"/>
      <c r="AD2607" s="113"/>
      <c r="AE2607" s="302">
        <f>SUM(AE2605:AE2606)</f>
        <v>4.8093749999999991E-2</v>
      </c>
      <c r="AF2607" s="145"/>
      <c r="AG2607" s="113"/>
    </row>
    <row r="2608" spans="6:33" ht="24" customHeight="1">
      <c r="F2608" s="113">
        <v>1.01</v>
      </c>
      <c r="G2608" s="144" t="s">
        <v>174</v>
      </c>
      <c r="H2608" s="113" t="s">
        <v>2318</v>
      </c>
      <c r="I2608" s="113">
        <f>I2573</f>
        <v>295</v>
      </c>
      <c r="J2608" s="145" t="s">
        <v>174</v>
      </c>
      <c r="K2608" s="113">
        <f>F2608*I2608</f>
        <v>297.95</v>
      </c>
      <c r="S2608" s="147">
        <v>1</v>
      </c>
      <c r="T2608" s="144" t="s">
        <v>1576</v>
      </c>
      <c r="U2608" s="113" t="s">
        <v>1581</v>
      </c>
      <c r="V2608" s="113">
        <f t="shared" si="236"/>
        <v>985</v>
      </c>
      <c r="W2608" s="145" t="s">
        <v>227</v>
      </c>
      <c r="X2608" s="113">
        <f t="shared" si="237"/>
        <v>985</v>
      </c>
      <c r="Y2608" s="101">
        <v>2</v>
      </c>
      <c r="Z2608" s="5">
        <f>Y2608*V2610</f>
        <v>87.6</v>
      </c>
      <c r="AB2608" s="113"/>
      <c r="AC2608" s="144"/>
      <c r="AD2608" s="113"/>
      <c r="AE2608" s="113"/>
      <c r="AF2608" s="145"/>
      <c r="AG2608" s="113"/>
    </row>
    <row r="2609" spans="6:33" ht="24" customHeight="1">
      <c r="F2609" s="113">
        <v>1.01</v>
      </c>
      <c r="G2609" s="144" t="s">
        <v>174</v>
      </c>
      <c r="H2609" s="113" t="s">
        <v>2382</v>
      </c>
      <c r="I2609" s="113">
        <f>C198</f>
        <v>31.65</v>
      </c>
      <c r="J2609" s="145" t="s">
        <v>174</v>
      </c>
      <c r="K2609" s="113">
        <f>F2609*I2609</f>
        <v>31.9665</v>
      </c>
      <c r="S2609" s="147">
        <v>2</v>
      </c>
      <c r="T2609" s="144" t="s">
        <v>1576</v>
      </c>
      <c r="U2609" s="113" t="s">
        <v>628</v>
      </c>
      <c r="V2609" s="113">
        <v>7.5</v>
      </c>
      <c r="W2609" s="145" t="s">
        <v>227</v>
      </c>
      <c r="X2609" s="113">
        <f t="shared" si="237"/>
        <v>15</v>
      </c>
      <c r="Y2609" s="101"/>
      <c r="Z2609" s="5">
        <v>20</v>
      </c>
      <c r="AB2609" s="113"/>
      <c r="AC2609" s="144"/>
      <c r="AD2609" s="113"/>
      <c r="AE2609" s="113"/>
      <c r="AF2609" s="145"/>
      <c r="AG2609" s="113"/>
    </row>
    <row r="2610" spans="6:33" ht="24" customHeight="1">
      <c r="F2610" s="113"/>
      <c r="G2610" s="144"/>
      <c r="H2610" s="113" t="s">
        <v>2353</v>
      </c>
      <c r="I2610" s="297">
        <v>266.81</v>
      </c>
      <c r="J2610" s="145" t="s">
        <v>129</v>
      </c>
      <c r="K2610" s="113">
        <f>I2610</f>
        <v>266.81</v>
      </c>
      <c r="S2610" s="147">
        <v>2</v>
      </c>
      <c r="T2610" s="144" t="s">
        <v>1576</v>
      </c>
      <c r="U2610" s="113" t="s">
        <v>630</v>
      </c>
      <c r="V2610" s="113">
        <f t="shared" si="236"/>
        <v>43.8</v>
      </c>
      <c r="W2610" s="145" t="s">
        <v>227</v>
      </c>
      <c r="X2610" s="113">
        <f t="shared" si="237"/>
        <v>87.6</v>
      </c>
      <c r="Z2610" s="5">
        <f>SUM(Z2599:Z2609)</f>
        <v>14820.239</v>
      </c>
      <c r="AB2610" s="113" t="s">
        <v>2383</v>
      </c>
      <c r="AC2610" s="144"/>
      <c r="AD2610" s="113"/>
      <c r="AE2610" s="143">
        <f>2*4*0.825*0.3*0.01875</f>
        <v>3.7124999999999991E-2</v>
      </c>
      <c r="AF2610" s="145"/>
      <c r="AG2610" s="113"/>
    </row>
    <row r="2611" spans="6:33" ht="24" customHeight="1">
      <c r="F2611" s="113"/>
      <c r="G2611" s="144"/>
      <c r="H2611" s="113"/>
      <c r="I2611" s="113"/>
      <c r="J2611" s="145"/>
      <c r="K2611" s="148" t="s">
        <v>1586</v>
      </c>
      <c r="S2611" s="147"/>
      <c r="T2611" s="144"/>
      <c r="U2611" s="113"/>
      <c r="V2611" s="113"/>
      <c r="W2611" s="145"/>
      <c r="X2611" s="113"/>
      <c r="Z2611" s="5">
        <f>Z2610/3.485</f>
        <v>4252.5793400286948</v>
      </c>
      <c r="AB2611" s="113" t="s">
        <v>2384</v>
      </c>
      <c r="AC2611" s="144"/>
      <c r="AD2611" s="113"/>
      <c r="AE2611" s="143">
        <f>2*0.825*0.3*0.01875</f>
        <v>9.2812499999999978E-3</v>
      </c>
      <c r="AF2611" s="145"/>
      <c r="AG2611" s="113"/>
    </row>
    <row r="2612" spans="6:33" ht="24" customHeight="1">
      <c r="F2612" s="113"/>
      <c r="G2612" s="144"/>
      <c r="H2612" s="113"/>
      <c r="I2612" s="113"/>
      <c r="J2612" s="145"/>
      <c r="K2612" s="113">
        <f>SUM(K2607:K2610)</f>
        <v>4575.2265000000007</v>
      </c>
      <c r="S2612" s="147">
        <v>10</v>
      </c>
      <c r="T2612" s="144"/>
      <c r="U2612" s="113" t="s">
        <v>1508</v>
      </c>
      <c r="V2612" s="113">
        <f>I2643</f>
        <v>2.37</v>
      </c>
      <c r="W2612" s="145"/>
      <c r="X2612" s="113">
        <f t="shared" si="237"/>
        <v>23.700000000000003</v>
      </c>
      <c r="AB2612" s="113"/>
      <c r="AC2612" s="144"/>
      <c r="AD2612" s="113"/>
      <c r="AE2612" s="302">
        <f>SUM(AE2610:AE2611)</f>
        <v>4.6406249999999989E-2</v>
      </c>
      <c r="AF2612" s="145"/>
      <c r="AG2612" s="113"/>
    </row>
    <row r="2613" spans="6:33" ht="24" customHeight="1">
      <c r="F2613" s="113"/>
      <c r="G2613" s="144"/>
      <c r="H2613" s="113" t="s">
        <v>2354</v>
      </c>
      <c r="I2613" s="297">
        <v>255</v>
      </c>
      <c r="J2613" s="145" t="s">
        <v>129</v>
      </c>
      <c r="K2613" s="113">
        <v>255</v>
      </c>
      <c r="S2613" s="147"/>
      <c r="T2613" s="75"/>
      <c r="U2613" s="50" t="s">
        <v>154</v>
      </c>
      <c r="V2613" s="113"/>
      <c r="W2613" s="145"/>
      <c r="X2613" s="50">
        <f>SUM(X2601:X2612)</f>
        <v>17959.655843749995</v>
      </c>
      <c r="AB2613" s="113"/>
      <c r="AC2613" s="144"/>
      <c r="AD2613" s="50" t="s">
        <v>2376</v>
      </c>
      <c r="AE2613" s="113"/>
      <c r="AF2613" s="145"/>
      <c r="AG2613" s="113"/>
    </row>
    <row r="2614" spans="6:33" ht="24" customHeight="1">
      <c r="F2614" s="113"/>
      <c r="G2614" s="144"/>
      <c r="H2614" s="113"/>
      <c r="I2614" s="113"/>
      <c r="J2614" s="145"/>
      <c r="K2614" s="148" t="s">
        <v>1586</v>
      </c>
      <c r="S2614" s="147"/>
      <c r="T2614" s="75"/>
      <c r="U2614" s="50"/>
      <c r="V2614" s="113"/>
      <c r="W2614" s="145"/>
      <c r="X2614" s="148" t="s">
        <v>1586</v>
      </c>
      <c r="AB2614" s="113"/>
      <c r="AC2614" s="144"/>
      <c r="AD2614" s="113"/>
      <c r="AE2614" s="113"/>
      <c r="AF2614" s="145"/>
      <c r="AG2614" s="113"/>
    </row>
    <row r="2615" spans="6:33" ht="24" customHeight="1">
      <c r="F2615" s="113"/>
      <c r="G2615" s="144"/>
      <c r="H2615" s="50" t="s">
        <v>2355</v>
      </c>
      <c r="I2615" s="113"/>
      <c r="J2615" s="145"/>
      <c r="K2615" s="50">
        <f>SUM(K2612:K2613)</f>
        <v>4830.2265000000007</v>
      </c>
      <c r="M2615" s="5">
        <f>5227-K2615</f>
        <v>396.77349999999933</v>
      </c>
      <c r="S2615" s="147"/>
      <c r="T2615" s="75"/>
      <c r="U2615" s="50" t="s">
        <v>2385</v>
      </c>
      <c r="V2615" s="113"/>
      <c r="W2615" s="145"/>
      <c r="X2615" s="50">
        <f>X2613/3.4425</f>
        <v>5217.0387345679001</v>
      </c>
      <c r="AB2615" s="143">
        <f>AE2604</f>
        <v>2.2800000000000001E-2</v>
      </c>
      <c r="AC2615" s="144" t="s">
        <v>126</v>
      </c>
      <c r="AD2615" s="113" t="s">
        <v>2377</v>
      </c>
      <c r="AE2615" s="113">
        <f>V2601</f>
        <v>111600</v>
      </c>
      <c r="AF2615" s="145" t="s">
        <v>126</v>
      </c>
      <c r="AG2615" s="113">
        <f>AB2615*AE2615</f>
        <v>2544.48</v>
      </c>
    </row>
    <row r="2616" spans="6:33" ht="24" customHeight="1">
      <c r="F2616" s="113"/>
      <c r="G2616" s="144"/>
      <c r="H2616" s="113"/>
      <c r="I2616" s="113"/>
      <c r="J2616" s="145"/>
      <c r="K2616" s="148" t="s">
        <v>1586</v>
      </c>
      <c r="AB2616" s="143">
        <f>AE2607</f>
        <v>4.8093749999999991E-2</v>
      </c>
      <c r="AC2616" s="144" t="s">
        <v>126</v>
      </c>
      <c r="AD2616" s="113" t="s">
        <v>1572</v>
      </c>
      <c r="AE2616" s="113">
        <f t="shared" ref="AE2616:AE2624" si="238">V2602</f>
        <v>99400</v>
      </c>
      <c r="AF2616" s="145" t="s">
        <v>126</v>
      </c>
      <c r="AG2616" s="113">
        <f t="shared" ref="AG2616:AG2624" si="239">AB2616*AE2616</f>
        <v>4780.5187499999993</v>
      </c>
    </row>
    <row r="2617" spans="6:33" ht="24" customHeight="1">
      <c r="F2617" s="113"/>
      <c r="G2617" s="144"/>
      <c r="H2617" s="113"/>
      <c r="I2617" s="113"/>
      <c r="J2617" s="145"/>
      <c r="K2617" s="113"/>
      <c r="AB2617" s="146">
        <f>AE2612</f>
        <v>4.6406249999999989E-2</v>
      </c>
      <c r="AC2617" s="144" t="s">
        <v>126</v>
      </c>
      <c r="AD2617" s="113" t="s">
        <v>1573</v>
      </c>
      <c r="AE2617" s="113">
        <f t="shared" si="238"/>
        <v>101921.4</v>
      </c>
      <c r="AF2617" s="145" t="s">
        <v>126</v>
      </c>
      <c r="AG2617" s="113">
        <f t="shared" si="239"/>
        <v>4729.7899687499985</v>
      </c>
    </row>
    <row r="2618" spans="6:33" ht="24" customHeight="1">
      <c r="F2618" s="113"/>
      <c r="G2618" s="144"/>
      <c r="H2618" s="113"/>
      <c r="I2618" s="113"/>
      <c r="J2618" s="145"/>
      <c r="K2618" s="113"/>
      <c r="AB2618" s="143">
        <f>AE2603</f>
        <v>3.8474999999999997</v>
      </c>
      <c r="AC2618" s="144" t="s">
        <v>140</v>
      </c>
      <c r="AD2618" s="113" t="s">
        <v>1574</v>
      </c>
      <c r="AE2618" s="113">
        <f t="shared" si="238"/>
        <v>1155</v>
      </c>
      <c r="AF2618" s="145" t="s">
        <v>140</v>
      </c>
      <c r="AG2618" s="113">
        <f t="shared" si="239"/>
        <v>4443.8624999999993</v>
      </c>
    </row>
    <row r="2619" spans="6:33" ht="24" customHeight="1">
      <c r="F2619" s="113"/>
      <c r="G2619" s="144"/>
      <c r="H2619" s="50" t="s">
        <v>2386</v>
      </c>
      <c r="I2619" s="50"/>
      <c r="J2619" s="145"/>
      <c r="K2619" s="113"/>
      <c r="AB2619" s="113">
        <v>2</v>
      </c>
      <c r="AC2619" s="144" t="s">
        <v>1576</v>
      </c>
      <c r="AD2619" s="113" t="s">
        <v>1577</v>
      </c>
      <c r="AE2619" s="113">
        <f t="shared" si="238"/>
        <v>450</v>
      </c>
      <c r="AF2619" s="145" t="s">
        <v>227</v>
      </c>
      <c r="AG2619" s="113">
        <f t="shared" si="239"/>
        <v>900</v>
      </c>
    </row>
    <row r="2620" spans="6:33" ht="24" customHeight="1">
      <c r="F2620" s="113"/>
      <c r="G2620" s="144"/>
      <c r="H2620" s="113"/>
      <c r="I2620" s="113"/>
      <c r="J2620" s="145"/>
      <c r="K2620" s="113"/>
      <c r="AB2620" s="113">
        <v>6</v>
      </c>
      <c r="AC2620" s="144" t="s">
        <v>1576</v>
      </c>
      <c r="AD2620" s="113" t="s">
        <v>1578</v>
      </c>
      <c r="AE2620" s="113">
        <f t="shared" si="238"/>
        <v>79</v>
      </c>
      <c r="AF2620" s="145" t="s">
        <v>227</v>
      </c>
      <c r="AG2620" s="113">
        <f t="shared" si="239"/>
        <v>474</v>
      </c>
    </row>
    <row r="2621" spans="6:33" ht="24" customHeight="1">
      <c r="F2621" s="113" t="s">
        <v>2387</v>
      </c>
      <c r="G2621" s="144"/>
      <c r="H2621" s="113"/>
      <c r="I2621" s="113"/>
      <c r="J2621" s="145"/>
      <c r="K2621" s="113"/>
      <c r="AB2621" s="113">
        <v>4</v>
      </c>
      <c r="AC2621" s="144" t="s">
        <v>1576</v>
      </c>
      <c r="AD2621" s="113" t="s">
        <v>1579</v>
      </c>
      <c r="AE2621" s="113">
        <f t="shared" si="238"/>
        <v>130</v>
      </c>
      <c r="AF2621" s="145" t="s">
        <v>227</v>
      </c>
      <c r="AG2621" s="113">
        <f t="shared" si="239"/>
        <v>520</v>
      </c>
    </row>
    <row r="2622" spans="6:33" ht="24" customHeight="1">
      <c r="F2622" s="113" t="s">
        <v>2371</v>
      </c>
      <c r="G2622" s="144"/>
      <c r="H2622" s="113"/>
      <c r="I2622" s="301">
        <v>2.2800000000000001E-2</v>
      </c>
      <c r="J2622" s="145"/>
      <c r="K2622" s="113"/>
      <c r="AB2622" s="113">
        <v>1</v>
      </c>
      <c r="AC2622" s="144" t="s">
        <v>1576</v>
      </c>
      <c r="AD2622" s="113" t="s">
        <v>1581</v>
      </c>
      <c r="AE2622" s="113">
        <f t="shared" si="238"/>
        <v>985</v>
      </c>
      <c r="AF2622" s="145" t="s">
        <v>227</v>
      </c>
      <c r="AG2622" s="113">
        <f t="shared" si="239"/>
        <v>985</v>
      </c>
    </row>
    <row r="2623" spans="6:33" ht="24" customHeight="1">
      <c r="F2623" s="113" t="s">
        <v>2388</v>
      </c>
      <c r="G2623" s="144"/>
      <c r="H2623" s="113"/>
      <c r="I2623" s="143">
        <v>2.3599999999999999E-2</v>
      </c>
      <c r="J2623" s="145"/>
      <c r="K2623" s="113"/>
      <c r="AB2623" s="113">
        <v>2</v>
      </c>
      <c r="AC2623" s="144" t="s">
        <v>1576</v>
      </c>
      <c r="AD2623" s="113" t="s">
        <v>628</v>
      </c>
      <c r="AE2623" s="113">
        <f t="shared" si="238"/>
        <v>7.5</v>
      </c>
      <c r="AF2623" s="145" t="s">
        <v>227</v>
      </c>
      <c r="AG2623" s="113">
        <f t="shared" si="239"/>
        <v>15</v>
      </c>
    </row>
    <row r="2624" spans="6:33" ht="24" customHeight="1">
      <c r="F2624" s="113"/>
      <c r="G2624" s="144" t="s">
        <v>2389</v>
      </c>
      <c r="H2624" s="113"/>
      <c r="I2624" s="143">
        <v>1.18E-2</v>
      </c>
      <c r="J2624" s="145"/>
      <c r="K2624" s="113"/>
      <c r="AB2624" s="113">
        <v>2</v>
      </c>
      <c r="AC2624" s="144" t="s">
        <v>1576</v>
      </c>
      <c r="AD2624" s="113" t="s">
        <v>630</v>
      </c>
      <c r="AE2624" s="113">
        <f t="shared" si="238"/>
        <v>43.8</v>
      </c>
      <c r="AF2624" s="145" t="s">
        <v>227</v>
      </c>
      <c r="AG2624" s="113">
        <f t="shared" si="239"/>
        <v>87.6</v>
      </c>
    </row>
    <row r="2625" spans="6:33" ht="24" customHeight="1">
      <c r="F2625" s="113"/>
      <c r="G2625" s="144"/>
      <c r="H2625" s="113"/>
      <c r="I2625" s="302">
        <f>SUM(I2623:I2624)</f>
        <v>3.5400000000000001E-2</v>
      </c>
      <c r="J2625" s="145"/>
      <c r="K2625" s="113"/>
      <c r="AB2625" s="113"/>
      <c r="AC2625" s="144"/>
      <c r="AD2625" s="113"/>
      <c r="AE2625" s="113"/>
      <c r="AF2625" s="145"/>
      <c r="AG2625" s="113"/>
    </row>
    <row r="2626" spans="6:33" ht="24" customHeight="1">
      <c r="F2626" s="113"/>
      <c r="G2626" s="144"/>
      <c r="H2626" s="113"/>
      <c r="I2626" s="113"/>
      <c r="J2626" s="145"/>
      <c r="K2626" s="113"/>
      <c r="M2626" s="113"/>
      <c r="N2626" s="144"/>
      <c r="O2626" s="50" t="s">
        <v>2390</v>
      </c>
      <c r="P2626" s="113"/>
      <c r="Q2626" s="145"/>
      <c r="R2626" s="113"/>
      <c r="AB2626" s="113"/>
      <c r="AC2626" s="144"/>
      <c r="AD2626" s="113"/>
      <c r="AE2626" s="113"/>
      <c r="AF2626" s="145"/>
      <c r="AG2626" s="148">
        <v>10.54</v>
      </c>
    </row>
    <row r="2627" spans="6:33" ht="24" customHeight="1">
      <c r="F2627" s="113"/>
      <c r="G2627" s="144"/>
      <c r="H2627" s="113"/>
      <c r="I2627" s="113"/>
      <c r="J2627" s="145"/>
      <c r="K2627" s="113"/>
      <c r="M2627" s="113"/>
      <c r="N2627" s="144"/>
      <c r="O2627" s="113"/>
      <c r="P2627" s="113"/>
      <c r="Q2627" s="145"/>
      <c r="R2627" s="113"/>
      <c r="AB2627" s="113"/>
      <c r="AC2627" s="75"/>
      <c r="AD2627" s="50" t="s">
        <v>154</v>
      </c>
      <c r="AE2627" s="113"/>
      <c r="AF2627" s="145"/>
      <c r="AG2627" s="50">
        <f>SUM(AG2615:AG2626)</f>
        <v>19490.791218749997</v>
      </c>
    </row>
    <row r="2628" spans="6:33" ht="24" customHeight="1">
      <c r="F2628" s="113" t="s">
        <v>2391</v>
      </c>
      <c r="G2628" s="144"/>
      <c r="H2628" s="113"/>
      <c r="I2628" s="143">
        <v>2.5899999999999999E-2</v>
      </c>
      <c r="J2628" s="145"/>
      <c r="K2628" s="113"/>
      <c r="M2628" s="113" t="s">
        <v>2392</v>
      </c>
      <c r="N2628" s="144"/>
      <c r="O2628" s="113"/>
      <c r="P2628" s="113"/>
      <c r="Q2628" s="145"/>
      <c r="R2628" s="113"/>
      <c r="AB2628" s="113"/>
      <c r="AC2628" s="75"/>
      <c r="AD2628" s="50"/>
      <c r="AE2628" s="113"/>
      <c r="AF2628" s="145"/>
      <c r="AG2628" s="148" t="s">
        <v>1586</v>
      </c>
    </row>
    <row r="2629" spans="6:33" ht="24" customHeight="1">
      <c r="F2629" s="113" t="s">
        <v>2393</v>
      </c>
      <c r="G2629" s="144"/>
      <c r="H2629" s="113"/>
      <c r="I2629" s="143">
        <f>2*0.575*0.3*0.01875</f>
        <v>6.4687499999999997E-3</v>
      </c>
      <c r="J2629" s="145"/>
      <c r="K2629" s="113">
        <f>3643035-3769622.98</f>
        <v>-126587.97999999998</v>
      </c>
      <c r="M2629" s="113" t="s">
        <v>2371</v>
      </c>
      <c r="N2629" s="144"/>
      <c r="O2629" s="113"/>
      <c r="P2629" s="301">
        <v>2.2800000000000001E-2</v>
      </c>
      <c r="Q2629" s="145"/>
      <c r="R2629" s="113"/>
      <c r="AB2629" s="113"/>
      <c r="AC2629" s="75"/>
      <c r="AD2629" s="50" t="s">
        <v>2394</v>
      </c>
      <c r="AE2629" s="113"/>
      <c r="AF2629" s="145"/>
      <c r="AG2629" s="50">
        <f>AG2627/3.8475</f>
        <v>5065.8326754385953</v>
      </c>
    </row>
    <row r="2630" spans="6:33" ht="24" customHeight="1">
      <c r="F2630" s="113"/>
      <c r="G2630" s="144"/>
      <c r="H2630" s="113"/>
      <c r="I2630" s="302">
        <f>SUM(I2628:I2629)</f>
        <v>3.2368750000000002E-2</v>
      </c>
      <c r="J2630" s="145"/>
      <c r="K2630" s="113"/>
      <c r="M2630" s="113" t="s">
        <v>2395</v>
      </c>
      <c r="N2630" s="144"/>
      <c r="O2630" s="113"/>
      <c r="P2630" s="143">
        <v>1.8599999999999998E-2</v>
      </c>
      <c r="Q2630" s="145"/>
      <c r="R2630" s="113"/>
    </row>
    <row r="2631" spans="6:33" ht="24" customHeight="1">
      <c r="F2631" s="113"/>
      <c r="G2631" s="144"/>
      <c r="H2631" s="50" t="s">
        <v>2376</v>
      </c>
      <c r="I2631" s="113"/>
      <c r="J2631" s="145"/>
      <c r="K2631" s="113"/>
      <c r="M2631" s="113"/>
      <c r="N2631" s="144" t="s">
        <v>2396</v>
      </c>
      <c r="O2631" s="113"/>
      <c r="P2631" s="143">
        <v>9.2999999999999992E-3</v>
      </c>
      <c r="Q2631" s="145"/>
      <c r="R2631" s="113"/>
    </row>
    <row r="2632" spans="6:33" ht="24" customHeight="1">
      <c r="F2632" s="113"/>
      <c r="G2632" s="144"/>
      <c r="H2632" s="113"/>
      <c r="I2632" s="113"/>
      <c r="J2632" s="145"/>
      <c r="K2632" s="113"/>
      <c r="M2632" s="113"/>
      <c r="N2632" s="144"/>
      <c r="O2632" s="113"/>
      <c r="P2632" s="302">
        <f>SUM(P2630:P2631)</f>
        <v>2.7899999999999998E-2</v>
      </c>
      <c r="Q2632" s="145"/>
      <c r="R2632" s="113"/>
    </row>
    <row r="2633" spans="6:33" ht="24" customHeight="1">
      <c r="F2633" s="143">
        <v>2.2800000000000001E-2</v>
      </c>
      <c r="G2633" s="144" t="s">
        <v>126</v>
      </c>
      <c r="H2633" s="113" t="s">
        <v>1571</v>
      </c>
      <c r="I2633" s="113">
        <f>AC26</f>
        <v>111600</v>
      </c>
      <c r="J2633" s="145" t="s">
        <v>126</v>
      </c>
      <c r="K2633" s="113">
        <f>F2633*I2633</f>
        <v>2544.48</v>
      </c>
      <c r="M2633" s="113"/>
      <c r="N2633" s="144"/>
      <c r="O2633" s="113"/>
      <c r="P2633" s="113"/>
      <c r="Q2633" s="145"/>
      <c r="R2633" s="113"/>
    </row>
    <row r="2634" spans="6:33" ht="24" customHeight="1">
      <c r="F2634" s="143">
        <v>3.5400000000000001E-2</v>
      </c>
      <c r="G2634" s="144" t="s">
        <v>126</v>
      </c>
      <c r="H2634" s="113" t="s">
        <v>1572</v>
      </c>
      <c r="I2634" s="113">
        <f>AC27</f>
        <v>99400</v>
      </c>
      <c r="J2634" s="145" t="s">
        <v>126</v>
      </c>
      <c r="K2634" s="113">
        <f t="shared" ref="K2634:K2643" si="240">F2634*I2634</f>
        <v>3518.76</v>
      </c>
      <c r="M2634" s="113"/>
      <c r="N2634" s="144"/>
      <c r="O2634" s="113"/>
      <c r="P2634" s="113"/>
      <c r="Q2634" s="145"/>
      <c r="R2634" s="113"/>
    </row>
    <row r="2635" spans="6:33" ht="24" customHeight="1">
      <c r="F2635" s="146">
        <v>3.2300000000000002E-2</v>
      </c>
      <c r="G2635" s="144" t="s">
        <v>126</v>
      </c>
      <c r="H2635" s="5" t="s">
        <v>2397</v>
      </c>
      <c r="I2635" s="113">
        <v>101921.4</v>
      </c>
      <c r="J2635" s="145" t="s">
        <v>126</v>
      </c>
      <c r="K2635" s="113">
        <f t="shared" si="240"/>
        <v>3292.06122</v>
      </c>
      <c r="M2635" s="113" t="s">
        <v>2398</v>
      </c>
      <c r="N2635" s="144"/>
      <c r="O2635" s="113"/>
      <c r="P2635" s="143">
        <v>1.9E-2</v>
      </c>
      <c r="Q2635" s="145"/>
      <c r="R2635" s="113"/>
      <c r="AB2635" s="147"/>
      <c r="AC2635" s="144"/>
      <c r="AD2635" s="50" t="s">
        <v>2369</v>
      </c>
      <c r="AE2635" s="113"/>
      <c r="AF2635" s="145"/>
      <c r="AG2635" s="113"/>
    </row>
    <row r="2636" spans="6:33" ht="24" customHeight="1">
      <c r="F2636" s="147">
        <v>2.835</v>
      </c>
      <c r="G2636" s="144" t="s">
        <v>140</v>
      </c>
      <c r="H2636" s="113" t="s">
        <v>1574</v>
      </c>
      <c r="I2636" s="113">
        <f>AE30</f>
        <v>1155</v>
      </c>
      <c r="J2636" s="145" t="s">
        <v>140</v>
      </c>
      <c r="K2636" s="113">
        <f t="shared" si="240"/>
        <v>3274.4250000000002</v>
      </c>
      <c r="M2636" s="113" t="s">
        <v>2399</v>
      </c>
      <c r="N2636" s="144"/>
      <c r="O2636" s="113"/>
      <c r="P2636" s="143">
        <v>4.7999999999999996E-3</v>
      </c>
      <c r="Q2636" s="145"/>
      <c r="R2636" s="113"/>
      <c r="AB2636" s="147"/>
      <c r="AC2636" s="144"/>
      <c r="AD2636" s="50" t="s">
        <v>2400</v>
      </c>
      <c r="AE2636" s="113"/>
      <c r="AF2636" s="145"/>
      <c r="AG2636" s="113"/>
    </row>
    <row r="2637" spans="6:33" ht="24" customHeight="1">
      <c r="F2637" s="113">
        <v>2</v>
      </c>
      <c r="G2637" s="144" t="s">
        <v>1576</v>
      </c>
      <c r="H2637" s="5" t="s">
        <v>2401</v>
      </c>
      <c r="I2637" s="303">
        <v>450</v>
      </c>
      <c r="J2637" s="145" t="s">
        <v>227</v>
      </c>
      <c r="K2637" s="113">
        <f t="shared" si="240"/>
        <v>900</v>
      </c>
      <c r="M2637" s="113"/>
      <c r="N2637" s="144"/>
      <c r="O2637" s="113"/>
      <c r="P2637" s="302">
        <f>SUM(P2635:P2636)</f>
        <v>2.3799999999999998E-2</v>
      </c>
      <c r="Q2637" s="145"/>
      <c r="R2637" s="113"/>
      <c r="AB2637" s="147" t="s">
        <v>2370</v>
      </c>
      <c r="AC2637" s="144"/>
      <c r="AD2637" s="113"/>
      <c r="AE2637" s="301">
        <f>2*0.85*2.025</f>
        <v>3.4424999999999999</v>
      </c>
      <c r="AF2637" s="145"/>
      <c r="AG2637" s="113"/>
    </row>
    <row r="2638" spans="6:33" ht="24" customHeight="1">
      <c r="F2638" s="113">
        <v>6</v>
      </c>
      <c r="G2638" s="144" t="s">
        <v>1576</v>
      </c>
      <c r="H2638" s="5" t="s">
        <v>2402</v>
      </c>
      <c r="I2638" s="303">
        <v>79</v>
      </c>
      <c r="J2638" s="145" t="s">
        <v>227</v>
      </c>
      <c r="K2638" s="113">
        <f t="shared" si="240"/>
        <v>474</v>
      </c>
      <c r="M2638" s="113"/>
      <c r="N2638" s="144"/>
      <c r="O2638" s="50" t="s">
        <v>2376</v>
      </c>
      <c r="P2638" s="113"/>
      <c r="Q2638" s="145"/>
      <c r="R2638" s="113"/>
      <c r="AB2638" s="147" t="s">
        <v>2371</v>
      </c>
      <c r="AC2638" s="144"/>
      <c r="AD2638" s="113"/>
      <c r="AE2638" s="301">
        <v>2.2800000000000001E-2</v>
      </c>
      <c r="AF2638" s="145"/>
      <c r="AG2638" s="113"/>
    </row>
    <row r="2639" spans="6:33" ht="24" customHeight="1">
      <c r="F2639" s="113">
        <v>4</v>
      </c>
      <c r="G2639" s="144" t="s">
        <v>1576</v>
      </c>
      <c r="H2639" s="5" t="s">
        <v>2403</v>
      </c>
      <c r="I2639" s="303">
        <v>130</v>
      </c>
      <c r="J2639" s="145" t="s">
        <v>227</v>
      </c>
      <c r="K2639" s="113">
        <f t="shared" si="240"/>
        <v>520</v>
      </c>
      <c r="M2639" s="113"/>
      <c r="N2639" s="144"/>
      <c r="O2639" s="113"/>
      <c r="P2639" s="113"/>
      <c r="Q2639" s="145"/>
      <c r="R2639" s="113"/>
      <c r="AB2639" s="147" t="s">
        <v>2372</v>
      </c>
      <c r="AC2639" s="144"/>
      <c r="AD2639" s="113"/>
      <c r="AE2639" s="143">
        <f>2*3*0.85*0.15*0.0375</f>
        <v>2.8687499999999994E-2</v>
      </c>
      <c r="AF2639" s="145"/>
      <c r="AG2639" s="113"/>
    </row>
    <row r="2640" spans="6:33" ht="24" customHeight="1">
      <c r="F2640" s="113">
        <v>1</v>
      </c>
      <c r="G2640" s="144" t="s">
        <v>1576</v>
      </c>
      <c r="H2640" s="5" t="s">
        <v>2404</v>
      </c>
      <c r="I2640" s="303">
        <v>985</v>
      </c>
      <c r="J2640" s="145" t="s">
        <v>227</v>
      </c>
      <c r="K2640" s="113">
        <f t="shared" si="240"/>
        <v>985</v>
      </c>
      <c r="M2640" s="143">
        <f>P2629</f>
        <v>2.2800000000000001E-2</v>
      </c>
      <c r="N2640" s="144" t="s">
        <v>126</v>
      </c>
      <c r="O2640" s="113" t="s">
        <v>2377</v>
      </c>
      <c r="P2640" s="113">
        <f>I2633</f>
        <v>111600</v>
      </c>
      <c r="Q2640" s="145" t="s">
        <v>126</v>
      </c>
      <c r="R2640" s="113">
        <f>M2640*P2640</f>
        <v>2544.48</v>
      </c>
      <c r="AB2640" s="147"/>
      <c r="AC2640" s="144" t="s">
        <v>2373</v>
      </c>
      <c r="AD2640" s="113"/>
      <c r="AE2640" s="143">
        <f>2*3*0.85*0.075*0.0375</f>
        <v>1.4343749999999997E-2</v>
      </c>
      <c r="AF2640" s="145"/>
      <c r="AG2640" s="113"/>
    </row>
    <row r="2641" spans="6:34" ht="24" customHeight="1">
      <c r="F2641" s="113">
        <v>2</v>
      </c>
      <c r="G2641" s="144" t="s">
        <v>1576</v>
      </c>
      <c r="H2641" s="5" t="s">
        <v>2405</v>
      </c>
      <c r="I2641" s="303">
        <v>21.48</v>
      </c>
      <c r="J2641" s="145" t="s">
        <v>227</v>
      </c>
      <c r="K2641" s="113">
        <f t="shared" si="240"/>
        <v>42.96</v>
      </c>
      <c r="M2641" s="143">
        <f>P2632</f>
        <v>2.7899999999999998E-2</v>
      </c>
      <c r="N2641" s="144" t="s">
        <v>126</v>
      </c>
      <c r="O2641" s="113" t="s">
        <v>1572</v>
      </c>
      <c r="P2641" s="113">
        <f t="shared" ref="P2641:P2649" si="241">I2634</f>
        <v>99400</v>
      </c>
      <c r="Q2641" s="145" t="s">
        <v>126</v>
      </c>
      <c r="R2641" s="113">
        <f t="shared" ref="R2641:R2649" si="242">M2641*P2641</f>
        <v>2773.2599999999998</v>
      </c>
      <c r="AA2641" s="147"/>
      <c r="AB2641" s="147"/>
      <c r="AC2641" s="144"/>
      <c r="AD2641" s="113"/>
      <c r="AE2641" s="302">
        <f>SUM(AE2639:AE2640)</f>
        <v>4.3031249999999993E-2</v>
      </c>
      <c r="AF2641" s="145"/>
      <c r="AG2641" s="113"/>
    </row>
    <row r="2642" spans="6:34" ht="24" customHeight="1">
      <c r="F2642" s="113">
        <v>2</v>
      </c>
      <c r="G2642" s="144" t="s">
        <v>1576</v>
      </c>
      <c r="H2642" s="113" t="s">
        <v>630</v>
      </c>
      <c r="I2642" s="113">
        <f>I2823</f>
        <v>43.8</v>
      </c>
      <c r="J2642" s="145" t="s">
        <v>227</v>
      </c>
      <c r="K2642" s="113">
        <f t="shared" si="240"/>
        <v>87.6</v>
      </c>
      <c r="M2642" s="146">
        <f>P2637</f>
        <v>2.3799999999999998E-2</v>
      </c>
      <c r="N2642" s="144" t="s">
        <v>126</v>
      </c>
      <c r="O2642" s="5" t="s">
        <v>2406</v>
      </c>
      <c r="P2642" s="113">
        <f t="shared" si="241"/>
        <v>101921.4</v>
      </c>
      <c r="Q2642" s="145" t="s">
        <v>126</v>
      </c>
      <c r="R2642" s="113">
        <f t="shared" si="242"/>
        <v>2425.7293199999995</v>
      </c>
      <c r="AA2642" s="147"/>
      <c r="AB2642" s="147"/>
      <c r="AC2642" s="144"/>
      <c r="AD2642" s="113"/>
      <c r="AE2642" s="113"/>
      <c r="AF2642" s="145"/>
      <c r="AG2642" s="113"/>
    </row>
    <row r="2643" spans="6:34" ht="24" customHeight="1">
      <c r="F2643" s="113">
        <v>118</v>
      </c>
      <c r="G2643" s="144"/>
      <c r="H2643" s="113" t="s">
        <v>1508</v>
      </c>
      <c r="I2643" s="79">
        <f>P2831</f>
        <v>2.37</v>
      </c>
      <c r="J2643" s="145"/>
      <c r="K2643" s="113">
        <f t="shared" si="240"/>
        <v>279.66000000000003</v>
      </c>
      <c r="M2643" s="147">
        <v>2.23</v>
      </c>
      <c r="N2643" s="144" t="s">
        <v>140</v>
      </c>
      <c r="O2643" s="113" t="s">
        <v>1574</v>
      </c>
      <c r="P2643" s="113">
        <f t="shared" si="241"/>
        <v>1155</v>
      </c>
      <c r="Q2643" s="145" t="s">
        <v>140</v>
      </c>
      <c r="R2643" s="113">
        <f t="shared" si="242"/>
        <v>2575.65</v>
      </c>
      <c r="AA2643" s="147"/>
      <c r="AB2643" s="147"/>
      <c r="AC2643" s="144"/>
      <c r="AD2643" s="113"/>
      <c r="AE2643" s="113"/>
      <c r="AF2643" s="145"/>
      <c r="AG2643" s="113"/>
    </row>
    <row r="2644" spans="6:34" ht="24" customHeight="1">
      <c r="F2644" s="113"/>
      <c r="G2644" s="144"/>
      <c r="H2644" s="113"/>
      <c r="I2644" s="113"/>
      <c r="J2644" s="145"/>
      <c r="K2644" s="148"/>
      <c r="M2644" s="113">
        <v>2</v>
      </c>
      <c r="N2644" s="144" t="s">
        <v>1576</v>
      </c>
      <c r="O2644" s="50" t="s">
        <v>2401</v>
      </c>
      <c r="P2644" s="113">
        <f t="shared" si="241"/>
        <v>450</v>
      </c>
      <c r="Q2644" s="145" t="s">
        <v>227</v>
      </c>
      <c r="R2644" s="113">
        <f t="shared" si="242"/>
        <v>900</v>
      </c>
      <c r="AA2644" s="147"/>
      <c r="AB2644" s="147" t="s">
        <v>2374</v>
      </c>
      <c r="AC2644" s="144"/>
      <c r="AD2644" s="113"/>
      <c r="AE2644" s="143">
        <f>2*4*0.725*0.3*0.01875</f>
        <v>3.2625000000000001E-2</v>
      </c>
      <c r="AF2644" s="145"/>
      <c r="AG2644" s="113"/>
    </row>
    <row r="2645" spans="6:34" ht="24" customHeight="1">
      <c r="F2645" s="113"/>
      <c r="G2645" s="75"/>
      <c r="H2645" s="50" t="s">
        <v>154</v>
      </c>
      <c r="I2645" s="113"/>
      <c r="J2645" s="145"/>
      <c r="K2645" s="50">
        <f>SUM(K2633:K2644)</f>
        <v>15918.94622</v>
      </c>
      <c r="L2645" s="304"/>
      <c r="M2645" s="113">
        <v>6</v>
      </c>
      <c r="N2645" s="144" t="s">
        <v>1576</v>
      </c>
      <c r="O2645" s="50" t="s">
        <v>2402</v>
      </c>
      <c r="P2645" s="113">
        <f t="shared" si="241"/>
        <v>79</v>
      </c>
      <c r="Q2645" s="145" t="s">
        <v>227</v>
      </c>
      <c r="R2645" s="113">
        <f t="shared" si="242"/>
        <v>474</v>
      </c>
      <c r="AA2645" s="147"/>
      <c r="AB2645" s="147" t="s">
        <v>2375</v>
      </c>
      <c r="AC2645" s="144"/>
      <c r="AD2645" s="113"/>
      <c r="AE2645" s="143">
        <f>2*0.725*0.3*0.01875</f>
        <v>8.1562500000000003E-3</v>
      </c>
      <c r="AF2645" s="145"/>
      <c r="AG2645" s="113"/>
    </row>
    <row r="2646" spans="6:34" ht="24" customHeight="1">
      <c r="F2646" s="113"/>
      <c r="G2646" s="75"/>
      <c r="H2646" s="50"/>
      <c r="I2646" s="113"/>
      <c r="J2646" s="145"/>
      <c r="K2646" s="148" t="s">
        <v>1586</v>
      </c>
      <c r="M2646" s="113">
        <v>4</v>
      </c>
      <c r="N2646" s="144" t="s">
        <v>1576</v>
      </c>
      <c r="O2646" s="50" t="s">
        <v>2403</v>
      </c>
      <c r="P2646" s="113">
        <f t="shared" si="241"/>
        <v>130</v>
      </c>
      <c r="Q2646" s="145" t="s">
        <v>227</v>
      </c>
      <c r="R2646" s="113">
        <f t="shared" si="242"/>
        <v>520</v>
      </c>
      <c r="AA2646" s="147"/>
      <c r="AB2646" s="147"/>
      <c r="AC2646" s="144"/>
      <c r="AD2646" s="113"/>
      <c r="AE2646" s="302">
        <f>SUM(AE2644:AE2645)</f>
        <v>4.0781250000000005E-2</v>
      </c>
      <c r="AF2646" s="145"/>
      <c r="AG2646" s="113"/>
    </row>
    <row r="2647" spans="6:34" ht="24" customHeight="1">
      <c r="F2647" s="113"/>
      <c r="G2647" s="75"/>
      <c r="H2647" s="50" t="s">
        <v>1589</v>
      </c>
      <c r="I2647" s="113"/>
      <c r="J2647" s="145"/>
      <c r="K2647" s="50">
        <f>K2645/2.835</f>
        <v>5615.1485784832448</v>
      </c>
      <c r="M2647" s="113">
        <v>1</v>
      </c>
      <c r="N2647" s="144" t="s">
        <v>1576</v>
      </c>
      <c r="O2647" s="50" t="s">
        <v>2404</v>
      </c>
      <c r="P2647" s="113">
        <f t="shared" si="241"/>
        <v>985</v>
      </c>
      <c r="Q2647" s="145" t="s">
        <v>227</v>
      </c>
      <c r="R2647" s="113">
        <f t="shared" si="242"/>
        <v>985</v>
      </c>
      <c r="AA2647" s="147"/>
      <c r="AB2647" s="147"/>
      <c r="AC2647" s="144"/>
      <c r="AD2647" s="50" t="s">
        <v>2376</v>
      </c>
      <c r="AE2647" s="113"/>
      <c r="AF2647" s="145"/>
      <c r="AG2647" s="113"/>
      <c r="AH2647" s="101"/>
    </row>
    <row r="2648" spans="6:34" ht="24" customHeight="1">
      <c r="F2648" s="113"/>
      <c r="G2648" s="75"/>
      <c r="K2648" s="53" t="s">
        <v>1586</v>
      </c>
      <c r="M2648" s="113">
        <v>2</v>
      </c>
      <c r="N2648" s="144" t="s">
        <v>1576</v>
      </c>
      <c r="O2648" s="5" t="s">
        <v>628</v>
      </c>
      <c r="P2648" s="113">
        <f>C288</f>
        <v>7.3</v>
      </c>
      <c r="Q2648" s="145" t="s">
        <v>227</v>
      </c>
      <c r="R2648" s="113">
        <f t="shared" si="242"/>
        <v>14.6</v>
      </c>
      <c r="AA2648" s="147"/>
      <c r="AB2648" s="147"/>
      <c r="AC2648" s="144"/>
      <c r="AD2648" s="113"/>
      <c r="AE2648" s="113"/>
      <c r="AF2648" s="145"/>
      <c r="AG2648" s="113"/>
      <c r="AH2648" s="101"/>
    </row>
    <row r="2649" spans="6:34" ht="24" customHeight="1">
      <c r="F2649" s="305" t="s">
        <v>2407</v>
      </c>
      <c r="G2649" s="306"/>
      <c r="H2649" s="33" t="s">
        <v>1575</v>
      </c>
      <c r="I2649" s="307"/>
      <c r="J2649" s="308"/>
      <c r="K2649" s="307"/>
      <c r="M2649" s="113">
        <v>2</v>
      </c>
      <c r="N2649" s="144" t="s">
        <v>1576</v>
      </c>
      <c r="O2649" s="113" t="s">
        <v>630</v>
      </c>
      <c r="P2649" s="113">
        <f t="shared" si="241"/>
        <v>43.8</v>
      </c>
      <c r="Q2649" s="145" t="s">
        <v>227</v>
      </c>
      <c r="R2649" s="113">
        <f t="shared" si="242"/>
        <v>87.6</v>
      </c>
      <c r="AA2649" s="147"/>
      <c r="AB2649" s="143">
        <f>AE2638</f>
        <v>2.2800000000000001E-2</v>
      </c>
      <c r="AC2649" s="144" t="s">
        <v>126</v>
      </c>
      <c r="AD2649" s="113" t="s">
        <v>2377</v>
      </c>
      <c r="AE2649" s="113">
        <f>V2601</f>
        <v>111600</v>
      </c>
      <c r="AF2649" s="145" t="s">
        <v>126</v>
      </c>
      <c r="AG2649" s="113">
        <f>AB2649*AE2649</f>
        <v>2544.48</v>
      </c>
      <c r="AH2649" s="101"/>
    </row>
    <row r="2650" spans="6:34" ht="24" customHeight="1">
      <c r="F2650" s="307"/>
      <c r="G2650" s="306"/>
      <c r="H2650" s="309" t="s">
        <v>117</v>
      </c>
      <c r="I2650" s="309" t="s">
        <v>117</v>
      </c>
      <c r="J2650" s="33" t="s">
        <v>117</v>
      </c>
      <c r="K2650" s="307"/>
      <c r="M2650" s="113"/>
      <c r="N2650" s="144"/>
      <c r="O2650" s="113"/>
      <c r="P2650" s="113"/>
      <c r="Q2650" s="145"/>
      <c r="R2650" s="113">
        <v>21</v>
      </c>
      <c r="AA2650" s="147"/>
      <c r="AB2650" s="143">
        <f>AE2641</f>
        <v>4.3031249999999993E-2</v>
      </c>
      <c r="AC2650" s="144" t="s">
        <v>126</v>
      </c>
      <c r="AD2650" s="113" t="s">
        <v>1572</v>
      </c>
      <c r="AE2650" s="113">
        <f t="shared" ref="AE2650:AE2660" si="243">V2602</f>
        <v>99400</v>
      </c>
      <c r="AF2650" s="145" t="s">
        <v>126</v>
      </c>
      <c r="AG2650" s="113">
        <f t="shared" ref="AG2650:AG2660" si="244">AB2650*AE2650</f>
        <v>4277.3062499999996</v>
      </c>
      <c r="AH2650" s="101"/>
    </row>
    <row r="2651" spans="6:34" ht="37.5" customHeight="1">
      <c r="F2651" s="307"/>
      <c r="G2651" s="306"/>
      <c r="H2651" s="307"/>
      <c r="I2651" s="307"/>
      <c r="J2651" s="308"/>
      <c r="K2651" s="307"/>
      <c r="M2651" s="113"/>
      <c r="N2651" s="144"/>
      <c r="O2651" s="113"/>
      <c r="P2651" s="113"/>
      <c r="Q2651" s="145"/>
      <c r="R2651" s="148" t="s">
        <v>1586</v>
      </c>
      <c r="AA2651" s="147"/>
      <c r="AB2651" s="143">
        <f>AE2646</f>
        <v>4.0781250000000005E-2</v>
      </c>
      <c r="AC2651" s="144" t="s">
        <v>126</v>
      </c>
      <c r="AD2651" s="249" t="s">
        <v>2406</v>
      </c>
      <c r="AE2651" s="113">
        <f t="shared" si="243"/>
        <v>101921.4</v>
      </c>
      <c r="AF2651" s="145" t="s">
        <v>126</v>
      </c>
      <c r="AG2651" s="113">
        <f t="shared" si="244"/>
        <v>4156.4820937499999</v>
      </c>
      <c r="AH2651" s="101"/>
    </row>
    <row r="2652" spans="6:34" ht="34.5" customHeight="1">
      <c r="F2652" s="307"/>
      <c r="G2652" s="306"/>
      <c r="H2652" s="33" t="s">
        <v>1580</v>
      </c>
      <c r="I2652" s="307"/>
      <c r="J2652" s="308"/>
      <c r="K2652" s="307"/>
      <c r="M2652" s="113"/>
      <c r="N2652" s="75"/>
      <c r="O2652" s="50" t="s">
        <v>154</v>
      </c>
      <c r="P2652" s="113"/>
      <c r="Q2652" s="145"/>
      <c r="R2652" s="50">
        <f>SUM(R2640:R2650)</f>
        <v>13321.319320000001</v>
      </c>
      <c r="AA2652" s="147"/>
      <c r="AB2652" s="143">
        <f>AE2637</f>
        <v>3.4424999999999999</v>
      </c>
      <c r="AC2652" s="144" t="s">
        <v>140</v>
      </c>
      <c r="AD2652" s="310" t="s">
        <v>1574</v>
      </c>
      <c r="AE2652" s="113">
        <f t="shared" si="243"/>
        <v>1155</v>
      </c>
      <c r="AF2652" s="145" t="s">
        <v>140</v>
      </c>
      <c r="AG2652" s="113">
        <f t="shared" si="244"/>
        <v>3976.0875000000001</v>
      </c>
      <c r="AH2652" s="101"/>
    </row>
    <row r="2653" spans="6:34" ht="24" customHeight="1">
      <c r="F2653" s="307"/>
      <c r="G2653" s="306"/>
      <c r="H2653" s="33"/>
      <c r="I2653" s="307"/>
      <c r="J2653" s="308"/>
      <c r="K2653" s="307"/>
      <c r="M2653" s="113"/>
      <c r="N2653" s="75"/>
      <c r="O2653" s="50"/>
      <c r="P2653" s="113"/>
      <c r="Q2653" s="145"/>
      <c r="R2653" s="148" t="s">
        <v>1586</v>
      </c>
      <c r="AA2653" s="147"/>
      <c r="AB2653" s="147">
        <v>2</v>
      </c>
      <c r="AC2653" s="144" t="s">
        <v>1576</v>
      </c>
      <c r="AD2653" s="5" t="s">
        <v>2401</v>
      </c>
      <c r="AE2653" s="311">
        <v>450</v>
      </c>
      <c r="AF2653" s="145" t="s">
        <v>227</v>
      </c>
      <c r="AG2653" s="113">
        <f t="shared" si="244"/>
        <v>900</v>
      </c>
      <c r="AH2653" s="101"/>
    </row>
    <row r="2654" spans="6:34" ht="24" customHeight="1">
      <c r="F2654" s="307"/>
      <c r="G2654" s="306"/>
      <c r="H2654" s="33" t="s">
        <v>1582</v>
      </c>
      <c r="I2654" s="307"/>
      <c r="J2654" s="308"/>
      <c r="K2654" s="307"/>
      <c r="M2654" s="113"/>
      <c r="N2654" s="75"/>
      <c r="O2654" s="50" t="s">
        <v>2408</v>
      </c>
      <c r="P2654" s="113"/>
      <c r="Q2654" s="145"/>
      <c r="R2654" s="50">
        <f>R2652/M2643</f>
        <v>5973.6857937219738</v>
      </c>
      <c r="AA2654" s="147"/>
      <c r="AB2654" s="147">
        <v>6</v>
      </c>
      <c r="AC2654" s="144" t="s">
        <v>1576</v>
      </c>
      <c r="AD2654" s="5" t="s">
        <v>2402</v>
      </c>
      <c r="AE2654" s="311">
        <v>79</v>
      </c>
      <c r="AF2654" s="145" t="s">
        <v>227</v>
      </c>
      <c r="AG2654" s="113">
        <f t="shared" si="244"/>
        <v>474</v>
      </c>
      <c r="AH2654" s="101"/>
    </row>
    <row r="2655" spans="6:34" ht="24" customHeight="1">
      <c r="F2655" s="307"/>
      <c r="G2655" s="306"/>
      <c r="H2655" s="33" t="s">
        <v>1583</v>
      </c>
      <c r="I2655" s="307"/>
      <c r="J2655" s="308"/>
      <c r="K2655" s="307"/>
      <c r="M2655" s="113"/>
      <c r="N2655" s="75"/>
      <c r="Q2655" s="8"/>
      <c r="R2655" s="53" t="s">
        <v>1586</v>
      </c>
      <c r="AA2655" s="143"/>
      <c r="AB2655" s="147">
        <v>4</v>
      </c>
      <c r="AC2655" s="144" t="s">
        <v>1576</v>
      </c>
      <c r="AD2655" s="5" t="s">
        <v>2403</v>
      </c>
      <c r="AE2655" s="311">
        <v>130</v>
      </c>
      <c r="AF2655" s="145" t="s">
        <v>227</v>
      </c>
      <c r="AG2655" s="113">
        <f t="shared" si="244"/>
        <v>520</v>
      </c>
      <c r="AH2655" s="101"/>
    </row>
    <row r="2656" spans="6:34" ht="24" customHeight="1">
      <c r="F2656" s="307"/>
      <c r="G2656" s="306"/>
      <c r="H2656" s="33" t="s">
        <v>1584</v>
      </c>
      <c r="I2656" s="307"/>
      <c r="J2656" s="308"/>
      <c r="K2656" s="307"/>
      <c r="M2656" s="5" t="s">
        <v>2407</v>
      </c>
      <c r="O2656" s="5" t="s">
        <v>1575</v>
      </c>
      <c r="AA2656" s="143"/>
      <c r="AB2656" s="147">
        <v>1</v>
      </c>
      <c r="AC2656" s="144" t="s">
        <v>1576</v>
      </c>
      <c r="AD2656" s="5" t="s">
        <v>2404</v>
      </c>
      <c r="AE2656" s="311">
        <v>985</v>
      </c>
      <c r="AF2656" s="145" t="s">
        <v>227</v>
      </c>
      <c r="AG2656" s="113">
        <f t="shared" si="244"/>
        <v>985</v>
      </c>
      <c r="AH2656" s="101"/>
    </row>
    <row r="2657" spans="6:34" ht="24" customHeight="1">
      <c r="F2657" s="307"/>
      <c r="G2657" s="306"/>
      <c r="H2657" s="33" t="s">
        <v>1585</v>
      </c>
      <c r="I2657" s="307"/>
      <c r="J2657" s="308"/>
      <c r="K2657" s="307"/>
      <c r="O2657" s="5" t="s">
        <v>117</v>
      </c>
      <c r="P2657" s="5" t="s">
        <v>117</v>
      </c>
      <c r="Q2657" s="5" t="s">
        <v>117</v>
      </c>
      <c r="AA2657" s="143"/>
      <c r="AB2657" s="147">
        <v>2</v>
      </c>
      <c r="AC2657" s="144" t="s">
        <v>1576</v>
      </c>
      <c r="AD2657" s="5" t="s">
        <v>2405</v>
      </c>
      <c r="AE2657" s="79">
        <v>24.6</v>
      </c>
      <c r="AF2657" s="145" t="s">
        <v>227</v>
      </c>
      <c r="AG2657" s="113">
        <f t="shared" si="244"/>
        <v>49.2</v>
      </c>
      <c r="AH2657" s="101"/>
    </row>
    <row r="2658" spans="6:34" ht="24" customHeight="1">
      <c r="F2658" s="307"/>
      <c r="G2658" s="306"/>
      <c r="H2658" s="33" t="s">
        <v>2409</v>
      </c>
      <c r="I2658" s="307"/>
      <c r="J2658" s="33" t="s">
        <v>115</v>
      </c>
      <c r="K2658" s="312">
        <v>3.7699999999999997E-2</v>
      </c>
      <c r="AA2658" s="143"/>
      <c r="AB2658" s="147">
        <v>2</v>
      </c>
      <c r="AC2658" s="144" t="s">
        <v>1576</v>
      </c>
      <c r="AD2658" s="113" t="s">
        <v>630</v>
      </c>
      <c r="AE2658" s="113">
        <f t="shared" si="243"/>
        <v>43.8</v>
      </c>
      <c r="AF2658" s="145" t="s">
        <v>227</v>
      </c>
      <c r="AG2658" s="113">
        <f t="shared" si="244"/>
        <v>87.6</v>
      </c>
    </row>
    <row r="2659" spans="6:34" ht="24" customHeight="1">
      <c r="F2659" s="307"/>
      <c r="G2659" s="306"/>
      <c r="H2659" s="33" t="s">
        <v>2410</v>
      </c>
      <c r="I2659" s="307"/>
      <c r="J2659" s="313" t="s">
        <v>115</v>
      </c>
      <c r="K2659" s="313" t="s">
        <v>115</v>
      </c>
      <c r="O2659" s="5" t="s">
        <v>1580</v>
      </c>
      <c r="AA2659" s="147"/>
      <c r="AB2659" s="147"/>
      <c r="AC2659" s="144"/>
      <c r="AD2659" s="113"/>
      <c r="AE2659" s="113">
        <f t="shared" si="243"/>
        <v>0</v>
      </c>
      <c r="AF2659" s="145"/>
      <c r="AG2659" s="113">
        <f t="shared" si="244"/>
        <v>0</v>
      </c>
    </row>
    <row r="2660" spans="6:34" ht="24" customHeight="1">
      <c r="F2660" s="307"/>
      <c r="G2660" s="306"/>
      <c r="H2660" s="33" t="s">
        <v>1590</v>
      </c>
      <c r="I2660" s="307"/>
      <c r="J2660" s="308"/>
      <c r="K2660" s="313" t="s">
        <v>115</v>
      </c>
      <c r="AA2660" s="147"/>
      <c r="AB2660" s="147">
        <v>118</v>
      </c>
      <c r="AC2660" s="144"/>
      <c r="AD2660" s="113" t="s">
        <v>1508</v>
      </c>
      <c r="AE2660" s="113">
        <f t="shared" si="243"/>
        <v>2.37</v>
      </c>
      <c r="AF2660" s="145"/>
      <c r="AG2660" s="113">
        <f t="shared" si="244"/>
        <v>279.66000000000003</v>
      </c>
    </row>
    <row r="2661" spans="6:34" ht="24" customHeight="1">
      <c r="F2661" s="307"/>
      <c r="G2661" s="306"/>
      <c r="H2661" s="307"/>
      <c r="I2661" s="307"/>
      <c r="J2661" s="308"/>
      <c r="K2661" s="307"/>
      <c r="O2661" s="5" t="s">
        <v>1582</v>
      </c>
      <c r="AA2661" s="147"/>
      <c r="AB2661" s="147"/>
      <c r="AC2661" s="75"/>
      <c r="AD2661" s="50" t="s">
        <v>154</v>
      </c>
      <c r="AE2661" s="113"/>
      <c r="AF2661" s="145"/>
      <c r="AG2661" s="50">
        <f>SUM(AG2649:AG2660)</f>
        <v>18249.815843749995</v>
      </c>
    </row>
    <row r="2662" spans="6:34" ht="24" customHeight="1">
      <c r="F2662" s="314">
        <v>1.18E-2</v>
      </c>
      <c r="G2662" s="315" t="s">
        <v>126</v>
      </c>
      <c r="H2662" s="33" t="s">
        <v>621</v>
      </c>
      <c r="I2662" s="316">
        <f>AC26</f>
        <v>111600</v>
      </c>
      <c r="J2662" s="33" t="s">
        <v>126</v>
      </c>
      <c r="K2662" s="316">
        <f t="shared" ref="K2662:K2671" si="245">(F2662*I2662)</f>
        <v>1316.8799999999999</v>
      </c>
      <c r="O2662" s="5" t="s">
        <v>1583</v>
      </c>
      <c r="AA2662" s="147"/>
      <c r="AB2662" s="147"/>
      <c r="AC2662" s="75"/>
      <c r="AD2662" s="50"/>
      <c r="AE2662" s="113"/>
      <c r="AF2662" s="145"/>
      <c r="AG2662" s="148" t="s">
        <v>1586</v>
      </c>
    </row>
    <row r="2663" spans="6:34" ht="24" customHeight="1">
      <c r="F2663" s="314">
        <v>3.7699999999999997E-2</v>
      </c>
      <c r="G2663" s="315" t="s">
        <v>126</v>
      </c>
      <c r="H2663" s="33" t="s">
        <v>622</v>
      </c>
      <c r="I2663" s="316">
        <f>AC27</f>
        <v>99400</v>
      </c>
      <c r="J2663" s="33" t="s">
        <v>126</v>
      </c>
      <c r="K2663" s="316">
        <f t="shared" si="245"/>
        <v>3747.3799999999997</v>
      </c>
      <c r="O2663" s="5" t="s">
        <v>1584</v>
      </c>
      <c r="AA2663" s="147"/>
      <c r="AB2663" s="147"/>
      <c r="AC2663" s="75"/>
      <c r="AD2663" s="50" t="s">
        <v>2385</v>
      </c>
      <c r="AE2663" s="113"/>
      <c r="AF2663" s="145"/>
      <c r="AG2663" s="50">
        <f>AG2661/3.4425</f>
        <v>5301.3263162672465</v>
      </c>
    </row>
    <row r="2664" spans="6:34" ht="24" customHeight="1">
      <c r="F2664" s="314">
        <v>1.8550000000000001E-2</v>
      </c>
      <c r="G2664" s="315" t="s">
        <v>126</v>
      </c>
      <c r="H2664" s="33" t="s">
        <v>1591</v>
      </c>
      <c r="I2664" s="316">
        <f>AE33</f>
        <v>10275</v>
      </c>
      <c r="J2664" s="33" t="s">
        <v>126</v>
      </c>
      <c r="K2664" s="316">
        <f t="shared" si="245"/>
        <v>190.60124999999999</v>
      </c>
      <c r="O2664" s="5" t="s">
        <v>1585</v>
      </c>
      <c r="AA2664" s="147"/>
      <c r="AB2664" s="144"/>
      <c r="AC2664" s="113"/>
      <c r="AD2664" s="113"/>
      <c r="AE2664" s="145"/>
      <c r="AF2664" s="113"/>
    </row>
    <row r="2665" spans="6:34" ht="24" customHeight="1">
      <c r="F2665" s="314">
        <v>1.36</v>
      </c>
      <c r="G2665" s="315" t="s">
        <v>140</v>
      </c>
      <c r="H2665" s="33" t="s">
        <v>1592</v>
      </c>
      <c r="I2665" s="317">
        <v>269.10000000000002</v>
      </c>
      <c r="J2665" s="33" t="s">
        <v>140</v>
      </c>
      <c r="K2665" s="316">
        <f t="shared" si="245"/>
        <v>365.97600000000006</v>
      </c>
      <c r="O2665" s="5" t="s">
        <v>2409</v>
      </c>
      <c r="Q2665" s="5" t="s">
        <v>115</v>
      </c>
      <c r="R2665" s="5">
        <v>0.04</v>
      </c>
      <c r="AA2665" s="147"/>
      <c r="AB2665" s="144"/>
      <c r="AC2665" s="113"/>
      <c r="AD2665" s="113"/>
      <c r="AE2665" s="145"/>
      <c r="AF2665" s="113"/>
    </row>
    <row r="2666" spans="6:34" ht="24" customHeight="1">
      <c r="F2666" s="314">
        <v>2.0499999999999998</v>
      </c>
      <c r="G2666" s="315" t="s">
        <v>140</v>
      </c>
      <c r="H2666" s="33" t="s">
        <v>1593</v>
      </c>
      <c r="I2666" s="316">
        <f>D30</f>
        <v>963</v>
      </c>
      <c r="J2666" s="33" t="s">
        <v>140</v>
      </c>
      <c r="K2666" s="316">
        <f t="shared" si="245"/>
        <v>1974.1499999999999</v>
      </c>
      <c r="O2666" s="5" t="s">
        <v>2410</v>
      </c>
      <c r="Q2666" s="5" t="s">
        <v>115</v>
      </c>
      <c r="R2666" s="5" t="s">
        <v>115</v>
      </c>
      <c r="AA2666" s="147"/>
      <c r="AB2666" s="144"/>
      <c r="AC2666" s="113"/>
      <c r="AD2666" s="113"/>
      <c r="AE2666" s="145"/>
      <c r="AF2666" s="113"/>
    </row>
    <row r="2667" spans="6:34" ht="24" customHeight="1">
      <c r="F2667" s="316">
        <v>2</v>
      </c>
      <c r="G2667" s="315" t="s">
        <v>209</v>
      </c>
      <c r="H2667" s="33" t="s">
        <v>2411</v>
      </c>
      <c r="I2667" s="316">
        <f>E285</f>
        <v>50.3</v>
      </c>
      <c r="J2667" s="33" t="s">
        <v>209</v>
      </c>
      <c r="K2667" s="316">
        <f t="shared" si="245"/>
        <v>100.6</v>
      </c>
      <c r="O2667" s="5" t="s">
        <v>1590</v>
      </c>
      <c r="R2667" s="5" t="s">
        <v>115</v>
      </c>
      <c r="AA2667" s="147"/>
      <c r="AB2667" s="75"/>
      <c r="AC2667" s="50"/>
      <c r="AD2667" s="113"/>
      <c r="AE2667" s="145"/>
      <c r="AF2667" s="50"/>
    </row>
    <row r="2668" spans="6:34" ht="24" customHeight="1">
      <c r="F2668" s="316">
        <v>6</v>
      </c>
      <c r="G2668" s="315" t="s">
        <v>209</v>
      </c>
      <c r="H2668" s="33" t="s">
        <v>1551</v>
      </c>
      <c r="I2668" s="316">
        <f>C282</f>
        <v>43.6</v>
      </c>
      <c r="J2668" s="33" t="s">
        <v>209</v>
      </c>
      <c r="K2668" s="316">
        <f t="shared" si="245"/>
        <v>261.60000000000002</v>
      </c>
      <c r="AA2668" s="147"/>
      <c r="AB2668" s="75"/>
      <c r="AC2668" s="50"/>
      <c r="AD2668" s="113"/>
      <c r="AE2668" s="145"/>
      <c r="AF2668" s="148"/>
    </row>
    <row r="2669" spans="6:34" ht="24" customHeight="1">
      <c r="F2669" s="316">
        <v>2</v>
      </c>
      <c r="G2669" s="315" t="s">
        <v>209</v>
      </c>
      <c r="H2669" s="318" t="s">
        <v>2412</v>
      </c>
      <c r="I2669" s="316">
        <f>I1134</f>
        <v>53.8</v>
      </c>
      <c r="J2669" s="33" t="s">
        <v>209</v>
      </c>
      <c r="K2669" s="316">
        <f t="shared" si="245"/>
        <v>107.6</v>
      </c>
      <c r="M2669" s="5">
        <v>0.01</v>
      </c>
      <c r="N2669" s="5" t="s">
        <v>126</v>
      </c>
      <c r="O2669" s="5" t="s">
        <v>621</v>
      </c>
      <c r="P2669" s="5">
        <f>I2662</f>
        <v>111600</v>
      </c>
      <c r="Q2669" s="5" t="s">
        <v>126</v>
      </c>
      <c r="R2669" s="5">
        <v>764.29</v>
      </c>
      <c r="AA2669" s="147"/>
      <c r="AB2669" s="75"/>
      <c r="AC2669" s="50"/>
      <c r="AD2669" s="113"/>
      <c r="AE2669" s="145"/>
      <c r="AF2669" s="50"/>
    </row>
    <row r="2670" spans="6:34" ht="24" customHeight="1">
      <c r="F2670" s="316">
        <v>1</v>
      </c>
      <c r="G2670" s="315" t="s">
        <v>209</v>
      </c>
      <c r="H2670" s="33" t="s">
        <v>2413</v>
      </c>
      <c r="I2670" s="317">
        <f>I1135</f>
        <v>63.2</v>
      </c>
      <c r="J2670" s="33" t="s">
        <v>209</v>
      </c>
      <c r="K2670" s="316">
        <f t="shared" si="245"/>
        <v>63.2</v>
      </c>
      <c r="M2670" s="5">
        <v>0.04</v>
      </c>
      <c r="N2670" s="5" t="s">
        <v>126</v>
      </c>
      <c r="O2670" s="5" t="s">
        <v>622</v>
      </c>
      <c r="P2670" s="5">
        <f>I2663</f>
        <v>99400</v>
      </c>
      <c r="Q2670" s="5" t="s">
        <v>126</v>
      </c>
      <c r="R2670" s="5">
        <v>2172.65</v>
      </c>
      <c r="AA2670" s="9"/>
    </row>
    <row r="2671" spans="6:34" ht="24" customHeight="1">
      <c r="F2671" s="316">
        <v>2.52</v>
      </c>
      <c r="G2671" s="315" t="s">
        <v>140</v>
      </c>
      <c r="H2671" s="33" t="s">
        <v>1597</v>
      </c>
      <c r="I2671" s="316">
        <f>K1167</f>
        <v>157.19</v>
      </c>
      <c r="J2671" s="33" t="s">
        <v>140</v>
      </c>
      <c r="K2671" s="316">
        <f t="shared" si="245"/>
        <v>396.11880000000002</v>
      </c>
      <c r="M2671" s="5">
        <v>0.02</v>
      </c>
      <c r="N2671" s="5" t="s">
        <v>126</v>
      </c>
      <c r="O2671" s="5" t="s">
        <v>1591</v>
      </c>
      <c r="P2671" s="5">
        <f>I2664</f>
        <v>10275</v>
      </c>
      <c r="Q2671" s="5" t="s">
        <v>126</v>
      </c>
      <c r="R2671" s="5">
        <v>56.02</v>
      </c>
    </row>
    <row r="2672" spans="6:34" ht="24" customHeight="1">
      <c r="F2672" s="307"/>
      <c r="G2672" s="306"/>
      <c r="H2672" s="33" t="s">
        <v>1598</v>
      </c>
      <c r="I2672" s="319" t="s">
        <v>129</v>
      </c>
      <c r="J2672" s="308"/>
      <c r="K2672" s="316">
        <v>2.13</v>
      </c>
      <c r="M2672" s="5">
        <v>1.36</v>
      </c>
      <c r="N2672" s="5" t="s">
        <v>140</v>
      </c>
      <c r="O2672" s="5" t="s">
        <v>1592</v>
      </c>
      <c r="P2672" s="320">
        <v>385.89</v>
      </c>
      <c r="Q2672" s="5" t="s">
        <v>140</v>
      </c>
      <c r="R2672" s="5">
        <v>524.80999999999995</v>
      </c>
    </row>
    <row r="2673" spans="6:18" ht="24" customHeight="1">
      <c r="F2673" s="307"/>
      <c r="G2673" s="306"/>
      <c r="H2673" s="321"/>
      <c r="I2673" s="321"/>
      <c r="J2673" s="322"/>
      <c r="K2673" s="323" t="s">
        <v>117</v>
      </c>
      <c r="M2673" s="5">
        <v>2.0499999999999998</v>
      </c>
      <c r="N2673" s="5" t="s">
        <v>140</v>
      </c>
      <c r="O2673" s="5" t="s">
        <v>1593</v>
      </c>
      <c r="P2673" s="5">
        <f t="shared" ref="P2673:P2678" si="246">I2666</f>
        <v>963</v>
      </c>
      <c r="Q2673" s="5" t="s">
        <v>140</v>
      </c>
      <c r="R2673" s="5">
        <v>586.29999999999995</v>
      </c>
    </row>
    <row r="2674" spans="6:18" ht="24" customHeight="1">
      <c r="F2674" s="307"/>
      <c r="G2674" s="306"/>
      <c r="H2674" s="324" t="s">
        <v>1599</v>
      </c>
      <c r="I2674" s="321"/>
      <c r="J2674" s="322"/>
      <c r="K2674" s="325">
        <f>SUM(K2662:K2672)</f>
        <v>8526.2360499999977</v>
      </c>
      <c r="M2674" s="5">
        <v>2</v>
      </c>
      <c r="N2674" s="5" t="s">
        <v>209</v>
      </c>
      <c r="O2674" s="5" t="s">
        <v>2411</v>
      </c>
      <c r="P2674" s="5">
        <f t="shared" si="246"/>
        <v>50.3</v>
      </c>
      <c r="Q2674" s="5" t="s">
        <v>209</v>
      </c>
      <c r="R2674" s="5">
        <v>50</v>
      </c>
    </row>
    <row r="2675" spans="6:18" ht="24" customHeight="1">
      <c r="F2675" s="307"/>
      <c r="G2675" s="315" t="s">
        <v>115</v>
      </c>
      <c r="H2675" s="321"/>
      <c r="I2675" s="321"/>
      <c r="J2675" s="322"/>
      <c r="K2675" s="323" t="s">
        <v>117</v>
      </c>
      <c r="M2675" s="5">
        <v>6</v>
      </c>
      <c r="N2675" s="5" t="s">
        <v>209</v>
      </c>
      <c r="O2675" s="5" t="s">
        <v>1551</v>
      </c>
      <c r="P2675" s="5">
        <f t="shared" si="246"/>
        <v>43.6</v>
      </c>
      <c r="Q2675" s="5" t="s">
        <v>209</v>
      </c>
      <c r="R2675" s="5">
        <v>150</v>
      </c>
    </row>
    <row r="2676" spans="6:18" ht="24" customHeight="1">
      <c r="F2676" s="307"/>
      <c r="G2676" s="306"/>
      <c r="H2676" s="324" t="s">
        <v>154</v>
      </c>
      <c r="I2676" s="321"/>
      <c r="J2676" s="322"/>
      <c r="K2676" s="325">
        <f>K2674/2.52</f>
        <v>3383.4270039682528</v>
      </c>
      <c r="M2676" s="5">
        <v>2</v>
      </c>
      <c r="N2676" s="5" t="s">
        <v>209</v>
      </c>
      <c r="O2676" s="5" t="s">
        <v>2414</v>
      </c>
      <c r="P2676" s="5">
        <f t="shared" si="246"/>
        <v>53.8</v>
      </c>
      <c r="Q2676" s="5" t="s">
        <v>209</v>
      </c>
      <c r="R2676" s="5">
        <v>70</v>
      </c>
    </row>
    <row r="2677" spans="6:18" ht="24" customHeight="1">
      <c r="F2677" s="307"/>
      <c r="G2677" s="306"/>
      <c r="H2677" s="321"/>
      <c r="I2677" s="321"/>
      <c r="J2677" s="322"/>
      <c r="K2677" s="323" t="s">
        <v>155</v>
      </c>
      <c r="M2677" s="5">
        <v>1</v>
      </c>
      <c r="N2677" s="5" t="s">
        <v>209</v>
      </c>
      <c r="O2677" s="5" t="s">
        <v>2413</v>
      </c>
      <c r="P2677" s="5">
        <f t="shared" si="246"/>
        <v>63.2</v>
      </c>
      <c r="Q2677" s="5" t="s">
        <v>209</v>
      </c>
      <c r="R2677" s="5">
        <v>60</v>
      </c>
    </row>
    <row r="2678" spans="6:18" ht="24" customHeight="1">
      <c r="F2678" s="307"/>
      <c r="G2678" s="306"/>
      <c r="H2678" s="321"/>
      <c r="I2678" s="321"/>
      <c r="J2678" s="322"/>
      <c r="K2678" s="321"/>
      <c r="M2678" s="5">
        <v>2.52</v>
      </c>
      <c r="N2678" s="5" t="s">
        <v>140</v>
      </c>
      <c r="O2678" s="5" t="s">
        <v>1597</v>
      </c>
      <c r="P2678" s="5">
        <f t="shared" si="246"/>
        <v>157.19</v>
      </c>
      <c r="Q2678" s="5" t="s">
        <v>140</v>
      </c>
      <c r="R2678" s="5">
        <v>124.71</v>
      </c>
    </row>
    <row r="2679" spans="6:18" ht="24" customHeight="1">
      <c r="F2679" s="304" t="s">
        <v>2415</v>
      </c>
      <c r="G2679" s="304"/>
      <c r="H2679" s="304"/>
      <c r="I2679" s="304"/>
      <c r="J2679" s="304"/>
      <c r="K2679" s="304"/>
      <c r="O2679" s="5" t="s">
        <v>1598</v>
      </c>
      <c r="P2679" s="5" t="s">
        <v>129</v>
      </c>
      <c r="R2679" s="5">
        <v>0.28000000000000003</v>
      </c>
    </row>
    <row r="2680" spans="6:18" ht="24" customHeight="1">
      <c r="F2680" s="326">
        <v>4</v>
      </c>
      <c r="G2680" s="6" t="s">
        <v>1492</v>
      </c>
      <c r="H2680" s="5" t="s">
        <v>2416</v>
      </c>
      <c r="I2680" s="113">
        <f>C394</f>
        <v>151.4</v>
      </c>
      <c r="J2680" s="8" t="s">
        <v>2417</v>
      </c>
      <c r="K2680" s="326">
        <f>I2680*F2680</f>
        <v>605.6</v>
      </c>
      <c r="R2680" s="5" t="s">
        <v>117</v>
      </c>
    </row>
    <row r="2681" spans="6:18" ht="24" customHeight="1">
      <c r="F2681" s="326">
        <v>2.52</v>
      </c>
      <c r="G2681" s="6" t="s">
        <v>2417</v>
      </c>
      <c r="H2681" s="5" t="s">
        <v>2418</v>
      </c>
      <c r="I2681" s="5">
        <f>C34/1000</f>
        <v>41.2</v>
      </c>
      <c r="J2681" s="8" t="s">
        <v>148</v>
      </c>
      <c r="K2681" s="326">
        <f t="shared" ref="K2681:K2687" si="247">I2681*F2681</f>
        <v>103.82400000000001</v>
      </c>
      <c r="O2681" s="5" t="s">
        <v>1599</v>
      </c>
      <c r="R2681" s="5">
        <v>4559.0600000000004</v>
      </c>
    </row>
    <row r="2682" spans="6:18" ht="24" customHeight="1">
      <c r="F2682" s="326">
        <v>1.1299999999999999</v>
      </c>
      <c r="G2682" s="6" t="s">
        <v>2417</v>
      </c>
      <c r="H2682" s="5" t="s">
        <v>2419</v>
      </c>
      <c r="I2682" s="5">
        <f>I2681</f>
        <v>41.2</v>
      </c>
      <c r="J2682" s="8" t="s">
        <v>148</v>
      </c>
      <c r="K2682" s="326">
        <f t="shared" si="247"/>
        <v>46.555999999999997</v>
      </c>
      <c r="N2682" s="5" t="s">
        <v>115</v>
      </c>
      <c r="R2682" s="5" t="s">
        <v>117</v>
      </c>
    </row>
    <row r="2683" spans="6:18" ht="24" customHeight="1">
      <c r="F2683" s="326">
        <v>0.35</v>
      </c>
      <c r="G2683" s="6" t="s">
        <v>148</v>
      </c>
      <c r="H2683" s="5" t="s">
        <v>2420</v>
      </c>
      <c r="I2683" s="5">
        <f>I2682</f>
        <v>41.2</v>
      </c>
      <c r="J2683" s="8" t="s">
        <v>148</v>
      </c>
      <c r="K2683" s="326">
        <f t="shared" si="247"/>
        <v>14.42</v>
      </c>
      <c r="O2683" s="5" t="s">
        <v>154</v>
      </c>
      <c r="R2683" s="5">
        <v>1809.15</v>
      </c>
    </row>
    <row r="2684" spans="6:18" ht="24" customHeight="1">
      <c r="F2684" s="326">
        <v>4</v>
      </c>
      <c r="G2684" s="6" t="s">
        <v>148</v>
      </c>
      <c r="H2684" s="5" t="s">
        <v>2421</v>
      </c>
      <c r="I2684" s="5">
        <f>C37</f>
        <v>41.6</v>
      </c>
      <c r="J2684" s="8" t="s">
        <v>148</v>
      </c>
      <c r="K2684" s="326">
        <f t="shared" si="247"/>
        <v>166.4</v>
      </c>
      <c r="R2684" s="5" t="s">
        <v>155</v>
      </c>
    </row>
    <row r="2685" spans="6:18" ht="24" customHeight="1">
      <c r="F2685" s="326">
        <v>6</v>
      </c>
      <c r="G2685" s="6" t="s">
        <v>1492</v>
      </c>
      <c r="H2685" s="5" t="s">
        <v>2422</v>
      </c>
      <c r="I2685" s="5">
        <v>1</v>
      </c>
      <c r="J2685" s="8" t="s">
        <v>227</v>
      </c>
      <c r="K2685" s="326">
        <f t="shared" si="247"/>
        <v>6</v>
      </c>
    </row>
    <row r="2686" spans="6:18" ht="24" customHeight="1">
      <c r="F2686" s="326">
        <v>0.5</v>
      </c>
      <c r="G2686" s="6" t="s">
        <v>1492</v>
      </c>
      <c r="H2686" s="5" t="s">
        <v>2190</v>
      </c>
      <c r="I2686" s="5">
        <f>C12</f>
        <v>502</v>
      </c>
      <c r="J2686" s="8" t="s">
        <v>227</v>
      </c>
      <c r="K2686" s="326">
        <f t="shared" si="247"/>
        <v>251</v>
      </c>
    </row>
    <row r="2687" spans="6:18" ht="24" customHeight="1">
      <c r="F2687" s="326">
        <v>0.5</v>
      </c>
      <c r="G2687" s="6" t="s">
        <v>1492</v>
      </c>
      <c r="H2687" s="5" t="s">
        <v>2254</v>
      </c>
      <c r="I2687" s="5">
        <f>C13</f>
        <v>412</v>
      </c>
      <c r="J2687" s="8" t="s">
        <v>227</v>
      </c>
      <c r="K2687" s="326">
        <f t="shared" si="247"/>
        <v>206</v>
      </c>
    </row>
    <row r="2688" spans="6:18" ht="24" customHeight="1">
      <c r="G2688" s="6" t="s">
        <v>129</v>
      </c>
      <c r="H2688" s="5" t="s">
        <v>2423</v>
      </c>
      <c r="I2688" s="91" t="s">
        <v>129</v>
      </c>
      <c r="K2688" s="5">
        <v>21.69</v>
      </c>
      <c r="L2688" s="5">
        <f>24*176</f>
        <v>4224</v>
      </c>
    </row>
    <row r="2689" spans="6:12" ht="24" customHeight="1">
      <c r="G2689" s="5"/>
      <c r="H2689" s="327" t="s">
        <v>2424</v>
      </c>
      <c r="K2689" s="328">
        <f>SUM(K2680:K2688)</f>
        <v>1421.49</v>
      </c>
    </row>
    <row r="2690" spans="6:12" ht="24" customHeight="1">
      <c r="G2690" s="5"/>
      <c r="H2690" s="327" t="s">
        <v>2321</v>
      </c>
      <c r="K2690" s="328">
        <f>K2689/2</f>
        <v>710.745</v>
      </c>
    </row>
    <row r="2691" spans="6:12" ht="24" customHeight="1">
      <c r="G2691" s="5"/>
      <c r="L2691" s="5">
        <f>K2725+K2716</f>
        <v>152.08600000000001</v>
      </c>
    </row>
    <row r="2692" spans="6:12" ht="24" customHeight="1">
      <c r="H2692" s="5" t="s">
        <v>2425</v>
      </c>
    </row>
    <row r="2694" spans="6:12" ht="24" customHeight="1">
      <c r="F2694" s="329"/>
      <c r="G2694" s="330"/>
      <c r="H2694" s="331" t="s">
        <v>2426</v>
      </c>
      <c r="I2694" s="329"/>
      <c r="J2694" s="332"/>
      <c r="K2694" s="329"/>
    </row>
    <row r="2695" spans="6:12" ht="24" customHeight="1">
      <c r="F2695" s="329"/>
      <c r="G2695" s="330"/>
      <c r="H2695" s="329" t="s">
        <v>2427</v>
      </c>
      <c r="I2695" s="329"/>
      <c r="J2695" s="332"/>
      <c r="K2695" s="329"/>
    </row>
    <row r="2696" spans="6:12" ht="24" customHeight="1">
      <c r="F2696" s="329">
        <v>41.6</v>
      </c>
      <c r="G2696" s="330" t="s">
        <v>148</v>
      </c>
      <c r="H2696" s="329" t="s">
        <v>2428</v>
      </c>
      <c r="I2696" s="329">
        <f>I2681</f>
        <v>41.2</v>
      </c>
      <c r="J2696" s="332" t="s">
        <v>148</v>
      </c>
      <c r="K2696" s="329">
        <f>F2696*I2696</f>
        <v>1713.92</v>
      </c>
    </row>
    <row r="2697" spans="6:12" ht="24" customHeight="1">
      <c r="F2697" s="329">
        <v>0.5</v>
      </c>
      <c r="G2697" s="330" t="s">
        <v>164</v>
      </c>
      <c r="H2697" s="329" t="s">
        <v>2429</v>
      </c>
      <c r="I2697" s="329">
        <f>AE21</f>
        <v>591</v>
      </c>
      <c r="J2697" s="332" t="s">
        <v>227</v>
      </c>
      <c r="K2697" s="329">
        <f>F2697*I2697</f>
        <v>295.5</v>
      </c>
    </row>
    <row r="2698" spans="6:12" ht="24" customHeight="1">
      <c r="F2698" s="329">
        <v>1</v>
      </c>
      <c r="G2698" s="330" t="s">
        <v>233</v>
      </c>
      <c r="H2698" s="329" t="s">
        <v>2430</v>
      </c>
      <c r="I2698" s="329">
        <f>C10</f>
        <v>769</v>
      </c>
      <c r="J2698" s="332" t="s">
        <v>227</v>
      </c>
      <c r="K2698" s="329">
        <f>F2698*I2698</f>
        <v>769</v>
      </c>
    </row>
    <row r="2699" spans="6:12" ht="24" customHeight="1">
      <c r="F2699" s="329">
        <v>1</v>
      </c>
      <c r="G2699" s="330" t="s">
        <v>233</v>
      </c>
      <c r="H2699" s="329" t="s">
        <v>1607</v>
      </c>
      <c r="I2699" s="329">
        <f>C13</f>
        <v>412</v>
      </c>
      <c r="J2699" s="332" t="s">
        <v>227</v>
      </c>
      <c r="K2699" s="329">
        <f>F2699*I2699</f>
        <v>412</v>
      </c>
    </row>
    <row r="2700" spans="6:12" ht="24" customHeight="1">
      <c r="F2700" s="329"/>
      <c r="G2700" s="330" t="s">
        <v>129</v>
      </c>
      <c r="H2700" s="329" t="s">
        <v>2431</v>
      </c>
      <c r="I2700" s="329"/>
      <c r="J2700" s="332" t="s">
        <v>129</v>
      </c>
      <c r="K2700" s="329">
        <v>27.7</v>
      </c>
    </row>
    <row r="2701" spans="6:12" ht="24" customHeight="1">
      <c r="F2701" s="329"/>
      <c r="G2701" s="330"/>
      <c r="H2701" s="333" t="s">
        <v>2432</v>
      </c>
      <c r="I2701" s="329"/>
      <c r="J2701" s="333" t="s">
        <v>2433</v>
      </c>
      <c r="K2701" s="329">
        <f>SUM(K2696:K2700)</f>
        <v>3218.12</v>
      </c>
    </row>
    <row r="2702" spans="6:12" ht="24" customHeight="1">
      <c r="F2702" s="329"/>
      <c r="G2702" s="330"/>
      <c r="H2702" s="333" t="s">
        <v>2434</v>
      </c>
      <c r="I2702" s="329"/>
      <c r="J2702" s="333" t="s">
        <v>2433</v>
      </c>
      <c r="K2702" s="329">
        <f>K2701/16</f>
        <v>201.13249999999999</v>
      </c>
    </row>
    <row r="2703" spans="6:12" ht="24" customHeight="1">
      <c r="F2703" s="329"/>
      <c r="G2703" s="330"/>
      <c r="H2703" s="334" t="s">
        <v>2435</v>
      </c>
      <c r="I2703" s="335"/>
      <c r="J2703" s="334" t="s">
        <v>2433</v>
      </c>
      <c r="K2703" s="335">
        <f>K2702/0.95</f>
        <v>211.71842105263158</v>
      </c>
    </row>
    <row r="2704" spans="6:12" ht="24" customHeight="1">
      <c r="F2704" s="329"/>
      <c r="G2704" s="330"/>
      <c r="H2704" s="329"/>
      <c r="I2704" s="329"/>
      <c r="J2704" s="332"/>
      <c r="K2704" s="329"/>
    </row>
    <row r="2705" spans="6:11" ht="24" customHeight="1">
      <c r="F2705" s="329"/>
      <c r="G2705" s="330"/>
      <c r="H2705" s="329"/>
      <c r="I2705" s="329"/>
      <c r="J2705" s="332"/>
      <c r="K2705" s="329"/>
    </row>
    <row r="2706" spans="6:11" ht="24" customHeight="1">
      <c r="F2706" s="188" t="s">
        <v>1796</v>
      </c>
      <c r="G2706" s="336" t="s">
        <v>122</v>
      </c>
      <c r="H2706" s="187" t="s">
        <v>1797</v>
      </c>
      <c r="I2706" s="329"/>
      <c r="J2706" s="332"/>
      <c r="K2706" s="329"/>
    </row>
    <row r="2707" spans="6:11" ht="50.25" customHeight="1">
      <c r="F2707" s="329"/>
      <c r="G2707" s="330"/>
      <c r="H2707" s="187" t="s">
        <v>1798</v>
      </c>
      <c r="I2707" s="329"/>
      <c r="J2707" s="332"/>
      <c r="K2707" s="329"/>
    </row>
    <row r="2708" spans="6:11" ht="24" customHeight="1">
      <c r="F2708" s="329"/>
      <c r="G2708" s="330"/>
      <c r="H2708" s="187" t="s">
        <v>1799</v>
      </c>
      <c r="I2708" s="329"/>
      <c r="J2708" s="332"/>
      <c r="K2708" s="329"/>
    </row>
    <row r="2709" spans="6:11" ht="24" customHeight="1">
      <c r="F2709" s="329"/>
      <c r="G2709" s="330"/>
      <c r="H2709" s="187" t="s">
        <v>1800</v>
      </c>
      <c r="I2709" s="329"/>
      <c r="J2709" s="332"/>
      <c r="K2709" s="329"/>
    </row>
    <row r="2710" spans="6:11" ht="24" customHeight="1">
      <c r="F2710" s="329"/>
      <c r="G2710" s="330"/>
      <c r="H2710" s="337" t="s">
        <v>117</v>
      </c>
      <c r="I2710" s="329"/>
      <c r="J2710" s="332"/>
      <c r="K2710" s="329"/>
    </row>
    <row r="2711" spans="6:11" ht="24" customHeight="1">
      <c r="F2711" s="185">
        <v>1.8</v>
      </c>
      <c r="G2711" s="336" t="s">
        <v>148</v>
      </c>
      <c r="H2711" s="338" t="s">
        <v>2436</v>
      </c>
      <c r="I2711" s="185">
        <f>C609</f>
        <v>22.2</v>
      </c>
      <c r="J2711" s="188" t="s">
        <v>148</v>
      </c>
      <c r="K2711" s="185">
        <f>(F2711*I2711)</f>
        <v>39.96</v>
      </c>
    </row>
    <row r="2712" spans="6:11" ht="24" customHeight="1">
      <c r="F2712" s="185">
        <v>0.25</v>
      </c>
      <c r="G2712" s="336" t="s">
        <v>209</v>
      </c>
      <c r="H2712" s="187" t="s">
        <v>1802</v>
      </c>
      <c r="I2712" s="185">
        <f>C14</f>
        <v>615</v>
      </c>
      <c r="J2712" s="188" t="s">
        <v>209</v>
      </c>
      <c r="K2712" s="185">
        <f>(F2712*I2712)</f>
        <v>153.75</v>
      </c>
    </row>
    <row r="2713" spans="6:11" ht="24" customHeight="1">
      <c r="F2713" s="185">
        <v>0.25</v>
      </c>
      <c r="G2713" s="336" t="s">
        <v>209</v>
      </c>
      <c r="H2713" s="187" t="s">
        <v>1628</v>
      </c>
      <c r="I2713" s="185">
        <f>C12</f>
        <v>502</v>
      </c>
      <c r="J2713" s="188" t="s">
        <v>209</v>
      </c>
      <c r="K2713" s="185">
        <f>(F2713*I2713)</f>
        <v>125.5</v>
      </c>
    </row>
    <row r="2714" spans="6:11" ht="24" customHeight="1">
      <c r="F2714" s="185">
        <v>0.4</v>
      </c>
      <c r="G2714" s="336" t="s">
        <v>209</v>
      </c>
      <c r="H2714" s="187" t="s">
        <v>147</v>
      </c>
      <c r="I2714" s="185">
        <f>C13</f>
        <v>412</v>
      </c>
      <c r="J2714" s="188" t="s">
        <v>209</v>
      </c>
      <c r="K2714" s="185">
        <f>(F2714*I2714)</f>
        <v>164.8</v>
      </c>
    </row>
    <row r="2715" spans="6:11" ht="24" customHeight="1">
      <c r="F2715" s="329"/>
      <c r="G2715" s="336"/>
      <c r="H2715" s="187"/>
      <c r="I2715" s="187" t="s">
        <v>115</v>
      </c>
      <c r="J2715" s="188"/>
      <c r="K2715" s="185">
        <f>SUM(K2711:K2714)</f>
        <v>484.01000000000005</v>
      </c>
    </row>
    <row r="2716" spans="6:11" ht="24" customHeight="1">
      <c r="F2716" s="329"/>
      <c r="G2716" s="330"/>
      <c r="H2716" s="335"/>
      <c r="I2716" s="335"/>
      <c r="J2716" s="339"/>
      <c r="K2716" s="340">
        <f>K2715/10</f>
        <v>48.401000000000003</v>
      </c>
    </row>
    <row r="2717" spans="6:11" ht="24" customHeight="1">
      <c r="F2717" s="185">
        <v>3</v>
      </c>
      <c r="G2717" s="336" t="s">
        <v>148</v>
      </c>
      <c r="H2717" s="187" t="s">
        <v>1801</v>
      </c>
      <c r="I2717" s="341">
        <f>C271</f>
        <v>48.95</v>
      </c>
      <c r="J2717" s="188" t="s">
        <v>148</v>
      </c>
      <c r="K2717" s="341">
        <f>(F2717*I2717)</f>
        <v>146.85000000000002</v>
      </c>
    </row>
    <row r="2718" spans="6:11" ht="24" customHeight="1">
      <c r="F2718" s="185">
        <v>0.5</v>
      </c>
      <c r="G2718" s="336" t="s">
        <v>209</v>
      </c>
      <c r="H2718" s="187" t="s">
        <v>1802</v>
      </c>
      <c r="I2718" s="341">
        <f>C14</f>
        <v>615</v>
      </c>
      <c r="J2718" s="188" t="s">
        <v>209</v>
      </c>
      <c r="K2718" s="341">
        <f>(F2718*I2718)</f>
        <v>307.5</v>
      </c>
    </row>
    <row r="2719" spans="6:11" ht="24" customHeight="1">
      <c r="F2719" s="185">
        <v>0.5</v>
      </c>
      <c r="G2719" s="336" t="s">
        <v>209</v>
      </c>
      <c r="H2719" s="187" t="s">
        <v>1628</v>
      </c>
      <c r="I2719" s="341">
        <f>I2713</f>
        <v>502</v>
      </c>
      <c r="J2719" s="188" t="s">
        <v>209</v>
      </c>
      <c r="K2719" s="341">
        <f>(F2719*I2719)</f>
        <v>251</v>
      </c>
    </row>
    <row r="2720" spans="6:11" ht="24" customHeight="1">
      <c r="F2720" s="185">
        <v>0.8</v>
      </c>
      <c r="G2720" s="336" t="s">
        <v>209</v>
      </c>
      <c r="H2720" s="187" t="s">
        <v>147</v>
      </c>
      <c r="I2720" s="341">
        <f>I2714</f>
        <v>412</v>
      </c>
      <c r="J2720" s="188" t="s">
        <v>209</v>
      </c>
      <c r="K2720" s="341">
        <f>(F2720*I2720)</f>
        <v>329.6</v>
      </c>
    </row>
    <row r="2721" spans="6:12" ht="24" customHeight="1">
      <c r="F2721" s="329"/>
      <c r="G2721" s="336" t="s">
        <v>129</v>
      </c>
      <c r="H2721" s="187" t="s">
        <v>769</v>
      </c>
      <c r="I2721" s="187" t="s">
        <v>115</v>
      </c>
      <c r="J2721" s="188" t="s">
        <v>129</v>
      </c>
      <c r="K2721" s="185">
        <v>1.9</v>
      </c>
    </row>
    <row r="2722" spans="6:12" ht="24" customHeight="1">
      <c r="F2722" s="329"/>
      <c r="G2722" s="330"/>
      <c r="H2722" s="335"/>
      <c r="I2722" s="335"/>
      <c r="J2722" s="339"/>
      <c r="K2722" s="342" t="s">
        <v>117</v>
      </c>
    </row>
    <row r="2723" spans="6:12" ht="24" customHeight="1">
      <c r="F2723" s="329"/>
      <c r="G2723" s="330"/>
      <c r="H2723" s="343" t="s">
        <v>153</v>
      </c>
      <c r="I2723" s="335"/>
      <c r="J2723" s="339"/>
      <c r="K2723" s="344">
        <f>SUM(K2717:K2721)</f>
        <v>1036.8500000000001</v>
      </c>
    </row>
    <row r="2724" spans="6:12" ht="24" customHeight="1">
      <c r="F2724" s="329"/>
      <c r="G2724" s="330"/>
      <c r="H2724" s="335"/>
      <c r="I2724" s="335"/>
      <c r="J2724" s="339"/>
      <c r="K2724" s="342" t="s">
        <v>117</v>
      </c>
    </row>
    <row r="2725" spans="6:12" ht="24" customHeight="1">
      <c r="F2725" s="329"/>
      <c r="G2725" s="330"/>
      <c r="H2725" s="343" t="s">
        <v>154</v>
      </c>
      <c r="I2725" s="335"/>
      <c r="J2725" s="339"/>
      <c r="K2725" s="344">
        <f>(K2723/10)</f>
        <v>103.68500000000002</v>
      </c>
    </row>
    <row r="2726" spans="6:12" ht="24" customHeight="1">
      <c r="F2726" s="329"/>
      <c r="G2726" s="329"/>
      <c r="H2726" s="329"/>
      <c r="I2726" s="329"/>
      <c r="J2726" s="329"/>
      <c r="K2726" s="329"/>
    </row>
    <row r="2727" spans="6:12" ht="24" customHeight="1">
      <c r="F2727" s="345"/>
      <c r="G2727" s="336" t="s">
        <v>122</v>
      </c>
      <c r="H2727" s="187" t="s">
        <v>807</v>
      </c>
      <c r="I2727" s="329"/>
      <c r="J2727" s="332"/>
      <c r="K2727" s="329"/>
    </row>
    <row r="2728" spans="6:12" ht="24" customHeight="1">
      <c r="F2728" s="329"/>
      <c r="G2728" s="330"/>
      <c r="H2728" s="187" t="s">
        <v>1975</v>
      </c>
      <c r="I2728" s="329"/>
      <c r="J2728" s="332"/>
      <c r="K2728" s="329"/>
    </row>
    <row r="2729" spans="6:12" ht="24" customHeight="1">
      <c r="F2729" s="329"/>
      <c r="G2729" s="330"/>
      <c r="H2729" s="187" t="s">
        <v>2437</v>
      </c>
      <c r="I2729" s="329"/>
      <c r="J2729" s="332"/>
      <c r="K2729" s="329"/>
    </row>
    <row r="2730" spans="6:12" ht="24" customHeight="1">
      <c r="F2730" s="329"/>
      <c r="G2730" s="330"/>
      <c r="H2730" s="337" t="s">
        <v>117</v>
      </c>
      <c r="I2730" s="329"/>
      <c r="J2730" s="332"/>
      <c r="K2730" s="329"/>
    </row>
    <row r="2731" spans="6:12" ht="24" customHeight="1">
      <c r="F2731" s="329"/>
      <c r="G2731" s="336" t="s">
        <v>1976</v>
      </c>
      <c r="H2731" s="187" t="s">
        <v>873</v>
      </c>
      <c r="I2731" s="329"/>
      <c r="J2731" s="332"/>
      <c r="K2731" s="187" t="s">
        <v>1977</v>
      </c>
    </row>
    <row r="2732" spans="6:12" ht="24" customHeight="1">
      <c r="F2732" s="329"/>
      <c r="G2732" s="330"/>
      <c r="H2732" s="337" t="s">
        <v>117</v>
      </c>
      <c r="I2732" s="329"/>
      <c r="J2732" s="332"/>
      <c r="K2732" s="337" t="s">
        <v>155</v>
      </c>
    </row>
    <row r="2733" spans="6:12" ht="24" customHeight="1">
      <c r="F2733" s="185">
        <v>30</v>
      </c>
      <c r="G2733" s="336" t="s">
        <v>203</v>
      </c>
      <c r="H2733" s="187" t="s">
        <v>879</v>
      </c>
      <c r="I2733" s="185">
        <f>C661</f>
        <v>8.1</v>
      </c>
      <c r="J2733" s="188" t="s">
        <v>203</v>
      </c>
      <c r="K2733" s="185">
        <f>(F2733*I2733)</f>
        <v>243</v>
      </c>
    </row>
    <row r="2734" spans="6:12" ht="24" customHeight="1">
      <c r="F2734" s="187" t="s">
        <v>115</v>
      </c>
      <c r="G2734" s="330"/>
      <c r="H2734" s="187" t="s">
        <v>882</v>
      </c>
      <c r="I2734" s="187" t="s">
        <v>115</v>
      </c>
      <c r="J2734" s="332"/>
      <c r="K2734" s="187" t="s">
        <v>115</v>
      </c>
    </row>
    <row r="2735" spans="6:12" ht="24" customHeight="1">
      <c r="F2735" s="185">
        <v>8</v>
      </c>
      <c r="G2735" s="336" t="s">
        <v>209</v>
      </c>
      <c r="H2735" s="187" t="s">
        <v>823</v>
      </c>
      <c r="I2735" s="185">
        <f>I1806</f>
        <v>7.1</v>
      </c>
      <c r="J2735" s="188" t="s">
        <v>209</v>
      </c>
      <c r="K2735" s="185">
        <f t="shared" ref="K2735:K2740" si="248">(F2735*I2735)</f>
        <v>56.8</v>
      </c>
    </row>
    <row r="2736" spans="6:12" ht="24" customHeight="1">
      <c r="F2736" s="185">
        <v>8</v>
      </c>
      <c r="G2736" s="336" t="s">
        <v>209</v>
      </c>
      <c r="H2736" s="187" t="s">
        <v>826</v>
      </c>
      <c r="I2736" s="185">
        <f>I1807</f>
        <v>10.199999999999999</v>
      </c>
      <c r="J2736" s="188" t="s">
        <v>209</v>
      </c>
      <c r="K2736" s="185">
        <f t="shared" si="248"/>
        <v>81.599999999999994</v>
      </c>
      <c r="L2736" s="195"/>
    </row>
    <row r="2737" spans="6:12" ht="24" customHeight="1">
      <c r="F2737" s="185">
        <v>3</v>
      </c>
      <c r="G2737" s="336" t="s">
        <v>209</v>
      </c>
      <c r="H2737" s="187" t="s">
        <v>887</v>
      </c>
      <c r="I2737" s="185">
        <f>C41</f>
        <v>569</v>
      </c>
      <c r="J2737" s="188" t="s">
        <v>209</v>
      </c>
      <c r="K2737" s="185">
        <f t="shared" si="248"/>
        <v>1707</v>
      </c>
      <c r="L2737" s="197"/>
    </row>
    <row r="2738" spans="6:12" ht="24" customHeight="1">
      <c r="F2738" s="185">
        <v>1</v>
      </c>
      <c r="G2738" s="336" t="s">
        <v>209</v>
      </c>
      <c r="H2738" s="187" t="s">
        <v>1978</v>
      </c>
      <c r="I2738" s="185">
        <f>C10</f>
        <v>769</v>
      </c>
      <c r="J2738" s="188" t="s">
        <v>209</v>
      </c>
      <c r="K2738" s="185">
        <f t="shared" si="248"/>
        <v>769</v>
      </c>
      <c r="L2738" s="197"/>
    </row>
    <row r="2739" spans="6:12" ht="24" customHeight="1">
      <c r="F2739" s="185">
        <v>2</v>
      </c>
      <c r="G2739" s="336" t="s">
        <v>209</v>
      </c>
      <c r="H2739" s="187" t="s">
        <v>146</v>
      </c>
      <c r="I2739" s="185">
        <f>C12</f>
        <v>502</v>
      </c>
      <c r="J2739" s="188" t="s">
        <v>209</v>
      </c>
      <c r="K2739" s="185">
        <f t="shared" si="248"/>
        <v>1004</v>
      </c>
      <c r="L2739" s="197"/>
    </row>
    <row r="2740" spans="6:12" ht="24" customHeight="1">
      <c r="F2740" s="185">
        <v>1</v>
      </c>
      <c r="G2740" s="336" t="s">
        <v>209</v>
      </c>
      <c r="H2740" s="187" t="s">
        <v>147</v>
      </c>
      <c r="I2740" s="185">
        <f>C13</f>
        <v>412</v>
      </c>
      <c r="J2740" s="188" t="s">
        <v>209</v>
      </c>
      <c r="K2740" s="185">
        <f t="shared" si="248"/>
        <v>412</v>
      </c>
      <c r="L2740" s="197"/>
    </row>
    <row r="2741" spans="6:12" ht="24" customHeight="1">
      <c r="F2741" s="329"/>
      <c r="G2741" s="336" t="s">
        <v>129</v>
      </c>
      <c r="H2741" s="346" t="s">
        <v>2438</v>
      </c>
      <c r="I2741" s="185" t="s">
        <v>2295</v>
      </c>
      <c r="J2741" s="188" t="s">
        <v>129</v>
      </c>
      <c r="K2741" s="185">
        <v>64.849999999999994</v>
      </c>
      <c r="L2741" s="197"/>
    </row>
    <row r="2742" spans="6:12" ht="24" customHeight="1">
      <c r="F2742" s="329"/>
      <c r="G2742" s="330"/>
      <c r="H2742" s="187"/>
      <c r="I2742" s="185"/>
      <c r="J2742" s="332"/>
      <c r="K2742" s="341"/>
      <c r="L2742" s="197"/>
    </row>
    <row r="2743" spans="6:12" ht="24" customHeight="1">
      <c r="F2743" s="329"/>
      <c r="G2743" s="329"/>
      <c r="H2743" s="329"/>
      <c r="I2743" s="329"/>
      <c r="J2743" s="329"/>
      <c r="K2743" s="329"/>
      <c r="L2743" s="197"/>
    </row>
    <row r="2744" spans="6:12" ht="24" customHeight="1">
      <c r="F2744" s="329"/>
      <c r="G2744" s="330"/>
      <c r="H2744" s="329"/>
      <c r="I2744" s="329"/>
      <c r="J2744" s="332"/>
      <c r="K2744" s="337" t="s">
        <v>117</v>
      </c>
      <c r="L2744" s="197"/>
    </row>
    <row r="2745" spans="6:12" ht="24" customHeight="1">
      <c r="F2745" s="329"/>
      <c r="G2745" s="330"/>
      <c r="H2745" s="343" t="s">
        <v>893</v>
      </c>
      <c r="I2745" s="335"/>
      <c r="J2745" s="339"/>
      <c r="K2745" s="344">
        <f>SUM(K2733:K2744)</f>
        <v>4338.25</v>
      </c>
      <c r="L2745" s="206"/>
    </row>
    <row r="2746" spans="6:12" ht="24" customHeight="1">
      <c r="F2746" s="329"/>
      <c r="G2746" s="330"/>
      <c r="H2746" s="335"/>
      <c r="I2746" s="335"/>
      <c r="J2746" s="339"/>
      <c r="K2746" s="342" t="s">
        <v>117</v>
      </c>
    </row>
    <row r="2747" spans="6:12" ht="24" customHeight="1">
      <c r="F2747" s="329"/>
      <c r="G2747" s="330"/>
      <c r="H2747" s="343" t="s">
        <v>216</v>
      </c>
      <c r="I2747" s="335"/>
      <c r="J2747" s="339"/>
      <c r="K2747" s="344">
        <f>(K2745/30)</f>
        <v>144.60833333333332</v>
      </c>
    </row>
    <row r="2748" spans="6:12" ht="24" customHeight="1">
      <c r="F2748" s="329"/>
      <c r="G2748" s="329"/>
      <c r="H2748" s="329"/>
      <c r="I2748" s="329"/>
      <c r="J2748" s="329"/>
      <c r="K2748" s="329"/>
    </row>
    <row r="2749" spans="6:12" ht="24" customHeight="1">
      <c r="F2749" s="329"/>
      <c r="G2749" s="329"/>
      <c r="H2749" s="329"/>
      <c r="I2749" s="329"/>
      <c r="J2749" s="329"/>
      <c r="K2749" s="329"/>
    </row>
    <row r="2750" spans="6:12" ht="24" customHeight="1">
      <c r="F2750" s="347">
        <v>52</v>
      </c>
      <c r="G2750" s="336" t="s">
        <v>122</v>
      </c>
      <c r="H2750" s="187" t="s">
        <v>1984</v>
      </c>
      <c r="I2750" s="329"/>
      <c r="J2750" s="332"/>
      <c r="K2750" s="329"/>
    </row>
    <row r="2751" spans="6:12" ht="24" customHeight="1">
      <c r="F2751" s="329"/>
      <c r="G2751" s="330"/>
      <c r="H2751" s="187" t="s">
        <v>1985</v>
      </c>
      <c r="I2751" s="329"/>
      <c r="J2751" s="332"/>
      <c r="K2751" s="329"/>
    </row>
    <row r="2752" spans="6:12" ht="24" customHeight="1">
      <c r="F2752" s="329"/>
      <c r="G2752" s="330"/>
      <c r="H2752" s="187" t="s">
        <v>1987</v>
      </c>
      <c r="I2752" s="329"/>
      <c r="J2752" s="332"/>
      <c r="K2752" s="329"/>
    </row>
    <row r="2753" spans="5:24" ht="24" customHeight="1">
      <c r="F2753" s="329"/>
      <c r="G2753" s="330"/>
      <c r="H2753" s="187" t="s">
        <v>1989</v>
      </c>
      <c r="I2753" s="329"/>
      <c r="J2753" s="332"/>
      <c r="K2753" s="329"/>
    </row>
    <row r="2754" spans="5:24" ht="24" customHeight="1">
      <c r="F2754" s="329"/>
      <c r="G2754" s="330"/>
      <c r="H2754" s="187" t="s">
        <v>1990</v>
      </c>
      <c r="I2754" s="329"/>
      <c r="J2754" s="332"/>
      <c r="K2754" s="329"/>
    </row>
    <row r="2755" spans="5:24" ht="24" customHeight="1">
      <c r="E2755" s="5">
        <f>6*0.3</f>
        <v>1.7999999999999998</v>
      </c>
      <c r="F2755" s="329"/>
      <c r="G2755" s="330"/>
      <c r="H2755" s="187" t="s">
        <v>2439</v>
      </c>
      <c r="I2755" s="329"/>
      <c r="J2755" s="332"/>
      <c r="K2755" s="329"/>
    </row>
    <row r="2756" spans="5:24" ht="24" customHeight="1">
      <c r="E2756" s="5">
        <f>3.5+E2755</f>
        <v>5.3</v>
      </c>
      <c r="F2756" s="329"/>
      <c r="G2756" s="330"/>
      <c r="H2756" s="187" t="s">
        <v>1992</v>
      </c>
      <c r="I2756" s="329"/>
      <c r="J2756" s="332"/>
      <c r="K2756" s="329"/>
      <c r="L2756" s="5">
        <f>K2790</f>
        <v>179.5</v>
      </c>
    </row>
    <row r="2757" spans="5:24" ht="24" customHeight="1">
      <c r="E2757" s="5">
        <f>3.14*0.3*0.3</f>
        <v>0.28259999999999996</v>
      </c>
      <c r="F2757" s="329"/>
      <c r="G2757" s="330"/>
      <c r="H2757" s="187" t="s">
        <v>1993</v>
      </c>
      <c r="I2757" s="329"/>
      <c r="J2757" s="332"/>
      <c r="K2757" s="329"/>
      <c r="L2757" s="5">
        <f>K2791</f>
        <v>1757</v>
      </c>
    </row>
    <row r="2758" spans="5:24" ht="24" customHeight="1">
      <c r="F2758" s="329"/>
      <c r="G2758" s="330"/>
      <c r="H2758" s="337" t="s">
        <v>155</v>
      </c>
      <c r="I2758" s="337" t="s">
        <v>155</v>
      </c>
      <c r="J2758" s="332"/>
      <c r="K2758" s="329"/>
    </row>
    <row r="2759" spans="5:24" ht="24" customHeight="1">
      <c r="E2759" s="5">
        <f>E2757/4</f>
        <v>7.0649999999999991E-2</v>
      </c>
      <c r="F2759" s="329"/>
      <c r="G2759" s="336" t="s">
        <v>122</v>
      </c>
      <c r="H2759" s="187" t="s">
        <v>1994</v>
      </c>
      <c r="I2759" s="329"/>
      <c r="J2759" s="332"/>
      <c r="K2759" s="329"/>
      <c r="L2759" s="5">
        <f>SUM(L2756:L2757)</f>
        <v>1936.5</v>
      </c>
    </row>
    <row r="2760" spans="5:24" ht="24" customHeight="1">
      <c r="E2760" s="101">
        <f>E2759*E2756</f>
        <v>0.37444499999999992</v>
      </c>
      <c r="F2760" s="329"/>
      <c r="G2760" s="330"/>
      <c r="H2760" s="187" t="s">
        <v>1995</v>
      </c>
      <c r="I2760" s="329"/>
      <c r="J2760" s="332"/>
      <c r="K2760" s="329"/>
    </row>
    <row r="2761" spans="5:24" ht="24" customHeight="1">
      <c r="F2761" s="329"/>
      <c r="G2761" s="336" t="s">
        <v>1258</v>
      </c>
      <c r="H2761" s="187" t="s">
        <v>1996</v>
      </c>
      <c r="I2761" s="329"/>
      <c r="J2761" s="332"/>
      <c r="K2761" s="329"/>
    </row>
    <row r="2762" spans="5:24" ht="24" customHeight="1">
      <c r="F2762" s="329"/>
      <c r="G2762" s="330"/>
      <c r="H2762" s="337" t="s">
        <v>117</v>
      </c>
      <c r="I2762" s="329"/>
      <c r="J2762" s="332"/>
      <c r="K2762" s="329"/>
    </row>
    <row r="2763" spans="5:24" ht="24" customHeight="1">
      <c r="F2763" s="185">
        <v>1</v>
      </c>
      <c r="G2763" s="336" t="s">
        <v>231</v>
      </c>
      <c r="H2763" s="187" t="s">
        <v>1997</v>
      </c>
      <c r="I2763" s="185">
        <f>I1870</f>
        <v>26</v>
      </c>
      <c r="J2763" s="188" t="s">
        <v>231</v>
      </c>
      <c r="K2763" s="185">
        <f>(F2763*I2763)</f>
        <v>26</v>
      </c>
    </row>
    <row r="2764" spans="5:24" ht="24" customHeight="1">
      <c r="F2764" s="185">
        <v>1</v>
      </c>
      <c r="G2764" s="336" t="s">
        <v>129</v>
      </c>
      <c r="H2764" s="187" t="s">
        <v>1998</v>
      </c>
      <c r="I2764" s="185">
        <f>I2763*0.7</f>
        <v>18.2</v>
      </c>
      <c r="J2764" s="188" t="s">
        <v>129</v>
      </c>
      <c r="K2764" s="185">
        <f>(F2764*I2764)</f>
        <v>18.2</v>
      </c>
    </row>
    <row r="2765" spans="5:24" ht="24" customHeight="1">
      <c r="F2765" s="185">
        <v>1</v>
      </c>
      <c r="G2765" s="336" t="s">
        <v>231</v>
      </c>
      <c r="H2765" s="187" t="s">
        <v>1999</v>
      </c>
      <c r="I2765" s="185">
        <f>K2747</f>
        <v>144.60833333333332</v>
      </c>
      <c r="J2765" s="188" t="s">
        <v>231</v>
      </c>
      <c r="K2765" s="185">
        <f>(F2765*I2765)</f>
        <v>144.60833333333332</v>
      </c>
    </row>
    <row r="2766" spans="5:24" ht="24" customHeight="1">
      <c r="F2766" s="329"/>
      <c r="G2766" s="330"/>
      <c r="H2766" s="329"/>
      <c r="I2766" s="187" t="s">
        <v>115</v>
      </c>
      <c r="J2766" s="332"/>
      <c r="K2766" s="337"/>
    </row>
    <row r="2767" spans="5:24" ht="24" customHeight="1">
      <c r="F2767" s="329"/>
      <c r="G2767" s="330"/>
      <c r="H2767" s="343" t="s">
        <v>2000</v>
      </c>
      <c r="I2767" s="335"/>
      <c r="J2767" s="339"/>
      <c r="K2767" s="344">
        <f>SUM(K2763:K2765)</f>
        <v>188.80833333333334</v>
      </c>
      <c r="S2767" s="348"/>
      <c r="T2767" s="330"/>
      <c r="U2767" s="329"/>
      <c r="V2767" s="329"/>
      <c r="W2767" s="332"/>
      <c r="X2767" s="329"/>
    </row>
    <row r="2768" spans="5:24" ht="24" customHeight="1">
      <c r="F2768" s="329"/>
      <c r="G2768" s="330"/>
      <c r="H2768" s="187" t="s">
        <v>115</v>
      </c>
      <c r="I2768" s="187" t="s">
        <v>115</v>
      </c>
      <c r="J2768" s="332"/>
      <c r="K2768" s="337" t="s">
        <v>155</v>
      </c>
      <c r="S2768" s="349" t="s">
        <v>1465</v>
      </c>
      <c r="T2768" s="336" t="s">
        <v>122</v>
      </c>
      <c r="U2768" s="187" t="s">
        <v>2440</v>
      </c>
      <c r="V2768" s="329"/>
      <c r="W2768" s="332"/>
      <c r="X2768" s="329"/>
    </row>
    <row r="2769" spans="6:29" ht="24" customHeight="1">
      <c r="F2769" s="329"/>
      <c r="G2769" s="329"/>
      <c r="H2769" s="329"/>
      <c r="I2769" s="329"/>
      <c r="J2769" s="329"/>
      <c r="K2769" s="329"/>
      <c r="S2769" s="348"/>
      <c r="T2769" s="330"/>
      <c r="U2769" s="187" t="s">
        <v>1467</v>
      </c>
      <c r="V2769" s="329"/>
      <c r="W2769" s="332"/>
      <c r="X2769" s="329"/>
    </row>
    <row r="2770" spans="6:29" ht="24" customHeight="1">
      <c r="F2770" s="350"/>
      <c r="G2770" s="351"/>
      <c r="H2770" s="351"/>
      <c r="I2770" s="351"/>
      <c r="J2770" s="351"/>
      <c r="K2770" s="351"/>
      <c r="S2770" s="348"/>
      <c r="T2770" s="330"/>
      <c r="U2770" s="187" t="s">
        <v>1468</v>
      </c>
      <c r="V2770" s="329"/>
      <c r="W2770" s="332"/>
      <c r="X2770" s="329"/>
    </row>
    <row r="2771" spans="6:29" ht="24" customHeight="1">
      <c r="F2771" s="352"/>
      <c r="G2771" s="353" t="s">
        <v>2441</v>
      </c>
      <c r="H2771" s="354"/>
      <c r="I2771" s="354"/>
      <c r="J2771" s="355"/>
      <c r="K2771" s="354"/>
      <c r="S2771" s="348"/>
      <c r="T2771" s="330"/>
      <c r="U2771" s="337" t="s">
        <v>117</v>
      </c>
      <c r="V2771" s="329"/>
      <c r="W2771" s="332"/>
      <c r="X2771" s="329"/>
    </row>
    <row r="2772" spans="6:29" ht="24" customHeight="1">
      <c r="F2772" s="356"/>
      <c r="G2772" s="357"/>
      <c r="H2772" s="354"/>
      <c r="I2772" s="354"/>
      <c r="J2772" s="355"/>
      <c r="K2772" s="354"/>
      <c r="S2772" s="348"/>
      <c r="T2772" s="330"/>
      <c r="U2772" s="187" t="s">
        <v>2442</v>
      </c>
      <c r="V2772" s="329"/>
      <c r="W2772" s="332"/>
      <c r="X2772" s="329"/>
    </row>
    <row r="2773" spans="6:29" ht="24" customHeight="1">
      <c r="F2773" s="356">
        <v>5</v>
      </c>
      <c r="G2773" s="357" t="s">
        <v>2443</v>
      </c>
      <c r="H2773" s="358" t="s">
        <v>2444</v>
      </c>
      <c r="I2773" s="359">
        <v>160</v>
      </c>
      <c r="J2773" s="355" t="s">
        <v>2445</v>
      </c>
      <c r="K2773" s="354">
        <f>I2773*F2773</f>
        <v>800</v>
      </c>
      <c r="S2773" s="348"/>
      <c r="T2773" s="330"/>
      <c r="U2773" s="187" t="s">
        <v>2446</v>
      </c>
      <c r="V2773" s="329"/>
      <c r="W2773" s="332"/>
      <c r="X2773" s="329"/>
    </row>
    <row r="2774" spans="6:29" ht="24" customHeight="1">
      <c r="F2774" s="356">
        <v>1</v>
      </c>
      <c r="G2774" s="357" t="s">
        <v>164</v>
      </c>
      <c r="H2774" s="354" t="s">
        <v>2447</v>
      </c>
      <c r="I2774" s="354">
        <v>75</v>
      </c>
      <c r="J2774" s="355" t="s">
        <v>227</v>
      </c>
      <c r="K2774" s="354">
        <f>I2774*F2774</f>
        <v>75</v>
      </c>
      <c r="S2774" s="348"/>
      <c r="T2774" s="330"/>
      <c r="U2774" s="329"/>
      <c r="V2774" s="329"/>
      <c r="W2774" s="188" t="s">
        <v>117</v>
      </c>
      <c r="X2774" s="329"/>
    </row>
    <row r="2775" spans="6:29" ht="24" customHeight="1">
      <c r="F2775" s="356">
        <v>2.5</v>
      </c>
      <c r="G2775" s="357" t="s">
        <v>164</v>
      </c>
      <c r="H2775" s="354" t="s">
        <v>2448</v>
      </c>
      <c r="I2775" s="354">
        <f>C14</f>
        <v>615</v>
      </c>
      <c r="J2775" s="355" t="s">
        <v>164</v>
      </c>
      <c r="K2775" s="354">
        <f>I2775*F2775</f>
        <v>1537.5</v>
      </c>
      <c r="S2775" s="348"/>
      <c r="T2775" s="330"/>
      <c r="U2775" s="187" t="s">
        <v>2449</v>
      </c>
      <c r="V2775" s="329"/>
      <c r="W2775" s="332"/>
      <c r="X2775" s="329"/>
    </row>
    <row r="2776" spans="6:29" ht="24" customHeight="1">
      <c r="F2776" s="356"/>
      <c r="G2776" s="357"/>
      <c r="H2776" s="354" t="s">
        <v>236</v>
      </c>
      <c r="I2776" s="360" t="s">
        <v>129</v>
      </c>
      <c r="J2776" s="355"/>
      <c r="K2776" s="354">
        <v>0.25</v>
      </c>
      <c r="S2776" s="348"/>
      <c r="T2776" s="330"/>
      <c r="U2776" s="187" t="s">
        <v>2450</v>
      </c>
      <c r="V2776" s="329"/>
      <c r="W2776" s="332"/>
      <c r="X2776" s="361">
        <v>2.7099999999999999E-2</v>
      </c>
    </row>
    <row r="2777" spans="6:29" ht="24" customHeight="1">
      <c r="F2777" s="356"/>
      <c r="G2777" s="357"/>
      <c r="H2777" s="354"/>
      <c r="I2777" s="354"/>
      <c r="J2777" s="355"/>
      <c r="K2777" s="362" t="s">
        <v>155</v>
      </c>
      <c r="S2777" s="348"/>
      <c r="T2777" s="330"/>
      <c r="U2777" s="329"/>
      <c r="V2777" s="329"/>
      <c r="W2777" s="188" t="s">
        <v>115</v>
      </c>
      <c r="X2777" s="337" t="s">
        <v>117</v>
      </c>
      <c r="Y2777" s="363">
        <f>SUM(X2778:X2779)</f>
        <v>1.6420000000000001E-2</v>
      </c>
    </row>
    <row r="2778" spans="6:29" ht="24" customHeight="1">
      <c r="F2778" s="356"/>
      <c r="G2778" s="357"/>
      <c r="H2778" s="354"/>
      <c r="I2778" s="354" t="s">
        <v>2451</v>
      </c>
      <c r="J2778" s="355" t="s">
        <v>155</v>
      </c>
      <c r="K2778" s="364">
        <f>SUM(K2773:K2777)</f>
        <v>2412.75</v>
      </c>
      <c r="L2778" s="363">
        <f>K2811+K2810</f>
        <v>1.6420000000000001E-2</v>
      </c>
      <c r="S2778" s="348"/>
      <c r="T2778" s="330"/>
      <c r="U2778" s="187" t="s">
        <v>2452</v>
      </c>
      <c r="V2778" s="329"/>
      <c r="W2778" s="365" t="s">
        <v>115</v>
      </c>
      <c r="X2778" s="361">
        <v>1.2840000000000001E-2</v>
      </c>
    </row>
    <row r="2779" spans="6:29" ht="24" customHeight="1">
      <c r="F2779" s="366"/>
      <c r="G2779" s="367"/>
      <c r="H2779" s="368"/>
      <c r="I2779" s="368"/>
      <c r="J2779" s="369"/>
      <c r="K2779" s="370" t="s">
        <v>155</v>
      </c>
      <c r="S2779" s="348"/>
      <c r="T2779" s="330"/>
      <c r="U2779" s="187" t="s">
        <v>2453</v>
      </c>
      <c r="V2779" s="329"/>
      <c r="W2779" s="188" t="s">
        <v>115</v>
      </c>
      <c r="X2779" s="361">
        <v>3.5799999999999998E-3</v>
      </c>
    </row>
    <row r="2780" spans="6:29" ht="24" customHeight="1">
      <c r="F2780" s="329"/>
      <c r="G2780" s="330"/>
      <c r="H2780" s="329"/>
      <c r="I2780" s="329"/>
      <c r="J2780" s="332"/>
      <c r="K2780" s="329"/>
      <c r="S2780" s="348"/>
      <c r="T2780" s="330"/>
      <c r="U2780" s="329"/>
      <c r="V2780" s="329"/>
      <c r="W2780" s="332"/>
      <c r="X2780" s="337" t="s">
        <v>117</v>
      </c>
    </row>
    <row r="2781" spans="6:29" ht="24" customHeight="1">
      <c r="F2781" s="329" t="s">
        <v>2454</v>
      </c>
      <c r="G2781" s="330"/>
      <c r="H2781" s="329"/>
      <c r="I2781" s="329"/>
      <c r="J2781" s="332"/>
      <c r="K2781" s="329"/>
      <c r="S2781" s="371">
        <f>F2813</f>
        <v>1.898E-2</v>
      </c>
      <c r="T2781" s="336" t="s">
        <v>126</v>
      </c>
      <c r="U2781" s="187" t="s">
        <v>2455</v>
      </c>
      <c r="V2781" s="185">
        <f>C86</f>
        <v>34300</v>
      </c>
      <c r="W2781" s="188" t="s">
        <v>126</v>
      </c>
      <c r="X2781" s="185">
        <f>(S2781*V2781)</f>
        <v>651.01400000000001</v>
      </c>
    </row>
    <row r="2782" spans="6:29" ht="24" customHeight="1">
      <c r="F2782" s="329"/>
      <c r="G2782" s="330"/>
      <c r="H2782" s="329"/>
      <c r="I2782" s="329"/>
      <c r="J2782" s="332"/>
      <c r="K2782" s="329"/>
      <c r="S2782" s="371">
        <f t="shared" ref="S2782:S2792" si="249">F2814</f>
        <v>2.7099999999999999E-2</v>
      </c>
      <c r="T2782" s="336" t="s">
        <v>126</v>
      </c>
      <c r="U2782" s="187" t="s">
        <v>2455</v>
      </c>
      <c r="V2782" s="185">
        <f>V2781</f>
        <v>34300</v>
      </c>
      <c r="W2782" s="188" t="s">
        <v>126</v>
      </c>
      <c r="X2782" s="185">
        <f t="shared" ref="X2782:X2792" si="250">(S2782*V2782)</f>
        <v>929.53</v>
      </c>
    </row>
    <row r="2783" spans="6:29" ht="24" customHeight="1">
      <c r="F2783" s="329" t="s">
        <v>2456</v>
      </c>
      <c r="G2783" s="330"/>
      <c r="H2783" s="329"/>
      <c r="I2783" s="329"/>
      <c r="J2783" s="332"/>
      <c r="K2783" s="329"/>
      <c r="S2783" s="371">
        <f t="shared" si="249"/>
        <v>1.6420000000000001E-2</v>
      </c>
      <c r="T2783" s="336" t="s">
        <v>126</v>
      </c>
      <c r="U2783" s="187" t="s">
        <v>2457</v>
      </c>
      <c r="V2783" s="185">
        <f>C87</f>
        <v>39400</v>
      </c>
      <c r="W2783" s="188" t="s">
        <v>126</v>
      </c>
      <c r="X2783" s="185">
        <f t="shared" si="250"/>
        <v>646.94799999999998</v>
      </c>
      <c r="AC2783" s="50" t="s">
        <v>2458</v>
      </c>
    </row>
    <row r="2784" spans="6:29" ht="24" customHeight="1">
      <c r="F2784" s="329"/>
      <c r="G2784" s="330"/>
      <c r="H2784" s="329"/>
      <c r="I2784" s="329"/>
      <c r="J2784" s="332"/>
      <c r="K2784" s="329"/>
      <c r="S2784" s="371"/>
      <c r="T2784" s="330"/>
      <c r="U2784" s="187"/>
      <c r="V2784" s="185">
        <f>V958</f>
        <v>0</v>
      </c>
      <c r="W2784" s="332"/>
      <c r="X2784" s="185">
        <f t="shared" si="250"/>
        <v>0</v>
      </c>
      <c r="AC2784" s="50" t="s">
        <v>2459</v>
      </c>
    </row>
    <row r="2785" spans="6:33" ht="24" customHeight="1">
      <c r="F2785" s="329"/>
      <c r="G2785" s="372">
        <v>0.745</v>
      </c>
      <c r="H2785" s="329" t="s">
        <v>429</v>
      </c>
      <c r="I2785" s="329"/>
      <c r="J2785" s="332"/>
      <c r="K2785" s="329"/>
      <c r="S2785" s="371">
        <f t="shared" si="249"/>
        <v>1.8225</v>
      </c>
      <c r="T2785" s="336" t="s">
        <v>140</v>
      </c>
      <c r="U2785" s="187" t="s">
        <v>1480</v>
      </c>
      <c r="V2785" s="185">
        <f>I2817</f>
        <v>1155</v>
      </c>
      <c r="W2785" s="188" t="s">
        <v>140</v>
      </c>
      <c r="X2785" s="185">
        <f t="shared" si="250"/>
        <v>2104.9875000000002</v>
      </c>
    </row>
    <row r="2786" spans="6:33" ht="24" customHeight="1">
      <c r="F2786" s="329"/>
      <c r="G2786" s="330"/>
      <c r="H2786" s="329"/>
      <c r="I2786" s="329"/>
      <c r="J2786" s="332"/>
      <c r="K2786" s="329"/>
      <c r="S2786" s="371">
        <f t="shared" si="249"/>
        <v>2</v>
      </c>
      <c r="T2786" s="336" t="s">
        <v>1</v>
      </c>
      <c r="U2786" s="187" t="s">
        <v>1481</v>
      </c>
      <c r="V2786" s="185">
        <f t="shared" ref="V2786:V2791" si="251">I2818</f>
        <v>120</v>
      </c>
      <c r="W2786" s="188" t="s">
        <v>209</v>
      </c>
      <c r="X2786" s="185">
        <f t="shared" si="250"/>
        <v>240</v>
      </c>
      <c r="AB2786" s="373">
        <v>2.6159999999999999E-2</v>
      </c>
      <c r="AC2786" s="75" t="s">
        <v>126</v>
      </c>
      <c r="AD2786" s="50" t="s">
        <v>1571</v>
      </c>
      <c r="AE2786" s="50">
        <f>I2813</f>
        <v>111600</v>
      </c>
      <c r="AF2786" s="59" t="s">
        <v>126</v>
      </c>
      <c r="AG2786" s="50">
        <f>AE2786*AB2786</f>
        <v>2919.4560000000001</v>
      </c>
    </row>
    <row r="2787" spans="6:33" ht="24" customHeight="1">
      <c r="F2787" s="335" t="s">
        <v>2460</v>
      </c>
      <c r="G2787" s="330"/>
      <c r="H2787" s="329"/>
      <c r="I2787" s="329"/>
      <c r="J2787" s="332"/>
      <c r="K2787" s="329"/>
      <c r="S2787" s="371">
        <f t="shared" si="249"/>
        <v>3</v>
      </c>
      <c r="T2787" s="336" t="s">
        <v>209</v>
      </c>
      <c r="U2787" s="187" t="s">
        <v>1482</v>
      </c>
      <c r="V2787" s="185">
        <f t="shared" si="251"/>
        <v>110.17</v>
      </c>
      <c r="W2787" s="188" t="s">
        <v>209</v>
      </c>
      <c r="X2787" s="185">
        <f t="shared" si="250"/>
        <v>330.51</v>
      </c>
      <c r="AB2787" s="373">
        <v>4.7809999999999998E-2</v>
      </c>
      <c r="AC2787" s="75" t="s">
        <v>126</v>
      </c>
      <c r="AD2787" s="50" t="s">
        <v>1572</v>
      </c>
      <c r="AE2787" s="50">
        <f>I2814</f>
        <v>99400</v>
      </c>
      <c r="AF2787" s="59" t="s">
        <v>126</v>
      </c>
      <c r="AG2787" s="50">
        <f t="shared" ref="AG2787:AG2796" si="252">AE2787*AB2787</f>
        <v>4752.3139999999994</v>
      </c>
    </row>
    <row r="2788" spans="6:33" ht="24" customHeight="1">
      <c r="F2788" s="329"/>
      <c r="G2788" s="330"/>
      <c r="H2788" s="329"/>
      <c r="I2788" s="329"/>
      <c r="J2788" s="332"/>
      <c r="K2788" s="329"/>
      <c r="S2788" s="371">
        <f t="shared" si="249"/>
        <v>2</v>
      </c>
      <c r="T2788" s="336" t="s">
        <v>209</v>
      </c>
      <c r="U2788" s="187" t="s">
        <v>1484</v>
      </c>
      <c r="V2788" s="185">
        <f t="shared" si="251"/>
        <v>160</v>
      </c>
      <c r="W2788" s="188" t="s">
        <v>209</v>
      </c>
      <c r="X2788" s="185">
        <f t="shared" si="250"/>
        <v>320</v>
      </c>
      <c r="AB2788" s="374">
        <v>4.5879999999999997E-2</v>
      </c>
      <c r="AC2788" s="75" t="s">
        <v>126</v>
      </c>
      <c r="AD2788" s="50" t="s">
        <v>2461</v>
      </c>
      <c r="AE2788" s="50">
        <v>116700</v>
      </c>
      <c r="AF2788" s="59" t="s">
        <v>126</v>
      </c>
      <c r="AG2788" s="50">
        <f t="shared" si="252"/>
        <v>5354.1959999999999</v>
      </c>
    </row>
    <row r="2789" spans="6:33" ht="24" customHeight="1">
      <c r="F2789" s="348">
        <v>0.37</v>
      </c>
      <c r="G2789" s="330" t="s">
        <v>429</v>
      </c>
      <c r="H2789" s="329" t="s">
        <v>2462</v>
      </c>
      <c r="I2789" s="329">
        <f>I2992</f>
        <v>7337.1179999999995</v>
      </c>
      <c r="J2789" s="333" t="s">
        <v>429</v>
      </c>
      <c r="K2789" s="329">
        <f>F2789*I2789</f>
        <v>2714.7336599999999</v>
      </c>
      <c r="S2789" s="371">
        <f t="shared" si="249"/>
        <v>1</v>
      </c>
      <c r="T2789" s="336" t="s">
        <v>209</v>
      </c>
      <c r="U2789" s="187" t="s">
        <v>1486</v>
      </c>
      <c r="V2789" s="185">
        <f t="shared" si="251"/>
        <v>550</v>
      </c>
      <c r="W2789" s="188" t="s">
        <v>209</v>
      </c>
      <c r="X2789" s="185">
        <f t="shared" si="250"/>
        <v>550</v>
      </c>
      <c r="AB2789" s="374">
        <v>3.95</v>
      </c>
      <c r="AC2789" s="75" t="s">
        <v>140</v>
      </c>
      <c r="AD2789" s="50" t="s">
        <v>1574</v>
      </c>
      <c r="AE2789" s="50">
        <f>I2817</f>
        <v>1155</v>
      </c>
      <c r="AF2789" s="59" t="s">
        <v>140</v>
      </c>
      <c r="AG2789" s="50">
        <f t="shared" si="252"/>
        <v>4562.25</v>
      </c>
    </row>
    <row r="2790" spans="6:33" ht="24" customHeight="1">
      <c r="F2790" s="329">
        <v>0.25</v>
      </c>
      <c r="G2790" s="330" t="s">
        <v>164</v>
      </c>
      <c r="H2790" s="329" t="s">
        <v>1131</v>
      </c>
      <c r="I2790" s="329">
        <f>C11</f>
        <v>718</v>
      </c>
      <c r="J2790" s="333" t="s">
        <v>227</v>
      </c>
      <c r="K2790" s="329">
        <f>F2790*I2790</f>
        <v>179.5</v>
      </c>
      <c r="S2790" s="371">
        <f t="shared" si="249"/>
        <v>1</v>
      </c>
      <c r="T2790" s="336" t="s">
        <v>209</v>
      </c>
      <c r="U2790" s="187" t="s">
        <v>1488</v>
      </c>
      <c r="V2790" s="185">
        <f t="shared" si="251"/>
        <v>7.3</v>
      </c>
      <c r="W2790" s="188" t="s">
        <v>209</v>
      </c>
      <c r="X2790" s="185">
        <f t="shared" si="250"/>
        <v>7.3</v>
      </c>
      <c r="AB2790" s="50">
        <v>2</v>
      </c>
      <c r="AC2790" s="75" t="s">
        <v>1576</v>
      </c>
      <c r="AD2790" s="50" t="s">
        <v>1577</v>
      </c>
      <c r="AE2790" s="50">
        <f t="shared" ref="AE2790:AE2795" si="253">I2818</f>
        <v>120</v>
      </c>
      <c r="AF2790" s="59" t="s">
        <v>227</v>
      </c>
      <c r="AG2790" s="50">
        <f t="shared" si="252"/>
        <v>240</v>
      </c>
    </row>
    <row r="2791" spans="6:33" ht="24" customHeight="1">
      <c r="F2791" s="329">
        <v>3.5</v>
      </c>
      <c r="G2791" s="330" t="s">
        <v>240</v>
      </c>
      <c r="H2791" s="329" t="s">
        <v>1606</v>
      </c>
      <c r="I2791" s="329">
        <f>C12</f>
        <v>502</v>
      </c>
      <c r="J2791" s="333" t="s">
        <v>227</v>
      </c>
      <c r="K2791" s="329">
        <f>F2791*I2791</f>
        <v>1757</v>
      </c>
      <c r="S2791" s="371">
        <f t="shared" si="249"/>
        <v>1</v>
      </c>
      <c r="T2791" s="336" t="s">
        <v>209</v>
      </c>
      <c r="U2791" s="187" t="s">
        <v>630</v>
      </c>
      <c r="V2791" s="185">
        <f t="shared" si="251"/>
        <v>43.8</v>
      </c>
      <c r="W2791" s="188" t="s">
        <v>209</v>
      </c>
      <c r="X2791" s="185">
        <f t="shared" si="250"/>
        <v>43.8</v>
      </c>
      <c r="AB2791" s="50">
        <v>6</v>
      </c>
      <c r="AC2791" s="75" t="s">
        <v>1576</v>
      </c>
      <c r="AD2791" s="50" t="s">
        <v>1578</v>
      </c>
      <c r="AE2791" s="50">
        <f t="shared" si="253"/>
        <v>110.17</v>
      </c>
      <c r="AF2791" s="59" t="s">
        <v>227</v>
      </c>
      <c r="AG2791" s="50">
        <f t="shared" si="252"/>
        <v>661.02</v>
      </c>
    </row>
    <row r="2792" spans="6:33" ht="24" customHeight="1">
      <c r="F2792" s="329">
        <v>12</v>
      </c>
      <c r="G2792" s="330" t="s">
        <v>654</v>
      </c>
      <c r="H2792" s="329" t="s">
        <v>2463</v>
      </c>
      <c r="I2792" s="329"/>
      <c r="J2792" s="333" t="s">
        <v>654</v>
      </c>
      <c r="K2792" s="329">
        <f>I2792*F2792</f>
        <v>0</v>
      </c>
      <c r="S2792" s="348">
        <f t="shared" si="249"/>
        <v>64</v>
      </c>
      <c r="T2792" s="330"/>
      <c r="U2792" s="329" t="s">
        <v>2464</v>
      </c>
      <c r="V2792" s="329">
        <f>P2831</f>
        <v>2.37</v>
      </c>
      <c r="W2792" s="332"/>
      <c r="X2792" s="185">
        <f t="shared" si="250"/>
        <v>151.68</v>
      </c>
      <c r="AB2792" s="50">
        <v>4</v>
      </c>
      <c r="AC2792" s="75" t="s">
        <v>1576</v>
      </c>
      <c r="AD2792" s="50" t="s">
        <v>1579</v>
      </c>
      <c r="AE2792" s="50">
        <f t="shared" si="253"/>
        <v>160</v>
      </c>
      <c r="AF2792" s="59" t="s">
        <v>227</v>
      </c>
      <c r="AG2792" s="50">
        <f t="shared" si="252"/>
        <v>640</v>
      </c>
    </row>
    <row r="2793" spans="6:33" ht="24" customHeight="1">
      <c r="F2793" s="329"/>
      <c r="G2793" s="329" t="s">
        <v>2465</v>
      </c>
      <c r="H2793" s="329" t="s">
        <v>2466</v>
      </c>
      <c r="I2793" s="329"/>
      <c r="J2793" s="333" t="s">
        <v>2295</v>
      </c>
      <c r="K2793" s="329">
        <f>L2759*10%</f>
        <v>193.65</v>
      </c>
      <c r="S2793" s="348"/>
      <c r="T2793" s="330"/>
      <c r="U2793" s="187" t="s">
        <v>2467</v>
      </c>
      <c r="V2793" s="329"/>
      <c r="W2793" s="332"/>
      <c r="X2793" s="185">
        <f>SUM(X2781:X2792)</f>
        <v>5975.7695000000003</v>
      </c>
      <c r="AB2793" s="50">
        <v>1</v>
      </c>
      <c r="AC2793" s="75" t="s">
        <v>1576</v>
      </c>
      <c r="AD2793" s="50" t="s">
        <v>1581</v>
      </c>
      <c r="AE2793" s="50">
        <f t="shared" si="253"/>
        <v>550</v>
      </c>
      <c r="AF2793" s="59" t="s">
        <v>227</v>
      </c>
      <c r="AG2793" s="50">
        <f t="shared" si="252"/>
        <v>550</v>
      </c>
    </row>
    <row r="2794" spans="6:33" ht="24" customHeight="1">
      <c r="F2794" s="329"/>
      <c r="G2794" s="330"/>
      <c r="H2794" s="329"/>
      <c r="I2794" s="329"/>
      <c r="J2794" s="332"/>
      <c r="K2794" s="329" t="s">
        <v>2468</v>
      </c>
      <c r="S2794" s="348"/>
      <c r="T2794" s="330"/>
      <c r="U2794" s="329"/>
      <c r="V2794" s="329"/>
      <c r="W2794" s="332"/>
      <c r="X2794" s="337" t="s">
        <v>117</v>
      </c>
      <c r="AB2794" s="50">
        <v>2</v>
      </c>
      <c r="AC2794" s="75" t="s">
        <v>1576</v>
      </c>
      <c r="AD2794" s="50" t="s">
        <v>628</v>
      </c>
      <c r="AE2794" s="50">
        <f t="shared" si="253"/>
        <v>7.3</v>
      </c>
      <c r="AF2794" s="59" t="s">
        <v>227</v>
      </c>
      <c r="AG2794" s="50">
        <f t="shared" si="252"/>
        <v>14.6</v>
      </c>
    </row>
    <row r="2795" spans="6:33" ht="24" customHeight="1">
      <c r="F2795" s="329"/>
      <c r="G2795" s="330"/>
      <c r="H2795" s="329"/>
      <c r="I2795" s="329"/>
      <c r="J2795" s="332"/>
      <c r="K2795" s="329"/>
      <c r="S2795" s="348"/>
      <c r="T2795" s="330"/>
      <c r="U2795" s="187" t="s">
        <v>154</v>
      </c>
      <c r="V2795" s="329"/>
      <c r="W2795" s="332"/>
      <c r="X2795" s="185">
        <f>X2793/1.8225</f>
        <v>3278.8858710562417</v>
      </c>
      <c r="AB2795" s="50">
        <v>2</v>
      </c>
      <c r="AC2795" s="75" t="s">
        <v>1576</v>
      </c>
      <c r="AD2795" s="50" t="s">
        <v>630</v>
      </c>
      <c r="AE2795" s="50">
        <f t="shared" si="253"/>
        <v>43.8</v>
      </c>
      <c r="AF2795" s="59" t="s">
        <v>227</v>
      </c>
      <c r="AG2795" s="50">
        <f t="shared" si="252"/>
        <v>87.6</v>
      </c>
    </row>
    <row r="2796" spans="6:33" ht="24" customHeight="1">
      <c r="F2796" s="329"/>
      <c r="G2796" s="330"/>
      <c r="H2796" s="329"/>
      <c r="I2796" s="329" t="s">
        <v>2469</v>
      </c>
      <c r="J2796" s="332"/>
      <c r="K2796" s="329">
        <f>SUM(K2789:K2793)</f>
        <v>4844.8836599999995</v>
      </c>
      <c r="S2796" s="348"/>
      <c r="T2796" s="330"/>
      <c r="U2796" s="329"/>
      <c r="V2796" s="329"/>
      <c r="W2796" s="332"/>
      <c r="X2796" s="329"/>
      <c r="AB2796" s="50">
        <v>10</v>
      </c>
      <c r="AC2796" s="75"/>
      <c r="AD2796" s="50" t="s">
        <v>1509</v>
      </c>
      <c r="AE2796" s="50">
        <f>V2792</f>
        <v>2.37</v>
      </c>
      <c r="AF2796" s="59"/>
      <c r="AG2796" s="50">
        <f t="shared" si="252"/>
        <v>23.700000000000003</v>
      </c>
    </row>
    <row r="2797" spans="6:33" ht="24" customHeight="1">
      <c r="F2797" s="329"/>
      <c r="G2797" s="330"/>
      <c r="H2797" s="329"/>
      <c r="I2797" s="329"/>
      <c r="J2797" s="332"/>
      <c r="K2797" s="329"/>
      <c r="AB2797" s="50"/>
      <c r="AC2797" s="75"/>
      <c r="AD2797" s="50" t="s">
        <v>154</v>
      </c>
      <c r="AE2797" s="50"/>
      <c r="AF2797" s="59"/>
      <c r="AG2797" s="50">
        <f>SUM(AG2786:AG2796)</f>
        <v>19805.135999999999</v>
      </c>
    </row>
    <row r="2798" spans="6:33" ht="24" customHeight="1">
      <c r="F2798" s="329"/>
      <c r="G2798" s="330"/>
      <c r="H2798" s="329"/>
      <c r="I2798" s="329" t="s">
        <v>2470</v>
      </c>
      <c r="J2798" s="332"/>
      <c r="K2798" s="329">
        <f>K2796/3.5</f>
        <v>1384.2524742857142</v>
      </c>
      <c r="AB2798" s="50"/>
      <c r="AC2798" s="75"/>
      <c r="AD2798" s="50"/>
      <c r="AE2798" s="50"/>
      <c r="AF2798" s="59"/>
      <c r="AG2798" s="375" t="s">
        <v>1586</v>
      </c>
    </row>
    <row r="2799" spans="6:33" ht="24" customHeight="1">
      <c r="F2799" s="329"/>
      <c r="G2799" s="330"/>
      <c r="H2799" s="329"/>
      <c r="I2799" s="329"/>
      <c r="J2799" s="332"/>
      <c r="K2799" s="329"/>
      <c r="AB2799" s="50"/>
      <c r="AC2799" s="75"/>
      <c r="AD2799" s="50" t="s">
        <v>154</v>
      </c>
      <c r="AE2799" s="50"/>
      <c r="AF2799" s="59"/>
      <c r="AG2799" s="50">
        <f>AG2797/AB2789</f>
        <v>5013.958481012658</v>
      </c>
    </row>
    <row r="2800" spans="6:33" ht="54.75" customHeight="1">
      <c r="F2800" s="188" t="s">
        <v>1465</v>
      </c>
      <c r="G2800" s="336" t="s">
        <v>122</v>
      </c>
      <c r="H2800" s="187" t="s">
        <v>1472</v>
      </c>
      <c r="I2800" s="329"/>
      <c r="J2800" s="332"/>
      <c r="K2800" s="329"/>
      <c r="AB2800" s="50"/>
      <c r="AC2800" s="75"/>
      <c r="AD2800" s="50"/>
      <c r="AE2800" s="50"/>
      <c r="AF2800" s="59"/>
      <c r="AG2800" s="375" t="s">
        <v>1586</v>
      </c>
    </row>
    <row r="2801" spans="6:18" ht="24" customHeight="1">
      <c r="F2801" s="329"/>
      <c r="G2801" s="330"/>
      <c r="H2801" s="187" t="s">
        <v>1467</v>
      </c>
      <c r="I2801" s="329"/>
      <c r="J2801" s="332"/>
      <c r="K2801" s="329"/>
    </row>
    <row r="2802" spans="6:18" ht="24" customHeight="1">
      <c r="F2802" s="329"/>
      <c r="G2802" s="330"/>
      <c r="H2802" s="187" t="s">
        <v>1468</v>
      </c>
      <c r="I2802" s="335" t="s">
        <v>2471</v>
      </c>
      <c r="J2802" s="332"/>
      <c r="K2802" s="329"/>
    </row>
    <row r="2803" spans="6:18" ht="24" customHeight="1">
      <c r="F2803" s="329"/>
      <c r="G2803" s="330"/>
      <c r="H2803" s="337" t="s">
        <v>117</v>
      </c>
      <c r="I2803" s="329"/>
      <c r="J2803" s="332"/>
      <c r="K2803" s="329"/>
    </row>
    <row r="2804" spans="6:18" ht="24" customHeight="1">
      <c r="F2804" s="329"/>
      <c r="G2804" s="330"/>
      <c r="H2804" s="187" t="s">
        <v>2442</v>
      </c>
      <c r="I2804" s="329"/>
      <c r="J2804" s="332"/>
      <c r="K2804" s="329"/>
    </row>
    <row r="2805" spans="6:18" ht="24" customHeight="1">
      <c r="F2805" s="329"/>
      <c r="G2805" s="330"/>
      <c r="H2805" s="187" t="s">
        <v>2446</v>
      </c>
      <c r="I2805" s="329"/>
      <c r="J2805" s="332"/>
      <c r="K2805" s="329"/>
    </row>
    <row r="2806" spans="6:18" ht="24" customHeight="1">
      <c r="F2806" s="329"/>
      <c r="G2806" s="330"/>
      <c r="H2806" s="329"/>
      <c r="I2806" s="329"/>
      <c r="J2806" s="188" t="s">
        <v>117</v>
      </c>
      <c r="K2806" s="329"/>
    </row>
    <row r="2807" spans="6:18" ht="24" customHeight="1">
      <c r="F2807" s="329"/>
      <c r="G2807" s="330"/>
      <c r="H2807" s="187" t="s">
        <v>2449</v>
      </c>
      <c r="I2807" s="329"/>
      <c r="J2807" s="332"/>
      <c r="K2807" s="329"/>
      <c r="M2807" s="188" t="s">
        <v>1465</v>
      </c>
      <c r="N2807" s="336" t="s">
        <v>122</v>
      </c>
      <c r="O2807" s="187" t="s">
        <v>1472</v>
      </c>
      <c r="P2807" s="329"/>
      <c r="Q2807" s="332"/>
      <c r="R2807" s="329"/>
    </row>
    <row r="2808" spans="6:18" ht="24" customHeight="1">
      <c r="F2808" s="329"/>
      <c r="G2808" s="330"/>
      <c r="H2808" s="187" t="s">
        <v>2450</v>
      </c>
      <c r="I2808" s="329"/>
      <c r="J2808" s="332"/>
      <c r="K2808" s="361">
        <v>2.7099999999999999E-2</v>
      </c>
      <c r="M2808" s="329"/>
      <c r="N2808" s="330"/>
      <c r="O2808" s="187" t="s">
        <v>1467</v>
      </c>
      <c r="P2808" s="329"/>
      <c r="Q2808" s="332"/>
      <c r="R2808" s="329"/>
    </row>
    <row r="2809" spans="6:18" ht="24" customHeight="1">
      <c r="F2809" s="329"/>
      <c r="G2809" s="330"/>
      <c r="H2809" s="329"/>
      <c r="I2809" s="329"/>
      <c r="J2809" s="188" t="s">
        <v>115</v>
      </c>
      <c r="K2809" s="337" t="s">
        <v>117</v>
      </c>
      <c r="M2809" s="329"/>
      <c r="N2809" s="330"/>
      <c r="O2809" s="187" t="s">
        <v>2472</v>
      </c>
      <c r="P2809" s="335" t="s">
        <v>2473</v>
      </c>
      <c r="Q2809" s="332"/>
      <c r="R2809" s="329"/>
    </row>
    <row r="2810" spans="6:18" ht="24" customHeight="1">
      <c r="F2810" s="329"/>
      <c r="G2810" s="330"/>
      <c r="H2810" s="187" t="s">
        <v>2452</v>
      </c>
      <c r="I2810" s="329"/>
      <c r="J2810" s="365" t="s">
        <v>115</v>
      </c>
      <c r="K2810" s="361">
        <v>1.2840000000000001E-2</v>
      </c>
      <c r="M2810" s="329"/>
      <c r="N2810" s="330"/>
      <c r="O2810" s="337" t="s">
        <v>117</v>
      </c>
      <c r="P2810" s="329"/>
      <c r="Q2810" s="332"/>
      <c r="R2810" s="329"/>
    </row>
    <row r="2811" spans="6:18" ht="24" customHeight="1">
      <c r="F2811" s="329"/>
      <c r="G2811" s="330"/>
      <c r="H2811" s="187" t="s">
        <v>2474</v>
      </c>
      <c r="I2811" s="329"/>
      <c r="J2811" s="188" t="s">
        <v>115</v>
      </c>
      <c r="K2811" s="361">
        <v>3.5799999999999998E-3</v>
      </c>
      <c r="M2811" s="329"/>
      <c r="N2811" s="330"/>
      <c r="O2811" s="187" t="s">
        <v>2475</v>
      </c>
      <c r="P2811" s="329"/>
      <c r="Q2811" s="332"/>
      <c r="R2811" s="329"/>
    </row>
    <row r="2812" spans="6:18" ht="24" customHeight="1">
      <c r="F2812" s="376"/>
      <c r="G2812" s="330"/>
      <c r="H2812" s="329"/>
      <c r="I2812" s="329"/>
      <c r="J2812" s="332"/>
      <c r="K2812" s="337" t="s">
        <v>117</v>
      </c>
      <c r="M2812" s="329"/>
      <c r="N2812" s="330"/>
      <c r="O2812" s="187" t="s">
        <v>2446</v>
      </c>
      <c r="P2812" s="329"/>
      <c r="Q2812" s="332"/>
      <c r="R2812" s="329"/>
    </row>
    <row r="2813" spans="6:18" ht="24" customHeight="1">
      <c r="F2813" s="361">
        <v>1.898E-2</v>
      </c>
      <c r="G2813" s="336" t="s">
        <v>126</v>
      </c>
      <c r="H2813" s="187" t="s">
        <v>1483</v>
      </c>
      <c r="I2813" s="185">
        <f>AC26</f>
        <v>111600</v>
      </c>
      <c r="J2813" s="188" t="s">
        <v>126</v>
      </c>
      <c r="K2813" s="185">
        <f>(F2813*I2813)</f>
        <v>2118.1680000000001</v>
      </c>
      <c r="M2813" s="329"/>
      <c r="N2813" s="330"/>
      <c r="O2813" s="329"/>
      <c r="P2813" s="329"/>
      <c r="Q2813" s="188" t="s">
        <v>117</v>
      </c>
      <c r="R2813" s="329"/>
    </row>
    <row r="2814" spans="6:18" ht="24" customHeight="1">
      <c r="F2814" s="361">
        <f>K2808</f>
        <v>2.7099999999999999E-2</v>
      </c>
      <c r="G2814" s="336" t="s">
        <v>126</v>
      </c>
      <c r="H2814" s="187" t="s">
        <v>1485</v>
      </c>
      <c r="I2814" s="185">
        <f>AC27</f>
        <v>99400</v>
      </c>
      <c r="J2814" s="188" t="s">
        <v>126</v>
      </c>
      <c r="K2814" s="185">
        <f t="shared" ref="K2814:K2824" si="254">(F2814*I2814)</f>
        <v>2693.74</v>
      </c>
      <c r="M2814" s="329"/>
      <c r="N2814" s="330"/>
      <c r="O2814" s="187" t="s">
        <v>2476</v>
      </c>
      <c r="P2814" s="329"/>
      <c r="Q2814" s="332"/>
      <c r="R2814" s="329"/>
    </row>
    <row r="2815" spans="6:18" ht="24" customHeight="1">
      <c r="F2815" s="361">
        <f>L2778</f>
        <v>1.6420000000000001E-2</v>
      </c>
      <c r="G2815" s="336" t="s">
        <v>126</v>
      </c>
      <c r="H2815" s="187" t="s">
        <v>1487</v>
      </c>
      <c r="I2815" s="185">
        <f>AC28</f>
        <v>95000</v>
      </c>
      <c r="J2815" s="188" t="s">
        <v>126</v>
      </c>
      <c r="K2815" s="185">
        <f t="shared" si="254"/>
        <v>1559.9</v>
      </c>
      <c r="M2815" s="329"/>
      <c r="N2815" s="330"/>
      <c r="O2815" s="187" t="s">
        <v>2477</v>
      </c>
      <c r="P2815" s="329"/>
      <c r="Q2815" s="332"/>
      <c r="R2815" s="361">
        <v>2.784E-2</v>
      </c>
    </row>
    <row r="2816" spans="6:18" ht="24" customHeight="1">
      <c r="F2816" s="377"/>
      <c r="G2816" s="330"/>
      <c r="H2816" s="187" t="s">
        <v>1560</v>
      </c>
      <c r="I2816" s="185"/>
      <c r="J2816" s="332"/>
      <c r="K2816" s="185"/>
      <c r="M2816" s="329"/>
      <c r="N2816" s="330"/>
      <c r="O2816" s="329"/>
      <c r="P2816" s="329"/>
      <c r="Q2816" s="188" t="s">
        <v>115</v>
      </c>
      <c r="R2816" s="337" t="s">
        <v>117</v>
      </c>
    </row>
    <row r="2817" spans="6:18" ht="24" customHeight="1">
      <c r="F2817" s="377">
        <v>1.8225</v>
      </c>
      <c r="G2817" s="336" t="s">
        <v>140</v>
      </c>
      <c r="H2817" s="187" t="s">
        <v>1480</v>
      </c>
      <c r="I2817" s="185">
        <f>I954</f>
        <v>1155</v>
      </c>
      <c r="J2817" s="188" t="s">
        <v>140</v>
      </c>
      <c r="K2817" s="185">
        <f t="shared" si="254"/>
        <v>2104.9875000000002</v>
      </c>
      <c r="M2817" s="329"/>
      <c r="N2817" s="330"/>
      <c r="O2817" s="187" t="s">
        <v>2478</v>
      </c>
      <c r="P2817" s="329"/>
      <c r="Q2817" s="365" t="s">
        <v>115</v>
      </c>
      <c r="R2817" s="361">
        <v>2.5499999999999998E-2</v>
      </c>
    </row>
    <row r="2818" spans="6:18" ht="24" customHeight="1">
      <c r="F2818" s="185">
        <v>2</v>
      </c>
      <c r="G2818" s="336" t="s">
        <v>1</v>
      </c>
      <c r="H2818" s="187" t="s">
        <v>2479</v>
      </c>
      <c r="I2818" s="185">
        <v>120</v>
      </c>
      <c r="J2818" s="188" t="s">
        <v>209</v>
      </c>
      <c r="K2818" s="185">
        <f t="shared" si="254"/>
        <v>240</v>
      </c>
      <c r="M2818" s="329"/>
      <c r="N2818" s="330"/>
      <c r="O2818" s="187"/>
      <c r="P2818" s="329"/>
      <c r="Q2818" s="188" t="s">
        <v>115</v>
      </c>
      <c r="R2818" s="361"/>
    </row>
    <row r="2819" spans="6:18" ht="24" customHeight="1">
      <c r="F2819" s="185">
        <v>3</v>
      </c>
      <c r="G2819" s="336" t="s">
        <v>209</v>
      </c>
      <c r="H2819" s="187" t="s">
        <v>2480</v>
      </c>
      <c r="I2819" s="185">
        <v>110.17</v>
      </c>
      <c r="J2819" s="188" t="s">
        <v>209</v>
      </c>
      <c r="K2819" s="185">
        <f t="shared" si="254"/>
        <v>330.51</v>
      </c>
      <c r="M2819" s="329"/>
      <c r="N2819" s="330"/>
      <c r="O2819" s="329"/>
      <c r="P2819" s="329"/>
      <c r="Q2819" s="332"/>
      <c r="R2819" s="337" t="s">
        <v>117</v>
      </c>
    </row>
    <row r="2820" spans="6:18" ht="24" customHeight="1">
      <c r="F2820" s="185">
        <v>2</v>
      </c>
      <c r="G2820" s="336" t="s">
        <v>209</v>
      </c>
      <c r="H2820" s="187" t="s">
        <v>2481</v>
      </c>
      <c r="I2820" s="185">
        <v>160</v>
      </c>
      <c r="J2820" s="188" t="s">
        <v>209</v>
      </c>
      <c r="K2820" s="185">
        <f t="shared" si="254"/>
        <v>320</v>
      </c>
      <c r="M2820" s="361">
        <v>1.898E-2</v>
      </c>
      <c r="N2820" s="336" t="s">
        <v>126</v>
      </c>
      <c r="O2820" s="187" t="s">
        <v>1483</v>
      </c>
      <c r="P2820" s="185">
        <f>I2813</f>
        <v>111600</v>
      </c>
      <c r="Q2820" s="188" t="s">
        <v>126</v>
      </c>
      <c r="R2820" s="185">
        <f>(M2820*P2820)</f>
        <v>2118.1680000000001</v>
      </c>
    </row>
    <row r="2821" spans="6:18" ht="24" customHeight="1">
      <c r="F2821" s="185">
        <v>1</v>
      </c>
      <c r="G2821" s="336" t="s">
        <v>209</v>
      </c>
      <c r="H2821" s="187" t="s">
        <v>2482</v>
      </c>
      <c r="I2821" s="185">
        <v>550</v>
      </c>
      <c r="J2821" s="188" t="s">
        <v>209</v>
      </c>
      <c r="K2821" s="185">
        <f t="shared" si="254"/>
        <v>550</v>
      </c>
      <c r="M2821" s="361">
        <f>R2815</f>
        <v>2.784E-2</v>
      </c>
      <c r="N2821" s="336" t="s">
        <v>126</v>
      </c>
      <c r="O2821" s="187" t="s">
        <v>1485</v>
      </c>
      <c r="P2821" s="185">
        <f t="shared" ref="P2821:P2830" si="255">I2814</f>
        <v>99400</v>
      </c>
      <c r="Q2821" s="188" t="s">
        <v>126</v>
      </c>
      <c r="R2821" s="185">
        <f t="shared" ref="R2821:R2830" si="256">(M2821*P2821)</f>
        <v>2767.2959999999998</v>
      </c>
    </row>
    <row r="2822" spans="6:18" ht="24" customHeight="1">
      <c r="F2822" s="185">
        <v>1</v>
      </c>
      <c r="G2822" s="336" t="s">
        <v>209</v>
      </c>
      <c r="H2822" s="187" t="s">
        <v>1488</v>
      </c>
      <c r="I2822" s="185">
        <f>C288</f>
        <v>7.3</v>
      </c>
      <c r="J2822" s="188" t="s">
        <v>209</v>
      </c>
      <c r="K2822" s="185">
        <f t="shared" si="254"/>
        <v>7.3</v>
      </c>
      <c r="M2822" s="361">
        <f>R2817</f>
        <v>2.5499999999999998E-2</v>
      </c>
      <c r="N2822" s="336" t="s">
        <v>126</v>
      </c>
      <c r="O2822" s="187" t="s">
        <v>1487</v>
      </c>
      <c r="P2822" s="185">
        <f t="shared" si="255"/>
        <v>95000</v>
      </c>
      <c r="Q2822" s="188" t="s">
        <v>126</v>
      </c>
      <c r="R2822" s="185">
        <f t="shared" si="256"/>
        <v>2422.5</v>
      </c>
    </row>
    <row r="2823" spans="6:18" ht="24" customHeight="1">
      <c r="F2823" s="185">
        <v>1</v>
      </c>
      <c r="G2823" s="336" t="s">
        <v>209</v>
      </c>
      <c r="H2823" s="187" t="s">
        <v>630</v>
      </c>
      <c r="I2823" s="378">
        <f>I2841</f>
        <v>43.8</v>
      </c>
      <c r="J2823" s="188" t="s">
        <v>209</v>
      </c>
      <c r="K2823" s="185">
        <f t="shared" si="254"/>
        <v>43.8</v>
      </c>
      <c r="M2823" s="377"/>
      <c r="N2823" s="330"/>
      <c r="O2823" s="187" t="s">
        <v>2483</v>
      </c>
      <c r="P2823" s="185"/>
      <c r="Q2823" s="332"/>
      <c r="R2823" s="185"/>
    </row>
    <row r="2824" spans="6:18" ht="24" customHeight="1">
      <c r="F2824" s="329">
        <v>64</v>
      </c>
      <c r="G2824" s="330"/>
      <c r="H2824" s="329" t="s">
        <v>2484</v>
      </c>
      <c r="I2824" s="379">
        <f>P1121</f>
        <v>2.37</v>
      </c>
      <c r="J2824" s="332"/>
      <c r="K2824" s="185">
        <f t="shared" si="254"/>
        <v>151.68</v>
      </c>
      <c r="M2824" s="377">
        <v>2.2275</v>
      </c>
      <c r="N2824" s="336" t="s">
        <v>140</v>
      </c>
      <c r="O2824" s="187" t="s">
        <v>1480</v>
      </c>
      <c r="P2824" s="185">
        <f t="shared" si="255"/>
        <v>1155</v>
      </c>
      <c r="Q2824" s="188" t="s">
        <v>140</v>
      </c>
      <c r="R2824" s="185">
        <f t="shared" si="256"/>
        <v>2572.7624999999998</v>
      </c>
    </row>
    <row r="2825" spans="6:18" ht="24" customHeight="1">
      <c r="F2825" s="329"/>
      <c r="G2825" s="330"/>
      <c r="H2825" s="187" t="s">
        <v>2467</v>
      </c>
      <c r="I2825" s="329"/>
      <c r="J2825" s="332"/>
      <c r="K2825" s="185">
        <f>SUM(K2813:K2824)</f>
        <v>10120.085499999999</v>
      </c>
      <c r="M2825" s="185">
        <v>1</v>
      </c>
      <c r="N2825" s="336" t="s">
        <v>1</v>
      </c>
      <c r="O2825" s="187" t="s">
        <v>1481</v>
      </c>
      <c r="P2825" s="185">
        <f t="shared" si="255"/>
        <v>120</v>
      </c>
      <c r="Q2825" s="188" t="s">
        <v>209</v>
      </c>
      <c r="R2825" s="185">
        <f t="shared" si="256"/>
        <v>120</v>
      </c>
    </row>
    <row r="2826" spans="6:18" ht="24" customHeight="1">
      <c r="F2826" s="329"/>
      <c r="G2826" s="330"/>
      <c r="H2826" s="329"/>
      <c r="I2826" s="329"/>
      <c r="J2826" s="332"/>
      <c r="K2826" s="337" t="s">
        <v>117</v>
      </c>
      <c r="M2826" s="185">
        <v>3</v>
      </c>
      <c r="N2826" s="336" t="s">
        <v>209</v>
      </c>
      <c r="O2826" s="187" t="s">
        <v>1482</v>
      </c>
      <c r="P2826" s="185">
        <f t="shared" si="255"/>
        <v>110.17</v>
      </c>
      <c r="Q2826" s="188" t="s">
        <v>209</v>
      </c>
      <c r="R2826" s="185">
        <f t="shared" si="256"/>
        <v>330.51</v>
      </c>
    </row>
    <row r="2827" spans="6:18" ht="24" customHeight="1">
      <c r="F2827" s="329"/>
      <c r="G2827" s="330"/>
      <c r="H2827" s="187" t="s">
        <v>154</v>
      </c>
      <c r="I2827" s="329"/>
      <c r="J2827" s="332"/>
      <c r="K2827" s="344">
        <f>K2825/F2817</f>
        <v>5552.8589849108366</v>
      </c>
      <c r="M2827" s="185">
        <v>2</v>
      </c>
      <c r="N2827" s="336" t="s">
        <v>209</v>
      </c>
      <c r="O2827" s="187" t="s">
        <v>1484</v>
      </c>
      <c r="P2827" s="185">
        <f t="shared" si="255"/>
        <v>160</v>
      </c>
      <c r="Q2827" s="188" t="s">
        <v>209</v>
      </c>
      <c r="R2827" s="185">
        <f t="shared" si="256"/>
        <v>320</v>
      </c>
    </row>
    <row r="2828" spans="6:18" ht="24" customHeight="1">
      <c r="F2828" s="329"/>
      <c r="G2828" s="330"/>
      <c r="H2828" s="329"/>
      <c r="I2828" s="329"/>
      <c r="J2828" s="332"/>
      <c r="K2828" s="329"/>
      <c r="M2828" s="185">
        <v>1</v>
      </c>
      <c r="N2828" s="336" t="s">
        <v>209</v>
      </c>
      <c r="O2828" s="187" t="s">
        <v>1486</v>
      </c>
      <c r="P2828" s="185">
        <f t="shared" si="255"/>
        <v>550</v>
      </c>
      <c r="Q2828" s="188" t="s">
        <v>209</v>
      </c>
      <c r="R2828" s="185">
        <f t="shared" si="256"/>
        <v>550</v>
      </c>
    </row>
    <row r="2829" spans="6:18" ht="24" customHeight="1">
      <c r="F2829" s="188" t="s">
        <v>1465</v>
      </c>
      <c r="G2829" s="336" t="s">
        <v>122</v>
      </c>
      <c r="H2829" s="187" t="s">
        <v>2485</v>
      </c>
      <c r="I2829" s="329"/>
      <c r="J2829" s="332"/>
      <c r="K2829" s="329"/>
      <c r="M2829" s="185">
        <v>1</v>
      </c>
      <c r="N2829" s="336" t="s">
        <v>209</v>
      </c>
      <c r="O2829" s="187" t="s">
        <v>1488</v>
      </c>
      <c r="P2829" s="185">
        <f t="shared" si="255"/>
        <v>7.3</v>
      </c>
      <c r="Q2829" s="188" t="s">
        <v>209</v>
      </c>
      <c r="R2829" s="185">
        <f t="shared" si="256"/>
        <v>7.3</v>
      </c>
    </row>
    <row r="2830" spans="6:18" ht="24" customHeight="1">
      <c r="F2830" s="329"/>
      <c r="G2830" s="330"/>
      <c r="H2830" s="187" t="s">
        <v>1467</v>
      </c>
      <c r="I2830" s="329"/>
      <c r="J2830" s="332"/>
      <c r="K2830" s="329"/>
      <c r="M2830" s="185">
        <v>1</v>
      </c>
      <c r="N2830" s="336" t="s">
        <v>209</v>
      </c>
      <c r="O2830" s="187" t="s">
        <v>630</v>
      </c>
      <c r="P2830" s="185">
        <f t="shared" si="255"/>
        <v>43.8</v>
      </c>
      <c r="Q2830" s="188" t="s">
        <v>209</v>
      </c>
      <c r="R2830" s="185">
        <f t="shared" si="256"/>
        <v>43.8</v>
      </c>
    </row>
    <row r="2831" spans="6:18" ht="24" customHeight="1">
      <c r="F2831" s="329"/>
      <c r="G2831" s="330"/>
      <c r="H2831" s="187" t="s">
        <v>1468</v>
      </c>
      <c r="I2831" s="329"/>
      <c r="J2831" s="332">
        <f>1.1*2.025</f>
        <v>2.2275</v>
      </c>
      <c r="K2831" s="329"/>
      <c r="M2831" s="329">
        <v>58</v>
      </c>
      <c r="N2831" s="336" t="s">
        <v>209</v>
      </c>
      <c r="O2831" s="329" t="s">
        <v>1509</v>
      </c>
      <c r="P2831" s="329">
        <f>P1121</f>
        <v>2.37</v>
      </c>
      <c r="Q2831" s="332" t="s">
        <v>209</v>
      </c>
      <c r="R2831" s="185">
        <f>(M2831*P2831)</f>
        <v>137.46</v>
      </c>
    </row>
    <row r="2832" spans="6:18" ht="24" customHeight="1">
      <c r="F2832" s="329"/>
      <c r="G2832" s="330"/>
      <c r="H2832" s="337" t="s">
        <v>117</v>
      </c>
      <c r="I2832" s="329"/>
      <c r="J2832" s="332"/>
      <c r="K2832" s="329"/>
      <c r="M2832" s="329"/>
      <c r="N2832" s="330"/>
      <c r="O2832" s="187" t="s">
        <v>2486</v>
      </c>
      <c r="P2832" s="329"/>
      <c r="Q2832" s="332"/>
      <c r="R2832" s="185">
        <f>SUM(R2820:R2831)</f>
        <v>11389.796499999999</v>
      </c>
    </row>
    <row r="2833" spans="6:18" ht="28.5" customHeight="1">
      <c r="F2833" s="329"/>
      <c r="G2833" s="330"/>
      <c r="H2833" s="187" t="s">
        <v>1470</v>
      </c>
      <c r="I2833" s="329"/>
      <c r="J2833" s="332"/>
      <c r="K2833" s="329"/>
      <c r="M2833" s="329"/>
      <c r="N2833" s="330"/>
      <c r="O2833" s="329"/>
      <c r="P2833" s="329"/>
      <c r="Q2833" s="332"/>
      <c r="R2833" s="337" t="s">
        <v>117</v>
      </c>
    </row>
    <row r="2834" spans="6:18" ht="39" customHeight="1">
      <c r="F2834" s="348">
        <v>1.823</v>
      </c>
      <c r="G2834" s="336" t="s">
        <v>140</v>
      </c>
      <c r="H2834" s="346" t="s">
        <v>2487</v>
      </c>
      <c r="I2834" s="380">
        <v>2370</v>
      </c>
      <c r="J2834" s="188" t="s">
        <v>140</v>
      </c>
      <c r="K2834" s="329">
        <f>F2835*I2834</f>
        <v>4320.51</v>
      </c>
      <c r="M2834" s="329"/>
      <c r="N2834" s="330"/>
      <c r="O2834" s="187" t="s">
        <v>154</v>
      </c>
      <c r="P2834" s="329"/>
      <c r="Q2834" s="332"/>
      <c r="R2834" s="185">
        <f>R2832/M2824</f>
        <v>5113.2644219977547</v>
      </c>
    </row>
    <row r="2835" spans="6:18" ht="24" customHeight="1">
      <c r="F2835" s="371">
        <v>1.823</v>
      </c>
      <c r="G2835" s="336" t="s">
        <v>140</v>
      </c>
      <c r="H2835" s="338" t="s">
        <v>2488</v>
      </c>
      <c r="I2835" s="381">
        <v>161</v>
      </c>
      <c r="J2835" s="188" t="s">
        <v>140</v>
      </c>
      <c r="K2835" s="185">
        <f t="shared" ref="K2835:K2841" si="257">(F2835*I2835)</f>
        <v>293.50299999999999</v>
      </c>
    </row>
    <row r="2836" spans="6:18" ht="24" customHeight="1">
      <c r="F2836" s="185">
        <v>2</v>
      </c>
      <c r="G2836" s="336" t="s">
        <v>1</v>
      </c>
      <c r="H2836" s="187" t="s">
        <v>1481</v>
      </c>
      <c r="I2836" s="185">
        <f t="shared" ref="I2836:I2841" si="258">I990</f>
        <v>50.9</v>
      </c>
      <c r="J2836" s="188" t="s">
        <v>209</v>
      </c>
      <c r="K2836" s="185">
        <f t="shared" si="257"/>
        <v>101.8</v>
      </c>
    </row>
    <row r="2837" spans="6:18" ht="24" customHeight="1">
      <c r="F2837" s="185">
        <v>3</v>
      </c>
      <c r="G2837" s="336" t="s">
        <v>209</v>
      </c>
      <c r="H2837" s="187" t="s">
        <v>1482</v>
      </c>
      <c r="I2837" s="185">
        <f t="shared" si="258"/>
        <v>79.099999999999994</v>
      </c>
      <c r="J2837" s="188" t="s">
        <v>209</v>
      </c>
      <c r="K2837" s="185">
        <f t="shared" si="257"/>
        <v>237.29999999999998</v>
      </c>
    </row>
    <row r="2838" spans="6:18" ht="24" customHeight="1">
      <c r="F2838" s="185">
        <v>2</v>
      </c>
      <c r="G2838" s="336" t="s">
        <v>209</v>
      </c>
      <c r="H2838" s="187" t="s">
        <v>1484</v>
      </c>
      <c r="I2838" s="185">
        <f t="shared" si="258"/>
        <v>57.2</v>
      </c>
      <c r="J2838" s="188" t="s">
        <v>209</v>
      </c>
      <c r="K2838" s="185">
        <f t="shared" si="257"/>
        <v>114.4</v>
      </c>
    </row>
    <row r="2839" spans="6:18" ht="24" customHeight="1">
      <c r="F2839" s="185">
        <v>1</v>
      </c>
      <c r="G2839" s="336" t="s">
        <v>209</v>
      </c>
      <c r="H2839" s="187" t="s">
        <v>1486</v>
      </c>
      <c r="I2839" s="185">
        <f t="shared" si="258"/>
        <v>159.69999999999999</v>
      </c>
      <c r="J2839" s="188" t="s">
        <v>209</v>
      </c>
      <c r="K2839" s="185">
        <f t="shared" si="257"/>
        <v>159.69999999999999</v>
      </c>
    </row>
    <row r="2840" spans="6:18" ht="24" customHeight="1">
      <c r="F2840" s="185">
        <v>1</v>
      </c>
      <c r="G2840" s="336" t="s">
        <v>209</v>
      </c>
      <c r="H2840" s="187" t="s">
        <v>1488</v>
      </c>
      <c r="I2840" s="185">
        <f t="shared" si="258"/>
        <v>7.3</v>
      </c>
      <c r="J2840" s="188" t="s">
        <v>209</v>
      </c>
      <c r="K2840" s="185">
        <f t="shared" si="257"/>
        <v>7.3</v>
      </c>
      <c r="M2840" s="188" t="s">
        <v>1465</v>
      </c>
      <c r="N2840" s="336" t="s">
        <v>122</v>
      </c>
      <c r="O2840" s="187" t="s">
        <v>1472</v>
      </c>
      <c r="P2840" s="329"/>
      <c r="Q2840" s="332"/>
      <c r="R2840" s="329"/>
    </row>
    <row r="2841" spans="6:18" ht="24" customHeight="1">
      <c r="F2841" s="185">
        <v>1</v>
      </c>
      <c r="G2841" s="336" t="s">
        <v>209</v>
      </c>
      <c r="H2841" s="187" t="s">
        <v>630</v>
      </c>
      <c r="I2841" s="185">
        <f t="shared" si="258"/>
        <v>43.8</v>
      </c>
      <c r="J2841" s="188" t="s">
        <v>209</v>
      </c>
      <c r="K2841" s="185">
        <f t="shared" si="257"/>
        <v>43.8</v>
      </c>
      <c r="M2841" s="329"/>
      <c r="N2841" s="330"/>
      <c r="O2841" s="187" t="s">
        <v>1467</v>
      </c>
      <c r="P2841" s="335" t="s">
        <v>2489</v>
      </c>
      <c r="Q2841" s="332"/>
      <c r="R2841" s="329"/>
    </row>
    <row r="2842" spans="6:18" ht="24" customHeight="1">
      <c r="F2842" s="329"/>
      <c r="G2842" s="330"/>
      <c r="H2842" s="329"/>
      <c r="I2842" s="329"/>
      <c r="J2842" s="332"/>
      <c r="K2842" s="341">
        <v>0.85</v>
      </c>
      <c r="M2842" s="329"/>
      <c r="N2842" s="330"/>
      <c r="O2842" s="187" t="s">
        <v>2472</v>
      </c>
      <c r="P2842" s="335" t="s">
        <v>2490</v>
      </c>
      <c r="Q2842" s="332"/>
      <c r="R2842" s="329"/>
    </row>
    <row r="2843" spans="6:18" ht="24" customHeight="1">
      <c r="F2843" s="329"/>
      <c r="G2843" s="330"/>
      <c r="H2843" s="187" t="s">
        <v>2491</v>
      </c>
      <c r="I2843" s="329"/>
      <c r="J2843" s="332"/>
      <c r="K2843" s="185">
        <f>SUM(K2834:K2842)</f>
        <v>5279.1630000000005</v>
      </c>
      <c r="M2843" s="329"/>
      <c r="N2843" s="330"/>
      <c r="O2843" s="337" t="s">
        <v>117</v>
      </c>
      <c r="Q2843" s="332"/>
      <c r="R2843" s="329"/>
    </row>
    <row r="2844" spans="6:18" ht="24" customHeight="1">
      <c r="F2844" s="329"/>
      <c r="G2844" s="330"/>
      <c r="H2844" s="329"/>
      <c r="I2844" s="329"/>
      <c r="J2844" s="332"/>
      <c r="K2844" s="337" t="s">
        <v>117</v>
      </c>
      <c r="M2844" s="329"/>
      <c r="N2844" s="330"/>
      <c r="O2844" s="187" t="s">
        <v>2492</v>
      </c>
      <c r="P2844" s="329"/>
      <c r="Q2844" s="332"/>
      <c r="R2844" s="329"/>
    </row>
    <row r="2845" spans="6:18" ht="24" customHeight="1">
      <c r="F2845" s="329"/>
      <c r="G2845" s="330"/>
      <c r="H2845" s="187" t="s">
        <v>154</v>
      </c>
      <c r="I2845" s="329"/>
      <c r="J2845" s="332"/>
      <c r="K2845" s="185">
        <f>K2843/F2835</f>
        <v>2895.8656061437196</v>
      </c>
      <c r="M2845" s="329"/>
      <c r="N2845" s="330"/>
      <c r="O2845" s="187" t="s">
        <v>2493</v>
      </c>
      <c r="P2845" s="329"/>
      <c r="Q2845" s="332"/>
      <c r="R2845" s="329"/>
    </row>
    <row r="2846" spans="6:18" ht="24" customHeight="1">
      <c r="F2846" s="187" t="s">
        <v>115</v>
      </c>
      <c r="G2846" s="330"/>
      <c r="H2846" s="329"/>
      <c r="I2846" s="329"/>
      <c r="J2846" s="332"/>
      <c r="K2846" s="329"/>
      <c r="M2846" s="329"/>
      <c r="N2846" s="330"/>
      <c r="O2846" s="329"/>
      <c r="P2846" s="329"/>
      <c r="Q2846" s="188" t="s">
        <v>117</v>
      </c>
      <c r="R2846" s="329"/>
    </row>
    <row r="2847" spans="6:18" ht="24" customHeight="1">
      <c r="F2847" s="329"/>
      <c r="G2847" s="330"/>
      <c r="H2847" s="329"/>
      <c r="I2847" s="329"/>
      <c r="J2847" s="332"/>
      <c r="K2847" s="329"/>
      <c r="M2847" s="329"/>
      <c r="N2847" s="330"/>
      <c r="O2847" s="187" t="s">
        <v>2494</v>
      </c>
      <c r="P2847" s="329"/>
      <c r="Q2847" s="332"/>
      <c r="R2847" s="329"/>
    </row>
    <row r="2848" spans="6:18" ht="24" customHeight="1">
      <c r="F2848" s="345" t="s">
        <v>2407</v>
      </c>
      <c r="G2848" s="330"/>
      <c r="H2848" s="187" t="s">
        <v>2495</v>
      </c>
      <c r="I2848" s="329"/>
      <c r="J2848" s="382"/>
      <c r="K2848" s="329"/>
      <c r="M2848" s="329"/>
      <c r="N2848" s="330"/>
      <c r="O2848" s="187" t="s">
        <v>2496</v>
      </c>
      <c r="P2848" s="329"/>
      <c r="Q2848" s="332"/>
      <c r="R2848" s="361">
        <v>2.8910000000000002E-2</v>
      </c>
    </row>
    <row r="2849" spans="6:18" ht="24" customHeight="1">
      <c r="F2849" s="329"/>
      <c r="G2849" s="330"/>
      <c r="H2849" s="337" t="s">
        <v>117</v>
      </c>
      <c r="I2849" s="337" t="s">
        <v>117</v>
      </c>
      <c r="J2849" s="187" t="s">
        <v>117</v>
      </c>
      <c r="K2849" s="329"/>
      <c r="M2849" s="329"/>
      <c r="N2849" s="330"/>
      <c r="O2849" s="329"/>
      <c r="P2849" s="329"/>
      <c r="Q2849" s="188" t="s">
        <v>115</v>
      </c>
      <c r="R2849" s="337" t="s">
        <v>117</v>
      </c>
    </row>
    <row r="2850" spans="6:18" ht="24" customHeight="1">
      <c r="F2850" s="329"/>
      <c r="G2850" s="330"/>
      <c r="H2850" s="329"/>
      <c r="I2850" s="329"/>
      <c r="J2850" s="382"/>
      <c r="K2850" s="329"/>
      <c r="M2850" s="329"/>
      <c r="N2850" s="330"/>
      <c r="O2850" s="187" t="s">
        <v>2497</v>
      </c>
      <c r="P2850" s="329"/>
      <c r="Q2850" s="365" t="s">
        <v>115</v>
      </c>
      <c r="R2850" s="361"/>
    </row>
    <row r="2851" spans="6:18" ht="24" customHeight="1">
      <c r="F2851" s="329"/>
      <c r="G2851" s="330"/>
      <c r="H2851" s="187" t="s">
        <v>1580</v>
      </c>
      <c r="I2851" s="329"/>
      <c r="J2851" s="382"/>
      <c r="K2851" s="329"/>
      <c r="M2851" s="329"/>
      <c r="N2851" s="330"/>
      <c r="O2851" s="187" t="s">
        <v>2498</v>
      </c>
      <c r="P2851" s="329"/>
      <c r="Q2851" s="188" t="s">
        <v>115</v>
      </c>
      <c r="R2851" s="361">
        <v>1.7999999999999999E-2</v>
      </c>
    </row>
    <row r="2852" spans="6:18" ht="24" customHeight="1">
      <c r="F2852" s="329"/>
      <c r="G2852" s="330"/>
      <c r="H2852" s="187"/>
      <c r="I2852" s="329"/>
      <c r="J2852" s="382"/>
      <c r="K2852" s="329"/>
      <c r="M2852" s="329"/>
      <c r="N2852" s="330"/>
      <c r="O2852" s="329"/>
      <c r="P2852" s="329"/>
      <c r="Q2852" s="332"/>
      <c r="R2852" s="337" t="s">
        <v>117</v>
      </c>
    </row>
    <row r="2853" spans="6:18" ht="24" customHeight="1">
      <c r="F2853" s="329"/>
      <c r="G2853" s="330"/>
      <c r="H2853" s="383" t="s">
        <v>1582</v>
      </c>
      <c r="I2853" s="329"/>
      <c r="J2853" s="382"/>
      <c r="K2853" s="384"/>
      <c r="M2853" s="361">
        <v>1.9220000000000001E-2</v>
      </c>
      <c r="N2853" s="336" t="s">
        <v>126</v>
      </c>
      <c r="O2853" s="187" t="s">
        <v>1483</v>
      </c>
      <c r="P2853" s="185">
        <f>P2820</f>
        <v>111600</v>
      </c>
      <c r="Q2853" s="188" t="s">
        <v>126</v>
      </c>
      <c r="R2853" s="185">
        <f>(M2853*P2853)</f>
        <v>2144.9520000000002</v>
      </c>
    </row>
    <row r="2854" spans="6:18" ht="24" customHeight="1">
      <c r="F2854" s="329"/>
      <c r="G2854" s="330"/>
      <c r="H2854" s="187" t="s">
        <v>1583</v>
      </c>
      <c r="I2854" s="385">
        <f>0.0118+0.00675</f>
        <v>1.8550000000000001E-2</v>
      </c>
      <c r="J2854" s="382"/>
      <c r="K2854" s="329"/>
      <c r="M2854" s="361">
        <f>R2848</f>
        <v>2.8910000000000002E-2</v>
      </c>
      <c r="N2854" s="336" t="s">
        <v>126</v>
      </c>
      <c r="O2854" s="187" t="s">
        <v>1485</v>
      </c>
      <c r="P2854" s="185">
        <f t="shared" ref="P2854:P2863" si="259">P2821</f>
        <v>99400</v>
      </c>
      <c r="Q2854" s="188" t="s">
        <v>126</v>
      </c>
      <c r="R2854" s="185">
        <f>(M2854*P2854)</f>
        <v>2873.654</v>
      </c>
    </row>
    <row r="2855" spans="6:18" ht="24" customHeight="1">
      <c r="F2855" s="329"/>
      <c r="G2855" s="330"/>
      <c r="H2855" s="187" t="s">
        <v>1584</v>
      </c>
      <c r="I2855" s="329"/>
      <c r="J2855" s="382"/>
      <c r="K2855" s="329"/>
      <c r="M2855" s="361">
        <f>R2851</f>
        <v>1.7999999999999999E-2</v>
      </c>
      <c r="N2855" s="336" t="s">
        <v>126</v>
      </c>
      <c r="O2855" s="187" t="s">
        <v>1487</v>
      </c>
      <c r="P2855" s="185">
        <f t="shared" si="259"/>
        <v>95000</v>
      </c>
      <c r="Q2855" s="188" t="s">
        <v>126</v>
      </c>
      <c r="R2855" s="185">
        <f>(M2855*P2855)</f>
        <v>1709.9999999999998</v>
      </c>
    </row>
    <row r="2856" spans="6:18" ht="24" customHeight="1">
      <c r="F2856" s="329"/>
      <c r="G2856" s="330"/>
      <c r="H2856" s="187" t="s">
        <v>1585</v>
      </c>
      <c r="I2856" s="329"/>
      <c r="J2856" s="382"/>
      <c r="K2856" s="329"/>
      <c r="M2856" s="377"/>
      <c r="N2856" s="330"/>
      <c r="O2856" s="187" t="s">
        <v>2483</v>
      </c>
      <c r="P2856" s="185"/>
      <c r="Q2856" s="332"/>
      <c r="R2856" s="185"/>
    </row>
    <row r="2857" spans="6:18" ht="24" customHeight="1">
      <c r="F2857" s="329"/>
      <c r="G2857" s="330"/>
      <c r="H2857" s="187" t="s">
        <v>2409</v>
      </c>
      <c r="I2857" s="329"/>
      <c r="J2857" s="187" t="s">
        <v>115</v>
      </c>
      <c r="K2857" s="361">
        <v>3.7699999999999997E-2</v>
      </c>
      <c r="M2857" s="377">
        <v>2.2549999999999999</v>
      </c>
      <c r="N2857" s="336" t="s">
        <v>140</v>
      </c>
      <c r="O2857" s="187" t="s">
        <v>1480</v>
      </c>
      <c r="P2857" s="185">
        <f t="shared" si="259"/>
        <v>1155</v>
      </c>
      <c r="Q2857" s="188" t="s">
        <v>140</v>
      </c>
      <c r="R2857" s="185">
        <f t="shared" ref="R2857:R2863" si="260">(M2857*P2857)</f>
        <v>2604.5250000000001</v>
      </c>
    </row>
    <row r="2858" spans="6:18" ht="24" customHeight="1">
      <c r="F2858" s="329"/>
      <c r="G2858" s="330"/>
      <c r="H2858" s="187" t="s">
        <v>2499</v>
      </c>
      <c r="I2858" s="329"/>
      <c r="J2858" s="383" t="s">
        <v>115</v>
      </c>
      <c r="K2858" s="383" t="s">
        <v>115</v>
      </c>
      <c r="M2858" s="185">
        <v>1</v>
      </c>
      <c r="N2858" s="336" t="s">
        <v>1</v>
      </c>
      <c r="O2858" s="187" t="s">
        <v>1481</v>
      </c>
      <c r="P2858" s="185">
        <f t="shared" si="259"/>
        <v>120</v>
      </c>
      <c r="Q2858" s="188" t="s">
        <v>209</v>
      </c>
      <c r="R2858" s="185">
        <f t="shared" si="260"/>
        <v>120</v>
      </c>
    </row>
    <row r="2859" spans="6:18" ht="67.5" customHeight="1">
      <c r="F2859" s="329"/>
      <c r="G2859" s="330"/>
      <c r="H2859" s="187" t="s">
        <v>1590</v>
      </c>
      <c r="I2859" s="329"/>
      <c r="J2859" s="382"/>
      <c r="K2859" s="383" t="s">
        <v>115</v>
      </c>
      <c r="M2859" s="185">
        <v>3</v>
      </c>
      <c r="N2859" s="336" t="s">
        <v>209</v>
      </c>
      <c r="O2859" s="187" t="s">
        <v>1482</v>
      </c>
      <c r="P2859" s="185">
        <f t="shared" si="259"/>
        <v>110.17</v>
      </c>
      <c r="Q2859" s="188" t="s">
        <v>209</v>
      </c>
      <c r="R2859" s="185">
        <f t="shared" si="260"/>
        <v>330.51</v>
      </c>
    </row>
    <row r="2860" spans="6:18" ht="24" customHeight="1">
      <c r="F2860" s="329"/>
      <c r="G2860" s="330"/>
      <c r="H2860" s="187"/>
      <c r="I2860" s="329"/>
      <c r="J2860" s="382"/>
      <c r="K2860" s="383"/>
      <c r="M2860" s="185">
        <v>2</v>
      </c>
      <c r="N2860" s="336" t="s">
        <v>209</v>
      </c>
      <c r="O2860" s="187" t="s">
        <v>1484</v>
      </c>
      <c r="P2860" s="185">
        <f t="shared" si="259"/>
        <v>160</v>
      </c>
      <c r="Q2860" s="188" t="s">
        <v>209</v>
      </c>
      <c r="R2860" s="185">
        <f t="shared" si="260"/>
        <v>320</v>
      </c>
    </row>
    <row r="2861" spans="6:18" ht="24" customHeight="1">
      <c r="F2861" s="329"/>
      <c r="G2861" s="330"/>
      <c r="H2861" s="187"/>
      <c r="I2861" s="329"/>
      <c r="J2861" s="382"/>
      <c r="K2861" s="383"/>
      <c r="M2861" s="185">
        <v>1</v>
      </c>
      <c r="N2861" s="336" t="s">
        <v>209</v>
      </c>
      <c r="O2861" s="187" t="s">
        <v>1486</v>
      </c>
      <c r="P2861" s="185">
        <f t="shared" si="259"/>
        <v>550</v>
      </c>
      <c r="Q2861" s="188" t="s">
        <v>209</v>
      </c>
      <c r="R2861" s="185">
        <f t="shared" si="260"/>
        <v>550</v>
      </c>
    </row>
    <row r="2862" spans="6:18" ht="24" customHeight="1">
      <c r="F2862" s="329"/>
      <c r="G2862" s="330"/>
      <c r="H2862" s="329"/>
      <c r="I2862" s="329"/>
      <c r="J2862" s="382"/>
      <c r="K2862" s="329"/>
      <c r="M2862" s="185">
        <v>1</v>
      </c>
      <c r="N2862" s="336" t="s">
        <v>209</v>
      </c>
      <c r="O2862" s="187" t="s">
        <v>1488</v>
      </c>
      <c r="P2862" s="185">
        <f t="shared" si="259"/>
        <v>7.3</v>
      </c>
      <c r="Q2862" s="188" t="s">
        <v>209</v>
      </c>
      <c r="R2862" s="185">
        <f t="shared" si="260"/>
        <v>7.3</v>
      </c>
    </row>
    <row r="2863" spans="6:18" ht="24" customHeight="1">
      <c r="F2863" s="386">
        <v>1.18E-2</v>
      </c>
      <c r="G2863" s="336" t="s">
        <v>126</v>
      </c>
      <c r="H2863" s="187" t="s">
        <v>621</v>
      </c>
      <c r="I2863" s="185">
        <f>I2813</f>
        <v>111600</v>
      </c>
      <c r="J2863" s="187" t="s">
        <v>126</v>
      </c>
      <c r="K2863" s="185">
        <f t="shared" ref="K2863:K2872" si="261">(F2863*I2863)</f>
        <v>1316.8799999999999</v>
      </c>
      <c r="M2863" s="185">
        <v>1</v>
      </c>
      <c r="N2863" s="336" t="s">
        <v>209</v>
      </c>
      <c r="O2863" s="187" t="s">
        <v>630</v>
      </c>
      <c r="P2863" s="185">
        <f t="shared" si="259"/>
        <v>43.8</v>
      </c>
      <c r="Q2863" s="188" t="s">
        <v>209</v>
      </c>
      <c r="R2863" s="185">
        <f t="shared" si="260"/>
        <v>43.8</v>
      </c>
    </row>
    <row r="2864" spans="6:18" ht="24" customHeight="1">
      <c r="F2864" s="361">
        <v>6.7499999999999999E-3</v>
      </c>
      <c r="G2864" s="336" t="s">
        <v>126</v>
      </c>
      <c r="H2864" s="187" t="s">
        <v>622</v>
      </c>
      <c r="I2864" s="185">
        <f>I2814</f>
        <v>99400</v>
      </c>
      <c r="J2864" s="187" t="s">
        <v>126</v>
      </c>
      <c r="K2864" s="185">
        <f t="shared" si="261"/>
        <v>670.95</v>
      </c>
      <c r="M2864" s="329">
        <v>58</v>
      </c>
      <c r="N2864" s="336" t="s">
        <v>209</v>
      </c>
      <c r="O2864" s="329" t="s">
        <v>1509</v>
      </c>
      <c r="P2864" s="329">
        <f>P2831</f>
        <v>2.37</v>
      </c>
      <c r="Q2864" s="332" t="s">
        <v>209</v>
      </c>
      <c r="R2864" s="185">
        <f>(M2864*P2864)</f>
        <v>137.46</v>
      </c>
    </row>
    <row r="2865" spans="6:18" ht="24" customHeight="1">
      <c r="F2865" s="361">
        <v>1.8550000000000001E-2</v>
      </c>
      <c r="G2865" s="336" t="s">
        <v>126</v>
      </c>
      <c r="H2865" s="187" t="s">
        <v>1591</v>
      </c>
      <c r="I2865" s="185">
        <f>C30</f>
        <v>10275</v>
      </c>
      <c r="J2865" s="187" t="s">
        <v>126</v>
      </c>
      <c r="K2865" s="185">
        <f t="shared" si="261"/>
        <v>190.60124999999999</v>
      </c>
      <c r="M2865" s="329"/>
      <c r="N2865" s="330"/>
      <c r="O2865" s="187" t="s">
        <v>2500</v>
      </c>
      <c r="P2865" s="329"/>
      <c r="Q2865" s="332"/>
      <c r="R2865" s="185">
        <f>SUM(R2853:R2864)+21.502</f>
        <v>10863.702999999998</v>
      </c>
    </row>
    <row r="2866" spans="6:18" ht="24" customHeight="1">
      <c r="F2866" s="361">
        <v>2.0499999999999998</v>
      </c>
      <c r="G2866" s="336" t="s">
        <v>140</v>
      </c>
      <c r="H2866" s="187" t="s">
        <v>2501</v>
      </c>
      <c r="I2866" s="185">
        <v>840</v>
      </c>
      <c r="J2866" s="187" t="s">
        <v>140</v>
      </c>
      <c r="K2866" s="185">
        <f t="shared" si="261"/>
        <v>1721.9999999999998</v>
      </c>
      <c r="M2866" s="329"/>
      <c r="N2866" s="330"/>
      <c r="O2866" s="329"/>
      <c r="P2866" s="329"/>
      <c r="Q2866" s="332"/>
      <c r="R2866" s="337" t="s">
        <v>117</v>
      </c>
    </row>
    <row r="2867" spans="6:18" ht="36" customHeight="1">
      <c r="F2867" s="361">
        <v>2.0499999999999998</v>
      </c>
      <c r="G2867" s="336" t="s">
        <v>140</v>
      </c>
      <c r="H2867" s="387" t="s">
        <v>2502</v>
      </c>
      <c r="I2867" s="381">
        <v>248</v>
      </c>
      <c r="J2867" s="187" t="s">
        <v>140</v>
      </c>
      <c r="K2867" s="185">
        <f t="shared" si="261"/>
        <v>508.4</v>
      </c>
      <c r="M2867" s="329"/>
      <c r="N2867" s="330"/>
      <c r="O2867" s="187" t="s">
        <v>154</v>
      </c>
      <c r="P2867" s="329"/>
      <c r="Q2867" s="332"/>
      <c r="R2867" s="185">
        <f>R2865/M2857</f>
        <v>4817.6066518847001</v>
      </c>
    </row>
    <row r="2868" spans="6:18" ht="24" customHeight="1">
      <c r="F2868" s="185">
        <v>2</v>
      </c>
      <c r="G2868" s="336" t="s">
        <v>209</v>
      </c>
      <c r="H2868" s="187" t="s">
        <v>2411</v>
      </c>
      <c r="I2868" s="185">
        <f>E285</f>
        <v>50.3</v>
      </c>
      <c r="J2868" s="187" t="s">
        <v>209</v>
      </c>
      <c r="K2868" s="185">
        <f t="shared" si="261"/>
        <v>100.6</v>
      </c>
    </row>
    <row r="2869" spans="6:18" ht="24" customHeight="1">
      <c r="F2869" s="185">
        <v>8</v>
      </c>
      <c r="G2869" s="336" t="s">
        <v>209</v>
      </c>
      <c r="H2869" s="187" t="s">
        <v>1551</v>
      </c>
      <c r="I2869" s="185">
        <f>C282</f>
        <v>43.6</v>
      </c>
      <c r="J2869" s="187" t="s">
        <v>209</v>
      </c>
      <c r="K2869" s="185">
        <f t="shared" si="261"/>
        <v>348.8</v>
      </c>
    </row>
    <row r="2870" spans="6:18" ht="24" customHeight="1">
      <c r="F2870" s="185">
        <v>2</v>
      </c>
      <c r="G2870" s="336" t="s">
        <v>209</v>
      </c>
      <c r="H2870" s="187" t="s">
        <v>2414</v>
      </c>
      <c r="I2870" s="185">
        <f>I1134</f>
        <v>53.8</v>
      </c>
      <c r="J2870" s="187" t="s">
        <v>209</v>
      </c>
      <c r="K2870" s="185">
        <f t="shared" si="261"/>
        <v>107.6</v>
      </c>
    </row>
    <row r="2871" spans="6:18" ht="24" customHeight="1">
      <c r="F2871" s="185">
        <v>1</v>
      </c>
      <c r="G2871" s="336" t="s">
        <v>209</v>
      </c>
      <c r="H2871" s="187" t="s">
        <v>2503</v>
      </c>
      <c r="I2871" s="388">
        <f>I1135</f>
        <v>63.2</v>
      </c>
      <c r="J2871" s="187" t="s">
        <v>209</v>
      </c>
      <c r="K2871" s="185">
        <f t="shared" si="261"/>
        <v>63.2</v>
      </c>
    </row>
    <row r="2872" spans="6:18" ht="24" customHeight="1">
      <c r="F2872" s="371">
        <v>0.94499999999999995</v>
      </c>
      <c r="G2872" s="336" t="s">
        <v>140</v>
      </c>
      <c r="H2872" s="187" t="s">
        <v>1597</v>
      </c>
      <c r="I2872" s="185">
        <f>K1167</f>
        <v>157.19</v>
      </c>
      <c r="J2872" s="187" t="s">
        <v>140</v>
      </c>
      <c r="K2872" s="185">
        <f t="shared" si="261"/>
        <v>148.54454999999999</v>
      </c>
    </row>
    <row r="2873" spans="6:18" ht="24" customHeight="1">
      <c r="F2873" s="329"/>
      <c r="G2873" s="330"/>
      <c r="H2873" s="187" t="s">
        <v>1598</v>
      </c>
      <c r="I2873" s="188" t="s">
        <v>129</v>
      </c>
      <c r="J2873" s="382"/>
      <c r="K2873" s="185">
        <v>0.6</v>
      </c>
    </row>
    <row r="2874" spans="6:18" ht="24" customHeight="1">
      <c r="F2874" s="329"/>
      <c r="G2874" s="330"/>
      <c r="H2874" s="335"/>
      <c r="I2874" s="335"/>
      <c r="J2874" s="389"/>
      <c r="K2874" s="342" t="s">
        <v>117</v>
      </c>
    </row>
    <row r="2875" spans="6:18" ht="24" customHeight="1">
      <c r="F2875" s="329"/>
      <c r="G2875" s="330"/>
      <c r="H2875" s="390" t="s">
        <v>1599</v>
      </c>
      <c r="I2875" s="335"/>
      <c r="J2875" s="389"/>
      <c r="K2875" s="344">
        <f>SUM(K2863:K2873)</f>
        <v>5178.1758</v>
      </c>
    </row>
    <row r="2876" spans="6:18" ht="24" customHeight="1">
      <c r="F2876" s="329"/>
      <c r="G2876" s="336" t="s">
        <v>115</v>
      </c>
      <c r="H2876" s="335"/>
      <c r="I2876" s="335"/>
      <c r="J2876" s="389"/>
      <c r="K2876" s="342" t="s">
        <v>117</v>
      </c>
    </row>
    <row r="2877" spans="6:18" ht="24" customHeight="1">
      <c r="F2877" s="329"/>
      <c r="G2877" s="330"/>
      <c r="H2877" s="390" t="s">
        <v>154</v>
      </c>
      <c r="I2877" s="335"/>
      <c r="J2877" s="389"/>
      <c r="K2877" s="344">
        <f>K2875/2.52</f>
        <v>2054.8316666666665</v>
      </c>
    </row>
    <row r="2878" spans="6:18" ht="24" customHeight="1">
      <c r="F2878" s="329"/>
      <c r="G2878" s="330"/>
      <c r="H2878" s="335"/>
      <c r="I2878" s="335"/>
      <c r="J2878" s="389"/>
      <c r="K2878" s="342" t="s">
        <v>155</v>
      </c>
    </row>
    <row r="2879" spans="6:18" ht="24" customHeight="1">
      <c r="F2879" s="329"/>
      <c r="G2879" s="330"/>
      <c r="H2879" s="329"/>
      <c r="I2879" s="329"/>
      <c r="J2879" s="332"/>
      <c r="K2879" s="329"/>
    </row>
    <row r="2880" spans="6:18" ht="24" customHeight="1">
      <c r="F2880" s="329"/>
      <c r="G2880" s="330"/>
      <c r="H2880" s="329" t="s">
        <v>2504</v>
      </c>
      <c r="I2880" s="329"/>
      <c r="J2880" s="332"/>
      <c r="K2880" s="329"/>
    </row>
    <row r="2881" spans="6:11" ht="24" customHeight="1">
      <c r="F2881" s="329"/>
      <c r="G2881" s="330"/>
      <c r="H2881" s="329" t="s">
        <v>2505</v>
      </c>
      <c r="I2881" s="329"/>
      <c r="J2881" s="332"/>
      <c r="K2881" s="329"/>
    </row>
    <row r="2882" spans="6:11" ht="24" customHeight="1">
      <c r="F2882" s="329"/>
      <c r="G2882" s="330"/>
      <c r="H2882" s="329"/>
      <c r="I2882" s="329"/>
      <c r="J2882" s="332"/>
      <c r="K2882" s="329"/>
    </row>
    <row r="2883" spans="6:11" ht="24" customHeight="1">
      <c r="F2883" s="329">
        <v>2</v>
      </c>
      <c r="G2883" s="330" t="s">
        <v>231</v>
      </c>
      <c r="H2883" s="329" t="s">
        <v>2506</v>
      </c>
      <c r="I2883" s="391">
        <v>64</v>
      </c>
      <c r="J2883" s="332" t="s">
        <v>231</v>
      </c>
      <c r="K2883" s="329">
        <f>F2883*I2883</f>
        <v>128</v>
      </c>
    </row>
    <row r="2884" spans="6:11" ht="24" customHeight="1">
      <c r="F2884" s="329">
        <v>1</v>
      </c>
      <c r="G2884" s="330" t="s">
        <v>233</v>
      </c>
      <c r="H2884" s="329" t="s">
        <v>2507</v>
      </c>
      <c r="I2884" s="391">
        <f>C625</f>
        <v>33</v>
      </c>
      <c r="J2884" s="332" t="s">
        <v>227</v>
      </c>
      <c r="K2884" s="329">
        <f>F2884*I2884</f>
        <v>33</v>
      </c>
    </row>
    <row r="2885" spans="6:11" ht="24" customHeight="1">
      <c r="F2885" s="329"/>
      <c r="G2885" s="330"/>
      <c r="H2885" s="329" t="s">
        <v>2508</v>
      </c>
      <c r="I2885" s="329"/>
      <c r="J2885" s="332" t="s">
        <v>129</v>
      </c>
      <c r="K2885" s="329">
        <v>1.4</v>
      </c>
    </row>
    <row r="2886" spans="6:11" ht="24" customHeight="1">
      <c r="F2886" s="329"/>
      <c r="G2886" s="330"/>
      <c r="H2886" s="333" t="s">
        <v>2509</v>
      </c>
      <c r="I2886" s="329"/>
      <c r="J2886" s="332"/>
      <c r="K2886" s="329">
        <f>SUM(K2883:K2885)</f>
        <v>162.4</v>
      </c>
    </row>
    <row r="2887" spans="6:11" ht="24" customHeight="1">
      <c r="F2887" s="329"/>
      <c r="G2887" s="330"/>
      <c r="H2887" s="329"/>
      <c r="I2887" s="329"/>
      <c r="J2887" s="332"/>
      <c r="K2887" s="329"/>
    </row>
    <row r="2888" spans="6:11" ht="24" customHeight="1">
      <c r="F2888" s="329"/>
      <c r="G2888" s="330"/>
      <c r="H2888" s="334" t="s">
        <v>2510</v>
      </c>
      <c r="I2888" s="335"/>
      <c r="J2888" s="339"/>
      <c r="K2888" s="335">
        <f>K2886/2</f>
        <v>81.2</v>
      </c>
    </row>
    <row r="2889" spans="6:11" ht="24" customHeight="1">
      <c r="F2889" s="329"/>
      <c r="G2889" s="330"/>
      <c r="H2889" s="329"/>
      <c r="I2889" s="329"/>
      <c r="J2889" s="332"/>
      <c r="K2889" s="329"/>
    </row>
    <row r="2890" spans="6:11" ht="24" customHeight="1">
      <c r="F2890" s="329"/>
      <c r="G2890" s="330"/>
      <c r="H2890" s="329"/>
      <c r="I2890" s="329"/>
      <c r="J2890" s="332"/>
      <c r="K2890" s="329"/>
    </row>
    <row r="2891" spans="6:11" ht="24" customHeight="1">
      <c r="F2891" s="329"/>
      <c r="G2891" s="330"/>
      <c r="H2891" s="329"/>
      <c r="I2891" s="329"/>
      <c r="J2891" s="332"/>
      <c r="K2891" s="329"/>
    </row>
    <row r="2892" spans="6:11" ht="24" customHeight="1">
      <c r="F2892" s="329"/>
      <c r="G2892" s="330"/>
      <c r="H2892" s="329"/>
      <c r="I2892" s="329"/>
      <c r="J2892" s="332"/>
      <c r="K2892" s="329"/>
    </row>
    <row r="2893" spans="6:11" ht="24" customHeight="1">
      <c r="F2893" s="329"/>
      <c r="G2893" s="330"/>
      <c r="H2893" s="392" t="s">
        <v>2511</v>
      </c>
      <c r="I2893" s="329"/>
      <c r="J2893" s="332"/>
      <c r="K2893" s="329"/>
    </row>
    <row r="2894" spans="6:11" ht="24" customHeight="1">
      <c r="F2894" s="188"/>
      <c r="G2894" s="336" t="s">
        <v>122</v>
      </c>
      <c r="H2894" s="187" t="s">
        <v>881</v>
      </c>
      <c r="I2894" s="329"/>
      <c r="J2894" s="332"/>
      <c r="K2894" s="329"/>
    </row>
    <row r="2895" spans="6:11" ht="24" customHeight="1">
      <c r="F2895" s="329"/>
      <c r="G2895" s="330"/>
      <c r="H2895" s="187" t="s">
        <v>666</v>
      </c>
      <c r="I2895" s="329"/>
      <c r="J2895" s="332"/>
      <c r="K2895" s="329"/>
    </row>
    <row r="2896" spans="6:11" ht="24" customHeight="1">
      <c r="F2896" s="329"/>
      <c r="G2896" s="330"/>
      <c r="H2896" s="337" t="s">
        <v>117</v>
      </c>
      <c r="I2896" s="329"/>
      <c r="J2896" s="332"/>
      <c r="K2896" s="329"/>
    </row>
    <row r="2897" spans="6:11" ht="24" customHeight="1">
      <c r="F2897" s="185">
        <v>9</v>
      </c>
      <c r="G2897" s="336" t="s">
        <v>126</v>
      </c>
      <c r="H2897" s="187" t="s">
        <v>886</v>
      </c>
      <c r="I2897" s="185">
        <f t="shared" ref="I2897:I2902" si="262">I503</f>
        <v>965.68999999999994</v>
      </c>
      <c r="J2897" s="188" t="s">
        <v>126</v>
      </c>
      <c r="K2897" s="185">
        <f t="shared" ref="K2897:K2902" si="263">(F2897*I2897)</f>
        <v>8691.2099999999991</v>
      </c>
    </row>
    <row r="2898" spans="6:11" ht="24" customHeight="1">
      <c r="F2898" s="371">
        <v>3.2309999999999999</v>
      </c>
      <c r="G2898" s="336" t="s">
        <v>124</v>
      </c>
      <c r="H2898" s="187" t="s">
        <v>125</v>
      </c>
      <c r="I2898" s="185">
        <f t="shared" si="262"/>
        <v>5800</v>
      </c>
      <c r="J2898" s="188" t="s">
        <v>124</v>
      </c>
      <c r="K2898" s="185">
        <f t="shared" si="263"/>
        <v>18739.8</v>
      </c>
    </row>
    <row r="2899" spans="6:11" ht="24" customHeight="1">
      <c r="F2899" s="185">
        <v>4.5</v>
      </c>
      <c r="G2899" s="336" t="s">
        <v>126</v>
      </c>
      <c r="H2899" s="187" t="s">
        <v>127</v>
      </c>
      <c r="I2899" s="185">
        <f t="shared" si="262"/>
        <v>1322.8</v>
      </c>
      <c r="J2899" s="188" t="s">
        <v>126</v>
      </c>
      <c r="K2899" s="185">
        <f t="shared" si="263"/>
        <v>5952.5999999999995</v>
      </c>
    </row>
    <row r="2900" spans="6:11" ht="24" customHeight="1">
      <c r="F2900" s="185">
        <v>3.5</v>
      </c>
      <c r="G2900" s="336" t="s">
        <v>209</v>
      </c>
      <c r="H2900" s="187" t="s">
        <v>145</v>
      </c>
      <c r="I2900" s="185">
        <f t="shared" si="262"/>
        <v>718</v>
      </c>
      <c r="J2900" s="188" t="s">
        <v>209</v>
      </c>
      <c r="K2900" s="185">
        <f t="shared" si="263"/>
        <v>2513</v>
      </c>
    </row>
    <row r="2901" spans="6:11" ht="24" customHeight="1">
      <c r="F2901" s="185">
        <v>21.2</v>
      </c>
      <c r="G2901" s="336" t="s">
        <v>209</v>
      </c>
      <c r="H2901" s="187" t="s">
        <v>146</v>
      </c>
      <c r="I2901" s="185">
        <f t="shared" si="262"/>
        <v>502</v>
      </c>
      <c r="J2901" s="188" t="s">
        <v>209</v>
      </c>
      <c r="K2901" s="185">
        <f t="shared" si="263"/>
        <v>10642.4</v>
      </c>
    </row>
    <row r="2902" spans="6:11" ht="24" customHeight="1">
      <c r="F2902" s="185">
        <v>35.299999999999997</v>
      </c>
      <c r="G2902" s="336" t="s">
        <v>209</v>
      </c>
      <c r="H2902" s="187" t="s">
        <v>147</v>
      </c>
      <c r="I2902" s="185">
        <f t="shared" si="262"/>
        <v>412</v>
      </c>
      <c r="J2902" s="188" t="s">
        <v>209</v>
      </c>
      <c r="K2902" s="185">
        <f t="shared" si="263"/>
        <v>14543.599999999999</v>
      </c>
    </row>
    <row r="2903" spans="6:11" ht="24" customHeight="1">
      <c r="F2903" s="329"/>
      <c r="G2903" s="336" t="s">
        <v>129</v>
      </c>
      <c r="H2903" s="187" t="s">
        <v>130</v>
      </c>
      <c r="I2903" s="187" t="s">
        <v>115</v>
      </c>
      <c r="J2903" s="188" t="s">
        <v>129</v>
      </c>
      <c r="K2903" s="185">
        <v>0</v>
      </c>
    </row>
    <row r="2904" spans="6:11" ht="24" customHeight="1">
      <c r="F2904" s="329"/>
      <c r="G2904" s="330"/>
      <c r="H2904" s="329"/>
      <c r="I2904" s="329"/>
      <c r="J2904" s="332"/>
      <c r="K2904" s="337" t="s">
        <v>117</v>
      </c>
    </row>
    <row r="2905" spans="6:11" ht="24" customHeight="1">
      <c r="F2905" s="329"/>
      <c r="G2905" s="330"/>
      <c r="H2905" s="187" t="s">
        <v>681</v>
      </c>
      <c r="I2905" s="329"/>
      <c r="J2905" s="332"/>
      <c r="K2905" s="185">
        <f>SUM(K2897:K2903)</f>
        <v>61082.61</v>
      </c>
    </row>
    <row r="2906" spans="6:11" ht="24" customHeight="1">
      <c r="F2906" s="329"/>
      <c r="G2906" s="330"/>
      <c r="H2906" s="329"/>
      <c r="I2906" s="329"/>
      <c r="J2906" s="332"/>
      <c r="K2906" s="337" t="s">
        <v>117</v>
      </c>
    </row>
    <row r="2907" spans="6:11" ht="24" customHeight="1">
      <c r="F2907" s="329"/>
      <c r="G2907" s="330"/>
      <c r="H2907" s="187" t="s">
        <v>383</v>
      </c>
      <c r="I2907" s="329"/>
      <c r="J2907" s="332"/>
      <c r="K2907" s="185">
        <f>(K2905/10)</f>
        <v>6108.2610000000004</v>
      </c>
    </row>
    <row r="2908" spans="6:11" ht="24" customHeight="1">
      <c r="F2908" s="329"/>
      <c r="G2908" s="330"/>
      <c r="H2908" s="329"/>
      <c r="I2908" s="329"/>
      <c r="J2908" s="332"/>
      <c r="K2908" s="329"/>
    </row>
    <row r="2909" spans="6:11" ht="24" customHeight="1">
      <c r="F2909" s="185">
        <v>1</v>
      </c>
      <c r="G2909" s="336" t="s">
        <v>126</v>
      </c>
      <c r="H2909" s="187" t="s">
        <v>689</v>
      </c>
      <c r="I2909" s="329"/>
      <c r="J2909" s="332"/>
      <c r="K2909" s="185"/>
    </row>
    <row r="2910" spans="6:11" ht="24" customHeight="1">
      <c r="F2910" s="329"/>
      <c r="G2910" s="330"/>
      <c r="H2910" s="329"/>
      <c r="I2910" s="329"/>
      <c r="J2910" s="332"/>
      <c r="K2910" s="337" t="s">
        <v>117</v>
      </c>
    </row>
    <row r="2911" spans="6:11" ht="24" customHeight="1">
      <c r="F2911" s="329"/>
      <c r="G2911" s="330"/>
      <c r="H2911" s="187" t="s">
        <v>2512</v>
      </c>
      <c r="I2911" s="329"/>
      <c r="J2911" s="332"/>
      <c r="K2911" s="185">
        <f>SUM(K2907:K2909)</f>
        <v>6108.2610000000004</v>
      </c>
    </row>
    <row r="2912" spans="6:11" ht="24" customHeight="1">
      <c r="F2912" s="329"/>
      <c r="G2912" s="330"/>
      <c r="H2912" s="329"/>
      <c r="I2912" s="329"/>
      <c r="J2912" s="332"/>
      <c r="K2912" s="337" t="s">
        <v>117</v>
      </c>
    </row>
    <row r="2913" spans="6:16" ht="24" customHeight="1">
      <c r="F2913" s="329"/>
      <c r="G2913" s="336" t="s">
        <v>903</v>
      </c>
      <c r="H2913" s="187" t="s">
        <v>482</v>
      </c>
      <c r="I2913" s="329"/>
      <c r="J2913" s="332"/>
      <c r="K2913" s="185">
        <f>K2911+C22</f>
        <v>6198.1610000000001</v>
      </c>
    </row>
    <row r="2914" spans="6:16" ht="24" customHeight="1">
      <c r="F2914" s="329"/>
      <c r="G2914" s="336" t="s">
        <v>905</v>
      </c>
      <c r="H2914" s="187" t="s">
        <v>486</v>
      </c>
      <c r="I2914" s="329"/>
      <c r="J2914" s="332"/>
      <c r="K2914" s="185">
        <f>K2913+C23</f>
        <v>6375.1610000000001</v>
      </c>
    </row>
    <row r="2915" spans="6:16" ht="24" customHeight="1">
      <c r="F2915" s="329"/>
      <c r="G2915" s="336" t="s">
        <v>907</v>
      </c>
      <c r="H2915" s="187" t="s">
        <v>489</v>
      </c>
      <c r="I2915" s="329"/>
      <c r="J2915" s="332"/>
      <c r="K2915" s="185">
        <f>K2914+C23</f>
        <v>6552.1610000000001</v>
      </c>
    </row>
    <row r="2916" spans="6:16" ht="24" customHeight="1">
      <c r="F2916" s="329"/>
      <c r="G2916" s="336" t="s">
        <v>909</v>
      </c>
      <c r="H2916" s="187" t="s">
        <v>491</v>
      </c>
      <c r="I2916" s="329"/>
      <c r="J2916" s="332"/>
      <c r="K2916" s="185">
        <f>K2915+C23</f>
        <v>6729.1610000000001</v>
      </c>
    </row>
    <row r="2917" spans="6:16" ht="24" customHeight="1">
      <c r="F2917" s="329"/>
      <c r="G2917" s="330"/>
      <c r="H2917" s="329"/>
      <c r="I2917" s="329"/>
      <c r="J2917" s="332"/>
      <c r="K2917" s="329"/>
    </row>
    <row r="2918" spans="6:16" ht="24" customHeight="1">
      <c r="F2918" s="329"/>
      <c r="G2918" s="334"/>
      <c r="H2918" s="392"/>
      <c r="I2918" s="329"/>
      <c r="J2918" s="382"/>
      <c r="K2918" s="329"/>
    </row>
    <row r="2919" spans="6:16" ht="24" customHeight="1">
      <c r="F2919" s="329"/>
      <c r="G2919" s="330"/>
      <c r="H2919" s="335" t="s">
        <v>2513</v>
      </c>
      <c r="I2919" s="329"/>
      <c r="J2919" s="382"/>
      <c r="K2919" s="329"/>
    </row>
    <row r="2920" spans="6:16" ht="24" customHeight="1">
      <c r="F2920" s="329"/>
      <c r="G2920" s="330"/>
      <c r="H2920" s="329"/>
      <c r="I2920" s="329"/>
      <c r="J2920" s="382"/>
      <c r="K2920" s="329"/>
    </row>
    <row r="2921" spans="6:16" ht="24" customHeight="1">
      <c r="F2921" s="384"/>
      <c r="G2921" s="330"/>
      <c r="H2921" s="329" t="s">
        <v>2514</v>
      </c>
      <c r="I2921" s="329"/>
      <c r="J2921" s="330"/>
      <c r="K2921" s="329"/>
    </row>
    <row r="2922" spans="6:16" ht="24" customHeight="1">
      <c r="F2922" s="348"/>
      <c r="G2922" s="330"/>
      <c r="H2922" s="329" t="s">
        <v>2515</v>
      </c>
      <c r="I2922" s="329"/>
      <c r="J2922" s="330"/>
      <c r="K2922" s="329"/>
    </row>
    <row r="2923" spans="6:16" ht="24" customHeight="1">
      <c r="F2923" s="329"/>
      <c r="G2923" s="330"/>
      <c r="H2923" s="382" t="s">
        <v>2516</v>
      </c>
      <c r="I2923" s="329"/>
      <c r="J2923" s="333"/>
      <c r="K2923" s="329"/>
      <c r="P2923" s="5">
        <f>0.35*4</f>
        <v>1.4</v>
      </c>
    </row>
    <row r="2924" spans="6:16" ht="24" customHeight="1">
      <c r="F2924" s="329"/>
      <c r="G2924" s="330"/>
      <c r="H2924" s="339" t="s">
        <v>2517</v>
      </c>
      <c r="I2924" s="335"/>
      <c r="J2924" s="334"/>
      <c r="K2924" s="335"/>
      <c r="P2924" s="5">
        <f>0.3*4</f>
        <v>1.2</v>
      </c>
    </row>
    <row r="2925" spans="6:16" ht="24" customHeight="1">
      <c r="F2925" s="329"/>
      <c r="G2925" s="330"/>
      <c r="H2925" s="329" t="s">
        <v>2518</v>
      </c>
      <c r="I2925" s="329"/>
      <c r="J2925" s="382"/>
      <c r="K2925" s="329"/>
      <c r="P2925" s="5">
        <f>1.28*2</f>
        <v>2.56</v>
      </c>
    </row>
    <row r="2926" spans="6:16" ht="24" customHeight="1">
      <c r="F2926" s="329"/>
      <c r="G2926" s="330"/>
      <c r="H2926" s="335" t="s">
        <v>2519</v>
      </c>
      <c r="I2926" s="329"/>
      <c r="J2926" s="382"/>
      <c r="K2926" s="329"/>
      <c r="P2926" s="5" t="s">
        <v>2520</v>
      </c>
    </row>
    <row r="2927" spans="6:16" ht="24" customHeight="1">
      <c r="F2927" s="384">
        <v>3.5999999999999997E-2</v>
      </c>
      <c r="G2927" s="330" t="s">
        <v>429</v>
      </c>
      <c r="H2927" s="329" t="s">
        <v>2521</v>
      </c>
      <c r="I2927" s="329">
        <f>K2913</f>
        <v>6198.1610000000001</v>
      </c>
      <c r="J2927" s="330" t="s">
        <v>429</v>
      </c>
      <c r="K2927" s="329">
        <f>F2927*I2927</f>
        <v>223.13379599999999</v>
      </c>
    </row>
    <row r="2928" spans="6:16" ht="24" customHeight="1">
      <c r="F2928" s="348">
        <v>3.0649999999999999</v>
      </c>
      <c r="G2928" s="330" t="s">
        <v>654</v>
      </c>
      <c r="H2928" s="393" t="s">
        <v>2522</v>
      </c>
      <c r="I2928" s="329">
        <f>K1582/1000</f>
        <v>70.345399999999998</v>
      </c>
      <c r="J2928" s="330" t="s">
        <v>654</v>
      </c>
      <c r="K2928" s="329">
        <f>F2928*I2928</f>
        <v>215.60865099999998</v>
      </c>
    </row>
    <row r="2929" spans="6:11" ht="24" customHeight="1">
      <c r="F2929" s="348">
        <v>0.79800000000000004</v>
      </c>
      <c r="G2929" s="330" t="s">
        <v>110</v>
      </c>
      <c r="H2929" s="329" t="s">
        <v>2523</v>
      </c>
      <c r="I2929" s="329">
        <f>I2358</f>
        <v>901.99226399999998</v>
      </c>
      <c r="J2929" s="330" t="s">
        <v>110</v>
      </c>
      <c r="K2929" s="329">
        <f>F2929*I2929</f>
        <v>719.789826672</v>
      </c>
    </row>
    <row r="2930" spans="6:11" ht="24" customHeight="1">
      <c r="F2930" s="329"/>
      <c r="G2930" s="330"/>
      <c r="H2930" s="334" t="s">
        <v>2524</v>
      </c>
      <c r="I2930" s="335"/>
      <c r="J2930" s="334" t="s">
        <v>2433</v>
      </c>
      <c r="K2930" s="335">
        <f>SUM(K2927:K2929)</f>
        <v>1158.532273672</v>
      </c>
    </row>
    <row r="2931" spans="6:11" ht="24" customHeight="1">
      <c r="F2931" s="384"/>
      <c r="G2931" s="330"/>
      <c r="H2931" s="334" t="s">
        <v>2198</v>
      </c>
      <c r="I2931" s="329"/>
      <c r="J2931" s="334" t="s">
        <v>2433</v>
      </c>
      <c r="K2931" s="335">
        <f>K2930/2.1</f>
        <v>551.6820350819047</v>
      </c>
    </row>
    <row r="2932" spans="6:11" ht="24" customHeight="1">
      <c r="F2932" s="348"/>
      <c r="G2932" s="330"/>
      <c r="H2932" s="329"/>
      <c r="I2932" s="329"/>
      <c r="J2932" s="330"/>
      <c r="K2932" s="329"/>
    </row>
    <row r="2933" spans="6:11" ht="24" customHeight="1">
      <c r="F2933" s="329"/>
      <c r="G2933" s="330"/>
      <c r="H2933" s="333"/>
      <c r="I2933" s="329"/>
      <c r="J2933" s="333"/>
      <c r="K2933" s="329"/>
    </row>
    <row r="2934" spans="6:11" ht="24" customHeight="1">
      <c r="F2934" s="329"/>
      <c r="G2934" s="330"/>
      <c r="H2934" s="334"/>
      <c r="I2934" s="335"/>
      <c r="J2934" s="334"/>
      <c r="K2934" s="335"/>
    </row>
    <row r="2935" spans="6:11" ht="24" customHeight="1">
      <c r="F2935" s="329"/>
      <c r="G2935" s="330"/>
      <c r="H2935" s="335" t="s">
        <v>2525</v>
      </c>
      <c r="I2935" s="329"/>
      <c r="J2935" s="382"/>
      <c r="K2935" s="329"/>
    </row>
    <row r="2936" spans="6:11" ht="56.25" customHeight="1">
      <c r="F2936" s="384">
        <v>3.5999999999999997E-2</v>
      </c>
      <c r="G2936" s="330" t="s">
        <v>429</v>
      </c>
      <c r="H2936" s="329" t="s">
        <v>2521</v>
      </c>
      <c r="I2936" s="329">
        <f>K2914</f>
        <v>6375.1610000000001</v>
      </c>
      <c r="J2936" s="330" t="s">
        <v>429</v>
      </c>
      <c r="K2936" s="329">
        <f>F2936*I2936</f>
        <v>229.50579599999998</v>
      </c>
    </row>
    <row r="2937" spans="6:11" ht="24" customHeight="1">
      <c r="F2937" s="348">
        <v>3.0649999999999999</v>
      </c>
      <c r="G2937" s="330" t="s">
        <v>654</v>
      </c>
      <c r="H2937" s="393" t="s">
        <v>2522</v>
      </c>
      <c r="I2937" s="329">
        <f>K1582/1000</f>
        <v>70.345399999999998</v>
      </c>
      <c r="J2937" s="330" t="s">
        <v>654</v>
      </c>
      <c r="K2937" s="329">
        <f>F2937*I2937</f>
        <v>215.60865099999998</v>
      </c>
    </row>
    <row r="2938" spans="6:11" ht="24" customHeight="1">
      <c r="F2938" s="348">
        <v>0.79800000000000004</v>
      </c>
      <c r="G2938" s="330" t="s">
        <v>110</v>
      </c>
      <c r="H2938" s="329" t="s">
        <v>2523</v>
      </c>
      <c r="I2938" s="329">
        <f>I2358</f>
        <v>901.99226399999998</v>
      </c>
      <c r="J2938" s="330" t="s">
        <v>110</v>
      </c>
      <c r="K2938" s="329">
        <f>F2938*I2938</f>
        <v>719.789826672</v>
      </c>
    </row>
    <row r="2939" spans="6:11" ht="24" customHeight="1">
      <c r="F2939" s="329"/>
      <c r="G2939" s="330"/>
      <c r="H2939" s="334" t="s">
        <v>2524</v>
      </c>
      <c r="I2939" s="335"/>
      <c r="J2939" s="334" t="s">
        <v>2433</v>
      </c>
      <c r="K2939" s="335">
        <f>SUM(K2936:K2938)</f>
        <v>1164.9042736719998</v>
      </c>
    </row>
    <row r="2940" spans="6:11" ht="24" customHeight="1">
      <c r="F2940" s="384"/>
      <c r="G2940" s="330"/>
      <c r="H2940" s="334" t="s">
        <v>2198</v>
      </c>
      <c r="I2940" s="329"/>
      <c r="J2940" s="334" t="s">
        <v>2433</v>
      </c>
      <c r="K2940" s="335">
        <f>K2939/2.1</f>
        <v>554.71632079619042</v>
      </c>
    </row>
    <row r="2941" spans="6:11" ht="24" customHeight="1">
      <c r="F2941" s="348"/>
      <c r="G2941" s="330"/>
      <c r="H2941" s="329"/>
      <c r="I2941" s="329"/>
      <c r="J2941" s="330"/>
      <c r="K2941" s="329"/>
    </row>
    <row r="2942" spans="6:11" ht="24" customHeight="1">
      <c r="F2942" s="329"/>
      <c r="G2942" s="330"/>
      <c r="H2942" s="329"/>
      <c r="I2942" s="329"/>
      <c r="J2942" s="382"/>
      <c r="K2942" s="329"/>
    </row>
    <row r="2943" spans="6:11" ht="24" customHeight="1">
      <c r="F2943" s="329"/>
      <c r="G2943" s="330"/>
      <c r="H2943" s="329"/>
      <c r="I2943" s="329"/>
      <c r="J2943" s="382"/>
      <c r="K2943" s="329"/>
    </row>
    <row r="2944" spans="6:11" ht="24" customHeight="1">
      <c r="F2944" s="329"/>
      <c r="G2944" s="330"/>
      <c r="H2944" s="329"/>
      <c r="I2944" s="329"/>
      <c r="J2944" s="382"/>
      <c r="K2944" s="329"/>
    </row>
    <row r="2945" spans="6:11" ht="24" customHeight="1">
      <c r="F2945" s="329"/>
      <c r="G2945" s="330"/>
      <c r="H2945" s="335" t="s">
        <v>2526</v>
      </c>
      <c r="I2945" s="329"/>
      <c r="J2945" s="382"/>
      <c r="K2945" s="329"/>
    </row>
    <row r="2946" spans="6:11" ht="24" customHeight="1">
      <c r="F2946" s="384">
        <v>3.5999999999999997E-2</v>
      </c>
      <c r="G2946" s="330" t="s">
        <v>429</v>
      </c>
      <c r="H2946" s="329" t="s">
        <v>2521</v>
      </c>
      <c r="I2946" s="329">
        <f>K2915</f>
        <v>6552.1610000000001</v>
      </c>
      <c r="J2946" s="330" t="s">
        <v>429</v>
      </c>
      <c r="K2946" s="329">
        <f>F2946*I2946</f>
        <v>235.87779599999999</v>
      </c>
    </row>
    <row r="2947" spans="6:11" ht="24" customHeight="1">
      <c r="F2947" s="348">
        <v>3.0649999999999999</v>
      </c>
      <c r="G2947" s="330" t="s">
        <v>654</v>
      </c>
      <c r="H2947" s="393" t="s">
        <v>2522</v>
      </c>
      <c r="I2947" s="329">
        <f>I2928</f>
        <v>70.345399999999998</v>
      </c>
      <c r="J2947" s="330" t="s">
        <v>654</v>
      </c>
      <c r="K2947" s="329">
        <f>F2947*I2947</f>
        <v>215.60865099999998</v>
      </c>
    </row>
    <row r="2948" spans="6:11" ht="24" customHeight="1">
      <c r="F2948" s="348">
        <v>0.79800000000000004</v>
      </c>
      <c r="G2948" s="330" t="s">
        <v>110</v>
      </c>
      <c r="H2948" s="329" t="s">
        <v>2523</v>
      </c>
      <c r="I2948" s="329">
        <f>I2929</f>
        <v>901.99226399999998</v>
      </c>
      <c r="J2948" s="330" t="s">
        <v>110</v>
      </c>
      <c r="K2948" s="329">
        <f>F2948*I2948</f>
        <v>719.789826672</v>
      </c>
    </row>
    <row r="2949" spans="6:11" ht="24" customHeight="1">
      <c r="F2949" s="329"/>
      <c r="G2949" s="330"/>
      <c r="H2949" s="334" t="s">
        <v>2524</v>
      </c>
      <c r="I2949" s="335"/>
      <c r="J2949" s="334" t="s">
        <v>2433</v>
      </c>
      <c r="K2949" s="335">
        <f>SUM(K2946:K2948)</f>
        <v>1171.2762736720001</v>
      </c>
    </row>
    <row r="2950" spans="6:11" ht="24" customHeight="1">
      <c r="F2950" s="384"/>
      <c r="G2950" s="330"/>
      <c r="H2950" s="334" t="s">
        <v>2198</v>
      </c>
      <c r="I2950" s="329"/>
      <c r="J2950" s="334" t="s">
        <v>2433</v>
      </c>
      <c r="K2950" s="335">
        <f>K2949/2.1</f>
        <v>557.75060651047625</v>
      </c>
    </row>
    <row r="2951" spans="6:11" ht="24" customHeight="1">
      <c r="F2951" s="348"/>
      <c r="G2951" s="330"/>
      <c r="H2951" s="329"/>
      <c r="I2951" s="329"/>
      <c r="J2951" s="330"/>
      <c r="K2951" s="329"/>
    </row>
    <row r="2952" spans="6:11" ht="24" customHeight="1">
      <c r="F2952" s="329"/>
      <c r="G2952" s="330"/>
      <c r="H2952" s="329"/>
      <c r="I2952" s="329"/>
      <c r="J2952" s="382"/>
      <c r="K2952" s="329"/>
    </row>
    <row r="2953" spans="6:11" ht="24" customHeight="1">
      <c r="F2953" s="329"/>
      <c r="G2953" s="330"/>
      <c r="H2953" s="329"/>
      <c r="I2953" s="329"/>
      <c r="J2953" s="382"/>
      <c r="K2953" s="329"/>
    </row>
    <row r="2954" spans="6:11" ht="24" customHeight="1">
      <c r="F2954" s="329"/>
      <c r="G2954" s="330"/>
      <c r="H2954" s="335" t="s">
        <v>2527</v>
      </c>
      <c r="I2954" s="329"/>
      <c r="J2954" s="382"/>
      <c r="K2954" s="329"/>
    </row>
    <row r="2955" spans="6:11" ht="24" customHeight="1">
      <c r="F2955" s="384">
        <v>3.5999999999999997E-2</v>
      </c>
      <c r="G2955" s="330" t="s">
        <v>429</v>
      </c>
      <c r="H2955" s="329" t="s">
        <v>2521</v>
      </c>
      <c r="I2955" s="329">
        <f>K2916</f>
        <v>6729.1610000000001</v>
      </c>
      <c r="J2955" s="330" t="s">
        <v>429</v>
      </c>
      <c r="K2955" s="329">
        <f>F2955*I2955</f>
        <v>242.24979599999998</v>
      </c>
    </row>
    <row r="2956" spans="6:11" ht="24" customHeight="1">
      <c r="F2956" s="348">
        <v>3.0649999999999999</v>
      </c>
      <c r="G2956" s="330" t="s">
        <v>654</v>
      </c>
      <c r="H2956" s="393" t="s">
        <v>2522</v>
      </c>
      <c r="I2956" s="329">
        <f>I2947</f>
        <v>70.345399999999998</v>
      </c>
      <c r="J2956" s="330" t="s">
        <v>654</v>
      </c>
      <c r="K2956" s="329">
        <f>F2956*I2956</f>
        <v>215.60865099999998</v>
      </c>
    </row>
    <row r="2957" spans="6:11" ht="24" customHeight="1">
      <c r="F2957" s="348">
        <v>0.79800000000000004</v>
      </c>
      <c r="G2957" s="330" t="s">
        <v>110</v>
      </c>
      <c r="H2957" s="329" t="s">
        <v>2523</v>
      </c>
      <c r="I2957" s="329">
        <f>I2948</f>
        <v>901.99226399999998</v>
      </c>
      <c r="J2957" s="330" t="s">
        <v>110</v>
      </c>
      <c r="K2957" s="329">
        <f>F2957*I2957</f>
        <v>719.789826672</v>
      </c>
    </row>
    <row r="2958" spans="6:11" ht="24" customHeight="1">
      <c r="F2958" s="329"/>
      <c r="G2958" s="330"/>
      <c r="H2958" s="334" t="s">
        <v>2524</v>
      </c>
      <c r="I2958" s="335"/>
      <c r="J2958" s="334" t="s">
        <v>2433</v>
      </c>
      <c r="K2958" s="335">
        <f>SUM(K2955:K2957)</f>
        <v>1177.648273672</v>
      </c>
    </row>
    <row r="2959" spans="6:11" ht="24" customHeight="1">
      <c r="F2959" s="384"/>
      <c r="G2959" s="330"/>
      <c r="H2959" s="334" t="s">
        <v>2198</v>
      </c>
      <c r="I2959" s="329"/>
      <c r="J2959" s="334" t="s">
        <v>2433</v>
      </c>
      <c r="K2959" s="335">
        <f>K2958/2.1</f>
        <v>560.78489222476185</v>
      </c>
    </row>
    <row r="2960" spans="6:11" ht="24" customHeight="1">
      <c r="F2960" s="348"/>
      <c r="G2960" s="330"/>
      <c r="H2960" s="329"/>
      <c r="I2960" s="329"/>
      <c r="J2960" s="330"/>
      <c r="K2960" s="329"/>
    </row>
    <row r="2961" spans="6:15" ht="24" customHeight="1">
      <c r="F2961" s="329"/>
      <c r="G2961" s="330"/>
      <c r="H2961" s="329"/>
      <c r="I2961" s="329"/>
      <c r="J2961" s="332"/>
      <c r="K2961" s="329"/>
    </row>
    <row r="2962" spans="6:15" ht="24" customHeight="1">
      <c r="F2962" s="329"/>
      <c r="G2962" s="330"/>
      <c r="H2962" s="329"/>
      <c r="I2962" s="329"/>
      <c r="J2962" s="332"/>
      <c r="K2962" s="329"/>
    </row>
    <row r="2963" spans="6:15" ht="24" customHeight="1">
      <c r="F2963" s="329"/>
      <c r="G2963" s="330"/>
      <c r="H2963" s="329"/>
      <c r="I2963" s="329">
        <f>160*10.76</f>
        <v>1721.6</v>
      </c>
      <c r="J2963" s="332"/>
      <c r="K2963" s="329"/>
    </row>
    <row r="2964" spans="6:15" ht="24" customHeight="1">
      <c r="F2964" s="188" t="s">
        <v>1465</v>
      </c>
      <c r="G2964" s="336" t="s">
        <v>122</v>
      </c>
      <c r="H2964" s="187" t="s">
        <v>2485</v>
      </c>
      <c r="I2964" s="329">
        <f>148*10.76</f>
        <v>1592.48</v>
      </c>
      <c r="J2964" s="332"/>
      <c r="K2964" s="329"/>
    </row>
    <row r="2965" spans="6:15" ht="24" customHeight="1">
      <c r="F2965" s="329"/>
      <c r="G2965" s="330"/>
      <c r="H2965" s="187" t="s">
        <v>1467</v>
      </c>
      <c r="I2965" s="329"/>
      <c r="J2965" s="332"/>
      <c r="K2965" s="329"/>
    </row>
    <row r="2966" spans="6:15" ht="24" customHeight="1">
      <c r="F2966" s="329"/>
      <c r="G2966" s="330"/>
      <c r="H2966" s="187" t="s">
        <v>1496</v>
      </c>
      <c r="I2966" s="329"/>
      <c r="J2966" s="332"/>
      <c r="K2966" s="329"/>
    </row>
    <row r="2967" spans="6:15" ht="24" customHeight="1">
      <c r="F2967" s="329"/>
      <c r="G2967" s="330"/>
      <c r="H2967" s="337" t="s">
        <v>117</v>
      </c>
      <c r="I2967" s="384">
        <f>1.4*2.025</f>
        <v>2.8349999999999995</v>
      </c>
      <c r="J2967" s="332"/>
      <c r="K2967" s="329"/>
    </row>
    <row r="2968" spans="6:15" ht="24" customHeight="1">
      <c r="F2968" s="329"/>
      <c r="G2968" s="330"/>
      <c r="H2968" s="187" t="s">
        <v>2528</v>
      </c>
      <c r="I2968" s="329"/>
      <c r="J2968" s="332"/>
      <c r="K2968" s="329"/>
    </row>
    <row r="2969" spans="6:15" ht="24" customHeight="1">
      <c r="F2969" s="329"/>
      <c r="G2969" s="330"/>
      <c r="H2969" s="329"/>
      <c r="I2969" s="329"/>
      <c r="J2969" s="332"/>
      <c r="K2969" s="329"/>
    </row>
    <row r="2970" spans="6:15" ht="44.25" customHeight="1">
      <c r="F2970" s="348">
        <v>1.64</v>
      </c>
      <c r="G2970" s="336" t="s">
        <v>140</v>
      </c>
      <c r="H2970" s="346" t="s">
        <v>2487</v>
      </c>
      <c r="I2970" s="394">
        <f>I2834</f>
        <v>2370</v>
      </c>
      <c r="J2970" s="188" t="s">
        <v>140</v>
      </c>
      <c r="K2970" s="329">
        <f>F2971*I2970</f>
        <v>3886.7999999999997</v>
      </c>
    </row>
    <row r="2971" spans="6:15" ht="24" customHeight="1">
      <c r="F2971" s="371">
        <v>1.64</v>
      </c>
      <c r="G2971" s="336" t="s">
        <v>140</v>
      </c>
      <c r="H2971" s="187" t="s">
        <v>1480</v>
      </c>
      <c r="I2971" s="329">
        <f t="shared" ref="I2971:I2977" si="264">I2835</f>
        <v>161</v>
      </c>
      <c r="J2971" s="188" t="s">
        <v>140</v>
      </c>
      <c r="K2971" s="185">
        <f t="shared" ref="K2971:K2977" si="265">(F2971*I2971)</f>
        <v>264.03999999999996</v>
      </c>
      <c r="O2971" s="187" t="s">
        <v>2485</v>
      </c>
    </row>
    <row r="2972" spans="6:15" ht="24" customHeight="1">
      <c r="F2972" s="185">
        <v>2</v>
      </c>
      <c r="G2972" s="336" t="s">
        <v>1</v>
      </c>
      <c r="H2972" s="187" t="s">
        <v>1481</v>
      </c>
      <c r="I2972" s="329">
        <f t="shared" si="264"/>
        <v>50.9</v>
      </c>
      <c r="J2972" s="188" t="s">
        <v>209</v>
      </c>
      <c r="K2972" s="185">
        <f t="shared" si="265"/>
        <v>101.8</v>
      </c>
      <c r="O2972" s="187" t="s">
        <v>1467</v>
      </c>
    </row>
    <row r="2973" spans="6:15" ht="24" customHeight="1">
      <c r="F2973" s="185">
        <v>3</v>
      </c>
      <c r="G2973" s="336" t="s">
        <v>209</v>
      </c>
      <c r="H2973" s="187" t="s">
        <v>1482</v>
      </c>
      <c r="I2973" s="329">
        <f t="shared" si="264"/>
        <v>79.099999999999994</v>
      </c>
      <c r="J2973" s="188" t="s">
        <v>209</v>
      </c>
      <c r="K2973" s="185">
        <f t="shared" si="265"/>
        <v>237.29999999999998</v>
      </c>
      <c r="O2973" s="187" t="s">
        <v>2529</v>
      </c>
    </row>
    <row r="2974" spans="6:15" ht="24" customHeight="1">
      <c r="F2974" s="185">
        <v>2</v>
      </c>
      <c r="G2974" s="336" t="s">
        <v>209</v>
      </c>
      <c r="H2974" s="187" t="s">
        <v>1484</v>
      </c>
      <c r="I2974" s="329">
        <f t="shared" si="264"/>
        <v>57.2</v>
      </c>
      <c r="J2974" s="188" t="s">
        <v>209</v>
      </c>
      <c r="K2974" s="185">
        <f t="shared" si="265"/>
        <v>114.4</v>
      </c>
      <c r="O2974" s="337" t="s">
        <v>117</v>
      </c>
    </row>
    <row r="2975" spans="6:15" ht="24" customHeight="1">
      <c r="F2975" s="185">
        <v>1</v>
      </c>
      <c r="G2975" s="336" t="s">
        <v>209</v>
      </c>
      <c r="H2975" s="187" t="s">
        <v>1486</v>
      </c>
      <c r="I2975" s="329">
        <f t="shared" si="264"/>
        <v>159.69999999999999</v>
      </c>
      <c r="J2975" s="188" t="s">
        <v>209</v>
      </c>
      <c r="K2975" s="185">
        <f t="shared" si="265"/>
        <v>159.69999999999999</v>
      </c>
      <c r="L2975" s="5" t="s">
        <v>115</v>
      </c>
      <c r="O2975" s="187" t="s">
        <v>2530</v>
      </c>
    </row>
    <row r="2976" spans="6:15" ht="24" customHeight="1">
      <c r="F2976" s="185">
        <v>1</v>
      </c>
      <c r="G2976" s="336" t="s">
        <v>209</v>
      </c>
      <c r="H2976" s="187" t="s">
        <v>1488</v>
      </c>
      <c r="I2976" s="329">
        <f t="shared" si="264"/>
        <v>7.3</v>
      </c>
      <c r="J2976" s="188" t="s">
        <v>209</v>
      </c>
      <c r="K2976" s="185">
        <f t="shared" si="265"/>
        <v>7.3</v>
      </c>
    </row>
    <row r="2977" spans="6:18" ht="39.75" customHeight="1">
      <c r="F2977" s="185">
        <v>1</v>
      </c>
      <c r="G2977" s="336" t="s">
        <v>209</v>
      </c>
      <c r="H2977" s="187" t="s">
        <v>630</v>
      </c>
      <c r="I2977" s="329">
        <f t="shared" si="264"/>
        <v>43.8</v>
      </c>
      <c r="J2977" s="188" t="s">
        <v>209</v>
      </c>
      <c r="K2977" s="185">
        <f t="shared" si="265"/>
        <v>43.8</v>
      </c>
      <c r="M2977" s="348">
        <v>2.2549999999999999</v>
      </c>
      <c r="N2977" s="336" t="s">
        <v>140</v>
      </c>
      <c r="O2977" s="346" t="s">
        <v>2487</v>
      </c>
      <c r="P2977" s="395">
        <f>I2970</f>
        <v>2370</v>
      </c>
      <c r="Q2977" s="188" t="s">
        <v>140</v>
      </c>
      <c r="R2977" s="329">
        <f>M2978*P2977</f>
        <v>5344.3499999999995</v>
      </c>
    </row>
    <row r="2978" spans="6:18" ht="24" customHeight="1">
      <c r="F2978" s="329"/>
      <c r="G2978" s="330"/>
      <c r="H2978" s="329"/>
      <c r="I2978" s="329"/>
      <c r="J2978" s="332"/>
      <c r="K2978" s="341">
        <v>0.63</v>
      </c>
      <c r="M2978" s="371">
        <v>2.2549999999999999</v>
      </c>
      <c r="N2978" s="336" t="s">
        <v>140</v>
      </c>
      <c r="O2978" s="187" t="s">
        <v>1480</v>
      </c>
      <c r="P2978" s="395">
        <f t="shared" ref="P2978:P2984" si="266">I2971</f>
        <v>161</v>
      </c>
      <c r="Q2978" s="188" t="s">
        <v>140</v>
      </c>
      <c r="R2978" s="185">
        <f t="shared" ref="R2978:R2984" si="267">(M2978*P2978)</f>
        <v>363.05500000000001</v>
      </c>
    </row>
    <row r="2979" spans="6:18" ht="24" customHeight="1">
      <c r="F2979" s="329"/>
      <c r="G2979" s="330"/>
      <c r="H2979" s="187" t="s">
        <v>2531</v>
      </c>
      <c r="I2979" s="329"/>
      <c r="J2979" s="332"/>
      <c r="K2979" s="185">
        <f>SUM(K2970:K2978)</f>
        <v>4815.7700000000004</v>
      </c>
      <c r="M2979" s="185">
        <v>2</v>
      </c>
      <c r="N2979" s="336" t="s">
        <v>1</v>
      </c>
      <c r="O2979" s="187" t="s">
        <v>1481</v>
      </c>
      <c r="P2979" s="395">
        <f t="shared" si="266"/>
        <v>50.9</v>
      </c>
      <c r="Q2979" s="188" t="s">
        <v>209</v>
      </c>
      <c r="R2979" s="185">
        <f t="shared" si="267"/>
        <v>101.8</v>
      </c>
    </row>
    <row r="2980" spans="6:18" ht="24" customHeight="1">
      <c r="F2980" s="329"/>
      <c r="G2980" s="330"/>
      <c r="H2980" s="329"/>
      <c r="I2980" s="329"/>
      <c r="J2980" s="332"/>
      <c r="K2980" s="337" t="s">
        <v>117</v>
      </c>
      <c r="M2980" s="185">
        <v>3</v>
      </c>
      <c r="N2980" s="336" t="s">
        <v>209</v>
      </c>
      <c r="O2980" s="187" t="s">
        <v>1482</v>
      </c>
      <c r="P2980" s="395">
        <f t="shared" si="266"/>
        <v>79.099999999999994</v>
      </c>
      <c r="Q2980" s="188" t="s">
        <v>209</v>
      </c>
      <c r="R2980" s="185">
        <f t="shared" si="267"/>
        <v>237.29999999999998</v>
      </c>
    </row>
    <row r="2981" spans="6:18" ht="24" customHeight="1">
      <c r="F2981" s="329"/>
      <c r="G2981" s="330"/>
      <c r="H2981" s="187" t="s">
        <v>154</v>
      </c>
      <c r="I2981" s="329"/>
      <c r="J2981" s="332"/>
      <c r="K2981" s="185">
        <f>K2979/F2971</f>
        <v>2936.4451219512198</v>
      </c>
      <c r="M2981" s="185">
        <v>2</v>
      </c>
      <c r="N2981" s="336" t="s">
        <v>209</v>
      </c>
      <c r="O2981" s="187" t="s">
        <v>1484</v>
      </c>
      <c r="P2981" s="395">
        <f t="shared" si="266"/>
        <v>57.2</v>
      </c>
      <c r="Q2981" s="188" t="s">
        <v>209</v>
      </c>
      <c r="R2981" s="185">
        <f t="shared" si="267"/>
        <v>114.4</v>
      </c>
    </row>
    <row r="2982" spans="6:18" ht="24" customHeight="1">
      <c r="F2982" s="187" t="s">
        <v>115</v>
      </c>
      <c r="G2982" s="330"/>
      <c r="H2982" s="329"/>
      <c r="I2982" s="329"/>
      <c r="J2982" s="332"/>
      <c r="K2982" s="329"/>
      <c r="M2982" s="185">
        <v>1</v>
      </c>
      <c r="N2982" s="336" t="s">
        <v>209</v>
      </c>
      <c r="O2982" s="187" t="s">
        <v>1486</v>
      </c>
      <c r="P2982" s="395">
        <f t="shared" si="266"/>
        <v>159.69999999999999</v>
      </c>
      <c r="Q2982" s="188" t="s">
        <v>209</v>
      </c>
      <c r="R2982" s="185">
        <f t="shared" si="267"/>
        <v>159.69999999999999</v>
      </c>
    </row>
    <row r="2983" spans="6:18" ht="24" customHeight="1">
      <c r="F2983" s="329"/>
      <c r="G2983" s="330"/>
      <c r="H2983" s="329"/>
      <c r="I2983" s="329"/>
      <c r="J2983" s="332"/>
      <c r="K2983" s="329"/>
      <c r="M2983" s="185">
        <v>1</v>
      </c>
      <c r="N2983" s="336" t="s">
        <v>209</v>
      </c>
      <c r="O2983" s="187" t="s">
        <v>1488</v>
      </c>
      <c r="P2983" s="395">
        <f t="shared" si="266"/>
        <v>7.3</v>
      </c>
      <c r="Q2983" s="188" t="s">
        <v>209</v>
      </c>
      <c r="R2983" s="185">
        <f t="shared" si="267"/>
        <v>7.3</v>
      </c>
    </row>
    <row r="2984" spans="6:18" ht="24" customHeight="1">
      <c r="F2984" s="354" t="s">
        <v>2532</v>
      </c>
      <c r="G2984" s="357"/>
      <c r="H2984" s="354"/>
      <c r="I2984" s="354"/>
      <c r="J2984" s="355"/>
      <c r="K2984" s="354"/>
      <c r="M2984" s="185">
        <v>1</v>
      </c>
      <c r="N2984" s="336" t="s">
        <v>209</v>
      </c>
      <c r="O2984" s="187" t="s">
        <v>630</v>
      </c>
      <c r="P2984" s="395">
        <f t="shared" si="266"/>
        <v>43.8</v>
      </c>
      <c r="Q2984" s="188" t="s">
        <v>209</v>
      </c>
      <c r="R2984" s="185">
        <f t="shared" si="267"/>
        <v>43.8</v>
      </c>
    </row>
    <row r="2985" spans="6:18" ht="24" customHeight="1">
      <c r="F2985" s="354"/>
      <c r="G2985" s="357"/>
      <c r="H2985" s="354"/>
      <c r="I2985" s="354"/>
      <c r="J2985" s="355"/>
      <c r="K2985" s="354"/>
      <c r="M2985" s="329"/>
      <c r="N2985" s="330"/>
      <c r="O2985" s="329"/>
      <c r="P2985" s="329"/>
      <c r="Q2985" s="332"/>
      <c r="R2985" s="337" t="s">
        <v>117</v>
      </c>
    </row>
    <row r="2986" spans="6:18" ht="24" customHeight="1">
      <c r="F2986" s="354" t="s">
        <v>2533</v>
      </c>
      <c r="G2986" s="357"/>
      <c r="H2986" s="354"/>
      <c r="I2986" s="354"/>
      <c r="J2986" s="355"/>
      <c r="K2986" s="354"/>
      <c r="M2986" s="329"/>
      <c r="N2986" s="330"/>
      <c r="O2986" s="187" t="s">
        <v>2534</v>
      </c>
      <c r="P2986" s="329"/>
      <c r="Q2986" s="332"/>
      <c r="R2986" s="185">
        <f>SUM(R2977:R2984)+0.17</f>
        <v>6371.875</v>
      </c>
    </row>
    <row r="2987" spans="6:18" ht="24" customHeight="1">
      <c r="F2987" s="354"/>
      <c r="G2987" s="357"/>
      <c r="H2987" s="354"/>
      <c r="I2987" s="354"/>
      <c r="J2987" s="355"/>
      <c r="K2987" s="354"/>
      <c r="M2987" s="329"/>
      <c r="N2987" s="330"/>
      <c r="O2987" s="329"/>
      <c r="P2987" s="329"/>
      <c r="Q2987" s="332"/>
      <c r="R2987" s="337" t="s">
        <v>117</v>
      </c>
    </row>
    <row r="2988" spans="6:18" ht="24" customHeight="1">
      <c r="F2988" s="354"/>
      <c r="G2988" s="396">
        <v>0.99350000000000005</v>
      </c>
      <c r="H2988" s="354" t="s">
        <v>429</v>
      </c>
      <c r="I2988" s="354"/>
      <c r="J2988" s="355"/>
      <c r="K2988" s="354"/>
      <c r="M2988" s="329"/>
      <c r="N2988" s="330"/>
      <c r="O2988" s="187" t="s">
        <v>154</v>
      </c>
      <c r="P2988" s="329"/>
      <c r="Q2988" s="332"/>
      <c r="R2988" s="185">
        <f>R2986/M2978</f>
        <v>2825.6651884700668</v>
      </c>
    </row>
    <row r="2989" spans="6:18" ht="24" customHeight="1">
      <c r="F2989" s="354"/>
      <c r="G2989" s="357"/>
      <c r="H2989" s="354"/>
      <c r="I2989" s="354"/>
      <c r="J2989" s="355"/>
      <c r="K2989" s="354"/>
    </row>
    <row r="2990" spans="6:18" ht="24" customHeight="1">
      <c r="F2990" s="364" t="s">
        <v>2460</v>
      </c>
      <c r="G2990" s="357"/>
      <c r="H2990" s="354"/>
      <c r="I2990" s="354"/>
      <c r="J2990" s="355"/>
      <c r="K2990" s="354"/>
    </row>
    <row r="2991" spans="6:18" ht="24" customHeight="1">
      <c r="F2991" s="354"/>
      <c r="G2991" s="357"/>
      <c r="H2991" s="354"/>
      <c r="I2991" s="354"/>
      <c r="J2991" s="355"/>
      <c r="K2991" s="354"/>
    </row>
    <row r="2992" spans="6:18" ht="24" customHeight="1">
      <c r="F2992" s="397">
        <v>0.42</v>
      </c>
      <c r="G2992" s="357" t="s">
        <v>429</v>
      </c>
      <c r="H2992" s="354" t="s">
        <v>2535</v>
      </c>
      <c r="I2992" s="354">
        <f>K817</f>
        <v>7337.1179999999995</v>
      </c>
      <c r="J2992" s="360" t="s">
        <v>429</v>
      </c>
      <c r="K2992" s="354">
        <f>F2992*I2992</f>
        <v>3081.5895599999999</v>
      </c>
    </row>
    <row r="2993" spans="6:11" ht="24" customHeight="1">
      <c r="F2993" s="354">
        <v>0.25</v>
      </c>
      <c r="G2993" s="357" t="s">
        <v>164</v>
      </c>
      <c r="H2993" s="354" t="s">
        <v>1131</v>
      </c>
      <c r="I2993" s="354">
        <f>C11</f>
        <v>718</v>
      </c>
      <c r="J2993" s="360" t="s">
        <v>227</v>
      </c>
      <c r="K2993" s="354">
        <f>F2993*I2993</f>
        <v>179.5</v>
      </c>
    </row>
    <row r="2994" spans="6:11" ht="24" customHeight="1">
      <c r="F2994" s="354">
        <v>3.5</v>
      </c>
      <c r="G2994" s="357" t="s">
        <v>240</v>
      </c>
      <c r="H2994" s="354" t="s">
        <v>1606</v>
      </c>
      <c r="I2994" s="354">
        <f>C12</f>
        <v>502</v>
      </c>
      <c r="J2994" s="360" t="s">
        <v>227</v>
      </c>
      <c r="K2994" s="354">
        <f>F2994*I2994</f>
        <v>1757</v>
      </c>
    </row>
    <row r="2995" spans="6:11" ht="24" customHeight="1">
      <c r="F2995" s="398">
        <v>32.1</v>
      </c>
      <c r="G2995" s="399" t="s">
        <v>148</v>
      </c>
      <c r="H2995" s="398" t="s">
        <v>2536</v>
      </c>
      <c r="I2995" s="354"/>
      <c r="J2995" s="360"/>
      <c r="K2995" s="354">
        <f>(F2995*I2995)/1000</f>
        <v>0</v>
      </c>
    </row>
    <row r="2996" spans="6:11" ht="24" customHeight="1">
      <c r="F2996" s="354"/>
      <c r="G2996" s="354" t="s">
        <v>2465</v>
      </c>
      <c r="H2996" s="354" t="s">
        <v>2466</v>
      </c>
      <c r="I2996" s="354"/>
      <c r="J2996" s="360" t="s">
        <v>2295</v>
      </c>
      <c r="K2996" s="354">
        <f>(K2993+K2994)*10%</f>
        <v>193.65</v>
      </c>
    </row>
    <row r="2997" spans="6:11" ht="24" customHeight="1">
      <c r="F2997" s="354"/>
      <c r="G2997" s="357"/>
      <c r="H2997" s="354"/>
      <c r="I2997" s="354"/>
      <c r="J2997" s="355"/>
      <c r="K2997" s="354" t="s">
        <v>2468</v>
      </c>
    </row>
    <row r="2998" spans="6:11" ht="24" customHeight="1">
      <c r="F2998" s="354"/>
      <c r="G2998" s="357"/>
      <c r="H2998" s="354"/>
      <c r="I2998" s="354"/>
      <c r="J2998" s="355"/>
      <c r="K2998" s="354"/>
    </row>
    <row r="2999" spans="6:11" ht="24" customHeight="1">
      <c r="F2999" s="354"/>
      <c r="G2999" s="357"/>
      <c r="H2999" s="354"/>
      <c r="I2999" s="354" t="s">
        <v>2537</v>
      </c>
      <c r="J2999" s="355"/>
      <c r="K2999" s="354">
        <f>SUM(K2992:K2996)</f>
        <v>5211.73956</v>
      </c>
    </row>
    <row r="3000" spans="6:11" ht="24" customHeight="1">
      <c r="F3000" s="354"/>
      <c r="G3000" s="357"/>
      <c r="H3000" s="354"/>
      <c r="I3000" s="354"/>
      <c r="J3000" s="355"/>
      <c r="K3000" s="354"/>
    </row>
    <row r="3001" spans="6:11" ht="24" customHeight="1">
      <c r="F3001" s="354"/>
      <c r="G3001" s="357"/>
      <c r="H3001" s="354"/>
      <c r="I3001" s="354" t="s">
        <v>2470</v>
      </c>
      <c r="J3001" s="355"/>
      <c r="K3001" s="354">
        <f>K2999/3.5</f>
        <v>1489.0684457142856</v>
      </c>
    </row>
    <row r="3002" spans="6:11" ht="24" customHeight="1">
      <c r="F3002" s="354"/>
      <c r="G3002" s="353" t="s">
        <v>2538</v>
      </c>
      <c r="H3002" s="354"/>
      <c r="I3002" s="354"/>
      <c r="J3002" s="355"/>
      <c r="K3002" s="354"/>
    </row>
    <row r="3003" spans="6:11" ht="24" customHeight="1">
      <c r="F3003" s="329"/>
      <c r="G3003" s="330"/>
      <c r="H3003" s="329"/>
      <c r="I3003" s="329"/>
      <c r="J3003" s="332"/>
      <c r="K3003" s="329"/>
    </row>
    <row r="3004" spans="6:11" ht="42" customHeight="1">
      <c r="F3004" s="329">
        <v>1</v>
      </c>
      <c r="G3004" s="357" t="s">
        <v>429</v>
      </c>
      <c r="H3004" s="329" t="s">
        <v>403</v>
      </c>
      <c r="I3004" s="329">
        <f>AC38</f>
        <v>449.02</v>
      </c>
      <c r="J3004" s="360" t="s">
        <v>429</v>
      </c>
      <c r="K3004" s="354">
        <f>F3004*I3004</f>
        <v>449.02</v>
      </c>
    </row>
    <row r="3005" spans="6:11" ht="24" customHeight="1">
      <c r="F3005" s="329">
        <v>1</v>
      </c>
      <c r="G3005" s="357" t="s">
        <v>429</v>
      </c>
      <c r="H3005" s="329" t="s">
        <v>2539</v>
      </c>
      <c r="I3005" s="329">
        <f>AE28</f>
        <v>29.3</v>
      </c>
      <c r="J3005" s="360" t="s">
        <v>429</v>
      </c>
      <c r="K3005" s="354">
        <f>F3005*I3005</f>
        <v>29.3</v>
      </c>
    </row>
    <row r="3006" spans="6:11" ht="24" customHeight="1">
      <c r="F3006" s="329"/>
      <c r="G3006" s="330"/>
      <c r="H3006" s="329"/>
      <c r="I3006" s="329"/>
      <c r="J3006" s="332"/>
      <c r="K3006" s="335">
        <f>SUM(K3004:K3005)</f>
        <v>478.32</v>
      </c>
    </row>
    <row r="3008" spans="6:11" ht="24" customHeight="1">
      <c r="H3008" s="6" t="s">
        <v>2540</v>
      </c>
      <c r="I3008" s="249"/>
      <c r="J3008" s="10"/>
    </row>
    <row r="3009" spans="8:11" ht="32.25" customHeight="1">
      <c r="H3009" s="249" t="s">
        <v>2541</v>
      </c>
      <c r="I3009" s="329">
        <f>C764</f>
        <v>1000</v>
      </c>
      <c r="J3009" s="10" t="s">
        <v>1729</v>
      </c>
      <c r="K3009" s="79">
        <f>I3009</f>
        <v>1000</v>
      </c>
    </row>
    <row r="3010" spans="8:11" ht="24" customHeight="1">
      <c r="J3010" s="10"/>
      <c r="K3010" s="111"/>
    </row>
    <row r="3011" spans="8:11" ht="24" customHeight="1">
      <c r="J3011" s="10"/>
      <c r="K3011" s="111"/>
    </row>
    <row r="3012" spans="8:11" ht="24" customHeight="1">
      <c r="H3012" s="5" t="s">
        <v>2542</v>
      </c>
      <c r="I3012" s="278">
        <v>466.6</v>
      </c>
      <c r="J3012" s="10" t="s">
        <v>1729</v>
      </c>
      <c r="K3012" s="79">
        <f>I3012</f>
        <v>466.6</v>
      </c>
    </row>
    <row r="3013" spans="8:11" ht="24" customHeight="1">
      <c r="I3013" s="79"/>
      <c r="J3013" s="10"/>
      <c r="K3013" s="79"/>
    </row>
    <row r="3014" spans="8:11" ht="24" customHeight="1">
      <c r="H3014" s="5" t="s">
        <v>2543</v>
      </c>
      <c r="I3014" s="278">
        <v>375.7</v>
      </c>
      <c r="J3014" s="10" t="s">
        <v>1729</v>
      </c>
      <c r="K3014" s="79">
        <f>I3014</f>
        <v>375.7</v>
      </c>
    </row>
    <row r="3015" spans="8:11" ht="24" customHeight="1">
      <c r="J3015" s="10"/>
      <c r="K3015" s="79"/>
    </row>
    <row r="3016" spans="8:11" ht="24" customHeight="1">
      <c r="H3016" s="5" t="s">
        <v>2544</v>
      </c>
      <c r="J3016" s="10"/>
      <c r="K3016" s="111"/>
    </row>
    <row r="3017" spans="8:11" ht="24" customHeight="1">
      <c r="H3017" s="5" t="s">
        <v>2545</v>
      </c>
      <c r="I3017" s="278">
        <v>847</v>
      </c>
      <c r="J3017" s="10" t="s">
        <v>1729</v>
      </c>
      <c r="K3017" s="79">
        <f>I3017</f>
        <v>847</v>
      </c>
    </row>
    <row r="3018" spans="8:11" ht="24" customHeight="1">
      <c r="H3018" s="3" t="s">
        <v>2546</v>
      </c>
      <c r="I3018" s="274">
        <f>K2291</f>
        <v>1770</v>
      </c>
      <c r="J3018" s="10"/>
      <c r="K3018" s="274">
        <f>I3018</f>
        <v>1770</v>
      </c>
    </row>
    <row r="3019" spans="8:11" ht="24" customHeight="1">
      <c r="J3019" s="10"/>
    </row>
    <row r="3020" spans="8:11" ht="44.25" customHeight="1">
      <c r="J3020" s="10"/>
    </row>
    <row r="3021" spans="8:11" ht="68.25" customHeight="1">
      <c r="J3021" s="10"/>
    </row>
    <row r="3022" spans="8:11" ht="24" customHeight="1">
      <c r="J3022" s="10"/>
    </row>
    <row r="3023" spans="8:11" ht="24" customHeight="1">
      <c r="I3023" s="111"/>
      <c r="J3023" s="10"/>
    </row>
    <row r="3024" spans="8:11" ht="24" customHeight="1">
      <c r="J3024" s="10"/>
    </row>
    <row r="3025" spans="8:11" ht="24" customHeight="1">
      <c r="H3025" s="91"/>
      <c r="J3025" s="10"/>
    </row>
    <row r="3026" spans="8:11" ht="24" customHeight="1">
      <c r="J3026" s="10"/>
    </row>
    <row r="3027" spans="8:11" ht="24" customHeight="1">
      <c r="H3027" s="191"/>
      <c r="I3027" s="50"/>
      <c r="J3027" s="285"/>
      <c r="K3027" s="50"/>
    </row>
    <row r="3030" spans="8:11" ht="24" customHeight="1">
      <c r="H3030" s="5" t="s">
        <v>2547</v>
      </c>
    </row>
    <row r="3031" spans="8:11" ht="24" customHeight="1">
      <c r="H3031" s="5" t="s">
        <v>2548</v>
      </c>
      <c r="J3031" s="8" t="s">
        <v>227</v>
      </c>
      <c r="K3031" s="277">
        <v>130</v>
      </c>
    </row>
    <row r="3032" spans="8:11" ht="24" customHeight="1">
      <c r="K3032" s="113"/>
    </row>
    <row r="3033" spans="8:11" ht="24" customHeight="1">
      <c r="H3033" s="5" t="s">
        <v>2549</v>
      </c>
      <c r="J3033" s="8" t="s">
        <v>227</v>
      </c>
      <c r="K3033" s="277">
        <v>170</v>
      </c>
    </row>
    <row r="3034" spans="8:11" ht="24" customHeight="1">
      <c r="K3034" s="113"/>
    </row>
    <row r="3035" spans="8:11" ht="24" customHeight="1">
      <c r="K3035" s="113"/>
    </row>
    <row r="3036" spans="8:11" ht="24" customHeight="1">
      <c r="H3036" s="3" t="s">
        <v>2550</v>
      </c>
      <c r="J3036" s="8" t="s">
        <v>227</v>
      </c>
      <c r="K3036" s="181">
        <v>443</v>
      </c>
    </row>
    <row r="3037" spans="8:11" ht="24" customHeight="1">
      <c r="K3037" s="113"/>
    </row>
    <row r="3038" spans="8:11" ht="45" customHeight="1">
      <c r="H3038" s="62" t="s">
        <v>226</v>
      </c>
      <c r="J3038" s="8" t="s">
        <v>227</v>
      </c>
      <c r="K3038" s="24">
        <f>[5]Elec.Data!K3767</f>
        <v>1300</v>
      </c>
    </row>
    <row r="3040" spans="8:11" ht="41.25" customHeight="1"/>
    <row r="3041" spans="6:18" ht="24" customHeight="1">
      <c r="H3041" s="5" t="s">
        <v>2544</v>
      </c>
      <c r="J3041" s="8" t="s">
        <v>227</v>
      </c>
      <c r="K3041" s="111">
        <f>K3017</f>
        <v>847</v>
      </c>
    </row>
    <row r="3042" spans="6:18" ht="24" customHeight="1">
      <c r="H3042" s="5" t="s">
        <v>2551</v>
      </c>
    </row>
    <row r="3044" spans="6:18" ht="24" customHeight="1">
      <c r="F3044" s="5">
        <v>0.5</v>
      </c>
      <c r="H3044" s="5" t="s">
        <v>2552</v>
      </c>
      <c r="J3044" s="8">
        <f>C15</f>
        <v>667</v>
      </c>
      <c r="K3044" s="5">
        <f>J3044*F3044</f>
        <v>333.5</v>
      </c>
    </row>
    <row r="3045" spans="6:18" ht="24" customHeight="1">
      <c r="F3045" s="5">
        <v>0.5</v>
      </c>
      <c r="H3045" s="5" t="s">
        <v>1606</v>
      </c>
      <c r="J3045" s="8">
        <f>C12</f>
        <v>502</v>
      </c>
      <c r="K3045" s="5">
        <f>J3045*F3045</f>
        <v>251</v>
      </c>
    </row>
    <row r="3046" spans="6:18" ht="24" customHeight="1">
      <c r="I3046" s="1494" t="s">
        <v>2553</v>
      </c>
      <c r="J3046" s="1494"/>
      <c r="K3046" s="50">
        <f>SUM(K3041:K3045)</f>
        <v>1431.5</v>
      </c>
    </row>
    <row r="3049" spans="6:18" ht="24" customHeight="1">
      <c r="F3049" s="188" t="s">
        <v>1465</v>
      </c>
      <c r="G3049" s="336" t="s">
        <v>122</v>
      </c>
      <c r="H3049" s="187" t="s">
        <v>2485</v>
      </c>
      <c r="I3049" s="329"/>
      <c r="J3049" s="332"/>
      <c r="K3049" s="329"/>
    </row>
    <row r="3050" spans="6:18" ht="24" customHeight="1">
      <c r="F3050" s="329"/>
      <c r="G3050" s="330"/>
      <c r="H3050" s="187" t="s">
        <v>1467</v>
      </c>
      <c r="I3050" s="329"/>
      <c r="J3050" s="332"/>
      <c r="K3050" s="329"/>
    </row>
    <row r="3051" spans="6:18" ht="24" customHeight="1">
      <c r="F3051" s="329"/>
      <c r="G3051" s="330"/>
      <c r="H3051" s="187" t="s">
        <v>2554</v>
      </c>
      <c r="I3051" s="329"/>
      <c r="J3051" s="332"/>
      <c r="K3051" s="329"/>
    </row>
    <row r="3052" spans="6:18" ht="24" customHeight="1">
      <c r="F3052" s="329"/>
      <c r="G3052" s="330"/>
      <c r="H3052" s="337" t="s">
        <v>117</v>
      </c>
      <c r="I3052" s="329"/>
      <c r="J3052" s="332"/>
      <c r="K3052" s="329"/>
    </row>
    <row r="3053" spans="6:18" ht="24" customHeight="1">
      <c r="F3053" s="329"/>
      <c r="G3053" s="330"/>
      <c r="H3053" s="187" t="s">
        <v>2555</v>
      </c>
      <c r="I3053" s="329"/>
      <c r="J3053" s="332"/>
      <c r="K3053" s="329"/>
    </row>
    <row r="3054" spans="6:18" ht="24" customHeight="1">
      <c r="F3054" s="329"/>
      <c r="G3054" s="330"/>
      <c r="H3054" s="329"/>
      <c r="I3054" s="329"/>
      <c r="J3054" s="332"/>
      <c r="K3054" s="329"/>
    </row>
    <row r="3055" spans="6:18" ht="38.25" customHeight="1">
      <c r="F3055" s="384">
        <v>2.2275</v>
      </c>
      <c r="G3055" s="336" t="s">
        <v>140</v>
      </c>
      <c r="H3055" s="346" t="s">
        <v>2487</v>
      </c>
      <c r="I3055" s="395">
        <f>I2834</f>
        <v>2370</v>
      </c>
      <c r="J3055" s="188" t="s">
        <v>140</v>
      </c>
      <c r="K3055" s="329">
        <f>F3056*I3055</f>
        <v>5279.1750000000002</v>
      </c>
    </row>
    <row r="3056" spans="6:18" ht="24" customHeight="1">
      <c r="F3056" s="377">
        <f>F3055</f>
        <v>2.2275</v>
      </c>
      <c r="G3056" s="336" t="s">
        <v>140</v>
      </c>
      <c r="H3056" s="338" t="s">
        <v>1480</v>
      </c>
      <c r="I3056" s="341">
        <f>I2867</f>
        <v>248</v>
      </c>
      <c r="J3056" s="188" t="s">
        <v>140</v>
      </c>
      <c r="K3056" s="185">
        <f t="shared" ref="K3056:K3062" si="268">(F3056*I3056)</f>
        <v>552.41999999999996</v>
      </c>
      <c r="M3056" s="188" t="s">
        <v>1465</v>
      </c>
      <c r="N3056" s="336" t="s">
        <v>122</v>
      </c>
      <c r="O3056" s="187" t="s">
        <v>2485</v>
      </c>
      <c r="P3056" s="329"/>
      <c r="Q3056" s="332"/>
      <c r="R3056" s="329"/>
    </row>
    <row r="3057" spans="6:18" ht="24" customHeight="1">
      <c r="F3057" s="185">
        <v>4</v>
      </c>
      <c r="G3057" s="336" t="s">
        <v>1</v>
      </c>
      <c r="H3057" s="187" t="s">
        <v>1481</v>
      </c>
      <c r="I3057" s="395">
        <f t="shared" ref="I3057:I3062" si="269">I2972</f>
        <v>50.9</v>
      </c>
      <c r="J3057" s="188" t="s">
        <v>209</v>
      </c>
      <c r="K3057" s="185">
        <f t="shared" si="268"/>
        <v>203.6</v>
      </c>
      <c r="M3057" s="329"/>
      <c r="N3057" s="330"/>
      <c r="O3057" s="187" t="s">
        <v>1467</v>
      </c>
      <c r="P3057" s="329"/>
      <c r="Q3057" s="332"/>
      <c r="R3057" s="329"/>
    </row>
    <row r="3058" spans="6:18" ht="24" customHeight="1">
      <c r="F3058" s="185">
        <v>6</v>
      </c>
      <c r="G3058" s="336" t="s">
        <v>209</v>
      </c>
      <c r="H3058" s="187" t="s">
        <v>1482</v>
      </c>
      <c r="I3058" s="395">
        <f t="shared" si="269"/>
        <v>79.099999999999994</v>
      </c>
      <c r="J3058" s="188" t="s">
        <v>209</v>
      </c>
      <c r="K3058" s="185">
        <f t="shared" si="268"/>
        <v>474.59999999999997</v>
      </c>
      <c r="M3058" s="329"/>
      <c r="N3058" s="330"/>
      <c r="O3058" s="187" t="s">
        <v>2556</v>
      </c>
      <c r="P3058" s="329"/>
      <c r="Q3058" s="332"/>
      <c r="R3058" s="329"/>
    </row>
    <row r="3059" spans="6:18" ht="24" customHeight="1">
      <c r="F3059" s="185">
        <v>4</v>
      </c>
      <c r="G3059" s="336" t="s">
        <v>209</v>
      </c>
      <c r="H3059" s="187" t="s">
        <v>1484</v>
      </c>
      <c r="I3059" s="395">
        <f t="shared" si="269"/>
        <v>57.2</v>
      </c>
      <c r="J3059" s="188" t="s">
        <v>209</v>
      </c>
      <c r="K3059" s="185">
        <f t="shared" si="268"/>
        <v>228.8</v>
      </c>
      <c r="M3059" s="329"/>
      <c r="N3059" s="330"/>
      <c r="O3059" s="337" t="s">
        <v>117</v>
      </c>
      <c r="P3059" s="329"/>
      <c r="Q3059" s="332"/>
      <c r="R3059" s="329"/>
    </row>
    <row r="3060" spans="6:18" ht="24" customHeight="1">
      <c r="F3060" s="185">
        <v>1</v>
      </c>
      <c r="G3060" s="336" t="s">
        <v>209</v>
      </c>
      <c r="H3060" s="187" t="s">
        <v>1486</v>
      </c>
      <c r="I3060" s="395">
        <f t="shared" si="269"/>
        <v>159.69999999999999</v>
      </c>
      <c r="J3060" s="188" t="s">
        <v>209</v>
      </c>
      <c r="K3060" s="185">
        <f t="shared" si="268"/>
        <v>159.69999999999999</v>
      </c>
      <c r="M3060" s="329"/>
      <c r="N3060" s="330"/>
      <c r="O3060" s="187" t="s">
        <v>2557</v>
      </c>
      <c r="P3060" s="329"/>
      <c r="Q3060" s="332"/>
      <c r="R3060" s="329"/>
    </row>
    <row r="3061" spans="6:18" ht="24" customHeight="1">
      <c r="F3061" s="185">
        <v>2</v>
      </c>
      <c r="G3061" s="336" t="s">
        <v>209</v>
      </c>
      <c r="H3061" s="187" t="s">
        <v>1488</v>
      </c>
      <c r="I3061" s="395">
        <f t="shared" si="269"/>
        <v>7.3</v>
      </c>
      <c r="J3061" s="188" t="s">
        <v>209</v>
      </c>
      <c r="K3061" s="185">
        <f t="shared" si="268"/>
        <v>14.6</v>
      </c>
      <c r="M3061" s="329"/>
      <c r="N3061" s="330"/>
      <c r="O3061" s="329"/>
      <c r="P3061" s="329"/>
      <c r="Q3061" s="332"/>
      <c r="R3061" s="329"/>
    </row>
    <row r="3062" spans="6:18" ht="33.75" customHeight="1">
      <c r="F3062" s="185">
        <v>2</v>
      </c>
      <c r="G3062" s="336" t="s">
        <v>209</v>
      </c>
      <c r="H3062" s="187" t="s">
        <v>630</v>
      </c>
      <c r="I3062" s="395">
        <f t="shared" si="269"/>
        <v>43.8</v>
      </c>
      <c r="J3062" s="188" t="s">
        <v>209</v>
      </c>
      <c r="K3062" s="185">
        <f t="shared" si="268"/>
        <v>87.6</v>
      </c>
      <c r="M3062" s="348">
        <v>3.29</v>
      </c>
      <c r="N3062" s="336" t="s">
        <v>140</v>
      </c>
      <c r="O3062" s="346" t="s">
        <v>2487</v>
      </c>
      <c r="P3062" s="395">
        <f>I3055</f>
        <v>2370</v>
      </c>
      <c r="Q3062" s="188" t="s">
        <v>140</v>
      </c>
      <c r="R3062" s="329">
        <f>M3063*P3062</f>
        <v>7797.3</v>
      </c>
    </row>
    <row r="3063" spans="6:18" ht="33.75" customHeight="1">
      <c r="F3063" s="329"/>
      <c r="G3063" s="330"/>
      <c r="H3063" s="329"/>
      <c r="I3063" s="329"/>
      <c r="J3063" s="332"/>
      <c r="K3063" s="341">
        <v>0.2</v>
      </c>
      <c r="M3063" s="371">
        <v>3.29</v>
      </c>
      <c r="N3063" s="336" t="s">
        <v>140</v>
      </c>
      <c r="O3063" s="187" t="s">
        <v>1480</v>
      </c>
      <c r="P3063" s="395">
        <f t="shared" ref="P3063:P3069" si="270">I3056</f>
        <v>248</v>
      </c>
      <c r="Q3063" s="188" t="s">
        <v>140</v>
      </c>
      <c r="R3063" s="185">
        <f t="shared" ref="R3063:R3069" si="271">(M3063*P3063)</f>
        <v>815.92</v>
      </c>
    </row>
    <row r="3064" spans="6:18" ht="24" customHeight="1">
      <c r="F3064" s="329"/>
      <c r="G3064" s="330"/>
      <c r="H3064" s="187" t="s">
        <v>2558</v>
      </c>
      <c r="I3064" s="329"/>
      <c r="J3064" s="332"/>
      <c r="K3064" s="185">
        <f>SUM(K3055:K3063)</f>
        <v>7000.6950000000015</v>
      </c>
      <c r="M3064" s="185">
        <v>4</v>
      </c>
      <c r="N3064" s="336" t="s">
        <v>1</v>
      </c>
      <c r="O3064" s="187" t="s">
        <v>1481</v>
      </c>
      <c r="P3064" s="395">
        <f t="shared" si="270"/>
        <v>50.9</v>
      </c>
      <c r="Q3064" s="188" t="s">
        <v>209</v>
      </c>
      <c r="R3064" s="185">
        <f t="shared" si="271"/>
        <v>203.6</v>
      </c>
    </row>
    <row r="3065" spans="6:18" ht="24" customHeight="1">
      <c r="F3065" s="329"/>
      <c r="G3065" s="330"/>
      <c r="H3065" s="329"/>
      <c r="I3065" s="329"/>
      <c r="J3065" s="332"/>
      <c r="K3065" s="337" t="s">
        <v>117</v>
      </c>
      <c r="M3065" s="185">
        <v>6</v>
      </c>
      <c r="N3065" s="336" t="s">
        <v>209</v>
      </c>
      <c r="O3065" s="187" t="s">
        <v>1482</v>
      </c>
      <c r="P3065" s="395">
        <f t="shared" si="270"/>
        <v>79.099999999999994</v>
      </c>
      <c r="Q3065" s="188" t="s">
        <v>209</v>
      </c>
      <c r="R3065" s="185">
        <f t="shared" si="271"/>
        <v>474.59999999999997</v>
      </c>
    </row>
    <row r="3066" spans="6:18" ht="24" customHeight="1">
      <c r="F3066" s="329"/>
      <c r="G3066" s="330"/>
      <c r="H3066" s="187" t="s">
        <v>154</v>
      </c>
      <c r="I3066" s="329"/>
      <c r="J3066" s="332"/>
      <c r="K3066" s="185">
        <f>K3064/F3056</f>
        <v>3142.8484848484854</v>
      </c>
      <c r="M3066" s="185">
        <v>4</v>
      </c>
      <c r="N3066" s="336" t="s">
        <v>209</v>
      </c>
      <c r="O3066" s="187" t="s">
        <v>1484</v>
      </c>
      <c r="P3066" s="395">
        <f t="shared" si="270"/>
        <v>57.2</v>
      </c>
      <c r="Q3066" s="188" t="s">
        <v>209</v>
      </c>
      <c r="R3066" s="185">
        <f t="shared" si="271"/>
        <v>228.8</v>
      </c>
    </row>
    <row r="3067" spans="6:18" ht="24" customHeight="1">
      <c r="M3067" s="185">
        <v>1</v>
      </c>
      <c r="N3067" s="336" t="s">
        <v>209</v>
      </c>
      <c r="O3067" s="187" t="s">
        <v>1486</v>
      </c>
      <c r="P3067" s="395">
        <f t="shared" si="270"/>
        <v>159.69999999999999</v>
      </c>
      <c r="Q3067" s="188" t="s">
        <v>209</v>
      </c>
      <c r="R3067" s="185">
        <f t="shared" si="271"/>
        <v>159.69999999999999</v>
      </c>
    </row>
    <row r="3068" spans="6:18" ht="24" customHeight="1">
      <c r="F3068" s="188" t="s">
        <v>1465</v>
      </c>
      <c r="G3068" s="336" t="s">
        <v>122</v>
      </c>
      <c r="H3068" s="187" t="s">
        <v>2485</v>
      </c>
      <c r="I3068" s="329"/>
      <c r="J3068" s="332"/>
      <c r="K3068" s="329"/>
      <c r="M3068" s="185">
        <v>2</v>
      </c>
      <c r="N3068" s="336" t="s">
        <v>209</v>
      </c>
      <c r="O3068" s="187" t="s">
        <v>1488</v>
      </c>
      <c r="P3068" s="395">
        <f t="shared" si="270"/>
        <v>7.3</v>
      </c>
      <c r="Q3068" s="188" t="s">
        <v>209</v>
      </c>
      <c r="R3068" s="185">
        <f t="shared" si="271"/>
        <v>14.6</v>
      </c>
    </row>
    <row r="3069" spans="6:18" ht="24" customHeight="1">
      <c r="F3069" s="329"/>
      <c r="G3069" s="330"/>
      <c r="H3069" s="187" t="s">
        <v>1467</v>
      </c>
      <c r="I3069" s="329"/>
      <c r="J3069" s="332"/>
      <c r="K3069" s="329"/>
      <c r="M3069" s="185">
        <v>2</v>
      </c>
      <c r="N3069" s="336" t="s">
        <v>209</v>
      </c>
      <c r="O3069" s="187" t="s">
        <v>630</v>
      </c>
      <c r="P3069" s="395">
        <f t="shared" si="270"/>
        <v>43.8</v>
      </c>
      <c r="Q3069" s="188" t="s">
        <v>209</v>
      </c>
      <c r="R3069" s="185">
        <f t="shared" si="271"/>
        <v>87.6</v>
      </c>
    </row>
    <row r="3070" spans="6:18" ht="24" customHeight="1">
      <c r="F3070" s="329"/>
      <c r="G3070" s="330"/>
      <c r="H3070" s="187" t="s">
        <v>2559</v>
      </c>
      <c r="I3070" s="329"/>
      <c r="J3070" s="332"/>
      <c r="K3070" s="329"/>
      <c r="M3070" s="329"/>
      <c r="N3070" s="330"/>
      <c r="O3070" s="329"/>
      <c r="P3070" s="329"/>
      <c r="Q3070" s="332"/>
      <c r="R3070" s="337" t="s">
        <v>117</v>
      </c>
    </row>
    <row r="3071" spans="6:18" ht="24" customHeight="1">
      <c r="F3071" s="329"/>
      <c r="G3071" s="330"/>
      <c r="H3071" s="337" t="s">
        <v>117</v>
      </c>
      <c r="I3071" s="329"/>
      <c r="J3071" s="332"/>
      <c r="K3071" s="329"/>
      <c r="M3071" s="329"/>
      <c r="N3071" s="330"/>
      <c r="O3071" s="187" t="s">
        <v>2560</v>
      </c>
      <c r="P3071" s="329"/>
      <c r="Q3071" s="332"/>
      <c r="R3071" s="185">
        <f>SUM(R3062:R3070)+0.5</f>
        <v>9782.6200000000008</v>
      </c>
    </row>
    <row r="3072" spans="6:18" ht="24" customHeight="1">
      <c r="F3072" s="329"/>
      <c r="G3072" s="330"/>
      <c r="H3072" s="187" t="s">
        <v>2561</v>
      </c>
      <c r="I3072" s="329"/>
      <c r="J3072" s="332"/>
      <c r="K3072" s="329"/>
      <c r="M3072" s="329"/>
      <c r="N3072" s="330"/>
      <c r="O3072" s="329"/>
      <c r="P3072" s="329"/>
      <c r="Q3072" s="332"/>
      <c r="R3072" s="337" t="s">
        <v>117</v>
      </c>
    </row>
    <row r="3073" spans="6:18" ht="24" customHeight="1">
      <c r="F3073" s="329"/>
      <c r="G3073" s="330"/>
      <c r="H3073" s="329"/>
      <c r="I3073" s="329"/>
      <c r="J3073" s="332"/>
      <c r="K3073" s="329"/>
      <c r="M3073" s="329"/>
      <c r="N3073" s="330"/>
      <c r="O3073" s="187" t="s">
        <v>154</v>
      </c>
      <c r="P3073" s="329"/>
      <c r="Q3073" s="332"/>
      <c r="R3073" s="185">
        <f>R3071/M3062</f>
        <v>2973.4407294832827</v>
      </c>
    </row>
    <row r="3074" spans="6:18" ht="24" customHeight="1">
      <c r="F3074" s="348">
        <v>2.87</v>
      </c>
      <c r="G3074" s="336" t="s">
        <v>140</v>
      </c>
      <c r="H3074" s="346" t="s">
        <v>2487</v>
      </c>
      <c r="I3074" s="395">
        <f>I3055</f>
        <v>2370</v>
      </c>
      <c r="J3074" s="188" t="s">
        <v>140</v>
      </c>
      <c r="K3074" s="329">
        <f>F3075*I3074</f>
        <v>6801.9000000000005</v>
      </c>
      <c r="N3074" s="6"/>
      <c r="Q3074" s="8"/>
    </row>
    <row r="3075" spans="6:18" ht="24" customHeight="1">
      <c r="F3075" s="371">
        <f>F3074</f>
        <v>2.87</v>
      </c>
      <c r="G3075" s="336" t="s">
        <v>140</v>
      </c>
      <c r="H3075" s="338" t="s">
        <v>1480</v>
      </c>
      <c r="I3075" s="341">
        <f t="shared" ref="I3075:I3081" si="272">I3056</f>
        <v>248</v>
      </c>
      <c r="J3075" s="188" t="s">
        <v>140</v>
      </c>
      <c r="K3075" s="185">
        <f t="shared" ref="K3075:K3081" si="273">(F3075*I3075)</f>
        <v>711.76</v>
      </c>
    </row>
    <row r="3076" spans="6:18" ht="24" customHeight="1">
      <c r="F3076" s="185">
        <v>4</v>
      </c>
      <c r="G3076" s="336" t="s">
        <v>1</v>
      </c>
      <c r="H3076" s="187" t="s">
        <v>1481</v>
      </c>
      <c r="I3076" s="395">
        <f t="shared" si="272"/>
        <v>50.9</v>
      </c>
      <c r="J3076" s="188" t="s">
        <v>209</v>
      </c>
      <c r="K3076" s="185">
        <f t="shared" si="273"/>
        <v>203.6</v>
      </c>
    </row>
    <row r="3077" spans="6:18" ht="24" customHeight="1">
      <c r="F3077" s="185">
        <v>6</v>
      </c>
      <c r="G3077" s="336" t="s">
        <v>209</v>
      </c>
      <c r="H3077" s="187" t="s">
        <v>1482</v>
      </c>
      <c r="I3077" s="395">
        <f t="shared" si="272"/>
        <v>79.099999999999994</v>
      </c>
      <c r="J3077" s="188" t="s">
        <v>209</v>
      </c>
      <c r="K3077" s="185">
        <f t="shared" si="273"/>
        <v>474.59999999999997</v>
      </c>
    </row>
    <row r="3078" spans="6:18" ht="24" customHeight="1">
      <c r="F3078" s="185">
        <v>4</v>
      </c>
      <c r="G3078" s="336" t="s">
        <v>209</v>
      </c>
      <c r="H3078" s="187" t="s">
        <v>1484</v>
      </c>
      <c r="I3078" s="395">
        <f t="shared" si="272"/>
        <v>57.2</v>
      </c>
      <c r="J3078" s="188" t="s">
        <v>209</v>
      </c>
      <c r="K3078" s="185">
        <f t="shared" si="273"/>
        <v>228.8</v>
      </c>
    </row>
    <row r="3079" spans="6:18" ht="24" customHeight="1">
      <c r="F3079" s="185">
        <v>1</v>
      </c>
      <c r="G3079" s="336" t="s">
        <v>209</v>
      </c>
      <c r="H3079" s="187" t="s">
        <v>1486</v>
      </c>
      <c r="I3079" s="395">
        <f t="shared" si="272"/>
        <v>159.69999999999999</v>
      </c>
      <c r="J3079" s="188" t="s">
        <v>209</v>
      </c>
      <c r="K3079" s="185">
        <f t="shared" si="273"/>
        <v>159.69999999999999</v>
      </c>
    </row>
    <row r="3080" spans="6:18" ht="24" customHeight="1">
      <c r="F3080" s="185">
        <v>2</v>
      </c>
      <c r="G3080" s="336" t="s">
        <v>209</v>
      </c>
      <c r="H3080" s="187" t="s">
        <v>1488</v>
      </c>
      <c r="I3080" s="395">
        <f t="shared" si="272"/>
        <v>7.3</v>
      </c>
      <c r="J3080" s="188" t="s">
        <v>209</v>
      </c>
      <c r="K3080" s="185">
        <f t="shared" si="273"/>
        <v>14.6</v>
      </c>
    </row>
    <row r="3081" spans="6:18" ht="24" customHeight="1">
      <c r="F3081" s="185">
        <v>2</v>
      </c>
      <c r="G3081" s="336" t="s">
        <v>209</v>
      </c>
      <c r="H3081" s="187" t="s">
        <v>630</v>
      </c>
      <c r="I3081" s="395">
        <f t="shared" si="272"/>
        <v>43.8</v>
      </c>
      <c r="J3081" s="188" t="s">
        <v>209</v>
      </c>
      <c r="K3081" s="185">
        <f t="shared" si="273"/>
        <v>87.6</v>
      </c>
    </row>
    <row r="3082" spans="6:18" ht="24" customHeight="1">
      <c r="F3082" s="329"/>
      <c r="G3082" s="330"/>
      <c r="H3082" s="329"/>
      <c r="I3082" s="329"/>
      <c r="J3082" s="332"/>
      <c r="K3082" s="341">
        <f>1.19+0.16</f>
        <v>1.3499999999999999</v>
      </c>
    </row>
    <row r="3083" spans="6:18" ht="24" customHeight="1">
      <c r="F3083" s="329"/>
      <c r="G3083" s="330"/>
      <c r="H3083" s="187" t="s">
        <v>2562</v>
      </c>
      <c r="I3083" s="329"/>
      <c r="J3083" s="332"/>
      <c r="K3083" s="185">
        <f>SUM(K3074:K3082)</f>
        <v>8683.9100000000035</v>
      </c>
    </row>
    <row r="3084" spans="6:18" ht="24" customHeight="1">
      <c r="F3084" s="329"/>
      <c r="G3084" s="330"/>
      <c r="H3084" s="329"/>
      <c r="I3084" s="329"/>
      <c r="J3084" s="332"/>
      <c r="K3084" s="337" t="s">
        <v>117</v>
      </c>
    </row>
    <row r="3085" spans="6:18" ht="24" customHeight="1">
      <c r="F3085" s="329"/>
      <c r="G3085" s="330"/>
      <c r="H3085" s="187" t="s">
        <v>154</v>
      </c>
      <c r="I3085" s="329"/>
      <c r="J3085" s="332"/>
      <c r="K3085" s="185">
        <f>K3083/F3075</f>
        <v>3025.7526132404191</v>
      </c>
    </row>
    <row r="3087" spans="6:18" ht="24" customHeight="1">
      <c r="F3087" s="305" t="s">
        <v>2407</v>
      </c>
      <c r="G3087" s="306"/>
      <c r="H3087" s="33" t="s">
        <v>2563</v>
      </c>
      <c r="I3087" s="307"/>
      <c r="J3087" s="308"/>
      <c r="K3087" s="307"/>
    </row>
    <row r="3088" spans="6:18" ht="24" customHeight="1">
      <c r="F3088" s="307"/>
      <c r="G3088" s="306"/>
      <c r="H3088" s="309" t="s">
        <v>117</v>
      </c>
      <c r="I3088" s="309" t="s">
        <v>117</v>
      </c>
      <c r="J3088" s="33" t="s">
        <v>117</v>
      </c>
      <c r="K3088" s="307"/>
    </row>
    <row r="3089" spans="6:42" ht="24" customHeight="1">
      <c r="F3089" s="307"/>
      <c r="G3089" s="306"/>
      <c r="H3089" s="307"/>
      <c r="I3089" s="307"/>
      <c r="J3089" s="308"/>
      <c r="K3089" s="307"/>
    </row>
    <row r="3090" spans="6:42" ht="24" customHeight="1">
      <c r="F3090" s="307"/>
      <c r="G3090" s="306"/>
      <c r="H3090" s="33" t="s">
        <v>1580</v>
      </c>
      <c r="I3090" s="307"/>
      <c r="J3090" s="308"/>
      <c r="K3090" s="307"/>
    </row>
    <row r="3091" spans="6:42" ht="24" customHeight="1">
      <c r="F3091" s="307"/>
      <c r="G3091" s="306"/>
      <c r="H3091" s="33"/>
      <c r="I3091" s="307"/>
      <c r="J3091" s="308"/>
      <c r="K3091" s="307"/>
    </row>
    <row r="3092" spans="6:42" ht="24" customHeight="1">
      <c r="F3092" s="307"/>
      <c r="G3092" s="306"/>
      <c r="H3092" s="33" t="s">
        <v>1582</v>
      </c>
      <c r="I3092" s="307"/>
      <c r="J3092" s="308"/>
      <c r="K3092" s="307"/>
    </row>
    <row r="3093" spans="6:42" ht="24" customHeight="1">
      <c r="F3093" s="307"/>
      <c r="G3093" s="306"/>
      <c r="H3093" s="33" t="s">
        <v>1583</v>
      </c>
      <c r="I3093" s="307"/>
      <c r="J3093" s="308"/>
      <c r="K3093" s="307"/>
    </row>
    <row r="3094" spans="6:42" ht="24" customHeight="1">
      <c r="F3094" s="307"/>
      <c r="G3094" s="306"/>
      <c r="H3094" s="33" t="s">
        <v>1584</v>
      </c>
      <c r="I3094" s="307"/>
      <c r="J3094" s="308"/>
      <c r="K3094" s="307"/>
      <c r="S3094" s="4"/>
      <c r="T3094" s="15"/>
      <c r="U3094" s="3"/>
      <c r="W3094" s="8"/>
    </row>
    <row r="3095" spans="6:42" ht="24" customHeight="1">
      <c r="F3095" s="307"/>
      <c r="G3095" s="306"/>
      <c r="H3095" s="33" t="s">
        <v>1585</v>
      </c>
      <c r="I3095" s="307"/>
      <c r="J3095" s="308"/>
      <c r="K3095" s="307"/>
      <c r="S3095" s="5"/>
      <c r="U3095" s="3"/>
      <c r="W3095" s="8"/>
    </row>
    <row r="3096" spans="6:42" ht="24" customHeight="1">
      <c r="F3096" s="307"/>
      <c r="G3096" s="306"/>
      <c r="H3096" s="33" t="s">
        <v>2409</v>
      </c>
      <c r="I3096" s="307"/>
      <c r="J3096" s="33" t="s">
        <v>115</v>
      </c>
      <c r="K3096" s="312">
        <v>3.7699999999999997E-2</v>
      </c>
      <c r="S3096" s="5"/>
      <c r="T3096" s="6"/>
      <c r="U3096" s="3"/>
      <c r="W3096" s="8"/>
    </row>
    <row r="3097" spans="6:42" ht="24" customHeight="1">
      <c r="F3097" s="307"/>
      <c r="G3097" s="306"/>
      <c r="H3097" s="400" t="s">
        <v>2564</v>
      </c>
      <c r="I3097" s="307"/>
      <c r="J3097" s="313" t="s">
        <v>115</v>
      </c>
      <c r="K3097" s="313" t="s">
        <v>115</v>
      </c>
      <c r="S3097" s="5"/>
      <c r="T3097" s="6"/>
      <c r="U3097" s="3"/>
      <c r="W3097" s="8"/>
    </row>
    <row r="3098" spans="6:42" ht="24" customHeight="1">
      <c r="F3098" s="307"/>
      <c r="G3098" s="306"/>
      <c r="H3098" s="33" t="s">
        <v>1590</v>
      </c>
      <c r="I3098" s="307"/>
      <c r="J3098" s="308"/>
      <c r="K3098" s="313" t="s">
        <v>115</v>
      </c>
      <c r="S3098" s="5"/>
      <c r="T3098" s="6"/>
      <c r="U3098" s="3"/>
      <c r="W3098" s="8"/>
    </row>
    <row r="3099" spans="6:42" ht="31.5" customHeight="1">
      <c r="F3099" s="307"/>
      <c r="G3099" s="306"/>
      <c r="H3099" s="307"/>
      <c r="I3099" s="307"/>
      <c r="J3099" s="308"/>
      <c r="K3099" s="307"/>
      <c r="S3099" s="5"/>
      <c r="T3099" s="6"/>
      <c r="U3099" s="6" t="s">
        <v>2565</v>
      </c>
      <c r="W3099" s="8"/>
    </row>
    <row r="3100" spans="6:42" ht="24.75" customHeight="1">
      <c r="F3100" s="314">
        <v>1.18E-2</v>
      </c>
      <c r="G3100" s="315" t="s">
        <v>126</v>
      </c>
      <c r="H3100" s="33" t="s">
        <v>621</v>
      </c>
      <c r="I3100" s="316">
        <f>I2662</f>
        <v>111600</v>
      </c>
      <c r="J3100" s="33" t="s">
        <v>126</v>
      </c>
      <c r="K3100" s="316">
        <f t="shared" ref="K3100:K3108" si="274">(F3100*I3100)</f>
        <v>1316.8799999999999</v>
      </c>
      <c r="S3100" s="5"/>
      <c r="T3100" s="6"/>
      <c r="U3100" s="14"/>
      <c r="W3100" s="8"/>
    </row>
    <row r="3101" spans="6:42" ht="36" customHeight="1">
      <c r="F3101" s="314">
        <v>3.7699999999999997E-2</v>
      </c>
      <c r="G3101" s="315" t="s">
        <v>126</v>
      </c>
      <c r="H3101" s="33" t="s">
        <v>622</v>
      </c>
      <c r="I3101" s="316">
        <f t="shared" ref="I3101:I3108" si="275">I2663</f>
        <v>99400</v>
      </c>
      <c r="J3101" s="33" t="s">
        <v>126</v>
      </c>
      <c r="K3101" s="316">
        <f t="shared" si="274"/>
        <v>3747.3799999999997</v>
      </c>
      <c r="S3101" s="5"/>
      <c r="T3101" s="6"/>
      <c r="U3101" s="3" t="s">
        <v>2566</v>
      </c>
      <c r="V3101" s="101">
        <f xml:space="preserve"> 3.08*2.1</f>
        <v>6.4680000000000009</v>
      </c>
      <c r="W3101" s="8" t="s">
        <v>110</v>
      </c>
      <c r="X3101" s="5" t="s">
        <v>110</v>
      </c>
    </row>
    <row r="3102" spans="6:42" ht="45" customHeight="1">
      <c r="F3102" s="314">
        <v>1.8550000000000001E-2</v>
      </c>
      <c r="G3102" s="315" t="s">
        <v>126</v>
      </c>
      <c r="H3102" s="33" t="s">
        <v>1591</v>
      </c>
      <c r="I3102" s="316">
        <f t="shared" si="275"/>
        <v>10275</v>
      </c>
      <c r="J3102" s="33" t="s">
        <v>126</v>
      </c>
      <c r="K3102" s="316">
        <f t="shared" si="274"/>
        <v>190.60124999999999</v>
      </c>
      <c r="S3102" s="5"/>
      <c r="T3102" s="401"/>
      <c r="U3102" s="402" t="s">
        <v>2567</v>
      </c>
      <c r="V3102" s="403">
        <f>4*2.05*0.075*0.0375</f>
        <v>2.3062499999999996E-2</v>
      </c>
      <c r="W3102" s="404" t="s">
        <v>642</v>
      </c>
      <c r="X3102" s="405"/>
      <c r="AE3102" s="50" t="s">
        <v>2568</v>
      </c>
      <c r="AP3102" s="50" t="s">
        <v>2569</v>
      </c>
    </row>
    <row r="3103" spans="6:42" ht="31.5" customHeight="1">
      <c r="F3103" s="314">
        <v>1.36</v>
      </c>
      <c r="G3103" s="315" t="s">
        <v>140</v>
      </c>
      <c r="H3103" s="33" t="s">
        <v>2570</v>
      </c>
      <c r="I3103" s="316">
        <f>I1055</f>
        <v>387.4</v>
      </c>
      <c r="J3103" s="33" t="s">
        <v>140</v>
      </c>
      <c r="K3103" s="316">
        <f t="shared" si="274"/>
        <v>526.86400000000003</v>
      </c>
      <c r="S3103" s="5"/>
      <c r="T3103" s="401"/>
      <c r="U3103" s="405"/>
      <c r="V3103" s="405"/>
      <c r="W3103" s="402" t="s">
        <v>117</v>
      </c>
      <c r="X3103" s="405"/>
      <c r="AE3103" s="5" t="s">
        <v>2571</v>
      </c>
      <c r="AP3103" s="5" t="s">
        <v>2571</v>
      </c>
    </row>
    <row r="3104" spans="6:42" ht="31.5" customHeight="1">
      <c r="F3104" s="314">
        <v>2.0499999999999998</v>
      </c>
      <c r="G3104" s="315" t="s">
        <v>140</v>
      </c>
      <c r="H3104" s="33" t="s">
        <v>1593</v>
      </c>
      <c r="I3104" s="316">
        <f t="shared" si="275"/>
        <v>963</v>
      </c>
      <c r="J3104" s="33" t="s">
        <v>140</v>
      </c>
      <c r="K3104" s="316">
        <f t="shared" si="274"/>
        <v>1974.1499999999999</v>
      </c>
      <c r="S3104" s="5"/>
      <c r="T3104" s="401"/>
      <c r="U3104" s="402" t="s">
        <v>2572</v>
      </c>
      <c r="V3104" s="403">
        <f>2*3*0.55*0.15*0.0375</f>
        <v>1.8562499999999999E-2</v>
      </c>
      <c r="W3104" s="404" t="s">
        <v>642</v>
      </c>
      <c r="X3104" s="405"/>
      <c r="AE3104" s="5" t="s">
        <v>2573</v>
      </c>
      <c r="AP3104" s="5" t="s">
        <v>2573</v>
      </c>
    </row>
    <row r="3105" spans="6:47" ht="36" customHeight="1">
      <c r="F3105" s="316">
        <v>2</v>
      </c>
      <c r="G3105" s="315" t="s">
        <v>209</v>
      </c>
      <c r="H3105" s="33" t="s">
        <v>2574</v>
      </c>
      <c r="I3105" s="406">
        <v>50.3</v>
      </c>
      <c r="J3105" s="33" t="s">
        <v>209</v>
      </c>
      <c r="K3105" s="316">
        <f t="shared" si="274"/>
        <v>100.6</v>
      </c>
      <c r="S3105" s="5"/>
      <c r="T3105" s="401"/>
      <c r="U3105" s="402" t="s">
        <v>115</v>
      </c>
      <c r="V3105" s="402" t="s">
        <v>115</v>
      </c>
      <c r="W3105" s="404"/>
      <c r="X3105" s="407" t="s">
        <v>115</v>
      </c>
      <c r="AC3105" s="5">
        <v>0.1</v>
      </c>
      <c r="AD3105" s="5" t="s">
        <v>240</v>
      </c>
      <c r="AE3105" s="5" t="s">
        <v>2189</v>
      </c>
      <c r="AF3105" s="5">
        <f>AE17</f>
        <v>679</v>
      </c>
      <c r="AG3105" s="5" t="s">
        <v>227</v>
      </c>
      <c r="AH3105" s="5">
        <f>AC3105*AF3105</f>
        <v>67.900000000000006</v>
      </c>
      <c r="AM3105" s="5">
        <v>0.1</v>
      </c>
      <c r="AN3105" s="5" t="s">
        <v>240</v>
      </c>
      <c r="AP3105" s="5" t="s">
        <v>2189</v>
      </c>
      <c r="AQ3105" s="5">
        <f>AF3105</f>
        <v>679</v>
      </c>
      <c r="AR3105" s="5" t="s">
        <v>227</v>
      </c>
      <c r="AS3105" s="5">
        <f>AQ3105*AM3105</f>
        <v>67.900000000000006</v>
      </c>
    </row>
    <row r="3106" spans="6:47" ht="24.75" customHeight="1">
      <c r="F3106" s="316">
        <v>6</v>
      </c>
      <c r="G3106" s="315" t="s">
        <v>209</v>
      </c>
      <c r="H3106" s="33" t="s">
        <v>1551</v>
      </c>
      <c r="I3106" s="316">
        <f t="shared" si="275"/>
        <v>43.6</v>
      </c>
      <c r="J3106" s="33" t="s">
        <v>209</v>
      </c>
      <c r="K3106" s="316">
        <f t="shared" si="274"/>
        <v>261.60000000000002</v>
      </c>
      <c r="S3106" s="5"/>
      <c r="T3106" s="401"/>
      <c r="U3106" s="405"/>
      <c r="V3106" s="405"/>
      <c r="W3106" s="402" t="s">
        <v>115</v>
      </c>
      <c r="X3106" s="402" t="s">
        <v>115</v>
      </c>
      <c r="AC3106" s="5">
        <v>0.1</v>
      </c>
      <c r="AD3106" s="5" t="s">
        <v>2575</v>
      </c>
      <c r="AE3106" s="5" t="s">
        <v>1606</v>
      </c>
      <c r="AF3106" s="5">
        <f>AE11</f>
        <v>502</v>
      </c>
      <c r="AG3106" s="5" t="s">
        <v>227</v>
      </c>
      <c r="AH3106" s="5">
        <f>AC3106*AF3106</f>
        <v>50.2</v>
      </c>
      <c r="AM3106" s="5">
        <v>0.1</v>
      </c>
      <c r="AN3106" s="5" t="s">
        <v>2575</v>
      </c>
      <c r="AP3106" s="5" t="s">
        <v>1606</v>
      </c>
      <c r="AQ3106" s="5">
        <f>AF3106</f>
        <v>502</v>
      </c>
      <c r="AR3106" s="5" t="s">
        <v>227</v>
      </c>
      <c r="AS3106" s="5">
        <f>AQ3106*AM3106</f>
        <v>50.2</v>
      </c>
    </row>
    <row r="3107" spans="6:47" ht="29.25" customHeight="1">
      <c r="F3107" s="316">
        <v>2</v>
      </c>
      <c r="G3107" s="315" t="s">
        <v>209</v>
      </c>
      <c r="H3107" s="33" t="s">
        <v>2414</v>
      </c>
      <c r="I3107" s="316">
        <f t="shared" si="275"/>
        <v>53.8</v>
      </c>
      <c r="J3107" s="33" t="s">
        <v>209</v>
      </c>
      <c r="K3107" s="316">
        <f t="shared" si="274"/>
        <v>107.6</v>
      </c>
      <c r="S3107" s="5"/>
      <c r="T3107" s="401"/>
      <c r="U3107" s="402" t="s">
        <v>2576</v>
      </c>
      <c r="V3107" s="405">
        <f>2*0.625*0.425</f>
        <v>0.53125</v>
      </c>
      <c r="W3107" s="407" t="s">
        <v>115</v>
      </c>
      <c r="X3107" s="407" t="s">
        <v>115</v>
      </c>
      <c r="AC3107" s="5">
        <v>10</v>
      </c>
      <c r="AD3107" s="5" t="s">
        <v>2577</v>
      </c>
      <c r="AE3107" s="5" t="s">
        <v>2578</v>
      </c>
      <c r="AF3107" s="79">
        <v>18</v>
      </c>
      <c r="AG3107" s="5" t="s">
        <v>2579</v>
      </c>
      <c r="AH3107" s="5">
        <f>(AC3107*AF3107)/100</f>
        <v>1.8</v>
      </c>
      <c r="AM3107" s="5">
        <v>10</v>
      </c>
      <c r="AN3107" s="5" t="s">
        <v>2577</v>
      </c>
      <c r="AP3107" s="5" t="s">
        <v>2580</v>
      </c>
      <c r="AQ3107" s="113">
        <f>AF3107</f>
        <v>18</v>
      </c>
      <c r="AR3107" s="5" t="s">
        <v>2579</v>
      </c>
      <c r="AS3107" s="5">
        <f>(AQ3107*AM3107)/100</f>
        <v>1.8</v>
      </c>
    </row>
    <row r="3108" spans="6:47" ht="24" customHeight="1">
      <c r="F3108" s="316">
        <v>1</v>
      </c>
      <c r="G3108" s="315" t="s">
        <v>209</v>
      </c>
      <c r="H3108" s="33" t="s">
        <v>2413</v>
      </c>
      <c r="I3108" s="408">
        <f t="shared" si="275"/>
        <v>63.2</v>
      </c>
      <c r="J3108" s="33" t="s">
        <v>209</v>
      </c>
      <c r="K3108" s="316">
        <f t="shared" si="274"/>
        <v>63.2</v>
      </c>
      <c r="S3108" s="5"/>
      <c r="T3108" s="401"/>
      <c r="U3108" s="402" t="s">
        <v>2581</v>
      </c>
      <c r="V3108" s="405">
        <f>2*0.425*1.025</f>
        <v>0.87124999999999986</v>
      </c>
      <c r="W3108" s="404"/>
      <c r="X3108" s="407">
        <v>1.26</v>
      </c>
      <c r="AC3108" s="5">
        <v>0.25</v>
      </c>
      <c r="AD3108" s="5" t="s">
        <v>240</v>
      </c>
      <c r="AE3108" s="5" t="s">
        <v>2582</v>
      </c>
      <c r="AF3108" s="79">
        <v>3.5</v>
      </c>
      <c r="AG3108" s="5" t="s">
        <v>227</v>
      </c>
      <c r="AH3108" s="5">
        <v>1</v>
      </c>
      <c r="AM3108" s="5">
        <v>0.25</v>
      </c>
      <c r="AN3108" s="5" t="s">
        <v>240</v>
      </c>
      <c r="AP3108" s="5" t="s">
        <v>2583</v>
      </c>
      <c r="AQ3108" s="113">
        <f>AF3108</f>
        <v>3.5</v>
      </c>
      <c r="AR3108" s="5" t="s">
        <v>227</v>
      </c>
      <c r="AS3108" s="5">
        <f>AQ3108*AM3108</f>
        <v>0.875</v>
      </c>
      <c r="AU3108" s="5">
        <f>3.09/0.25</f>
        <v>12.36</v>
      </c>
    </row>
    <row r="3109" spans="6:47" ht="27.75" customHeight="1">
      <c r="F3109" s="316">
        <v>6.55</v>
      </c>
      <c r="G3109" s="315" t="s">
        <v>140</v>
      </c>
      <c r="H3109" s="33" t="s">
        <v>2584</v>
      </c>
      <c r="I3109" s="316">
        <f>K1540</f>
        <v>197.58330000000001</v>
      </c>
      <c r="J3109" s="33" t="s">
        <v>140</v>
      </c>
      <c r="K3109" s="316">
        <f>(F3109*I3109)</f>
        <v>1294.170615</v>
      </c>
      <c r="S3109" s="5"/>
      <c r="T3109" s="401"/>
      <c r="U3109" s="405"/>
      <c r="V3109" s="409">
        <f>SUM(V3107:V3108)</f>
        <v>1.4024999999999999</v>
      </c>
      <c r="W3109" s="404" t="s">
        <v>110</v>
      </c>
      <c r="X3109" s="402" t="s">
        <v>115</v>
      </c>
      <c r="AF3109" s="5" t="s">
        <v>2585</v>
      </c>
      <c r="AH3109" s="5">
        <f>SUM(AH3105:AH3108)</f>
        <v>120.9</v>
      </c>
      <c r="AQ3109" s="5" t="s">
        <v>2585</v>
      </c>
      <c r="AS3109" s="5">
        <f>SUM(AS3105:AS3108)</f>
        <v>120.77500000000001</v>
      </c>
    </row>
    <row r="3110" spans="6:47" ht="24" customHeight="1">
      <c r="F3110" s="307">
        <v>50</v>
      </c>
      <c r="G3110" s="306" t="s">
        <v>240</v>
      </c>
      <c r="H3110" s="33" t="s">
        <v>2586</v>
      </c>
      <c r="I3110" s="410">
        <f>I961</f>
        <v>2.37</v>
      </c>
      <c r="J3110" s="308"/>
      <c r="K3110" s="316">
        <f>(F3110*I3110)</f>
        <v>118.5</v>
      </c>
      <c r="S3110" s="5"/>
      <c r="T3110" s="6"/>
      <c r="W3110" s="8"/>
      <c r="X3110" s="130" t="s">
        <v>115</v>
      </c>
    </row>
    <row r="3111" spans="6:47" ht="26.25" customHeight="1">
      <c r="F3111" s="307"/>
      <c r="G3111" s="306"/>
      <c r="H3111" s="321"/>
      <c r="I3111" s="321"/>
      <c r="J3111" s="322"/>
      <c r="K3111" s="323" t="s">
        <v>117</v>
      </c>
      <c r="S3111" s="5"/>
      <c r="T3111" s="6"/>
      <c r="W3111" s="8"/>
      <c r="X3111" s="3" t="s">
        <v>115</v>
      </c>
      <c r="AE3111" s="411" t="s">
        <v>2460</v>
      </c>
      <c r="AF3111" s="5" t="s">
        <v>2587</v>
      </c>
      <c r="AG3111" s="411" t="s">
        <v>2587</v>
      </c>
      <c r="AH3111" s="411" t="s">
        <v>2588</v>
      </c>
      <c r="AP3111" s="411" t="s">
        <v>2460</v>
      </c>
      <c r="AQ3111" s="50" t="s">
        <v>2587</v>
      </c>
      <c r="AR3111" s="412" t="s">
        <v>2588</v>
      </c>
    </row>
    <row r="3112" spans="6:47" ht="24" customHeight="1">
      <c r="F3112" s="307"/>
      <c r="G3112" s="306"/>
      <c r="H3112" s="324" t="s">
        <v>1599</v>
      </c>
      <c r="I3112" s="321"/>
      <c r="J3112" s="322"/>
      <c r="K3112" s="325">
        <f>SUM(K3100:K3110)</f>
        <v>9701.545865</v>
      </c>
      <c r="S3112" s="4" t="s">
        <v>1504</v>
      </c>
      <c r="T3112" s="15"/>
      <c r="U3112" s="7" t="s">
        <v>2589</v>
      </c>
      <c r="W3112" s="8"/>
      <c r="X3112" s="3" t="s">
        <v>115</v>
      </c>
      <c r="AE3112" s="411"/>
      <c r="AF3112" s="5">
        <v>331</v>
      </c>
      <c r="AG3112" s="411">
        <v>331</v>
      </c>
      <c r="AH3112" s="411">
        <v>283</v>
      </c>
      <c r="AP3112" s="411"/>
      <c r="AR3112" s="411"/>
      <c r="AS3112" s="411"/>
    </row>
    <row r="3113" spans="6:47" ht="24" customHeight="1">
      <c r="F3113" s="307"/>
      <c r="G3113" s="315" t="s">
        <v>115</v>
      </c>
      <c r="H3113" s="321"/>
      <c r="I3113" s="321"/>
      <c r="J3113" s="322"/>
      <c r="K3113" s="323" t="s">
        <v>117</v>
      </c>
      <c r="S3113" s="5"/>
      <c r="T3113" s="6"/>
      <c r="U3113" s="12" t="s">
        <v>117</v>
      </c>
      <c r="W3113" s="8"/>
      <c r="AE3113" s="411" t="s">
        <v>2590</v>
      </c>
      <c r="AF3113" s="5">
        <f>AH3109</f>
        <v>120.9</v>
      </c>
      <c r="AG3113" s="411">
        <f>AH3109</f>
        <v>120.9</v>
      </c>
      <c r="AH3113" s="411">
        <f>AH3109</f>
        <v>120.9</v>
      </c>
      <c r="AP3113" s="411" t="s">
        <v>2590</v>
      </c>
      <c r="AQ3113" s="50">
        <v>96</v>
      </c>
      <c r="AR3113" s="50">
        <v>85</v>
      </c>
      <c r="AS3113" s="50">
        <v>85</v>
      </c>
    </row>
    <row r="3114" spans="6:47" ht="21" customHeight="1">
      <c r="F3114" s="307"/>
      <c r="G3114" s="306"/>
      <c r="H3114" s="324" t="s">
        <v>154</v>
      </c>
      <c r="I3114" s="321"/>
      <c r="J3114" s="322"/>
      <c r="K3114" s="325">
        <f>K3112/2.52</f>
        <v>3849.8197876984127</v>
      </c>
      <c r="S3114" s="80">
        <v>7.0699999999999999E-2</v>
      </c>
      <c r="T3114" s="15" t="s">
        <v>126</v>
      </c>
      <c r="U3114" s="3" t="s">
        <v>2591</v>
      </c>
      <c r="V3114" s="17">
        <f>P3154</f>
        <v>99400</v>
      </c>
      <c r="W3114" s="3" t="s">
        <v>126</v>
      </c>
      <c r="X3114" s="17">
        <f>V3114*S3114</f>
        <v>7027.58</v>
      </c>
      <c r="AE3114" s="411" t="s">
        <v>2196</v>
      </c>
      <c r="AF3114" s="5">
        <f>SUM(AF3112:AF3113)</f>
        <v>451.9</v>
      </c>
      <c r="AG3114" s="411">
        <f>SUM(AG3112:AG3113)</f>
        <v>451.9</v>
      </c>
      <c r="AH3114" s="411">
        <f>SUM(AH3112:AH3113)</f>
        <v>403.9</v>
      </c>
      <c r="AP3114" s="411" t="s">
        <v>2196</v>
      </c>
      <c r="AQ3114" s="5">
        <f>AS3109</f>
        <v>120.77500000000001</v>
      </c>
      <c r="AR3114" s="411">
        <f>AS3109</f>
        <v>120.77500000000001</v>
      </c>
      <c r="AS3114" s="411"/>
    </row>
    <row r="3115" spans="6:47" ht="23.25" customHeight="1">
      <c r="F3115" s="307"/>
      <c r="G3115" s="306"/>
      <c r="H3115" s="321"/>
      <c r="I3115" s="321"/>
      <c r="J3115" s="322"/>
      <c r="K3115" s="323" t="s">
        <v>155</v>
      </c>
      <c r="S3115" s="80">
        <v>3.6659999999999999</v>
      </c>
      <c r="T3115" s="15" t="s">
        <v>140</v>
      </c>
      <c r="U3115" s="3" t="s">
        <v>2592</v>
      </c>
      <c r="V3115" s="17">
        <f>I1176</f>
        <v>208.8</v>
      </c>
      <c r="W3115" s="3" t="s">
        <v>126</v>
      </c>
      <c r="X3115" s="17">
        <f t="shared" ref="X3115:X3122" si="276">V3115*S3115</f>
        <v>765.46080000000006</v>
      </c>
      <c r="AE3115" s="411"/>
      <c r="AF3115" s="5">
        <f>ROUNDUP(AF3114,0)</f>
        <v>452</v>
      </c>
      <c r="AG3115" s="5">
        <f>ROUNDUP(AG3114,0)</f>
        <v>452</v>
      </c>
      <c r="AH3115" s="5">
        <f>ROUNDUP(AH3114,0)</f>
        <v>404</v>
      </c>
      <c r="AP3115" s="411"/>
      <c r="AQ3115" s="50">
        <f>SUM(AQ3112:AQ3114)</f>
        <v>216.77500000000001</v>
      </c>
      <c r="AR3115" s="50">
        <f>SUM(AR3112:AR3114)</f>
        <v>205.77500000000001</v>
      </c>
    </row>
    <row r="3116" spans="6:47" ht="39" customHeight="1">
      <c r="S3116" s="81">
        <v>5.16</v>
      </c>
      <c r="T3116" s="15" t="s">
        <v>140</v>
      </c>
      <c r="U3116" s="3" t="s">
        <v>624</v>
      </c>
      <c r="V3116" s="17">
        <f>AE32</f>
        <v>1078</v>
      </c>
      <c r="W3116" s="3" t="s">
        <v>140</v>
      </c>
      <c r="X3116" s="17">
        <f t="shared" si="276"/>
        <v>5562.4800000000005</v>
      </c>
      <c r="AE3116" s="411"/>
      <c r="AF3116" s="411"/>
      <c r="AG3116" s="411"/>
      <c r="AH3116" s="411"/>
      <c r="AQ3116" s="5">
        <f>ROUNDUP(AQ3115,0)</f>
        <v>217</v>
      </c>
      <c r="AR3116" s="5">
        <f>ROUNDUP(AR3115,0)</f>
        <v>206</v>
      </c>
    </row>
    <row r="3117" spans="6:47" ht="39" customHeight="1">
      <c r="S3117" s="81">
        <v>22.66</v>
      </c>
      <c r="T3117" s="15" t="s">
        <v>2593</v>
      </c>
      <c r="U3117" s="3" t="s">
        <v>2594</v>
      </c>
      <c r="V3117" s="17">
        <v>45.7</v>
      </c>
      <c r="W3117" s="3" t="s">
        <v>140</v>
      </c>
      <c r="X3117" s="17">
        <f t="shared" si="276"/>
        <v>1035.5620000000001</v>
      </c>
    </row>
    <row r="3118" spans="6:47" ht="39" customHeight="1">
      <c r="H3118" s="50" t="s">
        <v>2595</v>
      </c>
      <c r="N3118" s="6"/>
      <c r="O3118" s="50" t="s">
        <v>2596</v>
      </c>
      <c r="Q3118" s="8"/>
      <c r="S3118" s="17">
        <v>15</v>
      </c>
      <c r="T3118" s="15" t="s">
        <v>209</v>
      </c>
      <c r="U3118" s="3" t="s">
        <v>1506</v>
      </c>
      <c r="V3118" s="17">
        <f>C279</f>
        <v>79.099999999999994</v>
      </c>
      <c r="W3118" s="3" t="s">
        <v>209</v>
      </c>
      <c r="X3118" s="17">
        <f t="shared" si="276"/>
        <v>1186.5</v>
      </c>
    </row>
    <row r="3119" spans="6:47" ht="39" customHeight="1">
      <c r="F3119" s="5">
        <v>1</v>
      </c>
      <c r="H3119" s="5" t="s">
        <v>2597</v>
      </c>
      <c r="I3119" s="413">
        <v>143.97999999999999</v>
      </c>
      <c r="J3119" s="8" t="s">
        <v>227</v>
      </c>
      <c r="K3119" s="5">
        <f>I3119</f>
        <v>143.97999999999999</v>
      </c>
      <c r="M3119" s="5">
        <v>1</v>
      </c>
      <c r="N3119" s="6"/>
      <c r="O3119" s="5" t="s">
        <v>2598</v>
      </c>
      <c r="P3119" s="79">
        <v>14.7</v>
      </c>
      <c r="Q3119" s="8" t="s">
        <v>227</v>
      </c>
      <c r="R3119" s="5">
        <f>P3119</f>
        <v>14.7</v>
      </c>
      <c r="S3119" s="17">
        <v>10</v>
      </c>
      <c r="T3119" s="15" t="s">
        <v>209</v>
      </c>
      <c r="U3119" s="3" t="s">
        <v>2599</v>
      </c>
      <c r="V3119" s="25">
        <v>68.5</v>
      </c>
      <c r="W3119" s="3" t="s">
        <v>209</v>
      </c>
      <c r="X3119" s="17">
        <f t="shared" si="276"/>
        <v>685</v>
      </c>
    </row>
    <row r="3120" spans="6:47" ht="39" customHeight="1">
      <c r="F3120" s="5">
        <v>1</v>
      </c>
      <c r="H3120" s="113" t="s">
        <v>2600</v>
      </c>
      <c r="I3120" s="413">
        <v>41.65</v>
      </c>
      <c r="J3120" s="8" t="s">
        <v>227</v>
      </c>
      <c r="K3120" s="5">
        <f>I3120</f>
        <v>41.65</v>
      </c>
      <c r="M3120" s="5">
        <v>1</v>
      </c>
      <c r="N3120" s="6"/>
      <c r="O3120" s="5" t="s">
        <v>2601</v>
      </c>
      <c r="P3120" s="79">
        <v>7.3</v>
      </c>
      <c r="Q3120" s="8" t="s">
        <v>227</v>
      </c>
      <c r="R3120" s="5">
        <f>P3120</f>
        <v>7.3</v>
      </c>
      <c r="S3120" s="17">
        <v>5</v>
      </c>
      <c r="T3120" s="15" t="s">
        <v>209</v>
      </c>
      <c r="U3120" s="3" t="s">
        <v>2602</v>
      </c>
      <c r="V3120" s="17">
        <f>P3161</f>
        <v>50.9</v>
      </c>
      <c r="W3120" s="3" t="s">
        <v>209</v>
      </c>
      <c r="X3120" s="17">
        <f t="shared" si="276"/>
        <v>254.5</v>
      </c>
    </row>
    <row r="3121" spans="6:24" ht="39" customHeight="1">
      <c r="F3121" s="9">
        <v>0.125</v>
      </c>
      <c r="H3121" s="113" t="s">
        <v>2603</v>
      </c>
      <c r="I3121" s="5">
        <f>C15</f>
        <v>667</v>
      </c>
      <c r="J3121" s="8" t="s">
        <v>227</v>
      </c>
      <c r="K3121" s="5">
        <f>F3121*I3121</f>
        <v>83.375</v>
      </c>
      <c r="M3121" s="9">
        <v>0.125</v>
      </c>
      <c r="N3121" s="6"/>
      <c r="O3121" s="113" t="s">
        <v>2603</v>
      </c>
      <c r="P3121" s="113">
        <f>I3121</f>
        <v>667</v>
      </c>
      <c r="Q3121" s="8" t="s">
        <v>227</v>
      </c>
      <c r="R3121" s="5">
        <f>M3121*P3121</f>
        <v>83.375</v>
      </c>
      <c r="S3121" s="17">
        <v>5</v>
      </c>
      <c r="T3121" s="15" t="s">
        <v>209</v>
      </c>
      <c r="U3121" s="3" t="s">
        <v>628</v>
      </c>
      <c r="V3121" s="17">
        <f>P3160</f>
        <v>7.3</v>
      </c>
      <c r="W3121" s="3" t="s">
        <v>209</v>
      </c>
      <c r="X3121" s="17">
        <f t="shared" si="276"/>
        <v>36.5</v>
      </c>
    </row>
    <row r="3122" spans="6:24" ht="39" customHeight="1">
      <c r="F3122" s="9"/>
      <c r="H3122" s="113" t="s">
        <v>236</v>
      </c>
      <c r="K3122" s="5">
        <v>2.11</v>
      </c>
      <c r="M3122" s="9"/>
      <c r="N3122" s="6"/>
      <c r="O3122" s="113" t="s">
        <v>236</v>
      </c>
      <c r="Q3122" s="8"/>
      <c r="R3122" s="5">
        <v>4.37</v>
      </c>
      <c r="S3122" s="17">
        <v>10</v>
      </c>
      <c r="T3122" s="15" t="s">
        <v>209</v>
      </c>
      <c r="U3122" s="3" t="s">
        <v>2604</v>
      </c>
      <c r="V3122" s="17">
        <f>I3110</f>
        <v>2.37</v>
      </c>
      <c r="W3122" s="3" t="s">
        <v>209</v>
      </c>
      <c r="X3122" s="17">
        <f t="shared" si="276"/>
        <v>23.700000000000003</v>
      </c>
    </row>
    <row r="3123" spans="6:24" ht="24" customHeight="1">
      <c r="H3123" s="191" t="s">
        <v>2321</v>
      </c>
      <c r="I3123" s="50"/>
      <c r="J3123" s="59"/>
      <c r="K3123" s="50">
        <f>SUM(K3119:K3122)</f>
        <v>271.11500000000001</v>
      </c>
      <c r="N3123" s="6"/>
      <c r="O3123" s="191" t="s">
        <v>2321</v>
      </c>
      <c r="P3123" s="50"/>
      <c r="Q3123" s="59"/>
      <c r="R3123" s="50">
        <f>SUM(R3119:R3122)</f>
        <v>109.745</v>
      </c>
      <c r="S3123" s="17"/>
      <c r="T3123" s="15">
        <f>R3123-90</f>
        <v>19.745000000000005</v>
      </c>
      <c r="U3123" s="3"/>
      <c r="V3123" s="17"/>
      <c r="W3123" s="3" t="s">
        <v>209</v>
      </c>
      <c r="X3123" s="12" t="s">
        <v>117</v>
      </c>
    </row>
    <row r="3124" spans="6:24" ht="24" customHeight="1">
      <c r="R3124" s="5">
        <f>R3123-87</f>
        <v>22.745000000000005</v>
      </c>
      <c r="S3124" s="17"/>
      <c r="T3124" s="6"/>
      <c r="U3124" s="4" t="s">
        <v>2605</v>
      </c>
      <c r="W3124" s="8"/>
      <c r="X3124" s="17">
        <f>SUM(X3114:X3122)</f>
        <v>16577.282800000001</v>
      </c>
    </row>
    <row r="3125" spans="6:24" ht="24" customHeight="1">
      <c r="S3125" s="5"/>
      <c r="T3125" s="6"/>
      <c r="W3125" s="8"/>
      <c r="X3125" s="12" t="s">
        <v>117</v>
      </c>
    </row>
    <row r="3126" spans="6:24" ht="24" customHeight="1">
      <c r="F3126" s="4" t="s">
        <v>1517</v>
      </c>
      <c r="G3126" s="15" t="s">
        <v>122</v>
      </c>
      <c r="H3126" s="3" t="s">
        <v>1518</v>
      </c>
      <c r="S3126" s="5"/>
      <c r="T3126" s="15" t="s">
        <v>115</v>
      </c>
      <c r="U3126" s="19" t="s">
        <v>154</v>
      </c>
      <c r="W3126" s="8"/>
      <c r="X3126" s="16">
        <f>X3124/S3116</f>
        <v>3212.6517054263568</v>
      </c>
    </row>
    <row r="3127" spans="6:24" ht="24" customHeight="1">
      <c r="H3127" s="3" t="s">
        <v>1519</v>
      </c>
      <c r="S3127" s="5"/>
      <c r="T3127" s="6"/>
      <c r="W3127" s="8"/>
      <c r="X3127" s="12" t="s">
        <v>155</v>
      </c>
    </row>
    <row r="3128" spans="6:24" ht="24" customHeight="1">
      <c r="H3128" s="3" t="s">
        <v>1521</v>
      </c>
      <c r="S3128" s="5"/>
      <c r="T3128" s="6"/>
    </row>
    <row r="3129" spans="6:24" ht="24" customHeight="1">
      <c r="H3129" s="3" t="s">
        <v>1522</v>
      </c>
      <c r="S3129" s="4"/>
      <c r="T3129" s="15"/>
      <c r="U3129" s="3" t="s">
        <v>2606</v>
      </c>
      <c r="W3129" s="8"/>
      <c r="X3129" s="3" t="s">
        <v>115</v>
      </c>
    </row>
    <row r="3130" spans="6:24" ht="24" customHeight="1">
      <c r="H3130" s="3" t="s">
        <v>1523</v>
      </c>
      <c r="S3130" s="5"/>
      <c r="T3130" s="6"/>
      <c r="U3130" s="12" t="s">
        <v>117</v>
      </c>
      <c r="W3130" s="8"/>
    </row>
    <row r="3131" spans="6:24" ht="24" customHeight="1">
      <c r="H3131" s="3" t="s">
        <v>1524</v>
      </c>
      <c r="S3131" s="80">
        <v>2.7400000000000001E-2</v>
      </c>
      <c r="T3131" s="15" t="s">
        <v>126</v>
      </c>
      <c r="U3131" s="3" t="s">
        <v>2591</v>
      </c>
      <c r="V3131" s="17">
        <f>V3114</f>
        <v>99400</v>
      </c>
      <c r="W3131" s="3" t="s">
        <v>126</v>
      </c>
      <c r="X3131" s="17">
        <f>V3131*S3131</f>
        <v>2723.56</v>
      </c>
    </row>
    <row r="3132" spans="6:24" ht="24" customHeight="1">
      <c r="H3132" s="12" t="s">
        <v>117</v>
      </c>
      <c r="S3132" s="80">
        <v>1.1599999999999999</v>
      </c>
      <c r="T3132" s="15" t="s">
        <v>140</v>
      </c>
      <c r="U3132" s="3" t="s">
        <v>2592</v>
      </c>
      <c r="V3132" s="17">
        <f t="shared" ref="V3132:V3139" si="277">V3115</f>
        <v>208.8</v>
      </c>
      <c r="W3132" s="3" t="s">
        <v>126</v>
      </c>
      <c r="X3132" s="17">
        <f t="shared" ref="X3132:X3139" si="278">V3132*S3132</f>
        <v>242.208</v>
      </c>
    </row>
    <row r="3133" spans="6:24" ht="24" customHeight="1">
      <c r="H3133" s="3" t="s">
        <v>2607</v>
      </c>
      <c r="M3133" s="4" t="s">
        <v>1517</v>
      </c>
      <c r="N3133" s="15" t="s">
        <v>122</v>
      </c>
      <c r="O3133" s="3" t="s">
        <v>1518</v>
      </c>
      <c r="Q3133" s="8"/>
      <c r="S3133" s="81">
        <v>1.74</v>
      </c>
      <c r="T3133" s="15" t="s">
        <v>140</v>
      </c>
      <c r="U3133" s="3" t="s">
        <v>624</v>
      </c>
      <c r="V3133" s="17">
        <f t="shared" si="277"/>
        <v>1078</v>
      </c>
      <c r="W3133" s="3" t="s">
        <v>140</v>
      </c>
      <c r="X3133" s="17">
        <f t="shared" si="278"/>
        <v>1875.72</v>
      </c>
    </row>
    <row r="3134" spans="6:24" ht="24" customHeight="1">
      <c r="H3134" s="3" t="s">
        <v>1526</v>
      </c>
      <c r="N3134" s="6"/>
      <c r="O3134" s="3" t="s">
        <v>1519</v>
      </c>
      <c r="Q3134" s="8"/>
      <c r="S3134" s="81">
        <v>8.74</v>
      </c>
      <c r="T3134" s="15" t="s">
        <v>2593</v>
      </c>
      <c r="U3134" s="3" t="s">
        <v>2594</v>
      </c>
      <c r="V3134" s="17">
        <f t="shared" si="277"/>
        <v>45.7</v>
      </c>
      <c r="W3134" s="3" t="s">
        <v>140</v>
      </c>
      <c r="X3134" s="17">
        <f t="shared" si="278"/>
        <v>399.41800000000001</v>
      </c>
    </row>
    <row r="3135" spans="6:24" ht="24" customHeight="1">
      <c r="J3135" s="3" t="s">
        <v>117</v>
      </c>
      <c r="N3135" s="6"/>
      <c r="O3135" s="3" t="s">
        <v>1521</v>
      </c>
      <c r="Q3135" s="8"/>
      <c r="S3135" s="17">
        <v>6</v>
      </c>
      <c r="T3135" s="15" t="s">
        <v>209</v>
      </c>
      <c r="U3135" s="3" t="s">
        <v>1506</v>
      </c>
      <c r="V3135" s="17">
        <f t="shared" si="277"/>
        <v>79.099999999999994</v>
      </c>
      <c r="W3135" s="3" t="s">
        <v>209</v>
      </c>
      <c r="X3135" s="17">
        <f t="shared" si="278"/>
        <v>474.59999999999997</v>
      </c>
    </row>
    <row r="3136" spans="6:24" ht="24" customHeight="1">
      <c r="H3136" s="3" t="s">
        <v>2608</v>
      </c>
      <c r="N3136" s="6"/>
      <c r="O3136" s="3" t="s">
        <v>1522</v>
      </c>
      <c r="Q3136" s="8"/>
      <c r="S3136" s="17">
        <v>4</v>
      </c>
      <c r="T3136" s="15" t="s">
        <v>209</v>
      </c>
      <c r="U3136" s="3" t="s">
        <v>2599</v>
      </c>
      <c r="V3136" s="17">
        <f t="shared" si="277"/>
        <v>68.5</v>
      </c>
      <c r="W3136" s="3" t="s">
        <v>209</v>
      </c>
      <c r="X3136" s="17">
        <f t="shared" si="278"/>
        <v>274</v>
      </c>
    </row>
    <row r="3137" spans="6:24" ht="24" customHeight="1">
      <c r="H3137" s="3" t="s">
        <v>115</v>
      </c>
      <c r="I3137" s="3" t="s">
        <v>115</v>
      </c>
      <c r="K3137" s="130" t="s">
        <v>115</v>
      </c>
      <c r="N3137" s="6"/>
      <c r="O3137" s="3" t="s">
        <v>1523</v>
      </c>
      <c r="Q3137" s="8"/>
      <c r="S3137" s="17">
        <v>2</v>
      </c>
      <c r="T3137" s="15" t="s">
        <v>209</v>
      </c>
      <c r="U3137" s="3" t="s">
        <v>2602</v>
      </c>
      <c r="V3137" s="17">
        <f t="shared" si="277"/>
        <v>50.9</v>
      </c>
      <c r="W3137" s="3" t="s">
        <v>209</v>
      </c>
      <c r="X3137" s="17">
        <f t="shared" si="278"/>
        <v>101.8</v>
      </c>
    </row>
    <row r="3138" spans="6:24" ht="24" customHeight="1">
      <c r="J3138" s="3" t="s">
        <v>115</v>
      </c>
      <c r="K3138" s="3" t="s">
        <v>115</v>
      </c>
      <c r="N3138" s="6"/>
      <c r="O3138" s="3" t="s">
        <v>1524</v>
      </c>
      <c r="Q3138" s="8"/>
      <c r="S3138" s="17">
        <v>2</v>
      </c>
      <c r="T3138" s="15" t="s">
        <v>209</v>
      </c>
      <c r="U3138" s="3" t="s">
        <v>628</v>
      </c>
      <c r="V3138" s="17">
        <f t="shared" si="277"/>
        <v>7.3</v>
      </c>
      <c r="W3138" s="3" t="s">
        <v>209</v>
      </c>
      <c r="X3138" s="17">
        <f t="shared" si="278"/>
        <v>14.6</v>
      </c>
    </row>
    <row r="3139" spans="6:24" ht="24" customHeight="1">
      <c r="H3139" s="3" t="s">
        <v>2609</v>
      </c>
      <c r="J3139" s="130" t="s">
        <v>115</v>
      </c>
      <c r="K3139" s="130" t="s">
        <v>115</v>
      </c>
      <c r="N3139" s="6"/>
      <c r="O3139" s="14" t="s">
        <v>2610</v>
      </c>
      <c r="Q3139" s="8"/>
      <c r="S3139" s="17">
        <v>10</v>
      </c>
      <c r="T3139" s="15" t="s">
        <v>209</v>
      </c>
      <c r="U3139" s="3" t="s">
        <v>2604</v>
      </c>
      <c r="V3139" s="17">
        <f t="shared" si="277"/>
        <v>2.37</v>
      </c>
      <c r="W3139" s="3" t="s">
        <v>209</v>
      </c>
      <c r="X3139" s="17">
        <f t="shared" si="278"/>
        <v>23.700000000000003</v>
      </c>
    </row>
    <row r="3140" spans="6:24" ht="24" customHeight="1">
      <c r="H3140" s="3" t="s">
        <v>2611</v>
      </c>
      <c r="K3140" s="130">
        <v>1.26</v>
      </c>
      <c r="N3140" s="6"/>
      <c r="O3140" s="3" t="s">
        <v>2612</v>
      </c>
      <c r="P3140" s="101">
        <f>1.1*2.05</f>
        <v>2.2549999999999999</v>
      </c>
      <c r="Q3140" s="8" t="s">
        <v>110</v>
      </c>
      <c r="S3140" s="17"/>
      <c r="T3140" s="15"/>
      <c r="U3140" s="3"/>
      <c r="V3140" s="17"/>
      <c r="W3140" s="3" t="s">
        <v>209</v>
      </c>
      <c r="X3140" s="12" t="s">
        <v>117</v>
      </c>
    </row>
    <row r="3141" spans="6:24" ht="24" customHeight="1">
      <c r="K3141" s="3" t="s">
        <v>115</v>
      </c>
      <c r="N3141" s="6"/>
      <c r="O3141" s="3" t="s">
        <v>2613</v>
      </c>
      <c r="P3141" s="363">
        <f>2*2.05*0.075*0.0375</f>
        <v>1.1531249999999998E-2</v>
      </c>
      <c r="Q3141" s="8" t="s">
        <v>642</v>
      </c>
      <c r="S3141" s="17"/>
      <c r="T3141" s="6"/>
      <c r="U3141" s="4" t="s">
        <v>2614</v>
      </c>
      <c r="W3141" s="8"/>
      <c r="X3141" s="17">
        <f>SUM(X3131:X3139)</f>
        <v>6129.6060000000007</v>
      </c>
    </row>
    <row r="3142" spans="6:24" ht="24" customHeight="1">
      <c r="K3142" s="130" t="s">
        <v>115</v>
      </c>
      <c r="N3142" s="6"/>
      <c r="Q3142" s="3" t="s">
        <v>117</v>
      </c>
      <c r="S3142" s="5"/>
      <c r="T3142" s="6"/>
      <c r="W3142" s="8"/>
      <c r="X3142" s="12" t="s">
        <v>117</v>
      </c>
    </row>
    <row r="3143" spans="6:24" ht="24" customHeight="1">
      <c r="K3143" s="3" t="s">
        <v>115</v>
      </c>
      <c r="N3143" s="6"/>
      <c r="O3143" s="3" t="s">
        <v>2615</v>
      </c>
      <c r="P3143" s="363">
        <f>1*3*1.1*0.15*0.0375</f>
        <v>1.8562499999999999E-2</v>
      </c>
      <c r="Q3143" s="8" t="s">
        <v>642</v>
      </c>
      <c r="S3143" s="5"/>
      <c r="T3143" s="15" t="s">
        <v>115</v>
      </c>
      <c r="U3143" s="19" t="s">
        <v>154</v>
      </c>
      <c r="W3143" s="8"/>
      <c r="X3143" s="16">
        <f>X3141/S3133</f>
        <v>3522.7620689655178</v>
      </c>
    </row>
    <row r="3144" spans="6:24" ht="24" customHeight="1">
      <c r="F3144" s="4" t="s">
        <v>1504</v>
      </c>
      <c r="G3144" s="15"/>
      <c r="H3144" s="3" t="s">
        <v>1544</v>
      </c>
      <c r="K3144" s="3" t="s">
        <v>115</v>
      </c>
      <c r="N3144" s="6"/>
      <c r="O3144" s="3" t="s">
        <v>115</v>
      </c>
      <c r="P3144" s="3" t="s">
        <v>115</v>
      </c>
      <c r="Q3144" s="8"/>
      <c r="R3144" s="130" t="s">
        <v>115</v>
      </c>
      <c r="S3144" s="5"/>
      <c r="T3144" s="6"/>
      <c r="W3144" s="8"/>
      <c r="X3144" s="12" t="s">
        <v>155</v>
      </c>
    </row>
    <row r="3145" spans="6:24" ht="24" customHeight="1">
      <c r="H3145" s="12" t="s">
        <v>117</v>
      </c>
      <c r="N3145" s="6"/>
      <c r="Q3145" s="3" t="s">
        <v>115</v>
      </c>
      <c r="R3145" s="3" t="s">
        <v>115</v>
      </c>
    </row>
    <row r="3146" spans="6:24" ht="24" customHeight="1">
      <c r="F3146" s="80">
        <v>1.153E-2</v>
      </c>
      <c r="G3146" s="15" t="s">
        <v>126</v>
      </c>
      <c r="H3146" s="3" t="s">
        <v>621</v>
      </c>
      <c r="I3146" s="17">
        <f>AC26</f>
        <v>111600</v>
      </c>
      <c r="J3146" s="3" t="s">
        <v>126</v>
      </c>
      <c r="K3146" s="17">
        <f>I3146*F3146</f>
        <v>1286.748</v>
      </c>
      <c r="N3146" s="6"/>
      <c r="O3146" s="3" t="s">
        <v>2616</v>
      </c>
      <c r="P3146" s="5">
        <f>1*0.625*0.975</f>
        <v>0.609375</v>
      </c>
      <c r="Q3146" s="130" t="s">
        <v>115</v>
      </c>
      <c r="R3146" s="130" t="s">
        <v>115</v>
      </c>
    </row>
    <row r="3147" spans="6:24" ht="24" customHeight="1">
      <c r="F3147" s="81">
        <v>1.52E-2</v>
      </c>
      <c r="G3147" s="15" t="s">
        <v>126</v>
      </c>
      <c r="H3147" s="3" t="s">
        <v>622</v>
      </c>
      <c r="I3147" s="17">
        <f>AC27</f>
        <v>99400</v>
      </c>
      <c r="J3147" s="3" t="s">
        <v>126</v>
      </c>
      <c r="K3147" s="17">
        <f t="shared" ref="K3147:K3155" si="279">I3147*F3147</f>
        <v>1510.88</v>
      </c>
      <c r="N3147" s="6"/>
      <c r="O3147" s="3" t="s">
        <v>2581</v>
      </c>
      <c r="P3147" s="5">
        <f>1*0.975*1.025</f>
        <v>0.9993749999999999</v>
      </c>
      <c r="Q3147" s="8"/>
      <c r="R3147" s="130">
        <v>1.26</v>
      </c>
      <c r="U3147" s="7" t="s">
        <v>2617</v>
      </c>
    </row>
    <row r="3148" spans="6:24" ht="24" customHeight="1">
      <c r="F3148" s="81">
        <f>K3140</f>
        <v>1.26</v>
      </c>
      <c r="G3148" s="15" t="s">
        <v>140</v>
      </c>
      <c r="H3148" s="3" t="s">
        <v>623</v>
      </c>
      <c r="I3148" s="17">
        <f>C783</f>
        <v>387.4</v>
      </c>
      <c r="J3148" s="3" t="s">
        <v>140</v>
      </c>
      <c r="K3148" s="17">
        <f t="shared" si="279"/>
        <v>488.12399999999997</v>
      </c>
      <c r="N3148" s="6"/>
      <c r="P3148" s="50">
        <f>SUM(P3146:P3147)</f>
        <v>1.6087499999999999</v>
      </c>
      <c r="Q3148" s="8" t="s">
        <v>110</v>
      </c>
      <c r="R3148" s="3" t="s">
        <v>115</v>
      </c>
      <c r="S3148" s="1512" t="s">
        <v>2618</v>
      </c>
      <c r="T3148" s="1512"/>
      <c r="U3148" s="9">
        <f>2*2*0.075*0.0375*1.95</f>
        <v>2.1937499999999999E-2</v>
      </c>
    </row>
    <row r="3149" spans="6:24" ht="24" customHeight="1">
      <c r="F3149" s="81">
        <v>1.845</v>
      </c>
      <c r="G3149" s="15" t="s">
        <v>140</v>
      </c>
      <c r="H3149" s="3" t="s">
        <v>624</v>
      </c>
      <c r="I3149" s="17">
        <f>D30</f>
        <v>963</v>
      </c>
      <c r="J3149" s="3" t="s">
        <v>140</v>
      </c>
      <c r="K3149" s="17">
        <f t="shared" si="279"/>
        <v>1776.7349999999999</v>
      </c>
      <c r="N3149" s="6"/>
      <c r="Q3149" s="8"/>
      <c r="R3149" s="130" t="s">
        <v>115</v>
      </c>
      <c r="S3149" s="414" t="s">
        <v>2619</v>
      </c>
      <c r="T3149" s="6"/>
      <c r="U3149" s="363">
        <f>2*2*0.065*0.075*0.375</f>
        <v>7.3124999999999996E-3</v>
      </c>
    </row>
    <row r="3150" spans="6:24" ht="24" customHeight="1">
      <c r="F3150" s="17">
        <v>2</v>
      </c>
      <c r="G3150" s="15" t="s">
        <v>209</v>
      </c>
      <c r="H3150" s="3" t="s">
        <v>625</v>
      </c>
      <c r="I3150" s="17">
        <f>C284</f>
        <v>57.2</v>
      </c>
      <c r="J3150" s="3" t="s">
        <v>209</v>
      </c>
      <c r="K3150" s="17">
        <f t="shared" si="279"/>
        <v>114.4</v>
      </c>
      <c r="N3150" s="6"/>
      <c r="Q3150" s="8"/>
      <c r="R3150" s="3" t="s">
        <v>115</v>
      </c>
      <c r="S3150" s="414"/>
      <c r="T3150" s="6"/>
      <c r="U3150" s="301">
        <f>SUM(U3148:U3149)</f>
        <v>2.9249999999999998E-2</v>
      </c>
      <c r="V3150" s="5" t="s">
        <v>2620</v>
      </c>
    </row>
    <row r="3151" spans="6:24" ht="24" customHeight="1">
      <c r="F3151" s="17">
        <v>3</v>
      </c>
      <c r="G3151" s="15" t="s">
        <v>209</v>
      </c>
      <c r="H3151" s="3" t="s">
        <v>1506</v>
      </c>
      <c r="I3151" s="17">
        <f>C279</f>
        <v>79.099999999999994</v>
      </c>
      <c r="J3151" s="3" t="s">
        <v>209</v>
      </c>
      <c r="K3151" s="17">
        <f t="shared" si="279"/>
        <v>237.29999999999998</v>
      </c>
      <c r="M3151" s="4" t="s">
        <v>1504</v>
      </c>
      <c r="N3151" s="15"/>
      <c r="O3151" s="3" t="s">
        <v>2621</v>
      </c>
      <c r="Q3151" s="8"/>
      <c r="R3151" s="3" t="s">
        <v>115</v>
      </c>
      <c r="S3151" s="414" t="s">
        <v>2622</v>
      </c>
      <c r="T3151" s="6"/>
      <c r="U3151" s="9">
        <f>2*0.65*1.95</f>
        <v>2.5350000000000001</v>
      </c>
      <c r="V3151" s="5" t="s">
        <v>656</v>
      </c>
    </row>
    <row r="3152" spans="6:24" ht="24" customHeight="1">
      <c r="F3152" s="17">
        <v>1</v>
      </c>
      <c r="G3152" s="15" t="s">
        <v>209</v>
      </c>
      <c r="H3152" s="3" t="s">
        <v>627</v>
      </c>
      <c r="I3152" s="17">
        <f>C286</f>
        <v>159.69999999999999</v>
      </c>
      <c r="J3152" s="3" t="s">
        <v>209</v>
      </c>
      <c r="K3152" s="17">
        <f t="shared" si="279"/>
        <v>159.69999999999999</v>
      </c>
      <c r="N3152" s="6"/>
      <c r="O3152" s="12" t="s">
        <v>117</v>
      </c>
      <c r="Q3152" s="8"/>
      <c r="S3152" s="414" t="s">
        <v>2623</v>
      </c>
      <c r="T3152" s="6"/>
      <c r="U3152" s="9">
        <f>1*2*0.525*1.825</f>
        <v>1.91625</v>
      </c>
      <c r="V3152" s="5" t="s">
        <v>2624</v>
      </c>
    </row>
    <row r="3153" spans="6:24" ht="24" customHeight="1">
      <c r="F3153" s="17">
        <v>1</v>
      </c>
      <c r="G3153" s="15" t="s">
        <v>209</v>
      </c>
      <c r="H3153" s="3" t="s">
        <v>628</v>
      </c>
      <c r="I3153" s="17">
        <f>C288</f>
        <v>7.3</v>
      </c>
      <c r="J3153" s="3" t="s">
        <v>209</v>
      </c>
      <c r="K3153" s="17">
        <f t="shared" si="279"/>
        <v>7.3</v>
      </c>
      <c r="M3153" s="80">
        <f>P3141</f>
        <v>1.1531249999999998E-2</v>
      </c>
      <c r="N3153" s="15" t="s">
        <v>126</v>
      </c>
      <c r="O3153" s="3" t="s">
        <v>621</v>
      </c>
      <c r="P3153" s="17">
        <f>I3146</f>
        <v>111600</v>
      </c>
      <c r="Q3153" s="3" t="s">
        <v>126</v>
      </c>
      <c r="R3153" s="17">
        <f>P3153*M3153</f>
        <v>1286.8874999999998</v>
      </c>
      <c r="S3153" s="414" t="s">
        <v>2625</v>
      </c>
      <c r="T3153" s="6"/>
      <c r="U3153" s="9">
        <f>2*2*(0.525+1.825)</f>
        <v>9.4</v>
      </c>
      <c r="V3153" s="5" t="s">
        <v>2626</v>
      </c>
    </row>
    <row r="3154" spans="6:24" ht="24" customHeight="1">
      <c r="F3154" s="17">
        <v>1</v>
      </c>
      <c r="G3154" s="15" t="s">
        <v>209</v>
      </c>
      <c r="H3154" s="3" t="s">
        <v>1538</v>
      </c>
      <c r="I3154" s="17">
        <f>C598</f>
        <v>50.9</v>
      </c>
      <c r="J3154" s="3" t="s">
        <v>209</v>
      </c>
      <c r="K3154" s="17">
        <f t="shared" si="279"/>
        <v>50.9</v>
      </c>
      <c r="M3154" s="80">
        <f>P3143</f>
        <v>1.8562499999999999E-2</v>
      </c>
      <c r="N3154" s="15" t="s">
        <v>126</v>
      </c>
      <c r="O3154" s="3" t="s">
        <v>622</v>
      </c>
      <c r="P3154" s="17">
        <f t="shared" ref="P3154:P3162" si="280">I3147</f>
        <v>99400</v>
      </c>
      <c r="Q3154" s="3" t="s">
        <v>126</v>
      </c>
      <c r="R3154" s="17">
        <f t="shared" ref="R3154:R3163" si="281">P3154*M3154</f>
        <v>1845.1125</v>
      </c>
      <c r="S3154" s="4"/>
      <c r="T3154" s="15"/>
      <c r="W3154" s="8"/>
      <c r="X3154" s="3" t="s">
        <v>115</v>
      </c>
    </row>
    <row r="3155" spans="6:24" ht="24" customHeight="1">
      <c r="F3155" s="17">
        <v>1</v>
      </c>
      <c r="G3155" s="15" t="s">
        <v>209</v>
      </c>
      <c r="H3155" s="3" t="s">
        <v>630</v>
      </c>
      <c r="I3155" s="17">
        <f>D598</f>
        <v>43.8</v>
      </c>
      <c r="J3155" s="3" t="s">
        <v>209</v>
      </c>
      <c r="K3155" s="17">
        <f t="shared" si="279"/>
        <v>43.8</v>
      </c>
      <c r="M3155" s="81">
        <f>P3148</f>
        <v>1.6087499999999999</v>
      </c>
      <c r="N3155" s="15" t="s">
        <v>140</v>
      </c>
      <c r="O3155" s="3" t="s">
        <v>623</v>
      </c>
      <c r="P3155" s="17">
        <f t="shared" si="280"/>
        <v>387.4</v>
      </c>
      <c r="Q3155" s="3" t="s">
        <v>140</v>
      </c>
      <c r="R3155" s="17">
        <f t="shared" si="281"/>
        <v>623.22974999999997</v>
      </c>
      <c r="S3155" s="5"/>
      <c r="T3155" s="6"/>
      <c r="U3155" s="12" t="s">
        <v>117</v>
      </c>
      <c r="W3155" s="8"/>
    </row>
    <row r="3156" spans="6:24" ht="24" customHeight="1">
      <c r="H3156" s="329" t="s">
        <v>2604</v>
      </c>
      <c r="K3156" s="112">
        <f>10*2.18</f>
        <v>21.8</v>
      </c>
      <c r="M3156" s="81">
        <f>P3140</f>
        <v>2.2549999999999999</v>
      </c>
      <c r="N3156" s="15" t="s">
        <v>140</v>
      </c>
      <c r="O3156" s="3" t="s">
        <v>624</v>
      </c>
      <c r="P3156" s="17">
        <f t="shared" si="280"/>
        <v>963</v>
      </c>
      <c r="Q3156" s="3" t="s">
        <v>140</v>
      </c>
      <c r="R3156" s="17">
        <f t="shared" si="281"/>
        <v>2171.5650000000001</v>
      </c>
      <c r="S3156" s="80">
        <v>9.2099999999999994E-3</v>
      </c>
      <c r="T3156" s="15" t="s">
        <v>126</v>
      </c>
      <c r="U3156" s="3" t="s">
        <v>2591</v>
      </c>
      <c r="V3156" s="17">
        <f>V3131</f>
        <v>99400</v>
      </c>
      <c r="W3156" s="3" t="s">
        <v>126</v>
      </c>
      <c r="X3156" s="17">
        <f>V3156*S3156</f>
        <v>915.47399999999993</v>
      </c>
    </row>
    <row r="3157" spans="6:24" ht="24" customHeight="1">
      <c r="H3157" s="4" t="s">
        <v>2627</v>
      </c>
      <c r="K3157" s="17">
        <f>SUM(K3146:K3156)</f>
        <v>5697.6869999999999</v>
      </c>
      <c r="M3157" s="17">
        <v>2</v>
      </c>
      <c r="N3157" s="15" t="s">
        <v>209</v>
      </c>
      <c r="O3157" s="3" t="s">
        <v>625</v>
      </c>
      <c r="P3157" s="17">
        <f t="shared" si="280"/>
        <v>57.2</v>
      </c>
      <c r="Q3157" s="3" t="s">
        <v>209</v>
      </c>
      <c r="R3157" s="17">
        <f t="shared" si="281"/>
        <v>114.4</v>
      </c>
      <c r="S3157" s="80">
        <v>0.65249999999999997</v>
      </c>
      <c r="T3157" s="15" t="s">
        <v>140</v>
      </c>
      <c r="U3157" s="3" t="s">
        <v>2592</v>
      </c>
      <c r="V3157" s="17">
        <f>V3132</f>
        <v>208.8</v>
      </c>
      <c r="W3157" s="3" t="s">
        <v>126</v>
      </c>
      <c r="X3157" s="17">
        <f t="shared" ref="X3157:X3164" si="282">V3157*S3157</f>
        <v>136.24199999999999</v>
      </c>
    </row>
    <row r="3158" spans="6:24" ht="24" customHeight="1">
      <c r="G3158" s="15" t="s">
        <v>115</v>
      </c>
      <c r="K3158" s="12" t="s">
        <v>117</v>
      </c>
      <c r="M3158" s="17">
        <v>3</v>
      </c>
      <c r="N3158" s="15" t="s">
        <v>209</v>
      </c>
      <c r="O3158" s="3" t="s">
        <v>1506</v>
      </c>
      <c r="P3158" s="17">
        <f t="shared" si="280"/>
        <v>79.099999999999994</v>
      </c>
      <c r="Q3158" s="3" t="s">
        <v>209</v>
      </c>
      <c r="R3158" s="17">
        <f t="shared" si="281"/>
        <v>237.29999999999998</v>
      </c>
      <c r="S3158" s="81">
        <v>0.879</v>
      </c>
      <c r="T3158" s="15" t="s">
        <v>140</v>
      </c>
      <c r="U3158" s="3" t="s">
        <v>624</v>
      </c>
      <c r="V3158" s="17">
        <f t="shared" ref="V3158:V3163" si="283">V3133</f>
        <v>1078</v>
      </c>
      <c r="W3158" s="3" t="s">
        <v>140</v>
      </c>
      <c r="X3158" s="17">
        <f t="shared" si="282"/>
        <v>947.56200000000001</v>
      </c>
    </row>
    <row r="3159" spans="6:24" ht="24" customHeight="1">
      <c r="H3159" s="19" t="s">
        <v>154</v>
      </c>
      <c r="K3159" s="16">
        <f>K3157/F3149</f>
        <v>3088.1772357723576</v>
      </c>
      <c r="M3159" s="17">
        <v>1</v>
      </c>
      <c r="N3159" s="15" t="s">
        <v>209</v>
      </c>
      <c r="O3159" s="3" t="s">
        <v>627</v>
      </c>
      <c r="P3159" s="17">
        <f t="shared" si="280"/>
        <v>159.69999999999999</v>
      </c>
      <c r="Q3159" s="3" t="s">
        <v>209</v>
      </c>
      <c r="R3159" s="17">
        <f t="shared" si="281"/>
        <v>159.69999999999999</v>
      </c>
      <c r="S3159" s="81">
        <v>4.3250000000000002</v>
      </c>
      <c r="T3159" s="15" t="s">
        <v>2593</v>
      </c>
      <c r="U3159" s="3" t="s">
        <v>2594</v>
      </c>
      <c r="V3159" s="17">
        <f t="shared" si="283"/>
        <v>45.7</v>
      </c>
      <c r="W3159" s="3" t="s">
        <v>140</v>
      </c>
      <c r="X3159" s="17">
        <f t="shared" si="282"/>
        <v>197.65250000000003</v>
      </c>
    </row>
    <row r="3160" spans="6:24" ht="24" customHeight="1">
      <c r="K3160" s="12" t="s">
        <v>155</v>
      </c>
      <c r="M3160" s="17">
        <v>1</v>
      </c>
      <c r="N3160" s="15" t="s">
        <v>209</v>
      </c>
      <c r="O3160" s="3" t="s">
        <v>628</v>
      </c>
      <c r="P3160" s="17">
        <f t="shared" si="280"/>
        <v>7.3</v>
      </c>
      <c r="Q3160" s="3" t="s">
        <v>209</v>
      </c>
      <c r="R3160" s="17">
        <f t="shared" si="281"/>
        <v>7.3</v>
      </c>
      <c r="S3160" s="17">
        <v>3</v>
      </c>
      <c r="T3160" s="15" t="s">
        <v>209</v>
      </c>
      <c r="U3160" s="3" t="s">
        <v>1506</v>
      </c>
      <c r="V3160" s="17">
        <f t="shared" si="283"/>
        <v>79.099999999999994</v>
      </c>
      <c r="W3160" s="3" t="s">
        <v>209</v>
      </c>
      <c r="X3160" s="17">
        <f t="shared" si="282"/>
        <v>237.29999999999998</v>
      </c>
    </row>
    <row r="3161" spans="6:24" ht="24" customHeight="1">
      <c r="M3161" s="17">
        <v>1</v>
      </c>
      <c r="N3161" s="15" t="s">
        <v>209</v>
      </c>
      <c r="O3161" s="3" t="s">
        <v>1538</v>
      </c>
      <c r="P3161" s="17">
        <f t="shared" si="280"/>
        <v>50.9</v>
      </c>
      <c r="Q3161" s="3" t="s">
        <v>209</v>
      </c>
      <c r="R3161" s="17">
        <f t="shared" si="281"/>
        <v>50.9</v>
      </c>
      <c r="S3161" s="17">
        <v>2</v>
      </c>
      <c r="T3161" s="15" t="s">
        <v>209</v>
      </c>
      <c r="U3161" s="3" t="s">
        <v>2599</v>
      </c>
      <c r="V3161" s="17">
        <f t="shared" si="283"/>
        <v>68.5</v>
      </c>
      <c r="W3161" s="3" t="s">
        <v>209</v>
      </c>
      <c r="X3161" s="17">
        <f t="shared" si="282"/>
        <v>137</v>
      </c>
    </row>
    <row r="3162" spans="6:24" ht="24" customHeight="1">
      <c r="M3162" s="17">
        <v>1</v>
      </c>
      <c r="N3162" s="15" t="s">
        <v>209</v>
      </c>
      <c r="O3162" s="3" t="s">
        <v>630</v>
      </c>
      <c r="P3162" s="17">
        <f t="shared" si="280"/>
        <v>43.8</v>
      </c>
      <c r="Q3162" s="3" t="s">
        <v>209</v>
      </c>
      <c r="R3162" s="17">
        <f t="shared" si="281"/>
        <v>43.8</v>
      </c>
      <c r="S3162" s="17">
        <v>1</v>
      </c>
      <c r="T3162" s="15" t="s">
        <v>209</v>
      </c>
      <c r="U3162" s="3" t="s">
        <v>2602</v>
      </c>
      <c r="V3162" s="17">
        <f t="shared" si="283"/>
        <v>50.9</v>
      </c>
      <c r="W3162" s="3" t="s">
        <v>209</v>
      </c>
      <c r="X3162" s="17">
        <f t="shared" si="282"/>
        <v>50.9</v>
      </c>
    </row>
    <row r="3163" spans="6:24" ht="24" customHeight="1">
      <c r="M3163" s="17">
        <v>58</v>
      </c>
      <c r="N3163" s="6"/>
      <c r="O3163" s="329" t="s">
        <v>2604</v>
      </c>
      <c r="P3163" s="5">
        <f>P2864</f>
        <v>2.37</v>
      </c>
      <c r="Q3163" s="8"/>
      <c r="R3163" s="17">
        <f t="shared" si="281"/>
        <v>137.46</v>
      </c>
      <c r="S3163" s="17">
        <v>1</v>
      </c>
      <c r="T3163" s="15" t="s">
        <v>209</v>
      </c>
      <c r="U3163" s="3" t="s">
        <v>628</v>
      </c>
      <c r="V3163" s="17">
        <f t="shared" si="283"/>
        <v>7.3</v>
      </c>
      <c r="W3163" s="3" t="s">
        <v>209</v>
      </c>
      <c r="X3163" s="17">
        <f t="shared" si="282"/>
        <v>7.3</v>
      </c>
    </row>
    <row r="3164" spans="6:24" ht="24" customHeight="1">
      <c r="N3164" s="6"/>
      <c r="O3164" s="4" t="s">
        <v>2500</v>
      </c>
      <c r="Q3164" s="8"/>
      <c r="R3164" s="17">
        <f>SUM(R3153:R3163)</f>
        <v>6677.6547499999997</v>
      </c>
      <c r="S3164" s="17">
        <v>36</v>
      </c>
      <c r="T3164" s="15" t="s">
        <v>209</v>
      </c>
      <c r="U3164" s="3" t="s">
        <v>2604</v>
      </c>
      <c r="V3164" s="17">
        <f>V3139</f>
        <v>2.37</v>
      </c>
      <c r="W3164" s="3" t="s">
        <v>209</v>
      </c>
      <c r="X3164" s="17">
        <f t="shared" si="282"/>
        <v>85.320000000000007</v>
      </c>
    </row>
    <row r="3165" spans="6:24" ht="24" customHeight="1">
      <c r="N3165" s="15" t="s">
        <v>115</v>
      </c>
      <c r="Q3165" s="8"/>
      <c r="R3165" s="12" t="s">
        <v>117</v>
      </c>
      <c r="S3165" s="17"/>
      <c r="T3165" s="15"/>
      <c r="U3165" s="3"/>
      <c r="V3165" s="17"/>
      <c r="W3165" s="3" t="s">
        <v>209</v>
      </c>
      <c r="X3165" s="12" t="s">
        <v>117</v>
      </c>
    </row>
    <row r="3166" spans="6:24" ht="24" customHeight="1">
      <c r="H3166" s="5" t="s">
        <v>2628</v>
      </c>
      <c r="J3166" s="5"/>
      <c r="N3166" s="6"/>
      <c r="O3166" s="19" t="s">
        <v>154</v>
      </c>
      <c r="Q3166" s="8"/>
      <c r="R3166" s="16">
        <f>R3164/M3156</f>
        <v>2961.2659645232816</v>
      </c>
      <c r="S3166" s="17"/>
      <c r="T3166" s="6"/>
      <c r="U3166" s="19" t="s">
        <v>2629</v>
      </c>
      <c r="W3166" s="8"/>
      <c r="X3166" s="17">
        <f>SUM(X3156:X3164)</f>
        <v>2714.7505000000006</v>
      </c>
    </row>
    <row r="3167" spans="6:24" ht="24" customHeight="1">
      <c r="J3167" s="5"/>
      <c r="N3167" s="6"/>
      <c r="Q3167" s="8"/>
      <c r="R3167" s="12" t="s">
        <v>155</v>
      </c>
      <c r="S3167" s="5"/>
      <c r="T3167" s="6"/>
      <c r="W3167" s="8"/>
      <c r="X3167" s="12" t="s">
        <v>117</v>
      </c>
    </row>
    <row r="3168" spans="6:24" ht="24" customHeight="1">
      <c r="F3168" s="5">
        <v>3.23</v>
      </c>
      <c r="G3168" s="6" t="s">
        <v>654</v>
      </c>
      <c r="H3168" s="5" t="s">
        <v>2630</v>
      </c>
      <c r="I3168" s="5">
        <f>I1505</f>
        <v>48.95</v>
      </c>
      <c r="J3168" s="6" t="s">
        <v>654</v>
      </c>
      <c r="K3168" s="5">
        <f>I3168*F3168</f>
        <v>158.10850000000002</v>
      </c>
      <c r="S3168" s="5"/>
      <c r="T3168" s="15" t="s">
        <v>115</v>
      </c>
      <c r="U3168" s="19" t="s">
        <v>154</v>
      </c>
      <c r="W3168" s="8"/>
      <c r="X3168" s="16">
        <f>X3166/S3158</f>
        <v>3088.4533560864625</v>
      </c>
    </row>
    <row r="3169" spans="6:24" ht="24" customHeight="1">
      <c r="F3169" s="5">
        <v>0.5</v>
      </c>
      <c r="G3169" s="6" t="s">
        <v>188</v>
      </c>
      <c r="H3169" s="5" t="s">
        <v>2631</v>
      </c>
      <c r="I3169" s="5">
        <f>I1506</f>
        <v>615</v>
      </c>
      <c r="J3169" s="6" t="s">
        <v>188</v>
      </c>
      <c r="K3169" s="5">
        <f>I3169*F3169</f>
        <v>307.5</v>
      </c>
      <c r="S3169" s="5"/>
      <c r="T3169" s="6"/>
      <c r="W3169" s="8"/>
      <c r="X3169" s="12" t="s">
        <v>155</v>
      </c>
    </row>
    <row r="3170" spans="6:24" ht="24" customHeight="1">
      <c r="F3170" s="5">
        <v>0.5</v>
      </c>
      <c r="G3170" s="6" t="s">
        <v>188</v>
      </c>
      <c r="H3170" s="3" t="s">
        <v>146</v>
      </c>
      <c r="I3170" s="5">
        <f>I1507</f>
        <v>502</v>
      </c>
      <c r="J3170" s="6" t="s">
        <v>188</v>
      </c>
      <c r="K3170" s="5">
        <f>I3170*F3170</f>
        <v>251</v>
      </c>
      <c r="M3170" s="188"/>
      <c r="N3170" s="336" t="s">
        <v>122</v>
      </c>
      <c r="O3170" s="187" t="s">
        <v>2632</v>
      </c>
      <c r="P3170" s="329"/>
      <c r="Q3170" s="332"/>
      <c r="R3170" s="329"/>
    </row>
    <row r="3171" spans="6:24" ht="24" customHeight="1">
      <c r="F3171" s="5">
        <v>0.8</v>
      </c>
      <c r="G3171" s="6" t="s">
        <v>188</v>
      </c>
      <c r="H3171" s="3" t="s">
        <v>147</v>
      </c>
      <c r="I3171" s="5">
        <f>I1508</f>
        <v>412</v>
      </c>
      <c r="J3171" s="6" t="s">
        <v>188</v>
      </c>
      <c r="K3171" s="5">
        <f>I3171*F3171</f>
        <v>329.6</v>
      </c>
      <c r="M3171" s="329"/>
      <c r="N3171" s="330"/>
      <c r="O3171" s="187" t="s">
        <v>1467</v>
      </c>
      <c r="P3171" s="329"/>
      <c r="Q3171" s="332"/>
      <c r="R3171" s="329"/>
    </row>
    <row r="3172" spans="6:24" ht="24" customHeight="1">
      <c r="F3172" s="5">
        <v>10</v>
      </c>
      <c r="G3172" s="6" t="s">
        <v>174</v>
      </c>
      <c r="H3172" s="3" t="s">
        <v>175</v>
      </c>
      <c r="I3172" s="5">
        <f>C460</f>
        <v>3.2</v>
      </c>
      <c r="J3172" s="6" t="s">
        <v>174</v>
      </c>
      <c r="K3172" s="5">
        <f>I3172*F3172</f>
        <v>32</v>
      </c>
      <c r="M3172" s="329"/>
      <c r="N3172" s="330"/>
      <c r="O3172" s="415" t="s">
        <v>2633</v>
      </c>
      <c r="P3172" s="329"/>
      <c r="Q3172" s="332"/>
      <c r="R3172" s="329"/>
    </row>
    <row r="3173" spans="6:24" ht="24" customHeight="1">
      <c r="H3173" s="3" t="s">
        <v>167</v>
      </c>
      <c r="I3173" s="91" t="s">
        <v>166</v>
      </c>
      <c r="J3173" s="10"/>
      <c r="K3173" s="5">
        <v>1.75</v>
      </c>
      <c r="M3173" s="329"/>
      <c r="N3173" s="330"/>
      <c r="O3173" s="337" t="s">
        <v>117</v>
      </c>
      <c r="P3173" s="329"/>
      <c r="Q3173" s="332"/>
      <c r="R3173" s="329"/>
    </row>
    <row r="3174" spans="6:24" ht="24" customHeight="1">
      <c r="J3174" s="10"/>
      <c r="K3174" s="5">
        <f>SUM(K3168:K3173)</f>
        <v>1079.9585000000002</v>
      </c>
      <c r="M3174" s="329"/>
      <c r="N3174" s="330"/>
      <c r="O3174" s="187" t="s">
        <v>2634</v>
      </c>
      <c r="P3174" s="333" t="s">
        <v>155</v>
      </c>
      <c r="Q3174" s="416">
        <v>3.1219999999999999</v>
      </c>
      <c r="R3174" s="329" t="s">
        <v>174</v>
      </c>
    </row>
    <row r="3175" spans="6:24" ht="24" customHeight="1">
      <c r="J3175" s="10"/>
      <c r="K3175" s="5">
        <f>K3174/10</f>
        <v>107.99585000000002</v>
      </c>
      <c r="M3175" s="329"/>
      <c r="N3175" s="330"/>
      <c r="O3175" s="187"/>
      <c r="P3175" s="333"/>
      <c r="Q3175" s="416"/>
      <c r="R3175" s="329"/>
    </row>
    <row r="3176" spans="6:24" ht="24" customHeight="1">
      <c r="G3176" s="5"/>
      <c r="J3176" s="5"/>
      <c r="L3176" s="5">
        <f>K3210</f>
        <v>311.61900000000003</v>
      </c>
      <c r="M3176" s="329"/>
      <c r="N3176" s="330"/>
      <c r="O3176" s="187" t="s">
        <v>2635</v>
      </c>
      <c r="P3176" s="333" t="s">
        <v>155</v>
      </c>
      <c r="Q3176" s="417">
        <v>5.1999999999999998E-2</v>
      </c>
      <c r="R3176" s="329" t="s">
        <v>429</v>
      </c>
    </row>
    <row r="3177" spans="6:24" ht="24" customHeight="1">
      <c r="G3177" s="5"/>
      <c r="J3177" s="5"/>
      <c r="L3177" s="5">
        <f>K3211</f>
        <v>430.5</v>
      </c>
      <c r="M3177" s="329"/>
      <c r="N3177" s="330"/>
      <c r="O3177" s="187" t="s">
        <v>2636</v>
      </c>
      <c r="Q3177" s="418"/>
      <c r="R3177" s="329"/>
    </row>
    <row r="3178" spans="6:24" ht="24" customHeight="1">
      <c r="G3178" s="5"/>
      <c r="J3178" s="5"/>
      <c r="M3178" s="329"/>
      <c r="N3178" s="330"/>
      <c r="O3178" s="187" t="s">
        <v>2637</v>
      </c>
      <c r="P3178" s="333" t="s">
        <v>155</v>
      </c>
      <c r="Q3178" s="419">
        <v>2.2780000000000002E-2</v>
      </c>
      <c r="R3178" s="329"/>
    </row>
    <row r="3179" spans="6:24" ht="24" customHeight="1">
      <c r="H3179" s="5" t="s">
        <v>2638</v>
      </c>
      <c r="J3179" s="5"/>
      <c r="L3179" s="5">
        <v>1.5</v>
      </c>
      <c r="M3179" s="329"/>
      <c r="N3179" s="330"/>
      <c r="O3179" s="187" t="s">
        <v>2639</v>
      </c>
      <c r="P3179" s="333" t="s">
        <v>155</v>
      </c>
      <c r="Q3179" s="419">
        <v>1.013E-2</v>
      </c>
      <c r="R3179" s="361"/>
    </row>
    <row r="3180" spans="6:24" ht="24" customHeight="1">
      <c r="J3180" s="5"/>
      <c r="L3180" s="5">
        <f>SUM(L3176:L3179)</f>
        <v>743.61900000000003</v>
      </c>
      <c r="M3180" s="329"/>
      <c r="N3180" s="330"/>
      <c r="O3180" s="329"/>
      <c r="P3180" s="329"/>
      <c r="Q3180" s="337" t="s">
        <v>117</v>
      </c>
    </row>
    <row r="3181" spans="6:24" ht="24" customHeight="1">
      <c r="F3181" s="5">
        <v>1.8</v>
      </c>
      <c r="G3181" s="6" t="s">
        <v>654</v>
      </c>
      <c r="H3181" s="5" t="s">
        <v>2630</v>
      </c>
      <c r="I3181" s="5">
        <f>I3168</f>
        <v>48.95</v>
      </c>
      <c r="J3181" s="6" t="s">
        <v>654</v>
      </c>
      <c r="K3181" s="5">
        <f>I3181*F3181</f>
        <v>88.110000000000014</v>
      </c>
      <c r="M3181" s="329"/>
      <c r="N3181" s="330"/>
      <c r="O3181" s="329"/>
      <c r="P3181" s="329"/>
      <c r="Q3181" s="420">
        <v>3.2910000000000002E-2</v>
      </c>
      <c r="R3181" s="5" t="s">
        <v>429</v>
      </c>
    </row>
    <row r="3182" spans="6:24" ht="24" customHeight="1">
      <c r="F3182" s="5">
        <v>0.25</v>
      </c>
      <c r="G3182" s="6" t="s">
        <v>188</v>
      </c>
      <c r="H3182" s="5" t="s">
        <v>2631</v>
      </c>
      <c r="I3182" s="5">
        <f>I3169</f>
        <v>615</v>
      </c>
      <c r="J3182" s="6" t="s">
        <v>188</v>
      </c>
      <c r="K3182" s="5">
        <f>I3182*F3182</f>
        <v>153.75</v>
      </c>
      <c r="L3182" s="5">
        <f>L3180/10</f>
        <v>74.361900000000006</v>
      </c>
      <c r="M3182" s="329"/>
      <c r="N3182" s="330"/>
      <c r="O3182" s="329"/>
      <c r="P3182" s="329"/>
      <c r="Q3182" s="337" t="s">
        <v>117</v>
      </c>
    </row>
    <row r="3183" spans="6:24" ht="24" customHeight="1">
      <c r="F3183" s="5">
        <v>0.25</v>
      </c>
      <c r="G3183" s="6" t="s">
        <v>188</v>
      </c>
      <c r="H3183" s="3" t="s">
        <v>146</v>
      </c>
      <c r="I3183" s="5">
        <f>I3170</f>
        <v>502</v>
      </c>
      <c r="J3183" s="6" t="s">
        <v>188</v>
      </c>
      <c r="K3183" s="5">
        <f>I3183*F3183</f>
        <v>125.5</v>
      </c>
      <c r="M3183" s="329"/>
      <c r="N3183" s="330"/>
      <c r="O3183" s="187" t="s">
        <v>2640</v>
      </c>
      <c r="P3183" s="329"/>
      <c r="Q3183" s="421">
        <v>1.7600000000000001E-2</v>
      </c>
      <c r="R3183" s="361"/>
    </row>
    <row r="3184" spans="6:24" ht="24" customHeight="1">
      <c r="F3184" s="5">
        <v>0.4</v>
      </c>
      <c r="G3184" s="6" t="s">
        <v>188</v>
      </c>
      <c r="H3184" s="3" t="s">
        <v>147</v>
      </c>
      <c r="I3184" s="5">
        <f>I3171</f>
        <v>412</v>
      </c>
      <c r="J3184" s="6" t="s">
        <v>188</v>
      </c>
      <c r="K3184" s="5">
        <f>I3184*F3184</f>
        <v>164.8</v>
      </c>
      <c r="M3184" s="329"/>
      <c r="N3184" s="330"/>
      <c r="O3184" s="187" t="s">
        <v>2641</v>
      </c>
      <c r="P3184" s="329"/>
      <c r="Q3184" s="422">
        <v>8.3999999999999995E-3</v>
      </c>
      <c r="R3184" s="361"/>
    </row>
    <row r="3185" spans="6:20" ht="24" customHeight="1">
      <c r="F3185" s="5">
        <v>10</v>
      </c>
      <c r="G3185" s="6" t="s">
        <v>174</v>
      </c>
      <c r="H3185" s="3" t="s">
        <v>192</v>
      </c>
      <c r="I3185" s="5">
        <f>I3172</f>
        <v>3.2</v>
      </c>
      <c r="J3185" s="6" t="s">
        <v>174</v>
      </c>
      <c r="K3185" s="5">
        <f>I3185*F3185</f>
        <v>32</v>
      </c>
      <c r="M3185" s="329"/>
      <c r="N3185" s="330"/>
      <c r="O3185" s="187"/>
      <c r="P3185" s="329"/>
      <c r="Q3185" s="337" t="s">
        <v>117</v>
      </c>
      <c r="R3185" s="361"/>
    </row>
    <row r="3186" spans="6:20" ht="24" customHeight="1">
      <c r="H3186" s="3" t="s">
        <v>167</v>
      </c>
      <c r="I3186" s="91" t="s">
        <v>176</v>
      </c>
      <c r="J3186" s="10"/>
      <c r="K3186" s="5">
        <v>1.6</v>
      </c>
      <c r="M3186" s="329"/>
      <c r="N3186" s="330"/>
      <c r="O3186" s="187"/>
      <c r="P3186" s="329"/>
      <c r="Q3186" s="423">
        <v>2.5999999999999999E-2</v>
      </c>
      <c r="R3186" s="361" t="s">
        <v>429</v>
      </c>
    </row>
    <row r="3187" spans="6:20" ht="24" customHeight="1">
      <c r="J3187" s="10"/>
      <c r="K3187" s="5">
        <f>SUM(K3181:K3186)</f>
        <v>565.7600000000001</v>
      </c>
      <c r="M3187" s="329"/>
      <c r="N3187" s="330"/>
      <c r="O3187" s="329"/>
      <c r="P3187" s="329"/>
      <c r="Q3187" s="337" t="s">
        <v>117</v>
      </c>
      <c r="R3187" s="337"/>
    </row>
    <row r="3188" spans="6:20" ht="24" customHeight="1">
      <c r="J3188" s="10"/>
      <c r="K3188" s="5">
        <f>K3187/10</f>
        <v>56.576000000000008</v>
      </c>
      <c r="M3188" s="361">
        <v>5.1999999999999998E-2</v>
      </c>
      <c r="N3188" s="336" t="s">
        <v>126</v>
      </c>
      <c r="O3188" s="187" t="s">
        <v>1483</v>
      </c>
      <c r="P3188" s="185">
        <f>AC26</f>
        <v>111600</v>
      </c>
      <c r="Q3188" s="188" t="s">
        <v>126</v>
      </c>
      <c r="R3188" s="185">
        <f>P3188*M3188</f>
        <v>5803.2</v>
      </c>
    </row>
    <row r="3189" spans="6:20" ht="24" customHeight="1">
      <c r="G3189" s="5"/>
      <c r="J3189" s="5"/>
      <c r="M3189" s="361">
        <v>3.2910000000000002E-2</v>
      </c>
      <c r="N3189" s="336" t="s">
        <v>126</v>
      </c>
      <c r="O3189" s="187" t="s">
        <v>1485</v>
      </c>
      <c r="P3189" s="185">
        <f>AC27</f>
        <v>99400</v>
      </c>
      <c r="Q3189" s="188" t="s">
        <v>126</v>
      </c>
      <c r="R3189" s="185">
        <f t="shared" ref="R3189:R3199" si="284">P3189*M3189</f>
        <v>3271.2540000000004</v>
      </c>
    </row>
    <row r="3190" spans="6:20" ht="24" customHeight="1">
      <c r="G3190" s="5"/>
      <c r="J3190" s="5"/>
      <c r="M3190" s="361">
        <v>2.5999999999999999E-2</v>
      </c>
      <c r="N3190" s="336" t="s">
        <v>126</v>
      </c>
      <c r="O3190" s="187" t="s">
        <v>2642</v>
      </c>
      <c r="P3190" s="185">
        <v>101921.4</v>
      </c>
      <c r="Q3190" s="188" t="s">
        <v>126</v>
      </c>
      <c r="R3190" s="185">
        <f t="shared" si="284"/>
        <v>2649.9563999999996</v>
      </c>
    </row>
    <row r="3191" spans="6:20" ht="24" customHeight="1">
      <c r="G3191" s="5"/>
      <c r="J3191" s="5"/>
      <c r="L3191" s="5">
        <f>K3225</f>
        <v>520.14600000000007</v>
      </c>
      <c r="M3191" s="377"/>
      <c r="N3191" s="330"/>
      <c r="O3191" s="187" t="s">
        <v>2643</v>
      </c>
      <c r="P3191" s="185"/>
      <c r="Q3191" s="332"/>
      <c r="R3191" s="185">
        <f t="shared" si="284"/>
        <v>0</v>
      </c>
    </row>
    <row r="3192" spans="6:20" ht="24" customHeight="1">
      <c r="H3192" s="5" t="s">
        <v>183</v>
      </c>
      <c r="J3192" s="5"/>
      <c r="L3192" s="5">
        <f>K3226</f>
        <v>738</v>
      </c>
      <c r="M3192" s="377">
        <v>3.1219999999999999</v>
      </c>
      <c r="N3192" s="336" t="s">
        <v>140</v>
      </c>
      <c r="O3192" s="187" t="s">
        <v>1480</v>
      </c>
      <c r="P3192" s="185">
        <f>I954</f>
        <v>1155</v>
      </c>
      <c r="Q3192" s="188" t="s">
        <v>140</v>
      </c>
      <c r="R3192" s="185">
        <f t="shared" si="284"/>
        <v>3605.91</v>
      </c>
    </row>
    <row r="3193" spans="6:20" ht="24" customHeight="1">
      <c r="H3193" s="5" t="s">
        <v>191</v>
      </c>
      <c r="J3193" s="5"/>
      <c r="M3193" s="185">
        <v>4</v>
      </c>
      <c r="N3193" s="336" t="s">
        <v>1</v>
      </c>
      <c r="O3193" s="187" t="s">
        <v>2644</v>
      </c>
      <c r="P3193" s="185">
        <f>I2637</f>
        <v>450</v>
      </c>
      <c r="Q3193" s="188" t="s">
        <v>209</v>
      </c>
      <c r="R3193" s="185">
        <f t="shared" si="284"/>
        <v>1800</v>
      </c>
    </row>
    <row r="3194" spans="6:20" ht="24" customHeight="1">
      <c r="H3194" s="5" t="s">
        <v>185</v>
      </c>
      <c r="J3194" s="5"/>
      <c r="L3194" s="5">
        <f>K3228</f>
        <v>1.5</v>
      </c>
      <c r="M3194" s="185">
        <v>8</v>
      </c>
      <c r="N3194" s="336" t="s">
        <v>209</v>
      </c>
      <c r="O3194" s="187" t="s">
        <v>1482</v>
      </c>
      <c r="P3194" s="185">
        <f>P3158</f>
        <v>79.099999999999994</v>
      </c>
      <c r="Q3194" s="188" t="s">
        <v>209</v>
      </c>
      <c r="R3194" s="185">
        <f t="shared" si="284"/>
        <v>632.79999999999995</v>
      </c>
    </row>
    <row r="3195" spans="6:20" ht="24" customHeight="1">
      <c r="J3195" s="5"/>
      <c r="L3195" s="5">
        <f>SUM(L3191:L3194)</f>
        <v>1259.6460000000002</v>
      </c>
      <c r="M3195" s="185">
        <v>4</v>
      </c>
      <c r="N3195" s="336" t="s">
        <v>209</v>
      </c>
      <c r="O3195" s="424" t="s">
        <v>2645</v>
      </c>
      <c r="P3195" s="425">
        <v>86.3</v>
      </c>
      <c r="Q3195" s="188" t="s">
        <v>209</v>
      </c>
      <c r="R3195" s="185">
        <f t="shared" si="284"/>
        <v>345.2</v>
      </c>
    </row>
    <row r="3196" spans="6:20" ht="24" customHeight="1">
      <c r="F3196" s="5">
        <v>1.1100000000000001</v>
      </c>
      <c r="G3196" s="6" t="s">
        <v>186</v>
      </c>
      <c r="H3196" s="5" t="s">
        <v>187</v>
      </c>
      <c r="I3196" s="5">
        <f>I1547</f>
        <v>223.2</v>
      </c>
      <c r="J3196" s="6" t="s">
        <v>186</v>
      </c>
      <c r="K3196" s="5">
        <f>I3196*F3196</f>
        <v>247.75200000000001</v>
      </c>
      <c r="M3196" s="185">
        <v>1</v>
      </c>
      <c r="N3196" s="336" t="s">
        <v>209</v>
      </c>
      <c r="O3196" s="424" t="s">
        <v>2646</v>
      </c>
      <c r="P3196" s="425">
        <v>185.2</v>
      </c>
      <c r="Q3196" s="188" t="s">
        <v>209</v>
      </c>
      <c r="R3196" s="185">
        <f t="shared" si="284"/>
        <v>185.2</v>
      </c>
    </row>
    <row r="3197" spans="6:20" ht="24" customHeight="1">
      <c r="F3197" s="5">
        <v>0.7</v>
      </c>
      <c r="G3197" s="6" t="s">
        <v>188</v>
      </c>
      <c r="H3197" s="5" t="s">
        <v>181</v>
      </c>
      <c r="I3197" s="5">
        <f>I3182</f>
        <v>615</v>
      </c>
      <c r="J3197" s="6" t="s">
        <v>188</v>
      </c>
      <c r="K3197" s="5">
        <f>I3197*F3197</f>
        <v>430.5</v>
      </c>
      <c r="L3197" s="5">
        <f>L3195/10</f>
        <v>125.96460000000002</v>
      </c>
      <c r="M3197" s="185">
        <v>2</v>
      </c>
      <c r="N3197" s="336" t="s">
        <v>209</v>
      </c>
      <c r="O3197" s="424" t="s">
        <v>2647</v>
      </c>
      <c r="P3197" s="425">
        <v>22.7</v>
      </c>
      <c r="Q3197" s="188" t="s">
        <v>209</v>
      </c>
      <c r="R3197" s="185">
        <f t="shared" si="284"/>
        <v>45.4</v>
      </c>
    </row>
    <row r="3198" spans="6:20" ht="24" customHeight="1">
      <c r="F3198" s="5">
        <v>10</v>
      </c>
      <c r="G3198" s="6" t="s">
        <v>174</v>
      </c>
      <c r="H3198" s="292" t="s">
        <v>2648</v>
      </c>
      <c r="I3198" s="43">
        <v>6.9</v>
      </c>
      <c r="J3198" s="6" t="s">
        <v>174</v>
      </c>
      <c r="K3198" s="5">
        <f>I3198*F3198</f>
        <v>69</v>
      </c>
      <c r="M3198" s="185">
        <v>2</v>
      </c>
      <c r="N3198" s="336" t="s">
        <v>209</v>
      </c>
      <c r="O3198" s="424" t="s">
        <v>2649</v>
      </c>
      <c r="P3198" s="425">
        <v>43.8</v>
      </c>
      <c r="Q3198" s="188" t="s">
        <v>209</v>
      </c>
      <c r="R3198" s="185">
        <f t="shared" si="284"/>
        <v>87.6</v>
      </c>
      <c r="S3198" s="9">
        <f>0.42*3.122</f>
        <v>1.31124</v>
      </c>
      <c r="T3198" s="5">
        <f>S3198+19.79</f>
        <v>21.101240000000001</v>
      </c>
    </row>
    <row r="3199" spans="6:20" ht="24" customHeight="1">
      <c r="H3199" s="3" t="s">
        <v>167</v>
      </c>
      <c r="I3199" s="5" t="s">
        <v>166</v>
      </c>
      <c r="J3199" s="10"/>
      <c r="K3199" s="5">
        <v>1.9</v>
      </c>
      <c r="M3199" s="185">
        <v>118</v>
      </c>
      <c r="N3199" s="336" t="s">
        <v>209</v>
      </c>
      <c r="O3199" s="329" t="s">
        <v>2604</v>
      </c>
      <c r="P3199" s="329">
        <f>I961</f>
        <v>2.37</v>
      </c>
      <c r="Q3199" s="188" t="s">
        <v>209</v>
      </c>
      <c r="R3199" s="185">
        <f t="shared" si="284"/>
        <v>279.66000000000003</v>
      </c>
    </row>
    <row r="3200" spans="6:20" ht="24" customHeight="1">
      <c r="H3200" s="5" t="s">
        <v>153</v>
      </c>
      <c r="J3200" s="10"/>
      <c r="K3200" s="5">
        <f>SUM(K3196:K3199)</f>
        <v>749.15199999999993</v>
      </c>
      <c r="M3200" s="329"/>
      <c r="N3200" s="330"/>
      <c r="O3200" s="329"/>
      <c r="P3200" s="329"/>
      <c r="Q3200" s="332"/>
      <c r="R3200" s="337" t="s">
        <v>117</v>
      </c>
    </row>
    <row r="3201" spans="6:18" ht="24" customHeight="1">
      <c r="J3201" s="10"/>
      <c r="M3201" s="329"/>
      <c r="N3201" s="330"/>
      <c r="O3201" s="187" t="s">
        <v>2650</v>
      </c>
      <c r="P3201" s="329"/>
      <c r="Q3201" s="332"/>
      <c r="R3201" s="185">
        <f>SUM(R3188:R3199)</f>
        <v>18706.180399999997</v>
      </c>
    </row>
    <row r="3202" spans="6:18" ht="24" customHeight="1">
      <c r="H3202" s="5" t="s">
        <v>154</v>
      </c>
      <c r="J3202" s="10"/>
      <c r="K3202" s="5">
        <f>K3200/10</f>
        <v>74.915199999999999</v>
      </c>
      <c r="M3202" s="329"/>
      <c r="N3202" s="330"/>
      <c r="O3202" s="329"/>
      <c r="P3202" s="329"/>
      <c r="Q3202" s="332"/>
      <c r="R3202" s="337" t="s">
        <v>117</v>
      </c>
    </row>
    <row r="3203" spans="6:18" ht="24" customHeight="1">
      <c r="J3203" s="10"/>
      <c r="M3203" s="329"/>
      <c r="N3203" s="330"/>
      <c r="O3203" s="343" t="s">
        <v>154</v>
      </c>
      <c r="P3203" s="329"/>
      <c r="Q3203" s="334" t="s">
        <v>2433</v>
      </c>
      <c r="R3203" s="344">
        <f>R3201/M3192</f>
        <v>5991.7297885970529</v>
      </c>
    </row>
    <row r="3204" spans="6:18" ht="24" customHeight="1">
      <c r="J3204" s="10"/>
      <c r="M3204" s="188"/>
      <c r="N3204" s="336" t="s">
        <v>122</v>
      </c>
      <c r="O3204" s="187" t="s">
        <v>2651</v>
      </c>
      <c r="P3204" s="329"/>
      <c r="Q3204" s="332"/>
      <c r="R3204" s="329"/>
    </row>
    <row r="3205" spans="6:18" ht="24" customHeight="1">
      <c r="J3205" s="10"/>
      <c r="M3205" s="329"/>
      <c r="N3205" s="330"/>
      <c r="O3205" s="187" t="s">
        <v>1467</v>
      </c>
      <c r="P3205" s="329"/>
      <c r="Q3205" s="332"/>
      <c r="R3205" s="329"/>
    </row>
    <row r="3206" spans="6:18" ht="24" customHeight="1">
      <c r="H3206" s="5" t="s">
        <v>183</v>
      </c>
      <c r="J3206" s="10"/>
      <c r="M3206" s="329"/>
      <c r="N3206" s="330"/>
      <c r="O3206" s="415" t="s">
        <v>2633</v>
      </c>
      <c r="P3206" s="329"/>
      <c r="Q3206" s="332"/>
      <c r="R3206" s="329"/>
    </row>
    <row r="3207" spans="6:18" ht="24" customHeight="1">
      <c r="H3207" s="5" t="s">
        <v>184</v>
      </c>
      <c r="J3207" s="10"/>
      <c r="L3207" s="5">
        <f>K3241</f>
        <v>421.84799999999996</v>
      </c>
      <c r="M3207" s="329"/>
      <c r="N3207" s="330"/>
      <c r="O3207" s="337" t="s">
        <v>117</v>
      </c>
      <c r="P3207" s="329"/>
      <c r="Q3207" s="332"/>
      <c r="R3207" s="329"/>
    </row>
    <row r="3208" spans="6:18" ht="24" customHeight="1">
      <c r="H3208" s="5" t="s">
        <v>185</v>
      </c>
      <c r="J3208" s="10"/>
      <c r="L3208" s="5">
        <f>K3242</f>
        <v>676.5</v>
      </c>
      <c r="M3208" s="329"/>
      <c r="N3208" s="330"/>
      <c r="O3208" s="187" t="s">
        <v>2634</v>
      </c>
      <c r="P3208" s="333" t="s">
        <v>155</v>
      </c>
      <c r="Q3208" s="416">
        <v>3.1219999999999999</v>
      </c>
      <c r="R3208" s="382" t="s">
        <v>174</v>
      </c>
    </row>
    <row r="3209" spans="6:18" ht="24" customHeight="1">
      <c r="J3209" s="10"/>
      <c r="M3209" s="329"/>
      <c r="N3209" s="330"/>
      <c r="O3209" s="187"/>
      <c r="P3209" s="333"/>
      <c r="Q3209" s="416"/>
      <c r="R3209" s="382"/>
    </row>
    <row r="3210" spans="6:18" ht="24" customHeight="1">
      <c r="F3210" s="5">
        <v>1.33</v>
      </c>
      <c r="G3210" s="6" t="s">
        <v>186</v>
      </c>
      <c r="H3210" s="5" t="s">
        <v>187</v>
      </c>
      <c r="I3210" s="5">
        <f>I1534</f>
        <v>234.3</v>
      </c>
      <c r="J3210" s="6" t="s">
        <v>186</v>
      </c>
      <c r="K3210" s="5">
        <f>I3210*F3210</f>
        <v>311.61900000000003</v>
      </c>
      <c r="L3210" s="5">
        <f>K3244</f>
        <v>1.9</v>
      </c>
      <c r="M3210" s="329"/>
      <c r="N3210" s="330"/>
      <c r="O3210" s="187" t="s">
        <v>2635</v>
      </c>
      <c r="P3210" s="333" t="s">
        <v>155</v>
      </c>
      <c r="Q3210" s="417">
        <v>5.1999999999999998E-2</v>
      </c>
      <c r="R3210" s="382" t="s">
        <v>429</v>
      </c>
    </row>
    <row r="3211" spans="6:18" ht="24" customHeight="1">
      <c r="F3211" s="5">
        <v>0.7</v>
      </c>
      <c r="G3211" s="6" t="s">
        <v>188</v>
      </c>
      <c r="H3211" s="5" t="s">
        <v>181</v>
      </c>
      <c r="I3211" s="5">
        <f>I3197</f>
        <v>615</v>
      </c>
      <c r="J3211" s="6" t="s">
        <v>188</v>
      </c>
      <c r="K3211" s="5">
        <f>I3211*F3211</f>
        <v>430.5</v>
      </c>
      <c r="L3211" s="5">
        <f>SUM(L3207:L3210)</f>
        <v>1100.248</v>
      </c>
      <c r="M3211" s="329"/>
      <c r="N3211" s="330"/>
      <c r="O3211" s="187" t="s">
        <v>2636</v>
      </c>
      <c r="Q3211" s="418"/>
      <c r="R3211" s="382"/>
    </row>
    <row r="3212" spans="6:18" ht="24" customHeight="1">
      <c r="F3212" s="5">
        <v>10</v>
      </c>
      <c r="G3212" s="6" t="s">
        <v>174</v>
      </c>
      <c r="H3212" s="109" t="s">
        <v>189</v>
      </c>
      <c r="I3212" s="43">
        <v>7.4</v>
      </c>
      <c r="J3212" s="6" t="s">
        <v>174</v>
      </c>
      <c r="K3212" s="5">
        <f>I3212*F3212</f>
        <v>74</v>
      </c>
      <c r="M3212" s="329"/>
      <c r="N3212" s="330"/>
      <c r="O3212" s="187" t="s">
        <v>2652</v>
      </c>
      <c r="P3212" s="333" t="s">
        <v>155</v>
      </c>
      <c r="Q3212" s="419">
        <v>2.2780000000000002E-2</v>
      </c>
      <c r="R3212" s="382"/>
    </row>
    <row r="3213" spans="6:18" ht="24" customHeight="1">
      <c r="H3213" s="5" t="s">
        <v>167</v>
      </c>
      <c r="I3213" s="5" t="s">
        <v>166</v>
      </c>
      <c r="J3213" s="10"/>
      <c r="K3213" s="5">
        <v>1.5</v>
      </c>
      <c r="M3213" s="329"/>
      <c r="N3213" s="330"/>
      <c r="O3213" s="187" t="s">
        <v>2639</v>
      </c>
      <c r="P3213" s="333" t="s">
        <v>155</v>
      </c>
      <c r="Q3213" s="419">
        <v>1.013E-2</v>
      </c>
      <c r="R3213" s="383"/>
    </row>
    <row r="3214" spans="6:18" ht="24" customHeight="1">
      <c r="H3214" s="5" t="s">
        <v>153</v>
      </c>
      <c r="J3214" s="10"/>
      <c r="K3214" s="5">
        <f>SUM(K3210:K3213)</f>
        <v>817.61900000000003</v>
      </c>
      <c r="M3214" s="329"/>
      <c r="N3214" s="330"/>
      <c r="O3214" s="329"/>
      <c r="P3214" s="329"/>
      <c r="Q3214" s="426" t="s">
        <v>2653</v>
      </c>
      <c r="R3214" s="8"/>
    </row>
    <row r="3215" spans="6:18" ht="24" customHeight="1">
      <c r="J3215" s="10"/>
      <c r="M3215" s="329"/>
      <c r="N3215" s="330"/>
      <c r="O3215" s="329"/>
      <c r="P3215" s="329"/>
      <c r="Q3215" s="420">
        <v>3.2910000000000002E-2</v>
      </c>
      <c r="R3215" s="8" t="s">
        <v>429</v>
      </c>
    </row>
    <row r="3216" spans="6:18" ht="24" customHeight="1">
      <c r="H3216" s="5" t="s">
        <v>154</v>
      </c>
      <c r="J3216" s="10"/>
      <c r="K3216" s="5">
        <f>K3214/10</f>
        <v>81.761899999999997</v>
      </c>
      <c r="M3216" s="329"/>
      <c r="N3216" s="330"/>
      <c r="O3216" s="329"/>
      <c r="P3216" s="329"/>
      <c r="Q3216" s="426" t="s">
        <v>2653</v>
      </c>
      <c r="R3216" s="8"/>
    </row>
    <row r="3217" spans="6:18" ht="24" customHeight="1">
      <c r="J3217" s="10"/>
      <c r="M3217" s="329"/>
      <c r="N3217" s="330"/>
      <c r="O3217" s="187" t="s">
        <v>2654</v>
      </c>
      <c r="P3217" s="329"/>
      <c r="Q3217" s="302">
        <v>0.94</v>
      </c>
      <c r="R3217" s="383" t="s">
        <v>174</v>
      </c>
    </row>
    <row r="3218" spans="6:18" ht="24" customHeight="1">
      <c r="J3218" s="10"/>
      <c r="M3218" s="329"/>
      <c r="N3218" s="330"/>
      <c r="O3218" s="187" t="s">
        <v>2655</v>
      </c>
      <c r="P3218" s="329"/>
      <c r="Q3218" s="423">
        <v>8.3999999999999995E-3</v>
      </c>
      <c r="R3218" s="383" t="s">
        <v>429</v>
      </c>
    </row>
    <row r="3219" spans="6:18" ht="24" customHeight="1">
      <c r="J3219" s="10"/>
      <c r="M3219" s="329"/>
      <c r="N3219" s="330"/>
      <c r="O3219" s="187" t="s">
        <v>2656</v>
      </c>
      <c r="P3219" s="329"/>
      <c r="Q3219" s="423">
        <v>7.9</v>
      </c>
      <c r="R3219" s="383" t="s">
        <v>231</v>
      </c>
    </row>
    <row r="3220" spans="6:18" ht="24" customHeight="1">
      <c r="J3220" s="10"/>
      <c r="M3220" s="329"/>
      <c r="N3220" s="330"/>
      <c r="O3220" s="329"/>
      <c r="P3220" s="329"/>
      <c r="Q3220" s="337"/>
      <c r="R3220" s="337"/>
    </row>
    <row r="3221" spans="6:18" ht="24" customHeight="1">
      <c r="H3221" s="5" t="s">
        <v>190</v>
      </c>
      <c r="J3221" s="10"/>
      <c r="M3221" s="361">
        <v>5.1999999999999998E-2</v>
      </c>
      <c r="N3221" s="336" t="s">
        <v>126</v>
      </c>
      <c r="O3221" s="187" t="s">
        <v>1483</v>
      </c>
      <c r="P3221" s="185">
        <f>P3188</f>
        <v>111600</v>
      </c>
      <c r="Q3221" s="188" t="s">
        <v>126</v>
      </c>
      <c r="R3221" s="185">
        <f>P3221*M3221</f>
        <v>5803.2</v>
      </c>
    </row>
    <row r="3222" spans="6:18" ht="24" customHeight="1">
      <c r="H3222" s="5" t="s">
        <v>184</v>
      </c>
      <c r="J3222" s="10"/>
      <c r="M3222" s="361">
        <v>3.2910000000000002E-2</v>
      </c>
      <c r="N3222" s="336" t="s">
        <v>126</v>
      </c>
      <c r="O3222" s="187" t="s">
        <v>1485</v>
      </c>
      <c r="P3222" s="185">
        <f>P3189</f>
        <v>99400</v>
      </c>
      <c r="Q3222" s="188" t="s">
        <v>126</v>
      </c>
      <c r="R3222" s="185">
        <f t="shared" ref="R3222:R3234" si="285">P3222*M3222</f>
        <v>3271.2540000000004</v>
      </c>
    </row>
    <row r="3223" spans="6:18" ht="24" customHeight="1">
      <c r="H3223" s="5" t="s">
        <v>185</v>
      </c>
      <c r="J3223" s="10"/>
      <c r="M3223" s="361">
        <v>8.3999999999999995E-3</v>
      </c>
      <c r="N3223" s="336" t="s">
        <v>126</v>
      </c>
      <c r="O3223" s="427" t="s">
        <v>2642</v>
      </c>
      <c r="P3223" s="185">
        <f>P3190</f>
        <v>101921.4</v>
      </c>
      <c r="Q3223" s="188" t="s">
        <v>126</v>
      </c>
      <c r="R3223" s="185">
        <f t="shared" si="285"/>
        <v>856.13975999999991</v>
      </c>
    </row>
    <row r="3224" spans="6:18" ht="24" customHeight="1">
      <c r="J3224" s="10"/>
      <c r="M3224" s="377"/>
      <c r="N3224" s="330"/>
      <c r="O3224" s="187" t="s">
        <v>2657</v>
      </c>
      <c r="P3224" s="185"/>
      <c r="Q3224" s="332"/>
      <c r="R3224" s="185">
        <f t="shared" si="285"/>
        <v>0</v>
      </c>
    </row>
    <row r="3225" spans="6:18" ht="24" customHeight="1">
      <c r="F3225" s="5">
        <v>2.2200000000000002</v>
      </c>
      <c r="G3225" s="6" t="s">
        <v>186</v>
      </c>
      <c r="H3225" s="5" t="s">
        <v>187</v>
      </c>
      <c r="I3225" s="5">
        <f>I3210</f>
        <v>234.3</v>
      </c>
      <c r="J3225" s="6" t="s">
        <v>186</v>
      </c>
      <c r="K3225" s="5">
        <f>I3225*F3225</f>
        <v>520.14600000000007</v>
      </c>
      <c r="M3225" s="377">
        <v>0.94</v>
      </c>
      <c r="N3225" s="336" t="s">
        <v>140</v>
      </c>
      <c r="O3225" s="427" t="s">
        <v>2658</v>
      </c>
      <c r="P3225" s="425">
        <v>355.5</v>
      </c>
      <c r="Q3225" s="332" t="s">
        <v>140</v>
      </c>
      <c r="R3225" s="185">
        <f t="shared" si="285"/>
        <v>334.16999999999996</v>
      </c>
    </row>
    <row r="3226" spans="6:18" ht="24" customHeight="1">
      <c r="F3226" s="5">
        <v>1.2</v>
      </c>
      <c r="G3226" s="6" t="s">
        <v>188</v>
      </c>
      <c r="H3226" s="5" t="s">
        <v>181</v>
      </c>
      <c r="I3226" s="5">
        <f>I3211</f>
        <v>615</v>
      </c>
      <c r="J3226" s="6" t="s">
        <v>188</v>
      </c>
      <c r="K3226" s="5">
        <f>I3226*F3226</f>
        <v>738</v>
      </c>
      <c r="M3226" s="377">
        <v>7.9</v>
      </c>
      <c r="N3226" s="336" t="s">
        <v>203</v>
      </c>
      <c r="O3226" s="427" t="s">
        <v>2659</v>
      </c>
      <c r="P3226" s="425">
        <v>15.15</v>
      </c>
      <c r="Q3226" s="332" t="s">
        <v>231</v>
      </c>
      <c r="R3226" s="185">
        <f t="shared" si="285"/>
        <v>119.685</v>
      </c>
    </row>
    <row r="3227" spans="6:18" ht="24" customHeight="1">
      <c r="F3227" s="5">
        <v>10</v>
      </c>
      <c r="G3227" s="6" t="s">
        <v>174</v>
      </c>
      <c r="H3227" s="5" t="s">
        <v>192</v>
      </c>
      <c r="I3227" s="5">
        <f>I3212</f>
        <v>7.4</v>
      </c>
      <c r="J3227" s="6" t="s">
        <v>174</v>
      </c>
      <c r="K3227" s="5">
        <f>I3227*F3227</f>
        <v>74</v>
      </c>
      <c r="M3227" s="377">
        <v>3.1219999999999999</v>
      </c>
      <c r="N3227" s="336" t="s">
        <v>140</v>
      </c>
      <c r="O3227" s="427" t="s">
        <v>2660</v>
      </c>
      <c r="P3227" s="425">
        <v>1078</v>
      </c>
      <c r="Q3227" s="188" t="s">
        <v>140</v>
      </c>
      <c r="R3227" s="185">
        <f t="shared" si="285"/>
        <v>3365.5160000000001</v>
      </c>
    </row>
    <row r="3228" spans="6:18" ht="24" customHeight="1">
      <c r="H3228" s="5" t="s">
        <v>167</v>
      </c>
      <c r="I3228" s="5" t="s">
        <v>166</v>
      </c>
      <c r="J3228" s="10"/>
      <c r="K3228" s="5">
        <v>1.5</v>
      </c>
      <c r="M3228" s="185">
        <v>4</v>
      </c>
      <c r="N3228" s="336" t="s">
        <v>1</v>
      </c>
      <c r="O3228" s="187" t="s">
        <v>2661</v>
      </c>
      <c r="P3228" s="185">
        <f>C598</f>
        <v>50.9</v>
      </c>
      <c r="Q3228" s="188" t="s">
        <v>209</v>
      </c>
      <c r="R3228" s="185">
        <f t="shared" si="285"/>
        <v>203.6</v>
      </c>
    </row>
    <row r="3229" spans="6:18" ht="24" customHeight="1">
      <c r="H3229" s="5" t="s">
        <v>153</v>
      </c>
      <c r="J3229" s="10"/>
      <c r="K3229" s="5">
        <f>SUM(K3225:K3228)</f>
        <v>1333.6460000000002</v>
      </c>
      <c r="M3229" s="185">
        <v>8</v>
      </c>
      <c r="N3229" s="336" t="s">
        <v>209</v>
      </c>
      <c r="O3229" s="187" t="s">
        <v>2662</v>
      </c>
      <c r="P3229" s="185">
        <f>C279</f>
        <v>79.099999999999994</v>
      </c>
      <c r="Q3229" s="188" t="s">
        <v>209</v>
      </c>
      <c r="R3229" s="185">
        <f t="shared" si="285"/>
        <v>632.79999999999995</v>
      </c>
    </row>
    <row r="3230" spans="6:18" ht="24" customHeight="1">
      <c r="J3230" s="10"/>
      <c r="M3230" s="185">
        <v>4</v>
      </c>
      <c r="N3230" s="336" t="s">
        <v>209</v>
      </c>
      <c r="O3230" s="187" t="s">
        <v>2663</v>
      </c>
      <c r="P3230" s="185">
        <f>P3195</f>
        <v>86.3</v>
      </c>
      <c r="Q3230" s="188" t="s">
        <v>209</v>
      </c>
      <c r="R3230" s="185">
        <f t="shared" si="285"/>
        <v>345.2</v>
      </c>
    </row>
    <row r="3231" spans="6:18" ht="24" customHeight="1">
      <c r="H3231" s="5" t="s">
        <v>154</v>
      </c>
      <c r="J3231" s="10"/>
      <c r="K3231" s="5">
        <f>K3229/10</f>
        <v>133.36460000000002</v>
      </c>
      <c r="M3231" s="185">
        <v>1</v>
      </c>
      <c r="N3231" s="336" t="s">
        <v>209</v>
      </c>
      <c r="O3231" s="187" t="s">
        <v>2664</v>
      </c>
      <c r="P3231" s="185">
        <f>P3196</f>
        <v>185.2</v>
      </c>
      <c r="Q3231" s="188" t="s">
        <v>209</v>
      </c>
      <c r="R3231" s="185">
        <f t="shared" si="285"/>
        <v>185.2</v>
      </c>
    </row>
    <row r="3232" spans="6:18" ht="24" customHeight="1">
      <c r="J3232" s="10"/>
      <c r="L3232" s="5">
        <f>K3266</f>
        <v>279</v>
      </c>
      <c r="M3232" s="185">
        <v>2</v>
      </c>
      <c r="N3232" s="336" t="s">
        <v>209</v>
      </c>
      <c r="O3232" s="187" t="s">
        <v>2665</v>
      </c>
      <c r="P3232" s="185">
        <f>P3197</f>
        <v>22.7</v>
      </c>
      <c r="Q3232" s="188" t="s">
        <v>209</v>
      </c>
      <c r="R3232" s="185">
        <f t="shared" si="285"/>
        <v>45.4</v>
      </c>
    </row>
    <row r="3233" spans="6:24" ht="24" customHeight="1">
      <c r="J3233" s="10"/>
      <c r="L3233" s="5">
        <f>K3267</f>
        <v>153.75</v>
      </c>
      <c r="M3233" s="185">
        <v>2</v>
      </c>
      <c r="N3233" s="336" t="s">
        <v>209</v>
      </c>
      <c r="O3233" s="187" t="s">
        <v>2666</v>
      </c>
      <c r="P3233" s="185">
        <f>P3198</f>
        <v>43.8</v>
      </c>
      <c r="Q3233" s="188" t="s">
        <v>209</v>
      </c>
      <c r="R3233" s="185">
        <f t="shared" si="285"/>
        <v>87.6</v>
      </c>
    </row>
    <row r="3234" spans="6:24" ht="24" customHeight="1">
      <c r="J3234" s="10"/>
      <c r="L3234" s="5">
        <f>K3268</f>
        <v>125.5</v>
      </c>
      <c r="M3234" s="185">
        <v>118</v>
      </c>
      <c r="N3234" s="336" t="s">
        <v>209</v>
      </c>
      <c r="O3234" s="329" t="s">
        <v>2604</v>
      </c>
      <c r="P3234" s="329">
        <f>P3199</f>
        <v>2.37</v>
      </c>
      <c r="Q3234" s="188" t="s">
        <v>209</v>
      </c>
      <c r="R3234" s="185">
        <f t="shared" si="285"/>
        <v>279.66000000000003</v>
      </c>
    </row>
    <row r="3235" spans="6:24" ht="24" customHeight="1">
      <c r="J3235" s="10"/>
      <c r="L3235" s="5">
        <f>K3269</f>
        <v>164.8</v>
      </c>
      <c r="M3235" s="329"/>
      <c r="N3235" s="330"/>
      <c r="O3235" s="329"/>
      <c r="P3235" s="329"/>
      <c r="Q3235" s="332"/>
      <c r="R3235" s="337" t="s">
        <v>117</v>
      </c>
    </row>
    <row r="3236" spans="6:24" ht="24" customHeight="1">
      <c r="J3236" s="10"/>
      <c r="L3236" s="5">
        <f>K3270</f>
        <v>1.65</v>
      </c>
      <c r="M3236" s="329"/>
      <c r="N3236" s="330"/>
      <c r="O3236" s="187" t="s">
        <v>2650</v>
      </c>
      <c r="P3236" s="329"/>
      <c r="Q3236" s="332"/>
      <c r="R3236" s="185">
        <f>SUM(R3221:R3234)</f>
        <v>15529.42476</v>
      </c>
    </row>
    <row r="3237" spans="6:24" ht="24" customHeight="1">
      <c r="H3237" s="5" t="s">
        <v>190</v>
      </c>
      <c r="J3237" s="10"/>
      <c r="M3237" s="329"/>
      <c r="N3237" s="330"/>
      <c r="O3237" s="329"/>
      <c r="P3237" s="329"/>
      <c r="Q3237" s="332"/>
      <c r="R3237" s="337" t="s">
        <v>117</v>
      </c>
    </row>
    <row r="3238" spans="6:24" ht="24" customHeight="1">
      <c r="H3238" s="5" t="s">
        <v>191</v>
      </c>
      <c r="J3238" s="10"/>
      <c r="M3238" s="329"/>
      <c r="N3238" s="330"/>
      <c r="O3238" s="343" t="s">
        <v>154</v>
      </c>
      <c r="P3238" s="329"/>
      <c r="Q3238" s="334" t="s">
        <v>2433</v>
      </c>
      <c r="R3238" s="344">
        <f>R3236/M3227</f>
        <v>4974.1911467008331</v>
      </c>
    </row>
    <row r="3239" spans="6:24" ht="24" customHeight="1">
      <c r="H3239" s="5" t="s">
        <v>185</v>
      </c>
      <c r="J3239" s="10"/>
      <c r="L3239" s="5">
        <f>SUM(L3232:L3238)</f>
        <v>724.69999999999993</v>
      </c>
      <c r="M3239" s="188"/>
      <c r="N3239" s="336" t="s">
        <v>122</v>
      </c>
      <c r="O3239" s="187" t="s">
        <v>2632</v>
      </c>
      <c r="P3239" s="329"/>
      <c r="Q3239" s="332"/>
      <c r="R3239" s="329"/>
    </row>
    <row r="3240" spans="6:24" ht="24" customHeight="1">
      <c r="J3240" s="10"/>
      <c r="M3240" s="329"/>
      <c r="N3240" s="330"/>
      <c r="O3240" s="187" t="s">
        <v>1467</v>
      </c>
      <c r="P3240" s="329"/>
      <c r="Q3240" s="332"/>
      <c r="R3240" s="329"/>
    </row>
    <row r="3241" spans="6:24" ht="24" customHeight="1">
      <c r="F3241" s="5">
        <v>1.89</v>
      </c>
      <c r="G3241" s="6" t="s">
        <v>186</v>
      </c>
      <c r="H3241" s="5" t="s">
        <v>187</v>
      </c>
      <c r="I3241" s="5">
        <f>I3196</f>
        <v>223.2</v>
      </c>
      <c r="J3241" s="6" t="s">
        <v>186</v>
      </c>
      <c r="K3241" s="5">
        <f>I3241*F3241</f>
        <v>421.84799999999996</v>
      </c>
      <c r="L3241" s="5">
        <f>L3239/10</f>
        <v>72.47</v>
      </c>
      <c r="M3241" s="329"/>
      <c r="N3241" s="330"/>
      <c r="O3241" s="415" t="s">
        <v>2667</v>
      </c>
      <c r="P3241" s="329"/>
      <c r="Q3241" s="332"/>
      <c r="R3241" s="329"/>
    </row>
    <row r="3242" spans="6:24" ht="24" customHeight="1">
      <c r="F3242" s="5">
        <v>1.1000000000000001</v>
      </c>
      <c r="G3242" s="6" t="s">
        <v>188</v>
      </c>
      <c r="H3242" s="5" t="s">
        <v>181</v>
      </c>
      <c r="I3242" s="5">
        <f>I3197</f>
        <v>615</v>
      </c>
      <c r="J3242" s="6" t="s">
        <v>188</v>
      </c>
      <c r="K3242" s="5">
        <f>I3242*F3242</f>
        <v>676.5</v>
      </c>
      <c r="M3242" s="329"/>
      <c r="N3242" s="330"/>
      <c r="O3242" s="337" t="s">
        <v>117</v>
      </c>
      <c r="P3242" s="329"/>
      <c r="Q3242" s="332"/>
      <c r="R3242" s="329"/>
    </row>
    <row r="3243" spans="6:24" ht="30" customHeight="1">
      <c r="F3243" s="5">
        <v>10</v>
      </c>
      <c r="G3243" s="6" t="s">
        <v>174</v>
      </c>
      <c r="H3243" s="3" t="s">
        <v>192</v>
      </c>
      <c r="I3243" s="43">
        <v>6.5</v>
      </c>
      <c r="J3243" s="6" t="s">
        <v>174</v>
      </c>
      <c r="K3243" s="5">
        <f>I3243*F3243</f>
        <v>65</v>
      </c>
      <c r="M3243" s="329"/>
      <c r="N3243" s="330"/>
      <c r="O3243" s="187" t="s">
        <v>2668</v>
      </c>
      <c r="P3243" s="333" t="s">
        <v>155</v>
      </c>
      <c r="Q3243" s="416">
        <v>2.4279999999999999</v>
      </c>
      <c r="R3243" s="329" t="s">
        <v>174</v>
      </c>
    </row>
    <row r="3244" spans="6:24" ht="30" customHeight="1">
      <c r="H3244" s="3" t="s">
        <v>167</v>
      </c>
      <c r="I3244" s="5" t="s">
        <v>166</v>
      </c>
      <c r="J3244" s="10"/>
      <c r="K3244" s="5">
        <v>1.9</v>
      </c>
      <c r="M3244" s="329"/>
      <c r="N3244" s="330"/>
      <c r="O3244" s="187"/>
      <c r="P3244" s="333"/>
      <c r="Q3244" s="416"/>
      <c r="R3244" s="329"/>
    </row>
    <row r="3245" spans="6:24" ht="30" customHeight="1">
      <c r="H3245" s="5" t="s">
        <v>153</v>
      </c>
      <c r="J3245" s="10"/>
      <c r="K3245" s="5">
        <f>SUM(K3241:K3244)</f>
        <v>1165.248</v>
      </c>
      <c r="M3245" s="329"/>
      <c r="N3245" s="330"/>
      <c r="O3245" s="187" t="s">
        <v>2635</v>
      </c>
      <c r="P3245" s="333" t="s">
        <v>155</v>
      </c>
      <c r="Q3245" s="417">
        <v>5.1999999999999998E-2</v>
      </c>
      <c r="R3245" s="329" t="s">
        <v>429</v>
      </c>
      <c r="T3245" s="50" t="s">
        <v>2669</v>
      </c>
    </row>
    <row r="3246" spans="6:24" ht="30" customHeight="1">
      <c r="J3246" s="10"/>
      <c r="M3246" s="329"/>
      <c r="N3246" s="330"/>
      <c r="O3246" s="187" t="s">
        <v>2636</v>
      </c>
      <c r="Q3246" s="418"/>
      <c r="R3246" s="329"/>
      <c r="T3246" s="50" t="s">
        <v>2670</v>
      </c>
    </row>
    <row r="3247" spans="6:24" ht="30" customHeight="1">
      <c r="H3247" s="5" t="s">
        <v>154</v>
      </c>
      <c r="J3247" s="10"/>
      <c r="K3247" s="5">
        <f>K3245/10</f>
        <v>116.5248</v>
      </c>
      <c r="M3247" s="329"/>
      <c r="N3247" s="330"/>
      <c r="O3247" s="187" t="s">
        <v>2671</v>
      </c>
      <c r="P3247" s="333" t="s">
        <v>155</v>
      </c>
      <c r="Q3247" s="428">
        <v>1.7718999999999999E-2</v>
      </c>
      <c r="R3247" s="329"/>
      <c r="S3247" s="429">
        <v>6.3E-2</v>
      </c>
      <c r="T3247" s="75" t="s">
        <v>126</v>
      </c>
      <c r="U3247" s="50" t="s">
        <v>1571</v>
      </c>
      <c r="V3247" s="50">
        <f>P3291</f>
        <v>111600</v>
      </c>
      <c r="W3247" s="59" t="s">
        <v>126</v>
      </c>
      <c r="X3247" s="50">
        <f>V3247*S3247</f>
        <v>7030.8</v>
      </c>
    </row>
    <row r="3248" spans="6:24" ht="30" customHeight="1">
      <c r="G3248" s="5"/>
      <c r="J3248" s="5"/>
      <c r="M3248" s="329"/>
      <c r="N3248" s="330"/>
      <c r="O3248" s="187" t="s">
        <v>2672</v>
      </c>
      <c r="P3248" s="333" t="s">
        <v>155</v>
      </c>
      <c r="Q3248" s="428">
        <v>7.8750000000000001E-3</v>
      </c>
      <c r="R3248" s="361"/>
      <c r="S3248" s="429">
        <v>4.8000000000000001E-2</v>
      </c>
      <c r="T3248" s="75" t="s">
        <v>126</v>
      </c>
      <c r="U3248" s="50" t="s">
        <v>2673</v>
      </c>
      <c r="V3248" s="50">
        <f>I3280</f>
        <v>99400</v>
      </c>
      <c r="W3248" s="59" t="s">
        <v>126</v>
      </c>
      <c r="X3248" s="50">
        <f>V3248*S3248</f>
        <v>4771.2</v>
      </c>
    </row>
    <row r="3249" spans="6:24" ht="30" customHeight="1">
      <c r="G3249" s="5"/>
      <c r="H3249" s="3" t="s">
        <v>1626</v>
      </c>
      <c r="J3249" s="5"/>
      <c r="M3249" s="329"/>
      <c r="N3249" s="330"/>
      <c r="O3249" s="329"/>
      <c r="P3249" s="329"/>
      <c r="Q3249" s="337" t="s">
        <v>117</v>
      </c>
      <c r="S3249" s="429">
        <v>1.54</v>
      </c>
      <c r="T3249" s="75" t="s">
        <v>140</v>
      </c>
      <c r="U3249" s="50" t="s">
        <v>2674</v>
      </c>
      <c r="V3249" s="50">
        <f t="shared" ref="V3249:V3258" si="286">I3281</f>
        <v>2152</v>
      </c>
      <c r="W3249" s="59" t="s">
        <v>174</v>
      </c>
      <c r="X3249" s="50">
        <f t="shared" ref="X3249:X3258" si="287">V3249*S3249</f>
        <v>3314.08</v>
      </c>
    </row>
    <row r="3250" spans="6:24" ht="30" customHeight="1">
      <c r="G3250" s="5"/>
      <c r="H3250" s="3" t="s">
        <v>2675</v>
      </c>
      <c r="J3250" s="5"/>
      <c r="M3250" s="329"/>
      <c r="N3250" s="330"/>
      <c r="O3250" s="329"/>
      <c r="P3250" s="329"/>
      <c r="Q3250" s="420">
        <v>2.5590000000000002E-2</v>
      </c>
      <c r="R3250" s="5" t="s">
        <v>429</v>
      </c>
      <c r="S3250" s="429">
        <v>3.9E-2</v>
      </c>
      <c r="T3250" s="75" t="s">
        <v>126</v>
      </c>
      <c r="U3250" s="119" t="s">
        <v>1573</v>
      </c>
      <c r="V3250" s="50">
        <f t="shared" si="286"/>
        <v>95000</v>
      </c>
      <c r="W3250" s="59" t="s">
        <v>126</v>
      </c>
      <c r="X3250" s="50">
        <f t="shared" si="287"/>
        <v>3705</v>
      </c>
    </row>
    <row r="3251" spans="6:24" ht="30" customHeight="1">
      <c r="G3251" s="5"/>
      <c r="J3251" s="5"/>
      <c r="M3251" s="329"/>
      <c r="N3251" s="330"/>
      <c r="O3251" s="329"/>
      <c r="P3251" s="329"/>
      <c r="Q3251" s="337" t="s">
        <v>117</v>
      </c>
      <c r="S3251" s="429">
        <v>3.488</v>
      </c>
      <c r="T3251" s="75" t="s">
        <v>140</v>
      </c>
      <c r="U3251" s="119" t="s">
        <v>1574</v>
      </c>
      <c r="V3251" s="50">
        <f t="shared" si="286"/>
        <v>1155</v>
      </c>
      <c r="W3251" s="59" t="s">
        <v>140</v>
      </c>
      <c r="X3251" s="50">
        <f t="shared" si="287"/>
        <v>4028.64</v>
      </c>
    </row>
    <row r="3252" spans="6:24" ht="30" customHeight="1">
      <c r="F3252" s="17">
        <v>0.22</v>
      </c>
      <c r="G3252" s="15" t="s">
        <v>126</v>
      </c>
      <c r="H3252" s="3" t="s">
        <v>135</v>
      </c>
      <c r="I3252" s="17">
        <f>K49</f>
        <v>3080.2</v>
      </c>
      <c r="J3252" s="4" t="s">
        <v>126</v>
      </c>
      <c r="K3252" s="17">
        <f>(F3252*I3252)</f>
        <v>677.64400000000001</v>
      </c>
      <c r="M3252" s="329"/>
      <c r="N3252" s="330"/>
      <c r="O3252" s="187" t="s">
        <v>2676</v>
      </c>
      <c r="P3252" s="329"/>
      <c r="Q3252" s="421">
        <v>1.0999999999999999E-2</v>
      </c>
      <c r="R3252" s="361"/>
      <c r="S3252" s="429">
        <v>6</v>
      </c>
      <c r="T3252" s="75" t="s">
        <v>1576</v>
      </c>
      <c r="U3252" s="50" t="s">
        <v>2677</v>
      </c>
      <c r="V3252" s="50">
        <f t="shared" si="286"/>
        <v>79</v>
      </c>
      <c r="W3252" s="59" t="s">
        <v>227</v>
      </c>
      <c r="X3252" s="50">
        <f t="shared" si="287"/>
        <v>474</v>
      </c>
    </row>
    <row r="3253" spans="6:24" ht="30" customHeight="1">
      <c r="F3253" s="17">
        <v>2.2000000000000002</v>
      </c>
      <c r="G3253" s="15" t="s">
        <v>1</v>
      </c>
      <c r="H3253" s="3" t="s">
        <v>144</v>
      </c>
      <c r="I3253" s="17">
        <f>AE9</f>
        <v>769</v>
      </c>
      <c r="J3253" s="4" t="s">
        <v>1</v>
      </c>
      <c r="K3253" s="17">
        <f>(F3253*I3253)</f>
        <v>1691.8000000000002</v>
      </c>
      <c r="M3253" s="329"/>
      <c r="N3253" s="330"/>
      <c r="O3253" s="187" t="s">
        <v>2678</v>
      </c>
      <c r="P3253" s="329"/>
      <c r="Q3253" s="422">
        <v>5.3E-3</v>
      </c>
      <c r="R3253" s="361"/>
      <c r="S3253" s="429">
        <v>1</v>
      </c>
      <c r="T3253" s="75" t="s">
        <v>1576</v>
      </c>
      <c r="U3253" s="50" t="s">
        <v>2679</v>
      </c>
      <c r="V3253" s="50">
        <f t="shared" si="286"/>
        <v>260</v>
      </c>
      <c r="W3253" s="59" t="s">
        <v>227</v>
      </c>
      <c r="X3253" s="50">
        <f t="shared" si="287"/>
        <v>260</v>
      </c>
    </row>
    <row r="3254" spans="6:24" ht="30" customHeight="1">
      <c r="F3254" s="17">
        <v>0.5</v>
      </c>
      <c r="G3254" s="15" t="s">
        <v>1</v>
      </c>
      <c r="H3254" s="3" t="s">
        <v>1628</v>
      </c>
      <c r="I3254" s="17">
        <f>I3183</f>
        <v>502</v>
      </c>
      <c r="J3254" s="4" t="s">
        <v>1</v>
      </c>
      <c r="K3254" s="17">
        <f>(F3254*I3254)</f>
        <v>251</v>
      </c>
      <c r="M3254" s="329"/>
      <c r="N3254" s="330"/>
      <c r="O3254" s="187"/>
      <c r="P3254" s="329"/>
      <c r="Q3254" s="337" t="s">
        <v>117</v>
      </c>
      <c r="R3254" s="361"/>
      <c r="S3254" s="429">
        <v>2</v>
      </c>
      <c r="T3254" s="75" t="s">
        <v>1576</v>
      </c>
      <c r="U3254" s="50" t="s">
        <v>2680</v>
      </c>
      <c r="V3254" s="50">
        <f t="shared" si="286"/>
        <v>130</v>
      </c>
      <c r="W3254" s="59" t="s">
        <v>227</v>
      </c>
      <c r="X3254" s="50">
        <f t="shared" si="287"/>
        <v>260</v>
      </c>
    </row>
    <row r="3255" spans="6:24" ht="30" customHeight="1">
      <c r="F3255" s="17">
        <v>3.2</v>
      </c>
      <c r="G3255" s="15" t="s">
        <v>1</v>
      </c>
      <c r="H3255" s="3" t="s">
        <v>147</v>
      </c>
      <c r="I3255" s="17">
        <f>I3184</f>
        <v>412</v>
      </c>
      <c r="J3255" s="4" t="s">
        <v>1</v>
      </c>
      <c r="K3255" s="17">
        <f>(F3255*I3255)</f>
        <v>1318.4</v>
      </c>
      <c r="M3255" s="329"/>
      <c r="N3255" s="330"/>
      <c r="O3255" s="187"/>
      <c r="P3255" s="329"/>
      <c r="Q3255" s="423">
        <v>1.6299999999999999E-2</v>
      </c>
      <c r="R3255" s="361" t="s">
        <v>429</v>
      </c>
      <c r="S3255" s="429">
        <v>2</v>
      </c>
      <c r="T3255" s="75" t="s">
        <v>1576</v>
      </c>
      <c r="U3255" s="50" t="s">
        <v>2681</v>
      </c>
      <c r="V3255" s="50">
        <f t="shared" si="286"/>
        <v>165</v>
      </c>
      <c r="W3255" s="59" t="s">
        <v>227</v>
      </c>
      <c r="X3255" s="50">
        <f t="shared" si="287"/>
        <v>330</v>
      </c>
    </row>
    <row r="3256" spans="6:24" ht="39.75" customHeight="1">
      <c r="F3256" s="17">
        <v>10</v>
      </c>
      <c r="G3256" s="15" t="s">
        <v>110</v>
      </c>
      <c r="H3256" s="430" t="s">
        <v>2682</v>
      </c>
      <c r="I3256" s="104">
        <v>7.7</v>
      </c>
      <c r="J3256" s="4" t="s">
        <v>110</v>
      </c>
      <c r="K3256" s="17">
        <f>(F3256*I3256)</f>
        <v>77</v>
      </c>
      <c r="M3256" s="329"/>
      <c r="N3256" s="330"/>
      <c r="O3256" s="329"/>
      <c r="P3256" s="329"/>
      <c r="Q3256" s="337" t="s">
        <v>117</v>
      </c>
      <c r="R3256" s="337"/>
      <c r="S3256" s="429">
        <v>1</v>
      </c>
      <c r="T3256" s="75" t="s">
        <v>1576</v>
      </c>
      <c r="U3256" s="50" t="s">
        <v>2683</v>
      </c>
      <c r="V3256" s="50">
        <f t="shared" si="286"/>
        <v>985</v>
      </c>
      <c r="W3256" s="59" t="s">
        <v>227</v>
      </c>
      <c r="X3256" s="50">
        <f t="shared" si="287"/>
        <v>985</v>
      </c>
    </row>
    <row r="3257" spans="6:24" ht="30" customHeight="1">
      <c r="J3257" s="10"/>
      <c r="K3257" s="12" t="s">
        <v>117</v>
      </c>
      <c r="M3257" s="361">
        <v>5.1999999999999998E-2</v>
      </c>
      <c r="N3257" s="336" t="s">
        <v>126</v>
      </c>
      <c r="O3257" s="187" t="s">
        <v>1483</v>
      </c>
      <c r="P3257" s="185">
        <f>P3188</f>
        <v>111600</v>
      </c>
      <c r="Q3257" s="188" t="s">
        <v>126</v>
      </c>
      <c r="R3257" s="185">
        <f>P3257*M3257</f>
        <v>5803.2</v>
      </c>
      <c r="S3257" s="429">
        <v>2</v>
      </c>
      <c r="T3257" s="75" t="s">
        <v>1576</v>
      </c>
      <c r="U3257" s="50" t="s">
        <v>2684</v>
      </c>
      <c r="V3257" s="50">
        <f t="shared" si="286"/>
        <v>450</v>
      </c>
      <c r="W3257" s="59" t="s">
        <v>227</v>
      </c>
      <c r="X3257" s="50">
        <f t="shared" si="287"/>
        <v>900</v>
      </c>
    </row>
    <row r="3258" spans="6:24" ht="30" customHeight="1">
      <c r="H3258" s="3" t="s">
        <v>153</v>
      </c>
      <c r="J3258" s="10"/>
      <c r="K3258" s="17">
        <f>SUM(K3252:K3257)</f>
        <v>4015.8440000000005</v>
      </c>
      <c r="M3258" s="361">
        <v>2.5590000000000002E-2</v>
      </c>
      <c r="N3258" s="336" t="s">
        <v>126</v>
      </c>
      <c r="O3258" s="187" t="s">
        <v>1485</v>
      </c>
      <c r="P3258" s="185">
        <f>P3189</f>
        <v>99400</v>
      </c>
      <c r="Q3258" s="188" t="s">
        <v>126</v>
      </c>
      <c r="R3258" s="185">
        <f t="shared" ref="R3258:R3268" si="288">P3258*M3258</f>
        <v>2543.6460000000002</v>
      </c>
      <c r="S3258" s="429">
        <v>0</v>
      </c>
      <c r="T3258" s="75" t="s">
        <v>240</v>
      </c>
      <c r="U3258" s="50" t="s">
        <v>2685</v>
      </c>
      <c r="V3258" s="50">
        <f t="shared" si="286"/>
        <v>2.37</v>
      </c>
      <c r="W3258" s="59" t="s">
        <v>227</v>
      </c>
      <c r="X3258" s="375">
        <f t="shared" si="287"/>
        <v>0</v>
      </c>
    </row>
    <row r="3259" spans="6:24" ht="30" customHeight="1">
      <c r="J3259" s="10"/>
      <c r="K3259" s="12" t="s">
        <v>117</v>
      </c>
      <c r="M3259" s="361">
        <v>1.6299999999999999E-2</v>
      </c>
      <c r="N3259" s="336" t="s">
        <v>126</v>
      </c>
      <c r="O3259" s="427" t="s">
        <v>2686</v>
      </c>
      <c r="P3259" s="431">
        <f>AC28</f>
        <v>95000</v>
      </c>
      <c r="Q3259" s="188" t="s">
        <v>126</v>
      </c>
      <c r="R3259" s="185">
        <f t="shared" si="288"/>
        <v>1548.4999999999998</v>
      </c>
      <c r="S3259" s="429"/>
      <c r="T3259" s="75"/>
      <c r="U3259" s="50" t="s">
        <v>2687</v>
      </c>
      <c r="V3259" s="50"/>
      <c r="W3259" s="59"/>
      <c r="X3259" s="50">
        <f>SUM(X3247:X3258)</f>
        <v>26058.720000000001</v>
      </c>
    </row>
    <row r="3260" spans="6:24" ht="30" customHeight="1">
      <c r="H3260" s="3" t="s">
        <v>154</v>
      </c>
      <c r="J3260" s="10"/>
      <c r="K3260" s="17">
        <f>(K3258/10)</f>
        <v>401.58440000000007</v>
      </c>
      <c r="M3260" s="377"/>
      <c r="N3260" s="330"/>
      <c r="O3260" s="187" t="s">
        <v>1560</v>
      </c>
      <c r="P3260" s="185"/>
      <c r="Q3260" s="332"/>
      <c r="R3260" s="185">
        <f t="shared" si="288"/>
        <v>0</v>
      </c>
      <c r="S3260" s="429"/>
      <c r="T3260" s="75"/>
      <c r="U3260" s="50"/>
      <c r="V3260" s="50"/>
      <c r="W3260" s="59"/>
      <c r="X3260" s="375" t="s">
        <v>1586</v>
      </c>
    </row>
    <row r="3261" spans="6:24" ht="24" customHeight="1">
      <c r="J3261" s="10"/>
      <c r="K3261" s="12" t="s">
        <v>155</v>
      </c>
      <c r="M3261" s="377">
        <v>2.4279999999999999</v>
      </c>
      <c r="N3261" s="336" t="s">
        <v>140</v>
      </c>
      <c r="O3261" s="187" t="s">
        <v>1480</v>
      </c>
      <c r="P3261" s="185">
        <f t="shared" ref="P3261:P3267" si="289">P3192</f>
        <v>1155</v>
      </c>
      <c r="Q3261" s="188" t="s">
        <v>140</v>
      </c>
      <c r="R3261" s="185">
        <f t="shared" si="288"/>
        <v>2804.34</v>
      </c>
      <c r="S3261" s="429"/>
      <c r="T3261" s="75"/>
      <c r="U3261" s="50" t="s">
        <v>2688</v>
      </c>
      <c r="V3261" s="50"/>
      <c r="W3261" s="59"/>
      <c r="X3261" s="50">
        <f>X3259/S3251</f>
        <v>7470.9633027522941</v>
      </c>
    </row>
    <row r="3262" spans="6:24" ht="24" customHeight="1">
      <c r="G3262" s="5"/>
      <c r="J3262" s="5"/>
      <c r="K3262" s="5">
        <f>54000+7000</f>
        <v>61000</v>
      </c>
      <c r="M3262" s="185">
        <v>4</v>
      </c>
      <c r="N3262" s="336" t="s">
        <v>1</v>
      </c>
      <c r="O3262" s="187" t="s">
        <v>2644</v>
      </c>
      <c r="P3262" s="185">
        <f>P3228</f>
        <v>50.9</v>
      </c>
      <c r="Q3262" s="188" t="s">
        <v>209</v>
      </c>
      <c r="R3262" s="185">
        <f t="shared" si="288"/>
        <v>203.6</v>
      </c>
      <c r="S3262" s="429"/>
      <c r="T3262" s="75"/>
      <c r="U3262" s="50"/>
      <c r="V3262" s="50"/>
      <c r="W3262" s="59"/>
      <c r="X3262" s="375" t="s">
        <v>1586</v>
      </c>
    </row>
    <row r="3263" spans="6:24" ht="24" customHeight="1">
      <c r="G3263" s="5"/>
      <c r="J3263" s="5"/>
      <c r="M3263" s="185">
        <v>8</v>
      </c>
      <c r="N3263" s="336" t="s">
        <v>209</v>
      </c>
      <c r="O3263" s="187" t="s">
        <v>1482</v>
      </c>
      <c r="P3263" s="185">
        <f>P3229</f>
        <v>79.099999999999994</v>
      </c>
      <c r="Q3263" s="188" t="s">
        <v>209</v>
      </c>
      <c r="R3263" s="185">
        <f t="shared" si="288"/>
        <v>632.79999999999995</v>
      </c>
    </row>
    <row r="3264" spans="6:24" ht="24" customHeight="1">
      <c r="F3264" s="4" t="s">
        <v>1803</v>
      </c>
      <c r="G3264" s="15" t="s">
        <v>122</v>
      </c>
      <c r="H3264" s="4" t="s">
        <v>2689</v>
      </c>
      <c r="J3264" s="10"/>
      <c r="M3264" s="185">
        <v>4</v>
      </c>
      <c r="N3264" s="336" t="s">
        <v>209</v>
      </c>
      <c r="O3264" s="187" t="s">
        <v>2663</v>
      </c>
      <c r="P3264" s="185">
        <f t="shared" si="289"/>
        <v>86.3</v>
      </c>
      <c r="Q3264" s="188" t="s">
        <v>209</v>
      </c>
      <c r="R3264" s="185">
        <f t="shared" si="288"/>
        <v>345.2</v>
      </c>
    </row>
    <row r="3265" spans="6:18" ht="24" customHeight="1">
      <c r="H3265" s="4" t="s">
        <v>777</v>
      </c>
      <c r="J3265" s="10"/>
      <c r="M3265" s="185">
        <v>1</v>
      </c>
      <c r="N3265" s="336" t="s">
        <v>209</v>
      </c>
      <c r="O3265" s="187" t="s">
        <v>2664</v>
      </c>
      <c r="P3265" s="185">
        <f t="shared" si="289"/>
        <v>185.2</v>
      </c>
      <c r="Q3265" s="188" t="s">
        <v>209</v>
      </c>
      <c r="R3265" s="185">
        <f t="shared" si="288"/>
        <v>185.2</v>
      </c>
    </row>
    <row r="3266" spans="6:18" ht="24" customHeight="1">
      <c r="F3266" s="17">
        <v>1.8</v>
      </c>
      <c r="G3266" s="15" t="s">
        <v>1806</v>
      </c>
      <c r="H3266" s="3" t="s">
        <v>1807</v>
      </c>
      <c r="I3266" s="17">
        <f>E271</f>
        <v>155</v>
      </c>
      <c r="J3266" s="4" t="s">
        <v>1806</v>
      </c>
      <c r="K3266" s="17">
        <f>(F3266*I3266)</f>
        <v>279</v>
      </c>
      <c r="M3266" s="185">
        <v>2</v>
      </c>
      <c r="N3266" s="336" t="s">
        <v>209</v>
      </c>
      <c r="O3266" s="187" t="s">
        <v>2665</v>
      </c>
      <c r="P3266" s="185">
        <f t="shared" si="289"/>
        <v>22.7</v>
      </c>
      <c r="Q3266" s="188" t="s">
        <v>209</v>
      </c>
      <c r="R3266" s="185">
        <f t="shared" si="288"/>
        <v>45.4</v>
      </c>
    </row>
    <row r="3267" spans="6:18" ht="24" customHeight="1">
      <c r="F3267" s="17">
        <v>0.25</v>
      </c>
      <c r="G3267" s="15" t="s">
        <v>233</v>
      </c>
      <c r="H3267" s="3" t="s">
        <v>1808</v>
      </c>
      <c r="I3267" s="17">
        <f>I3242</f>
        <v>615</v>
      </c>
      <c r="J3267" s="4" t="s">
        <v>233</v>
      </c>
      <c r="K3267" s="17">
        <f>(F3267*I3267)</f>
        <v>153.75</v>
      </c>
      <c r="M3267" s="185">
        <v>2</v>
      </c>
      <c r="N3267" s="336" t="s">
        <v>209</v>
      </c>
      <c r="O3267" s="187" t="s">
        <v>2666</v>
      </c>
      <c r="P3267" s="185">
        <f t="shared" si="289"/>
        <v>43.8</v>
      </c>
      <c r="Q3267" s="188" t="s">
        <v>209</v>
      </c>
      <c r="R3267" s="185">
        <f t="shared" si="288"/>
        <v>87.6</v>
      </c>
    </row>
    <row r="3268" spans="6:18" ht="24" customHeight="1">
      <c r="F3268" s="17">
        <v>0.25</v>
      </c>
      <c r="G3268" s="15" t="s">
        <v>233</v>
      </c>
      <c r="H3268" s="3" t="s">
        <v>956</v>
      </c>
      <c r="I3268" s="17">
        <f>I3183</f>
        <v>502</v>
      </c>
      <c r="J3268" s="4" t="s">
        <v>233</v>
      </c>
      <c r="K3268" s="17">
        <f>(F3268*I3268)</f>
        <v>125.5</v>
      </c>
      <c r="M3268" s="329">
        <v>118</v>
      </c>
      <c r="N3268" s="336" t="s">
        <v>209</v>
      </c>
      <c r="O3268" s="329" t="s">
        <v>2604</v>
      </c>
      <c r="P3268" s="329">
        <f>P3234</f>
        <v>2.37</v>
      </c>
      <c r="Q3268" s="332"/>
      <c r="R3268" s="185">
        <f t="shared" si="288"/>
        <v>279.66000000000003</v>
      </c>
    </row>
    <row r="3269" spans="6:18" ht="24" customHeight="1">
      <c r="F3269" s="17">
        <v>0.4</v>
      </c>
      <c r="G3269" s="15" t="s">
        <v>233</v>
      </c>
      <c r="H3269" s="3" t="s">
        <v>1809</v>
      </c>
      <c r="I3269" s="17">
        <f>I3184</f>
        <v>412</v>
      </c>
      <c r="J3269" s="4" t="s">
        <v>233</v>
      </c>
      <c r="K3269" s="17">
        <f>(F3269*I3269)</f>
        <v>164.8</v>
      </c>
      <c r="M3269" s="329"/>
      <c r="N3269" s="330"/>
      <c r="O3269" s="329"/>
      <c r="P3269" s="329"/>
      <c r="Q3269" s="332"/>
      <c r="R3269" s="337" t="s">
        <v>117</v>
      </c>
    </row>
    <row r="3270" spans="6:18" ht="24" customHeight="1">
      <c r="G3270" s="15" t="s">
        <v>129</v>
      </c>
      <c r="H3270" s="3" t="s">
        <v>769</v>
      </c>
      <c r="J3270" s="4" t="s">
        <v>129</v>
      </c>
      <c r="K3270" s="17">
        <v>1.65</v>
      </c>
      <c r="M3270" s="329"/>
      <c r="N3270" s="330"/>
      <c r="O3270" s="187" t="s">
        <v>2690</v>
      </c>
      <c r="P3270" s="329"/>
      <c r="Q3270" s="332"/>
      <c r="R3270" s="185">
        <f>SUM(R3257:R3268)</f>
        <v>14479.146000000001</v>
      </c>
    </row>
    <row r="3271" spans="6:18" ht="24" customHeight="1">
      <c r="F3271" s="5">
        <v>10</v>
      </c>
      <c r="H3271" s="3" t="s">
        <v>2691</v>
      </c>
      <c r="I3271" s="5">
        <f>I3172</f>
        <v>3.2</v>
      </c>
      <c r="J3271" s="10" t="s">
        <v>110</v>
      </c>
      <c r="K3271" s="17">
        <f>I3271*F3271</f>
        <v>32</v>
      </c>
      <c r="M3271" s="329"/>
      <c r="N3271" s="330"/>
      <c r="O3271" s="329"/>
      <c r="P3271" s="329"/>
      <c r="Q3271" s="332"/>
      <c r="R3271" s="337" t="s">
        <v>117</v>
      </c>
    </row>
    <row r="3272" spans="6:18" ht="24" customHeight="1">
      <c r="J3272" s="10"/>
      <c r="K3272" s="12" t="s">
        <v>117</v>
      </c>
      <c r="M3272" s="329"/>
      <c r="N3272" s="330"/>
      <c r="O3272" s="343" t="s">
        <v>154</v>
      </c>
      <c r="P3272" s="329"/>
      <c r="Q3272" s="334" t="s">
        <v>2433</v>
      </c>
      <c r="R3272" s="344">
        <f>R3270/M3261</f>
        <v>5963.404448105437</v>
      </c>
    </row>
    <row r="3273" spans="6:18" ht="24" customHeight="1">
      <c r="H3273" s="4" t="s">
        <v>1811</v>
      </c>
      <c r="J3273" s="10"/>
      <c r="K3273" s="17">
        <f>SUM(K3266:K3272)</f>
        <v>756.69999999999993</v>
      </c>
      <c r="M3273" s="188"/>
      <c r="N3273" s="336" t="s">
        <v>122</v>
      </c>
      <c r="O3273" s="187" t="s">
        <v>2692</v>
      </c>
      <c r="P3273" s="329"/>
      <c r="Q3273" s="332"/>
      <c r="R3273" s="329"/>
    </row>
    <row r="3274" spans="6:18" ht="24" customHeight="1">
      <c r="J3274" s="10"/>
      <c r="K3274" s="12" t="s">
        <v>117</v>
      </c>
      <c r="M3274" s="329"/>
      <c r="N3274" s="330"/>
      <c r="O3274" s="187" t="s">
        <v>1467</v>
      </c>
      <c r="P3274" s="329"/>
      <c r="Q3274" s="332"/>
      <c r="R3274" s="329"/>
    </row>
    <row r="3275" spans="6:18" ht="24" customHeight="1">
      <c r="F3275" s="3" t="s">
        <v>115</v>
      </c>
      <c r="G3275" s="15" t="s">
        <v>115</v>
      </c>
      <c r="H3275" s="4" t="s">
        <v>239</v>
      </c>
      <c r="I3275" s="3" t="s">
        <v>115</v>
      </c>
      <c r="J3275" s="4" t="s">
        <v>115</v>
      </c>
      <c r="K3275" s="17">
        <f>K3273/10</f>
        <v>75.669999999999987</v>
      </c>
      <c r="M3275" s="329"/>
      <c r="N3275" s="330"/>
      <c r="O3275" s="415" t="s">
        <v>2667</v>
      </c>
      <c r="P3275" s="329"/>
      <c r="Q3275" s="332"/>
      <c r="R3275" s="329"/>
    </row>
    <row r="3276" spans="6:18" ht="24" customHeight="1">
      <c r="J3276" s="10"/>
      <c r="K3276" s="12" t="s">
        <v>155</v>
      </c>
      <c r="M3276" s="329"/>
      <c r="N3276" s="330"/>
      <c r="O3276" s="337" t="s">
        <v>117</v>
      </c>
      <c r="P3276" s="329"/>
      <c r="Q3276" s="332"/>
      <c r="R3276" s="329"/>
    </row>
    <row r="3277" spans="6:18" ht="24" customHeight="1">
      <c r="G3277" s="50" t="s">
        <v>2693</v>
      </c>
      <c r="J3277" s="5"/>
      <c r="M3277" s="329"/>
      <c r="N3277" s="330"/>
      <c r="O3277" s="187" t="s">
        <v>2668</v>
      </c>
      <c r="P3277" s="333" t="s">
        <v>155</v>
      </c>
      <c r="Q3277" s="416">
        <v>2.4279999999999999</v>
      </c>
      <c r="R3277" s="329" t="s">
        <v>174</v>
      </c>
    </row>
    <row r="3278" spans="6:18" ht="24" customHeight="1">
      <c r="G3278" s="50" t="s">
        <v>2670</v>
      </c>
      <c r="J3278" s="5"/>
      <c r="M3278" s="329"/>
      <c r="N3278" s="330"/>
      <c r="O3278" s="187"/>
      <c r="P3278" s="333"/>
      <c r="Q3278" s="416"/>
      <c r="R3278" s="329"/>
    </row>
    <row r="3279" spans="6:18" ht="24" customHeight="1">
      <c r="G3279" s="5"/>
      <c r="J3279" s="5"/>
      <c r="M3279" s="329"/>
      <c r="N3279" s="330"/>
      <c r="O3279" s="187" t="s">
        <v>2635</v>
      </c>
      <c r="P3279" s="333" t="s">
        <v>155</v>
      </c>
      <c r="Q3279" s="417">
        <v>5.1999999999999998E-2</v>
      </c>
      <c r="R3279" s="329" t="s">
        <v>429</v>
      </c>
    </row>
    <row r="3280" spans="6:18" ht="24" customHeight="1">
      <c r="F3280" s="373">
        <v>0.10299999999999999</v>
      </c>
      <c r="G3280" s="75" t="s">
        <v>126</v>
      </c>
      <c r="H3280" s="50" t="s">
        <v>2673</v>
      </c>
      <c r="I3280" s="50">
        <f>I1102</f>
        <v>99400</v>
      </c>
      <c r="J3280" s="59" t="s">
        <v>126</v>
      </c>
      <c r="K3280" s="50">
        <f>I3280*F3280</f>
        <v>10238.199999999999</v>
      </c>
      <c r="M3280" s="329"/>
      <c r="N3280" s="330"/>
      <c r="O3280" s="187" t="s">
        <v>2636</v>
      </c>
      <c r="Q3280" s="418"/>
      <c r="R3280" s="329"/>
    </row>
    <row r="3281" spans="6:18" ht="24" customHeight="1">
      <c r="F3281" s="373">
        <v>1.32</v>
      </c>
      <c r="G3281" s="75" t="s">
        <v>140</v>
      </c>
      <c r="H3281" s="50" t="s">
        <v>2674</v>
      </c>
      <c r="I3281" s="432">
        <v>2152</v>
      </c>
      <c r="J3281" s="59" t="s">
        <v>174</v>
      </c>
      <c r="K3281" s="50">
        <f t="shared" ref="K3281:K3290" si="290">I3281*F3281</f>
        <v>2840.6400000000003</v>
      </c>
      <c r="M3281" s="329"/>
      <c r="N3281" s="330"/>
      <c r="O3281" s="187" t="s">
        <v>2671</v>
      </c>
      <c r="P3281" s="333" t="s">
        <v>155</v>
      </c>
      <c r="Q3281" s="428">
        <v>1.7718999999999999E-2</v>
      </c>
      <c r="R3281" s="329"/>
    </row>
    <row r="3282" spans="6:18" ht="24" customHeight="1">
      <c r="F3282" s="374">
        <v>3.3000000000000002E-2</v>
      </c>
      <c r="G3282" s="75" t="s">
        <v>126</v>
      </c>
      <c r="H3282" s="119" t="s">
        <v>1573</v>
      </c>
      <c r="I3282" s="50">
        <f>AC28</f>
        <v>95000</v>
      </c>
      <c r="J3282" s="59" t="s">
        <v>126</v>
      </c>
      <c r="K3282" s="50">
        <f t="shared" si="290"/>
        <v>3135</v>
      </c>
      <c r="M3282" s="329"/>
      <c r="N3282" s="330"/>
      <c r="O3282" s="187" t="s">
        <v>2672</v>
      </c>
      <c r="P3282" s="333" t="s">
        <v>155</v>
      </c>
      <c r="Q3282" s="428">
        <v>7.8750000000000001E-3</v>
      </c>
      <c r="R3282" s="361"/>
    </row>
    <row r="3283" spans="6:18" ht="24" customHeight="1">
      <c r="F3283" s="374">
        <v>3.0225</v>
      </c>
      <c r="G3283" s="75" t="s">
        <v>140</v>
      </c>
      <c r="H3283" s="119" t="s">
        <v>1574</v>
      </c>
      <c r="I3283" s="50">
        <f>AE30</f>
        <v>1155</v>
      </c>
      <c r="J3283" s="59" t="s">
        <v>140</v>
      </c>
      <c r="K3283" s="50">
        <f t="shared" si="290"/>
        <v>3490.9875000000002</v>
      </c>
      <c r="M3283" s="329"/>
      <c r="N3283" s="330"/>
      <c r="O3283" s="329"/>
      <c r="P3283" s="329"/>
      <c r="Q3283" s="337" t="s">
        <v>117</v>
      </c>
    </row>
    <row r="3284" spans="6:18" ht="24" customHeight="1">
      <c r="F3284" s="50">
        <v>6</v>
      </c>
      <c r="G3284" s="75" t="s">
        <v>1576</v>
      </c>
      <c r="H3284" s="50" t="s">
        <v>2677</v>
      </c>
      <c r="I3284" s="432">
        <v>79</v>
      </c>
      <c r="J3284" s="59" t="s">
        <v>227</v>
      </c>
      <c r="K3284" s="50">
        <f t="shared" si="290"/>
        <v>474</v>
      </c>
      <c r="M3284" s="329"/>
      <c r="N3284" s="330"/>
      <c r="O3284" s="329"/>
      <c r="P3284" s="329"/>
      <c r="Q3284" s="420">
        <v>2.5590000000000002E-2</v>
      </c>
      <c r="R3284" s="5" t="s">
        <v>429</v>
      </c>
    </row>
    <row r="3285" spans="6:18" ht="24" customHeight="1">
      <c r="F3285" s="50">
        <v>1</v>
      </c>
      <c r="G3285" s="75" t="s">
        <v>1576</v>
      </c>
      <c r="H3285" s="50" t="s">
        <v>2679</v>
      </c>
      <c r="I3285" s="50">
        <v>260</v>
      </c>
      <c r="J3285" s="59" t="s">
        <v>227</v>
      </c>
      <c r="K3285" s="50">
        <f t="shared" si="290"/>
        <v>260</v>
      </c>
      <c r="M3285" s="329"/>
      <c r="N3285" s="330"/>
      <c r="O3285" s="329"/>
      <c r="P3285" s="329"/>
      <c r="Q3285" s="337" t="s">
        <v>117</v>
      </c>
    </row>
    <row r="3286" spans="6:18" ht="24" customHeight="1">
      <c r="F3286" s="50">
        <v>2</v>
      </c>
      <c r="G3286" s="75" t="s">
        <v>1576</v>
      </c>
      <c r="H3286" s="50" t="s">
        <v>2680</v>
      </c>
      <c r="I3286" s="50">
        <v>130</v>
      </c>
      <c r="J3286" s="59" t="s">
        <v>227</v>
      </c>
      <c r="K3286" s="50">
        <f t="shared" si="290"/>
        <v>260</v>
      </c>
      <c r="M3286" s="329"/>
      <c r="N3286" s="330"/>
      <c r="O3286" s="187" t="s">
        <v>2694</v>
      </c>
      <c r="P3286" s="329"/>
      <c r="Q3286" s="421">
        <v>0.58750000000000002</v>
      </c>
      <c r="R3286" s="361"/>
    </row>
    <row r="3287" spans="6:18" ht="24" customHeight="1">
      <c r="F3287" s="50">
        <v>2</v>
      </c>
      <c r="G3287" s="75" t="s">
        <v>1576</v>
      </c>
      <c r="H3287" s="50" t="s">
        <v>2681</v>
      </c>
      <c r="I3287" s="50">
        <v>165</v>
      </c>
      <c r="J3287" s="59" t="s">
        <v>227</v>
      </c>
      <c r="K3287" s="50">
        <f t="shared" si="290"/>
        <v>330</v>
      </c>
      <c r="M3287" s="329"/>
      <c r="N3287" s="330"/>
      <c r="O3287" s="187" t="s">
        <v>2695</v>
      </c>
      <c r="P3287" s="329"/>
      <c r="Q3287" s="422">
        <v>0.28129999999999999</v>
      </c>
      <c r="R3287" s="361"/>
    </row>
    <row r="3288" spans="6:18" ht="24" customHeight="1">
      <c r="F3288" s="50">
        <v>1</v>
      </c>
      <c r="G3288" s="75" t="s">
        <v>1576</v>
      </c>
      <c r="H3288" s="50" t="s">
        <v>2683</v>
      </c>
      <c r="I3288" s="50">
        <v>985</v>
      </c>
      <c r="J3288" s="59" t="s">
        <v>227</v>
      </c>
      <c r="K3288" s="50">
        <f t="shared" si="290"/>
        <v>985</v>
      </c>
      <c r="M3288" s="329"/>
      <c r="N3288" s="330"/>
      <c r="O3288" s="187"/>
      <c r="P3288" s="329"/>
      <c r="Q3288" s="337" t="s">
        <v>117</v>
      </c>
      <c r="R3288" s="361"/>
    </row>
    <row r="3289" spans="6:18" ht="24" customHeight="1">
      <c r="F3289" s="50">
        <v>2</v>
      </c>
      <c r="G3289" s="75" t="s">
        <v>1576</v>
      </c>
      <c r="H3289" s="50" t="s">
        <v>2684</v>
      </c>
      <c r="I3289" s="50">
        <v>450</v>
      </c>
      <c r="J3289" s="59" t="s">
        <v>227</v>
      </c>
      <c r="K3289" s="50">
        <f t="shared" si="290"/>
        <v>900</v>
      </c>
      <c r="M3289" s="329"/>
      <c r="N3289" s="330"/>
      <c r="O3289" s="187"/>
      <c r="P3289" s="329"/>
      <c r="Q3289" s="422">
        <v>0.86880000000000002</v>
      </c>
      <c r="R3289" s="335" t="s">
        <v>174</v>
      </c>
    </row>
    <row r="3290" spans="6:18" ht="24" customHeight="1">
      <c r="F3290" s="50">
        <v>0</v>
      </c>
      <c r="G3290" s="75" t="s">
        <v>240</v>
      </c>
      <c r="H3290" s="50" t="s">
        <v>2685</v>
      </c>
      <c r="I3290" s="50">
        <f>I961</f>
        <v>2.37</v>
      </c>
      <c r="J3290" s="59" t="s">
        <v>227</v>
      </c>
      <c r="K3290" s="375">
        <f t="shared" si="290"/>
        <v>0</v>
      </c>
      <c r="M3290" s="329"/>
      <c r="N3290" s="330"/>
      <c r="O3290" s="329"/>
      <c r="P3290" s="329"/>
      <c r="Q3290" s="337" t="s">
        <v>117</v>
      </c>
      <c r="R3290" s="337"/>
    </row>
    <row r="3291" spans="6:18" ht="24" customHeight="1">
      <c r="F3291" s="50"/>
      <c r="G3291" s="75"/>
      <c r="H3291" s="50" t="s">
        <v>2687</v>
      </c>
      <c r="I3291" s="50"/>
      <c r="J3291" s="59"/>
      <c r="K3291" s="50">
        <f>SUM(K3280:K3290)</f>
        <v>22913.827499999999</v>
      </c>
      <c r="M3291" s="361">
        <v>5.1999999999999998E-2</v>
      </c>
      <c r="N3291" s="336" t="s">
        <v>126</v>
      </c>
      <c r="O3291" s="187" t="s">
        <v>1483</v>
      </c>
      <c r="P3291" s="185">
        <f>P3188</f>
        <v>111600</v>
      </c>
      <c r="Q3291" s="188" t="s">
        <v>126</v>
      </c>
      <c r="R3291" s="185">
        <f>P3291*M3291</f>
        <v>5803.2</v>
      </c>
    </row>
    <row r="3292" spans="6:18" ht="24" customHeight="1">
      <c r="F3292" s="50"/>
      <c r="G3292" s="75"/>
      <c r="H3292" s="50"/>
      <c r="I3292" s="50"/>
      <c r="J3292" s="59"/>
      <c r="K3292" s="375" t="s">
        <v>1586</v>
      </c>
      <c r="M3292" s="361">
        <v>2.5590000000000002E-2</v>
      </c>
      <c r="N3292" s="336" t="s">
        <v>126</v>
      </c>
      <c r="O3292" s="187" t="s">
        <v>1485</v>
      </c>
      <c r="P3292" s="185">
        <f>P3189</f>
        <v>99400</v>
      </c>
      <c r="Q3292" s="188" t="s">
        <v>126</v>
      </c>
      <c r="R3292" s="185">
        <f t="shared" ref="R3292:R3300" si="291">P3292*M3292</f>
        <v>2543.6460000000002</v>
      </c>
    </row>
    <row r="3293" spans="6:18" ht="24" customHeight="1">
      <c r="F3293" s="50"/>
      <c r="G3293" s="75"/>
      <c r="H3293" s="50" t="s">
        <v>2688</v>
      </c>
      <c r="I3293" s="50"/>
      <c r="J3293" s="59"/>
      <c r="K3293" s="50">
        <f>K3291/F3283</f>
        <v>7581.0843672456576</v>
      </c>
      <c r="M3293" s="185">
        <v>0.87</v>
      </c>
      <c r="N3293" s="336" t="s">
        <v>140</v>
      </c>
      <c r="O3293" s="3" t="s">
        <v>623</v>
      </c>
      <c r="P3293" s="185">
        <f>C783</f>
        <v>387.4</v>
      </c>
      <c r="Q3293" s="188" t="s">
        <v>126</v>
      </c>
      <c r="R3293" s="185">
        <f t="shared" si="291"/>
        <v>337.03799999999995</v>
      </c>
    </row>
    <row r="3294" spans="6:18" ht="24" customHeight="1">
      <c r="F3294" s="50"/>
      <c r="G3294" s="75"/>
      <c r="H3294" s="50"/>
      <c r="I3294" s="50"/>
      <c r="J3294" s="59"/>
      <c r="K3294" s="375" t="s">
        <v>1586</v>
      </c>
      <c r="M3294" s="377">
        <v>2.4279999999999999</v>
      </c>
      <c r="N3294" s="336" t="s">
        <v>140</v>
      </c>
      <c r="O3294" s="187" t="s">
        <v>1480</v>
      </c>
      <c r="P3294" s="185">
        <f>D30</f>
        <v>963</v>
      </c>
      <c r="Q3294" s="188" t="s">
        <v>140</v>
      </c>
      <c r="R3294" s="185">
        <f t="shared" si="291"/>
        <v>2338.1639999999998</v>
      </c>
    </row>
    <row r="3295" spans="6:18" ht="24" customHeight="1">
      <c r="G3295" s="5"/>
      <c r="J3295" s="5"/>
      <c r="M3295" s="185">
        <v>4</v>
      </c>
      <c r="N3295" s="336" t="s">
        <v>1</v>
      </c>
      <c r="O3295" s="187" t="s">
        <v>2644</v>
      </c>
      <c r="P3295" s="185">
        <f t="shared" ref="P3295:P3300" si="292">P3228</f>
        <v>50.9</v>
      </c>
      <c r="Q3295" s="188" t="s">
        <v>209</v>
      </c>
      <c r="R3295" s="185">
        <f t="shared" si="291"/>
        <v>203.6</v>
      </c>
    </row>
    <row r="3296" spans="6:18" ht="24" customHeight="1">
      <c r="G3296" s="5"/>
      <c r="J3296" s="5"/>
      <c r="M3296" s="185">
        <v>8</v>
      </c>
      <c r="N3296" s="336" t="s">
        <v>209</v>
      </c>
      <c r="O3296" s="187" t="s">
        <v>1482</v>
      </c>
      <c r="P3296" s="185">
        <f t="shared" si="292"/>
        <v>79.099999999999994</v>
      </c>
      <c r="Q3296" s="188" t="s">
        <v>209</v>
      </c>
      <c r="R3296" s="185">
        <f t="shared" si="291"/>
        <v>632.79999999999995</v>
      </c>
    </row>
    <row r="3297" spans="6:18" ht="24" customHeight="1">
      <c r="G3297" s="15" t="s">
        <v>1258</v>
      </c>
      <c r="H3297" s="4" t="s">
        <v>1421</v>
      </c>
      <c r="M3297" s="185">
        <v>4</v>
      </c>
      <c r="N3297" s="336" t="s">
        <v>209</v>
      </c>
      <c r="O3297" s="187" t="s">
        <v>2663</v>
      </c>
      <c r="P3297" s="185">
        <f t="shared" si="292"/>
        <v>86.3</v>
      </c>
      <c r="Q3297" s="188" t="s">
        <v>209</v>
      </c>
      <c r="R3297" s="185">
        <f t="shared" si="291"/>
        <v>345.2</v>
      </c>
    </row>
    <row r="3298" spans="6:18" ht="24" customHeight="1">
      <c r="H3298" s="4" t="s">
        <v>1434</v>
      </c>
      <c r="M3298" s="185">
        <v>1</v>
      </c>
      <c r="N3298" s="336" t="s">
        <v>209</v>
      </c>
      <c r="O3298" s="187" t="s">
        <v>2664</v>
      </c>
      <c r="P3298" s="185">
        <f t="shared" si="292"/>
        <v>185.2</v>
      </c>
      <c r="Q3298" s="188" t="s">
        <v>209</v>
      </c>
      <c r="R3298" s="185">
        <f t="shared" si="291"/>
        <v>185.2</v>
      </c>
    </row>
    <row r="3299" spans="6:18" ht="24" customHeight="1">
      <c r="F3299" s="80">
        <v>6.5000000000000002E-2</v>
      </c>
      <c r="G3299" s="15" t="s">
        <v>126</v>
      </c>
      <c r="H3299" s="3" t="s">
        <v>1424</v>
      </c>
      <c r="I3299" s="17">
        <f>I859</f>
        <v>6673.2028140000002</v>
      </c>
      <c r="J3299" s="3" t="s">
        <v>126</v>
      </c>
      <c r="K3299" s="17">
        <f>I3299*F3299</f>
        <v>433.75818291000002</v>
      </c>
      <c r="M3299" s="185">
        <v>2</v>
      </c>
      <c r="N3299" s="336" t="s">
        <v>209</v>
      </c>
      <c r="O3299" s="187" t="s">
        <v>2665</v>
      </c>
      <c r="P3299" s="185">
        <f t="shared" si="292"/>
        <v>22.7</v>
      </c>
      <c r="Q3299" s="188" t="s">
        <v>209</v>
      </c>
      <c r="R3299" s="185">
        <f t="shared" si="291"/>
        <v>45.4</v>
      </c>
    </row>
    <row r="3300" spans="6:18" ht="24" customHeight="1">
      <c r="F3300" s="125">
        <v>8.4499999999999993</v>
      </c>
      <c r="G3300" s="15" t="s">
        <v>148</v>
      </c>
      <c r="H3300" s="3" t="s">
        <v>1426</v>
      </c>
      <c r="I3300" s="17">
        <f t="shared" ref="I3300:I3310" si="293">I860</f>
        <v>68782.5</v>
      </c>
      <c r="J3300" s="3" t="s">
        <v>124</v>
      </c>
      <c r="K3300" s="17">
        <f>I3300*F3300/1000</f>
        <v>581.21212500000001</v>
      </c>
      <c r="M3300" s="185">
        <v>2</v>
      </c>
      <c r="N3300" s="336" t="s">
        <v>209</v>
      </c>
      <c r="O3300" s="187" t="s">
        <v>2666</v>
      </c>
      <c r="P3300" s="185">
        <f t="shared" si="292"/>
        <v>43.8</v>
      </c>
      <c r="Q3300" s="188" t="s">
        <v>209</v>
      </c>
      <c r="R3300" s="185">
        <f t="shared" si="291"/>
        <v>87.6</v>
      </c>
    </row>
    <row r="3301" spans="6:18" ht="24" customHeight="1">
      <c r="F3301" s="17">
        <v>3</v>
      </c>
      <c r="G3301" s="15" t="s">
        <v>209</v>
      </c>
      <c r="H3301" s="3" t="s">
        <v>1428</v>
      </c>
      <c r="I3301" s="17">
        <f t="shared" si="293"/>
        <v>14.8</v>
      </c>
      <c r="J3301" s="3" t="s">
        <v>209</v>
      </c>
      <c r="K3301" s="17">
        <f t="shared" ref="K3301:K3308" si="294">I3301*F3301</f>
        <v>44.400000000000006</v>
      </c>
      <c r="M3301" s="329"/>
      <c r="N3301" s="330"/>
      <c r="O3301" s="329" t="s">
        <v>2604</v>
      </c>
      <c r="P3301" s="329"/>
      <c r="Q3301" s="332"/>
      <c r="R3301" s="341">
        <f>R3199</f>
        <v>279.66000000000003</v>
      </c>
    </row>
    <row r="3302" spans="6:18" ht="24" customHeight="1">
      <c r="F3302" s="17">
        <v>12</v>
      </c>
      <c r="G3302" s="15" t="s">
        <v>209</v>
      </c>
      <c r="H3302" s="3" t="s">
        <v>1429</v>
      </c>
      <c r="I3302" s="17">
        <f t="shared" si="293"/>
        <v>2</v>
      </c>
      <c r="J3302" s="3" t="s">
        <v>209</v>
      </c>
      <c r="K3302" s="17">
        <f t="shared" si="294"/>
        <v>24</v>
      </c>
      <c r="M3302" s="329"/>
      <c r="N3302" s="330"/>
      <c r="O3302" s="329"/>
      <c r="P3302" s="329"/>
      <c r="Q3302" s="332"/>
      <c r="R3302" s="337" t="s">
        <v>117</v>
      </c>
    </row>
    <row r="3303" spans="6:18" ht="24" customHeight="1">
      <c r="F3303" s="17">
        <v>2</v>
      </c>
      <c r="G3303" s="15" t="s">
        <v>209</v>
      </c>
      <c r="H3303" s="3" t="s">
        <v>1430</v>
      </c>
      <c r="I3303" s="17">
        <f t="shared" si="293"/>
        <v>4.9000000000000004</v>
      </c>
      <c r="J3303" s="3" t="s">
        <v>209</v>
      </c>
      <c r="K3303" s="17">
        <f t="shared" si="294"/>
        <v>9.8000000000000007</v>
      </c>
      <c r="M3303" s="329"/>
      <c r="N3303" s="330"/>
      <c r="O3303" s="187" t="s">
        <v>2690</v>
      </c>
      <c r="P3303" s="329"/>
      <c r="Q3303" s="332"/>
      <c r="R3303" s="185">
        <f>SUM(R3291:R3301)</f>
        <v>12801.508</v>
      </c>
    </row>
    <row r="3304" spans="6:18" ht="24" customHeight="1">
      <c r="F3304" s="17">
        <v>6</v>
      </c>
      <c r="G3304" s="15" t="s">
        <v>209</v>
      </c>
      <c r="H3304" s="3" t="s">
        <v>1432</v>
      </c>
      <c r="I3304" s="17">
        <f t="shared" si="293"/>
        <v>4.45</v>
      </c>
      <c r="J3304" s="3" t="s">
        <v>209</v>
      </c>
      <c r="K3304" s="17">
        <f t="shared" si="294"/>
        <v>26.700000000000003</v>
      </c>
      <c r="M3304" s="329"/>
      <c r="N3304" s="330"/>
      <c r="O3304" s="329"/>
      <c r="P3304" s="329"/>
      <c r="Q3304" s="332"/>
      <c r="R3304" s="337" t="s">
        <v>117</v>
      </c>
    </row>
    <row r="3305" spans="6:18" ht="24" customHeight="1">
      <c r="F3305" s="17">
        <v>1</v>
      </c>
      <c r="G3305" s="15" t="s">
        <v>209</v>
      </c>
      <c r="H3305" s="3" t="s">
        <v>1435</v>
      </c>
      <c r="I3305" s="17">
        <f t="shared" si="293"/>
        <v>769</v>
      </c>
      <c r="J3305" s="3" t="s">
        <v>209</v>
      </c>
      <c r="K3305" s="17">
        <f t="shared" si="294"/>
        <v>769</v>
      </c>
      <c r="M3305" s="329"/>
      <c r="N3305" s="330"/>
      <c r="O3305" s="343" t="s">
        <v>154</v>
      </c>
      <c r="P3305" s="329"/>
      <c r="Q3305" s="334" t="s">
        <v>2433</v>
      </c>
      <c r="R3305" s="344">
        <f>R3303/M3294</f>
        <v>5272.4497528830316</v>
      </c>
    </row>
    <row r="3306" spans="6:18" ht="24" customHeight="1">
      <c r="F3306" s="17">
        <v>1</v>
      </c>
      <c r="G3306" s="15" t="s">
        <v>209</v>
      </c>
      <c r="H3306" s="3" t="s">
        <v>1436</v>
      </c>
      <c r="I3306" s="17">
        <f t="shared" si="293"/>
        <v>502</v>
      </c>
      <c r="J3306" s="3" t="s">
        <v>209</v>
      </c>
      <c r="K3306" s="17">
        <f t="shared" si="294"/>
        <v>502</v>
      </c>
      <c r="M3306" s="188"/>
      <c r="N3306" s="336" t="s">
        <v>122</v>
      </c>
      <c r="O3306" s="187" t="s">
        <v>2696</v>
      </c>
      <c r="P3306" s="329"/>
      <c r="Q3306" s="332"/>
      <c r="R3306" s="329"/>
    </row>
    <row r="3307" spans="6:18" ht="24" customHeight="1">
      <c r="F3307" s="17">
        <v>1</v>
      </c>
      <c r="G3307" s="15" t="s">
        <v>209</v>
      </c>
      <c r="H3307" s="3" t="s">
        <v>1437</v>
      </c>
      <c r="I3307" s="17">
        <f t="shared" si="293"/>
        <v>25</v>
      </c>
      <c r="J3307" s="3" t="s">
        <v>209</v>
      </c>
      <c r="K3307" s="17">
        <f t="shared" si="294"/>
        <v>25</v>
      </c>
      <c r="M3307" s="329"/>
      <c r="N3307" s="330"/>
      <c r="O3307" s="187" t="s">
        <v>1467</v>
      </c>
      <c r="P3307" s="329"/>
      <c r="Q3307" s="332"/>
      <c r="R3307" s="329"/>
    </row>
    <row r="3308" spans="6:18" ht="24" customHeight="1">
      <c r="F3308" s="17">
        <v>0.5</v>
      </c>
      <c r="G3308" s="15" t="s">
        <v>209</v>
      </c>
      <c r="H3308" s="3" t="s">
        <v>1438</v>
      </c>
      <c r="I3308" s="17">
        <f t="shared" si="293"/>
        <v>412</v>
      </c>
      <c r="J3308" s="3" t="s">
        <v>209</v>
      </c>
      <c r="K3308" s="17">
        <f t="shared" si="294"/>
        <v>206</v>
      </c>
      <c r="M3308" s="329"/>
      <c r="N3308" s="330"/>
      <c r="O3308" s="415" t="s">
        <v>2633</v>
      </c>
      <c r="P3308" s="329"/>
      <c r="Q3308" s="332"/>
      <c r="R3308" s="329"/>
    </row>
    <row r="3309" spans="6:18" ht="24" customHeight="1">
      <c r="G3309" s="15" t="s">
        <v>129</v>
      </c>
      <c r="H3309" s="3" t="s">
        <v>1439</v>
      </c>
      <c r="I3309" s="17">
        <f t="shared" si="293"/>
        <v>0</v>
      </c>
      <c r="J3309" s="3" t="s">
        <v>129</v>
      </c>
      <c r="K3309" s="17">
        <v>2.1</v>
      </c>
      <c r="M3309" s="329"/>
      <c r="N3309" s="330"/>
      <c r="O3309" s="337" t="s">
        <v>117</v>
      </c>
      <c r="P3309" s="329"/>
      <c r="Q3309" s="332"/>
      <c r="R3309" s="329"/>
    </row>
    <row r="3310" spans="6:18" ht="24" customHeight="1">
      <c r="I3310" s="17">
        <f t="shared" si="293"/>
        <v>0</v>
      </c>
      <c r="K3310" s="12" t="s">
        <v>117</v>
      </c>
      <c r="M3310" s="329"/>
      <c r="N3310" s="330"/>
      <c r="O3310" s="187" t="s">
        <v>2634</v>
      </c>
      <c r="P3310" s="333" t="s">
        <v>155</v>
      </c>
      <c r="Q3310" s="416">
        <v>3.1219999999999999</v>
      </c>
      <c r="R3310" s="382" t="s">
        <v>174</v>
      </c>
    </row>
    <row r="3311" spans="6:18" ht="24" customHeight="1">
      <c r="H3311" s="19" t="s">
        <v>1440</v>
      </c>
      <c r="K3311" s="74">
        <f>SUM(K3299:K3310)</f>
        <v>2623.97030791</v>
      </c>
      <c r="M3311" s="329"/>
      <c r="N3311" s="330"/>
      <c r="O3311" s="187"/>
      <c r="P3311" s="333"/>
      <c r="Q3311" s="416"/>
      <c r="R3311" s="382"/>
    </row>
    <row r="3312" spans="6:18" ht="24" customHeight="1">
      <c r="K3312" s="12" t="s">
        <v>117</v>
      </c>
      <c r="M3312" s="329"/>
      <c r="N3312" s="330"/>
      <c r="O3312" s="187" t="s">
        <v>2635</v>
      </c>
      <c r="P3312" s="333" t="s">
        <v>155</v>
      </c>
      <c r="Q3312" s="417">
        <v>5.1999999999999998E-2</v>
      </c>
      <c r="R3312" s="382" t="s">
        <v>429</v>
      </c>
    </row>
    <row r="3313" spans="6:18" ht="24" customHeight="1">
      <c r="G3313" s="5"/>
      <c r="J3313" s="5"/>
      <c r="M3313" s="329"/>
      <c r="N3313" s="330"/>
      <c r="O3313" s="187" t="s">
        <v>2636</v>
      </c>
      <c r="Q3313" s="418"/>
      <c r="R3313" s="382"/>
    </row>
    <row r="3314" spans="6:18" ht="24" customHeight="1">
      <c r="G3314" s="5"/>
      <c r="J3314" s="5"/>
      <c r="M3314" s="329"/>
      <c r="N3314" s="330"/>
      <c r="O3314" s="187" t="s">
        <v>2637</v>
      </c>
      <c r="P3314" s="333" t="s">
        <v>155</v>
      </c>
      <c r="Q3314" s="419">
        <v>2.2780000000000002E-2</v>
      </c>
      <c r="R3314" s="382"/>
    </row>
    <row r="3315" spans="6:18" ht="24" customHeight="1">
      <c r="G3315" s="50" t="s">
        <v>2458</v>
      </c>
      <c r="J3315" s="5"/>
      <c r="M3315" s="329"/>
      <c r="N3315" s="330"/>
      <c r="O3315" s="187" t="s">
        <v>2639</v>
      </c>
      <c r="P3315" s="333" t="s">
        <v>155</v>
      </c>
      <c r="Q3315" s="428">
        <v>1.0125E-2</v>
      </c>
      <c r="R3315" s="383"/>
    </row>
    <row r="3316" spans="6:18" ht="24" customHeight="1">
      <c r="G3316" s="50" t="s">
        <v>2459</v>
      </c>
      <c r="J3316" s="5"/>
      <c r="M3316" s="329"/>
      <c r="N3316" s="330"/>
      <c r="O3316" s="329"/>
      <c r="P3316" s="329"/>
      <c r="Q3316" s="426" t="s">
        <v>2653</v>
      </c>
      <c r="R3316" s="8"/>
    </row>
    <row r="3317" spans="6:18" ht="24" customHeight="1">
      <c r="G3317" s="5"/>
      <c r="J3317" s="5"/>
      <c r="M3317" s="329"/>
      <c r="N3317" s="330"/>
      <c r="O3317" s="329"/>
      <c r="P3317" s="329"/>
      <c r="Q3317" s="420">
        <v>3.2910000000000002E-2</v>
      </c>
      <c r="R3317" s="8" t="s">
        <v>429</v>
      </c>
    </row>
    <row r="3318" spans="6:18" ht="24" customHeight="1">
      <c r="F3318" s="374">
        <v>2.6159999999999999E-2</v>
      </c>
      <c r="G3318" s="75" t="s">
        <v>126</v>
      </c>
      <c r="H3318" s="50" t="s">
        <v>1571</v>
      </c>
      <c r="I3318" s="50">
        <f>AC26</f>
        <v>111600</v>
      </c>
      <c r="J3318" s="59" t="s">
        <v>126</v>
      </c>
      <c r="K3318" s="50">
        <f>I3318*F3318</f>
        <v>2919.4560000000001</v>
      </c>
      <c r="M3318" s="329"/>
      <c r="N3318" s="330"/>
      <c r="O3318" s="329"/>
      <c r="P3318" s="329"/>
      <c r="Q3318" s="426" t="s">
        <v>2653</v>
      </c>
      <c r="R3318" s="8"/>
    </row>
    <row r="3319" spans="6:18" ht="24" customHeight="1">
      <c r="F3319" s="374">
        <v>4.7809999999999998E-2</v>
      </c>
      <c r="G3319" s="75" t="s">
        <v>126</v>
      </c>
      <c r="H3319" s="50" t="s">
        <v>1572</v>
      </c>
      <c r="I3319" s="50">
        <f>AC27</f>
        <v>99400</v>
      </c>
      <c r="J3319" s="59" t="s">
        <v>126</v>
      </c>
      <c r="K3319" s="50">
        <f t="shared" ref="K3319:K3327" si="295">I3319*F3319</f>
        <v>4752.3139999999994</v>
      </c>
      <c r="M3319" s="329"/>
      <c r="N3319" s="330"/>
      <c r="O3319" s="187" t="s">
        <v>2654</v>
      </c>
      <c r="P3319" s="329"/>
      <c r="Q3319" s="302">
        <v>0.94</v>
      </c>
      <c r="R3319" s="383" t="s">
        <v>174</v>
      </c>
    </row>
    <row r="3320" spans="6:18" ht="24" customHeight="1">
      <c r="F3320" s="374">
        <v>4.5879999999999997E-2</v>
      </c>
      <c r="G3320" s="75" t="s">
        <v>126</v>
      </c>
      <c r="H3320" s="433" t="s">
        <v>2697</v>
      </c>
      <c r="I3320" s="434">
        <v>107000</v>
      </c>
      <c r="J3320" s="59" t="s">
        <v>126</v>
      </c>
      <c r="K3320" s="50">
        <f t="shared" si="295"/>
        <v>4909.16</v>
      </c>
      <c r="M3320" s="329"/>
      <c r="N3320" s="330"/>
      <c r="O3320" s="187" t="s">
        <v>2698</v>
      </c>
      <c r="P3320" s="329"/>
      <c r="Q3320" s="423">
        <v>0.45</v>
      </c>
      <c r="R3320" s="383" t="s">
        <v>429</v>
      </c>
    </row>
    <row r="3321" spans="6:18" ht="24" customHeight="1">
      <c r="F3321" s="374">
        <v>3.95</v>
      </c>
      <c r="G3321" s="75" t="s">
        <v>140</v>
      </c>
      <c r="H3321" s="50" t="s">
        <v>1574</v>
      </c>
      <c r="I3321" s="50">
        <f>P3261</f>
        <v>1155</v>
      </c>
      <c r="J3321" s="59" t="s">
        <v>140</v>
      </c>
      <c r="K3321" s="50">
        <f t="shared" si="295"/>
        <v>4562.25</v>
      </c>
      <c r="M3321" s="329"/>
      <c r="N3321" s="330"/>
      <c r="O3321" s="187" t="s">
        <v>2656</v>
      </c>
      <c r="P3321" s="329"/>
      <c r="Q3321" s="423">
        <v>7.9</v>
      </c>
      <c r="R3321" s="383" t="s">
        <v>231</v>
      </c>
    </row>
    <row r="3322" spans="6:18" ht="24" customHeight="1">
      <c r="F3322" s="50">
        <v>2</v>
      </c>
      <c r="G3322" s="75" t="s">
        <v>1576</v>
      </c>
      <c r="H3322" s="50" t="s">
        <v>1577</v>
      </c>
      <c r="I3322" s="50">
        <f t="shared" ref="I3322:I3327" si="296">P3262</f>
        <v>50.9</v>
      </c>
      <c r="J3322" s="59" t="s">
        <v>227</v>
      </c>
      <c r="K3322" s="50">
        <f t="shared" si="295"/>
        <v>101.8</v>
      </c>
      <c r="M3322" s="329"/>
      <c r="N3322" s="330"/>
      <c r="O3322" s="329"/>
      <c r="P3322" s="329"/>
      <c r="Q3322" s="337"/>
      <c r="R3322" s="337"/>
    </row>
    <row r="3323" spans="6:18" ht="24" customHeight="1">
      <c r="F3323" s="50">
        <v>6</v>
      </c>
      <c r="G3323" s="75" t="s">
        <v>1576</v>
      </c>
      <c r="H3323" s="50" t="s">
        <v>1578</v>
      </c>
      <c r="I3323" s="50">
        <f t="shared" si="296"/>
        <v>79.099999999999994</v>
      </c>
      <c r="J3323" s="59" t="s">
        <v>227</v>
      </c>
      <c r="K3323" s="50">
        <f t="shared" si="295"/>
        <v>474.59999999999997</v>
      </c>
      <c r="M3323" s="361">
        <v>5.1999999999999998E-2</v>
      </c>
      <c r="N3323" s="336" t="s">
        <v>126</v>
      </c>
      <c r="O3323" s="187" t="s">
        <v>1483</v>
      </c>
      <c r="P3323" s="185">
        <f>P3221</f>
        <v>111600</v>
      </c>
      <c r="Q3323" s="188" t="s">
        <v>126</v>
      </c>
      <c r="R3323" s="185">
        <f>P3323*M3323</f>
        <v>5803.2</v>
      </c>
    </row>
    <row r="3324" spans="6:18" ht="24" customHeight="1">
      <c r="F3324" s="50">
        <v>4</v>
      </c>
      <c r="G3324" s="75" t="s">
        <v>1576</v>
      </c>
      <c r="H3324" s="50" t="s">
        <v>1579</v>
      </c>
      <c r="I3324" s="50">
        <f t="shared" si="296"/>
        <v>86.3</v>
      </c>
      <c r="J3324" s="59" t="s">
        <v>227</v>
      </c>
      <c r="K3324" s="50">
        <f t="shared" si="295"/>
        <v>345.2</v>
      </c>
      <c r="M3324" s="361">
        <v>3.2910000000000002E-2</v>
      </c>
      <c r="N3324" s="336" t="s">
        <v>126</v>
      </c>
      <c r="O3324" s="187" t="s">
        <v>1485</v>
      </c>
      <c r="P3324" s="185">
        <f>P3222</f>
        <v>99400</v>
      </c>
      <c r="Q3324" s="188" t="s">
        <v>126</v>
      </c>
      <c r="R3324" s="185">
        <f t="shared" ref="R3324:R3335" si="297">P3324*M3324</f>
        <v>3271.2540000000004</v>
      </c>
    </row>
    <row r="3325" spans="6:18" ht="24" customHeight="1">
      <c r="F3325" s="50">
        <v>1</v>
      </c>
      <c r="G3325" s="75" t="s">
        <v>1576</v>
      </c>
      <c r="H3325" s="50" t="s">
        <v>1581</v>
      </c>
      <c r="I3325" s="50">
        <f t="shared" si="296"/>
        <v>185.2</v>
      </c>
      <c r="J3325" s="59" t="s">
        <v>227</v>
      </c>
      <c r="K3325" s="50">
        <f t="shared" si="295"/>
        <v>185.2</v>
      </c>
      <c r="M3325" s="361">
        <v>0.45</v>
      </c>
      <c r="N3325" s="336" t="s">
        <v>140</v>
      </c>
      <c r="O3325" s="3" t="s">
        <v>623</v>
      </c>
      <c r="P3325" s="185">
        <f>P3293</f>
        <v>387.4</v>
      </c>
      <c r="Q3325" s="188" t="s">
        <v>126</v>
      </c>
      <c r="R3325" s="185">
        <f t="shared" si="297"/>
        <v>174.32999999999998</v>
      </c>
    </row>
    <row r="3326" spans="6:18" ht="24" customHeight="1">
      <c r="F3326" s="50">
        <v>2</v>
      </c>
      <c r="G3326" s="75" t="s">
        <v>1576</v>
      </c>
      <c r="H3326" s="50" t="s">
        <v>2699</v>
      </c>
      <c r="I3326" s="50">
        <f t="shared" si="296"/>
        <v>22.7</v>
      </c>
      <c r="J3326" s="59" t="s">
        <v>227</v>
      </c>
      <c r="K3326" s="50">
        <f t="shared" si="295"/>
        <v>45.4</v>
      </c>
      <c r="M3326" s="377">
        <v>0.94</v>
      </c>
      <c r="N3326" s="336" t="s">
        <v>140</v>
      </c>
      <c r="O3326" s="187" t="s">
        <v>2700</v>
      </c>
      <c r="P3326" s="185">
        <f t="shared" ref="P3326:P3334" si="298">P3225</f>
        <v>355.5</v>
      </c>
      <c r="Q3326" s="332" t="s">
        <v>140</v>
      </c>
      <c r="R3326" s="185">
        <f t="shared" si="297"/>
        <v>334.16999999999996</v>
      </c>
    </row>
    <row r="3327" spans="6:18" ht="24" customHeight="1">
      <c r="F3327" s="50">
        <v>2</v>
      </c>
      <c r="G3327" s="75" t="s">
        <v>1576</v>
      </c>
      <c r="H3327" s="50" t="s">
        <v>630</v>
      </c>
      <c r="I3327" s="50">
        <f t="shared" si="296"/>
        <v>43.8</v>
      </c>
      <c r="J3327" s="59" t="s">
        <v>227</v>
      </c>
      <c r="K3327" s="50">
        <f t="shared" si="295"/>
        <v>87.6</v>
      </c>
      <c r="M3327" s="377">
        <v>7.9</v>
      </c>
      <c r="N3327" s="336" t="s">
        <v>203</v>
      </c>
      <c r="O3327" s="187" t="s">
        <v>2701</v>
      </c>
      <c r="P3327" s="185">
        <f t="shared" si="298"/>
        <v>15.15</v>
      </c>
      <c r="Q3327" s="332"/>
      <c r="R3327" s="185">
        <f t="shared" si="297"/>
        <v>119.685</v>
      </c>
    </row>
    <row r="3328" spans="6:18" ht="24" customHeight="1">
      <c r="F3328" s="50">
        <v>10</v>
      </c>
      <c r="G3328" s="75"/>
      <c r="H3328" s="433" t="s">
        <v>2702</v>
      </c>
      <c r="I3328" s="50">
        <f>I3290</f>
        <v>2.37</v>
      </c>
      <c r="J3328" s="59"/>
      <c r="K3328" s="50">
        <v>24.3</v>
      </c>
      <c r="M3328" s="377">
        <v>3.1219999999999999</v>
      </c>
      <c r="N3328" s="336" t="s">
        <v>140</v>
      </c>
      <c r="O3328" s="187" t="s">
        <v>1480</v>
      </c>
      <c r="P3328" s="185">
        <f t="shared" si="298"/>
        <v>1078</v>
      </c>
      <c r="Q3328" s="188" t="s">
        <v>140</v>
      </c>
      <c r="R3328" s="185">
        <f t="shared" si="297"/>
        <v>3365.5160000000001</v>
      </c>
    </row>
    <row r="3329" spans="6:18" ht="24" customHeight="1">
      <c r="F3329" s="50"/>
      <c r="G3329" s="75"/>
      <c r="H3329" s="50" t="s">
        <v>154</v>
      </c>
      <c r="I3329" s="50"/>
      <c r="J3329" s="59"/>
      <c r="K3329" s="50">
        <f>SUM(K3318:K3328)</f>
        <v>18407.28</v>
      </c>
      <c r="M3329" s="185">
        <v>4</v>
      </c>
      <c r="N3329" s="336" t="s">
        <v>1</v>
      </c>
      <c r="O3329" s="187" t="s">
        <v>2644</v>
      </c>
      <c r="P3329" s="185">
        <f t="shared" si="298"/>
        <v>50.9</v>
      </c>
      <c r="Q3329" s="188" t="s">
        <v>209</v>
      </c>
      <c r="R3329" s="185">
        <f t="shared" si="297"/>
        <v>203.6</v>
      </c>
    </row>
    <row r="3330" spans="6:18" ht="24" customHeight="1">
      <c r="F3330" s="50"/>
      <c r="G3330" s="75"/>
      <c r="H3330" s="50"/>
      <c r="I3330" s="50"/>
      <c r="J3330" s="59"/>
      <c r="K3330" s="375" t="s">
        <v>1586</v>
      </c>
      <c r="M3330" s="185">
        <v>8</v>
      </c>
      <c r="N3330" s="336" t="s">
        <v>209</v>
      </c>
      <c r="O3330" s="187" t="s">
        <v>1482</v>
      </c>
      <c r="P3330" s="185">
        <f t="shared" si="298"/>
        <v>79.099999999999994</v>
      </c>
      <c r="Q3330" s="188" t="s">
        <v>209</v>
      </c>
      <c r="R3330" s="185">
        <f t="shared" si="297"/>
        <v>632.79999999999995</v>
      </c>
    </row>
    <row r="3331" spans="6:18" ht="24" customHeight="1">
      <c r="F3331" s="50"/>
      <c r="G3331" s="75"/>
      <c r="H3331" s="50" t="s">
        <v>154</v>
      </c>
      <c r="I3331" s="50"/>
      <c r="J3331" s="59"/>
      <c r="K3331" s="50">
        <f>K3329/F3321</f>
        <v>4660.0708860759487</v>
      </c>
      <c r="M3331" s="185">
        <v>4</v>
      </c>
      <c r="N3331" s="336" t="s">
        <v>209</v>
      </c>
      <c r="O3331" s="187" t="s">
        <v>2663</v>
      </c>
      <c r="P3331" s="185">
        <f t="shared" si="298"/>
        <v>86.3</v>
      </c>
      <c r="Q3331" s="188" t="s">
        <v>209</v>
      </c>
      <c r="R3331" s="185">
        <f t="shared" si="297"/>
        <v>345.2</v>
      </c>
    </row>
    <row r="3332" spans="6:18" ht="24" customHeight="1">
      <c r="F3332" s="50"/>
      <c r="G3332" s="75"/>
      <c r="H3332" s="50"/>
      <c r="I3332" s="50"/>
      <c r="J3332" s="59"/>
      <c r="K3332" s="375" t="s">
        <v>1586</v>
      </c>
      <c r="M3332" s="185">
        <v>1</v>
      </c>
      <c r="N3332" s="336" t="s">
        <v>209</v>
      </c>
      <c r="O3332" s="187" t="s">
        <v>2664</v>
      </c>
      <c r="P3332" s="185">
        <f t="shared" si="298"/>
        <v>185.2</v>
      </c>
      <c r="Q3332" s="188" t="s">
        <v>209</v>
      </c>
      <c r="R3332" s="185">
        <f t="shared" si="297"/>
        <v>185.2</v>
      </c>
    </row>
    <row r="3333" spans="6:18" ht="24" customHeight="1">
      <c r="G3333" s="5"/>
      <c r="J3333" s="5"/>
      <c r="M3333" s="185">
        <v>2</v>
      </c>
      <c r="N3333" s="336" t="s">
        <v>209</v>
      </c>
      <c r="O3333" s="187" t="s">
        <v>2665</v>
      </c>
      <c r="P3333" s="185">
        <f t="shared" si="298"/>
        <v>22.7</v>
      </c>
      <c r="Q3333" s="188" t="s">
        <v>209</v>
      </c>
      <c r="R3333" s="185">
        <f t="shared" si="297"/>
        <v>45.4</v>
      </c>
    </row>
    <row r="3334" spans="6:18" ht="24" customHeight="1">
      <c r="G3334" s="5"/>
      <c r="J3334" s="5"/>
      <c r="M3334" s="185">
        <v>2</v>
      </c>
      <c r="N3334" s="336" t="s">
        <v>209</v>
      </c>
      <c r="O3334" s="187" t="s">
        <v>2666</v>
      </c>
      <c r="P3334" s="185">
        <f t="shared" si="298"/>
        <v>43.8</v>
      </c>
      <c r="Q3334" s="188" t="s">
        <v>209</v>
      </c>
      <c r="R3334" s="185">
        <f t="shared" si="297"/>
        <v>87.6</v>
      </c>
    </row>
    <row r="3335" spans="6:18" ht="24" customHeight="1">
      <c r="G3335" s="5"/>
      <c r="J3335" s="5"/>
      <c r="M3335" s="329">
        <v>118</v>
      </c>
      <c r="N3335" s="336" t="s">
        <v>209</v>
      </c>
      <c r="O3335" s="329" t="s">
        <v>2604</v>
      </c>
      <c r="P3335" s="329">
        <f>P3268</f>
        <v>2.37</v>
      </c>
      <c r="Q3335" s="188" t="s">
        <v>209</v>
      </c>
      <c r="R3335" s="185">
        <f t="shared" si="297"/>
        <v>279.66000000000003</v>
      </c>
    </row>
    <row r="3336" spans="6:18" ht="24" customHeight="1">
      <c r="F3336" s="4"/>
      <c r="G3336" s="15" t="s">
        <v>122</v>
      </c>
      <c r="H3336" s="3" t="s">
        <v>2703</v>
      </c>
      <c r="J3336" s="10"/>
      <c r="M3336" s="329"/>
      <c r="N3336" s="330"/>
      <c r="O3336" s="329"/>
      <c r="P3336" s="329"/>
      <c r="Q3336" s="332"/>
      <c r="R3336" s="337" t="s">
        <v>117</v>
      </c>
    </row>
    <row r="3337" spans="6:18" ht="24" customHeight="1">
      <c r="H3337" s="3" t="s">
        <v>178</v>
      </c>
      <c r="J3337" s="10"/>
      <c r="M3337" s="329"/>
      <c r="N3337" s="330"/>
      <c r="O3337" s="187" t="s">
        <v>2650</v>
      </c>
      <c r="P3337" s="329"/>
      <c r="Q3337" s="332"/>
      <c r="R3337" s="185">
        <f>SUM(R3323:R3335)</f>
        <v>14847.615</v>
      </c>
    </row>
    <row r="3338" spans="6:18" ht="24" customHeight="1">
      <c r="H3338" s="7" t="s">
        <v>179</v>
      </c>
      <c r="J3338" s="10"/>
      <c r="M3338" s="329"/>
      <c r="N3338" s="330"/>
      <c r="O3338" s="329"/>
      <c r="P3338" s="329"/>
      <c r="Q3338" s="332"/>
      <c r="R3338" s="337" t="s">
        <v>117</v>
      </c>
    </row>
    <row r="3339" spans="6:18" ht="24" customHeight="1">
      <c r="H3339" s="12" t="s">
        <v>117</v>
      </c>
      <c r="J3339" s="10"/>
      <c r="M3339" s="329"/>
      <c r="N3339" s="330"/>
      <c r="O3339" s="343" t="s">
        <v>154</v>
      </c>
      <c r="P3339" s="329"/>
      <c r="Q3339" s="334" t="s">
        <v>2433</v>
      </c>
      <c r="R3339" s="344">
        <f>R3337/M3328</f>
        <v>4755.8023702754645</v>
      </c>
    </row>
    <row r="3340" spans="6:18" ht="24" customHeight="1">
      <c r="F3340" s="17">
        <v>1.34</v>
      </c>
      <c r="G3340" s="15" t="s">
        <v>148</v>
      </c>
      <c r="H3340" s="292" t="s">
        <v>180</v>
      </c>
      <c r="I3340" s="25">
        <v>72.400000000000006</v>
      </c>
      <c r="J3340" s="3" t="s">
        <v>148</v>
      </c>
      <c r="K3340" s="17">
        <f>(F3340*I3340)</f>
        <v>97.01600000000002</v>
      </c>
    </row>
    <row r="3341" spans="6:18" ht="24" customHeight="1">
      <c r="F3341" s="17">
        <v>0.5</v>
      </c>
      <c r="G3341" s="15" t="s">
        <v>1</v>
      </c>
      <c r="H3341" s="3" t="s">
        <v>181</v>
      </c>
      <c r="I3341" s="17">
        <f>AE13</f>
        <v>615</v>
      </c>
      <c r="J3341" s="15" t="s">
        <v>1</v>
      </c>
      <c r="K3341" s="17">
        <f>(F3341*I3341)</f>
        <v>307.5</v>
      </c>
    </row>
    <row r="3342" spans="6:18" ht="24" customHeight="1">
      <c r="F3342" s="17">
        <v>0.5</v>
      </c>
      <c r="G3342" s="15" t="s">
        <v>1</v>
      </c>
      <c r="H3342" s="3" t="s">
        <v>146</v>
      </c>
      <c r="I3342" s="17">
        <f>AE11</f>
        <v>502</v>
      </c>
      <c r="J3342" s="15" t="s">
        <v>1</v>
      </c>
      <c r="K3342" s="17">
        <f>(F3342*I3342)</f>
        <v>251</v>
      </c>
      <c r="M3342" s="188"/>
      <c r="N3342" s="336" t="s">
        <v>122</v>
      </c>
      <c r="O3342" s="187" t="s">
        <v>2704</v>
      </c>
      <c r="P3342" s="329"/>
      <c r="Q3342" s="332"/>
      <c r="R3342" s="329"/>
    </row>
    <row r="3343" spans="6:18" ht="24" customHeight="1">
      <c r="F3343" s="17">
        <v>0.8</v>
      </c>
      <c r="G3343" s="15" t="s">
        <v>1</v>
      </c>
      <c r="H3343" s="3" t="s">
        <v>147</v>
      </c>
      <c r="I3343" s="17">
        <f>AE12</f>
        <v>412</v>
      </c>
      <c r="J3343" s="15" t="s">
        <v>1</v>
      </c>
      <c r="K3343" s="17">
        <f>(F3343*I3343)</f>
        <v>329.6</v>
      </c>
      <c r="M3343" s="329"/>
      <c r="N3343" s="330"/>
      <c r="O3343" s="187" t="s">
        <v>1467</v>
      </c>
      <c r="P3343" s="329"/>
      <c r="Q3343" s="332"/>
      <c r="R3343" s="329"/>
    </row>
    <row r="3344" spans="6:18" ht="24" customHeight="1">
      <c r="G3344" s="15" t="s">
        <v>129</v>
      </c>
      <c r="H3344" s="3" t="s">
        <v>182</v>
      </c>
      <c r="I3344" s="3" t="s">
        <v>115</v>
      </c>
      <c r="J3344" s="4" t="s">
        <v>129</v>
      </c>
      <c r="K3344" s="17">
        <v>2.6</v>
      </c>
      <c r="M3344" s="329"/>
      <c r="N3344" s="330"/>
      <c r="O3344" s="415" t="s">
        <v>2705</v>
      </c>
      <c r="P3344" s="329"/>
      <c r="Q3344" s="332"/>
      <c r="R3344" s="329"/>
    </row>
    <row r="3345" spans="6:18" ht="24" customHeight="1">
      <c r="J3345" s="10"/>
      <c r="K3345" s="12" t="s">
        <v>117</v>
      </c>
      <c r="M3345" s="329"/>
      <c r="N3345" s="330"/>
      <c r="O3345" s="337" t="s">
        <v>117</v>
      </c>
      <c r="P3345" s="329"/>
      <c r="Q3345" s="332"/>
      <c r="R3345" s="329"/>
    </row>
    <row r="3346" spans="6:18" ht="24" customHeight="1">
      <c r="H3346" s="3" t="s">
        <v>153</v>
      </c>
      <c r="J3346" s="10"/>
      <c r="K3346" s="17">
        <f>SUM(K3340:K3345)</f>
        <v>987.71600000000012</v>
      </c>
      <c r="M3346" s="329"/>
      <c r="N3346" s="330"/>
      <c r="O3346" s="187" t="s">
        <v>2706</v>
      </c>
      <c r="P3346" s="333" t="s">
        <v>155</v>
      </c>
      <c r="Q3346" s="416">
        <v>1.734</v>
      </c>
      <c r="R3346" s="329" t="s">
        <v>174</v>
      </c>
    </row>
    <row r="3347" spans="6:18" ht="24" customHeight="1">
      <c r="J3347" s="10"/>
      <c r="K3347" s="12" t="s">
        <v>117</v>
      </c>
      <c r="M3347" s="329"/>
      <c r="N3347" s="330"/>
      <c r="O3347" s="187"/>
      <c r="P3347" s="333"/>
      <c r="Q3347" s="416"/>
      <c r="R3347" s="329"/>
    </row>
    <row r="3348" spans="6:18" ht="24" customHeight="1">
      <c r="H3348" s="7" t="s">
        <v>154</v>
      </c>
      <c r="J3348" s="10"/>
      <c r="K3348" s="16">
        <f>(K3346/10)</f>
        <v>98.771600000000007</v>
      </c>
      <c r="M3348" s="329"/>
      <c r="N3348" s="330"/>
      <c r="O3348" s="187" t="s">
        <v>2707</v>
      </c>
      <c r="P3348" s="333" t="s">
        <v>155</v>
      </c>
      <c r="Q3348" s="417">
        <v>3.9E-2</v>
      </c>
      <c r="R3348" s="329" t="s">
        <v>429</v>
      </c>
    </row>
    <row r="3349" spans="6:18" ht="24" customHeight="1">
      <c r="F3349" s="3" t="s">
        <v>115</v>
      </c>
      <c r="J3349" s="10"/>
      <c r="M3349" s="329"/>
      <c r="N3349" s="330"/>
      <c r="O3349" s="187" t="s">
        <v>2636</v>
      </c>
      <c r="Q3349" s="418"/>
      <c r="R3349" s="329"/>
    </row>
    <row r="3350" spans="6:18" ht="24" customHeight="1">
      <c r="G3350" s="5"/>
      <c r="J3350" s="5"/>
      <c r="M3350" s="329"/>
      <c r="N3350" s="330"/>
      <c r="O3350" s="187" t="s">
        <v>2708</v>
      </c>
      <c r="P3350" s="333" t="s">
        <v>155</v>
      </c>
      <c r="Q3350" s="419">
        <v>1.2659999999999999E-2</v>
      </c>
      <c r="R3350" s="329"/>
    </row>
    <row r="3351" spans="6:18" ht="24" customHeight="1">
      <c r="H3351" s="50" t="s">
        <v>2709</v>
      </c>
      <c r="J3351" s="5"/>
      <c r="M3351" s="329"/>
      <c r="N3351" s="330"/>
      <c r="O3351" s="187" t="s">
        <v>2710</v>
      </c>
      <c r="P3351" s="333" t="s">
        <v>155</v>
      </c>
      <c r="Q3351" s="428">
        <v>5.6249999999999998E-3</v>
      </c>
      <c r="R3351" s="361"/>
    </row>
    <row r="3352" spans="6:18" ht="24" customHeight="1">
      <c r="J3352" s="5"/>
      <c r="M3352" s="329"/>
      <c r="N3352" s="330"/>
      <c r="O3352" s="329"/>
      <c r="P3352" s="329"/>
      <c r="Q3352" s="337" t="s">
        <v>117</v>
      </c>
    </row>
    <row r="3353" spans="6:18" ht="24" customHeight="1">
      <c r="F3353" s="5">
        <v>1.4</v>
      </c>
      <c r="G3353" s="15" t="s">
        <v>171</v>
      </c>
      <c r="H3353" s="5" t="s">
        <v>172</v>
      </c>
      <c r="I3353" s="91">
        <f>I3366</f>
        <v>289.8</v>
      </c>
      <c r="J3353" s="15" t="s">
        <v>171</v>
      </c>
      <c r="K3353" s="5">
        <f>I3353*F3353</f>
        <v>405.71999999999997</v>
      </c>
      <c r="M3353" s="329"/>
      <c r="N3353" s="330"/>
      <c r="O3353" s="329"/>
      <c r="P3353" s="329"/>
      <c r="Q3353" s="420">
        <v>1.8290000000000001E-2</v>
      </c>
      <c r="R3353" s="5" t="s">
        <v>429</v>
      </c>
    </row>
    <row r="3354" spans="6:18" ht="24" customHeight="1">
      <c r="F3354" s="5">
        <v>1.5</v>
      </c>
      <c r="G3354" s="15" t="s">
        <v>1</v>
      </c>
      <c r="H3354" s="5" t="s">
        <v>173</v>
      </c>
      <c r="I3354" s="91">
        <f>I3367</f>
        <v>615</v>
      </c>
      <c r="J3354" s="15" t="s">
        <v>1</v>
      </c>
      <c r="K3354" s="5">
        <f>I3354*F3354</f>
        <v>922.5</v>
      </c>
      <c r="M3354" s="329"/>
      <c r="N3354" s="330"/>
      <c r="O3354" s="329"/>
      <c r="P3354" s="329"/>
      <c r="Q3354" s="337" t="s">
        <v>117</v>
      </c>
    </row>
    <row r="3355" spans="6:18" ht="24" customHeight="1">
      <c r="F3355" s="5">
        <v>10</v>
      </c>
      <c r="G3355" s="6" t="s">
        <v>174</v>
      </c>
      <c r="H3355" s="3" t="s">
        <v>175</v>
      </c>
      <c r="I3355" s="91">
        <f>I3368</f>
        <v>3.2</v>
      </c>
      <c r="J3355" s="6" t="s">
        <v>174</v>
      </c>
      <c r="K3355" s="5">
        <f>I3355*F3355</f>
        <v>32</v>
      </c>
      <c r="M3355" s="329"/>
      <c r="N3355" s="330"/>
      <c r="O3355" s="187" t="s">
        <v>2711</v>
      </c>
      <c r="P3355" s="329"/>
      <c r="Q3355" s="421">
        <v>0.4113</v>
      </c>
      <c r="R3355" s="361"/>
    </row>
    <row r="3356" spans="6:18" ht="24" customHeight="1">
      <c r="H3356" s="3" t="s">
        <v>167</v>
      </c>
      <c r="I3356" s="91" t="s">
        <v>176</v>
      </c>
      <c r="J3356" s="10"/>
      <c r="K3356" s="5">
        <v>1.6</v>
      </c>
      <c r="M3356" s="329"/>
      <c r="N3356" s="330"/>
      <c r="O3356" s="187" t="s">
        <v>2712</v>
      </c>
      <c r="P3356" s="329"/>
      <c r="Q3356" s="422">
        <v>0.19689999999999999</v>
      </c>
      <c r="R3356" s="361"/>
    </row>
    <row r="3357" spans="6:18" ht="24" customHeight="1">
      <c r="H3357" s="3" t="s">
        <v>153</v>
      </c>
      <c r="J3357" s="10"/>
      <c r="K3357" s="5">
        <f>SUM(K3353:K3356)</f>
        <v>1361.82</v>
      </c>
      <c r="M3357" s="329"/>
      <c r="N3357" s="330"/>
      <c r="O3357" s="187"/>
      <c r="P3357" s="329"/>
      <c r="Q3357" s="337" t="s">
        <v>117</v>
      </c>
      <c r="R3357" s="361"/>
    </row>
    <row r="3358" spans="6:18" ht="24" customHeight="1">
      <c r="H3358" s="7" t="s">
        <v>154</v>
      </c>
      <c r="J3358" s="10"/>
      <c r="K3358" s="5">
        <f>K3357/10</f>
        <v>136.18199999999999</v>
      </c>
      <c r="M3358" s="329"/>
      <c r="N3358" s="330"/>
      <c r="O3358" s="187"/>
      <c r="P3358" s="329"/>
      <c r="Q3358" s="423">
        <v>0.60819999999999996</v>
      </c>
      <c r="R3358" s="335"/>
    </row>
    <row r="3359" spans="6:18" ht="24" customHeight="1">
      <c r="J3359" s="10"/>
      <c r="M3359" s="329"/>
      <c r="N3359" s="330"/>
      <c r="O3359" s="329"/>
      <c r="P3359" s="329"/>
      <c r="Q3359" s="337" t="s">
        <v>117</v>
      </c>
      <c r="R3359" s="337"/>
    </row>
    <row r="3360" spans="6:18" ht="24" customHeight="1">
      <c r="J3360" s="10"/>
      <c r="M3360" s="361">
        <v>3.9E-2</v>
      </c>
      <c r="N3360" s="336" t="s">
        <v>126</v>
      </c>
      <c r="O3360" s="187" t="s">
        <v>1483</v>
      </c>
      <c r="P3360" s="185">
        <f>P3291</f>
        <v>111600</v>
      </c>
      <c r="Q3360" s="188" t="s">
        <v>126</v>
      </c>
      <c r="R3360" s="185">
        <f>P3360*M3360</f>
        <v>4352.3999999999996</v>
      </c>
    </row>
    <row r="3361" spans="6:18" ht="24" customHeight="1">
      <c r="G3361" s="5"/>
      <c r="J3361" s="5"/>
      <c r="M3361" s="361">
        <v>1.8290000000000001E-2</v>
      </c>
      <c r="N3361" s="336" t="s">
        <v>126</v>
      </c>
      <c r="O3361" s="187" t="s">
        <v>1485</v>
      </c>
      <c r="P3361" s="185">
        <f>P3292</f>
        <v>99400</v>
      </c>
      <c r="Q3361" s="188" t="s">
        <v>126</v>
      </c>
      <c r="R3361" s="185">
        <f t="shared" ref="R3361:R3370" si="299">P3361*M3361</f>
        <v>1818.0260000000001</v>
      </c>
    </row>
    <row r="3362" spans="6:18" ht="24" customHeight="1">
      <c r="G3362" s="5"/>
      <c r="J3362" s="5"/>
      <c r="M3362" s="361">
        <v>0.60819999999999996</v>
      </c>
      <c r="N3362" s="336" t="s">
        <v>140</v>
      </c>
      <c r="O3362" s="3" t="s">
        <v>623</v>
      </c>
      <c r="P3362" s="185">
        <f>P3325</f>
        <v>387.4</v>
      </c>
      <c r="Q3362" s="188" t="s">
        <v>126</v>
      </c>
      <c r="R3362" s="185">
        <f t="shared" si="299"/>
        <v>235.61667999999997</v>
      </c>
    </row>
    <row r="3363" spans="6:18" ht="24" customHeight="1">
      <c r="G3363" s="5"/>
      <c r="J3363" s="5"/>
      <c r="M3363" s="377">
        <v>1.734</v>
      </c>
      <c r="N3363" s="336" t="s">
        <v>140</v>
      </c>
      <c r="O3363" s="187" t="s">
        <v>1480</v>
      </c>
      <c r="P3363" s="185">
        <f>P3328</f>
        <v>1078</v>
      </c>
      <c r="Q3363" s="188" t="s">
        <v>140</v>
      </c>
      <c r="R3363" s="185">
        <f t="shared" si="299"/>
        <v>1869.252</v>
      </c>
    </row>
    <row r="3364" spans="6:18" ht="24" customHeight="1">
      <c r="H3364" s="50" t="s">
        <v>170</v>
      </c>
      <c r="J3364" s="5"/>
      <c r="M3364" s="185">
        <v>2</v>
      </c>
      <c r="N3364" s="336" t="s">
        <v>1</v>
      </c>
      <c r="O3364" s="187" t="s">
        <v>2644</v>
      </c>
      <c r="P3364" s="185">
        <f t="shared" ref="P3364:P3369" si="300">P3295</f>
        <v>50.9</v>
      </c>
      <c r="Q3364" s="188" t="s">
        <v>209</v>
      </c>
      <c r="R3364" s="185">
        <f t="shared" si="299"/>
        <v>101.8</v>
      </c>
    </row>
    <row r="3365" spans="6:18" ht="24" customHeight="1">
      <c r="J3365" s="5"/>
      <c r="M3365" s="185">
        <v>4</v>
      </c>
      <c r="N3365" s="336" t="s">
        <v>209</v>
      </c>
      <c r="O3365" s="187" t="s">
        <v>1482</v>
      </c>
      <c r="P3365" s="185">
        <f t="shared" si="300"/>
        <v>79.099999999999994</v>
      </c>
      <c r="Q3365" s="188" t="s">
        <v>209</v>
      </c>
      <c r="R3365" s="185">
        <f t="shared" si="299"/>
        <v>316.39999999999998</v>
      </c>
    </row>
    <row r="3366" spans="6:18" ht="24" customHeight="1">
      <c r="F3366" s="5">
        <v>0.8</v>
      </c>
      <c r="G3366" s="15" t="s">
        <v>171</v>
      </c>
      <c r="H3366" s="5" t="s">
        <v>172</v>
      </c>
      <c r="I3366" s="91">
        <f>P1319</f>
        <v>289.8</v>
      </c>
      <c r="J3366" s="15" t="s">
        <v>171</v>
      </c>
      <c r="K3366" s="5">
        <f>I3366*F3366</f>
        <v>231.84000000000003</v>
      </c>
      <c r="M3366" s="185">
        <v>2</v>
      </c>
      <c r="N3366" s="336" t="s">
        <v>209</v>
      </c>
      <c r="O3366" s="187" t="s">
        <v>2663</v>
      </c>
      <c r="P3366" s="185">
        <f t="shared" si="300"/>
        <v>86.3</v>
      </c>
      <c r="Q3366" s="188" t="s">
        <v>209</v>
      </c>
      <c r="R3366" s="185">
        <f t="shared" si="299"/>
        <v>172.6</v>
      </c>
    </row>
    <row r="3367" spans="6:18" ht="24" customHeight="1">
      <c r="F3367" s="5">
        <v>0.7</v>
      </c>
      <c r="G3367" s="15" t="s">
        <v>1</v>
      </c>
      <c r="H3367" s="5" t="s">
        <v>173</v>
      </c>
      <c r="I3367" s="5">
        <f>I3341</f>
        <v>615</v>
      </c>
      <c r="J3367" s="15" t="s">
        <v>1</v>
      </c>
      <c r="K3367" s="5">
        <f>I3367*F3367</f>
        <v>430.5</v>
      </c>
      <c r="M3367" s="185">
        <v>1</v>
      </c>
      <c r="N3367" s="336" t="s">
        <v>209</v>
      </c>
      <c r="O3367" s="187" t="s">
        <v>2664</v>
      </c>
      <c r="P3367" s="185">
        <f t="shared" si="300"/>
        <v>185.2</v>
      </c>
      <c r="Q3367" s="188" t="s">
        <v>209</v>
      </c>
      <c r="R3367" s="185">
        <f t="shared" si="299"/>
        <v>185.2</v>
      </c>
    </row>
    <row r="3368" spans="6:18" ht="24" customHeight="1">
      <c r="F3368" s="5">
        <v>10</v>
      </c>
      <c r="G3368" s="6" t="s">
        <v>174</v>
      </c>
      <c r="H3368" s="3" t="s">
        <v>175</v>
      </c>
      <c r="I3368" s="5">
        <f>I3185</f>
        <v>3.2</v>
      </c>
      <c r="J3368" s="6" t="s">
        <v>174</v>
      </c>
      <c r="K3368" s="5">
        <f>I3368*F3368</f>
        <v>32</v>
      </c>
      <c r="M3368" s="185">
        <v>1</v>
      </c>
      <c r="N3368" s="336" t="s">
        <v>209</v>
      </c>
      <c r="O3368" s="187" t="s">
        <v>2665</v>
      </c>
      <c r="P3368" s="185">
        <f t="shared" si="300"/>
        <v>22.7</v>
      </c>
      <c r="Q3368" s="188" t="s">
        <v>209</v>
      </c>
      <c r="R3368" s="185">
        <f t="shared" si="299"/>
        <v>22.7</v>
      </c>
    </row>
    <row r="3369" spans="6:18" ht="24" customHeight="1">
      <c r="H3369" s="3" t="s">
        <v>167</v>
      </c>
      <c r="I3369" s="91" t="s">
        <v>176</v>
      </c>
      <c r="J3369" s="10"/>
      <c r="K3369" s="5">
        <v>1.6</v>
      </c>
      <c r="M3369" s="185">
        <v>1</v>
      </c>
      <c r="N3369" s="336" t="s">
        <v>209</v>
      </c>
      <c r="O3369" s="187" t="s">
        <v>2666</v>
      </c>
      <c r="P3369" s="185">
        <f t="shared" si="300"/>
        <v>43.8</v>
      </c>
      <c r="Q3369" s="188" t="s">
        <v>209</v>
      </c>
      <c r="R3369" s="185">
        <f t="shared" si="299"/>
        <v>43.8</v>
      </c>
    </row>
    <row r="3370" spans="6:18" ht="24" customHeight="1">
      <c r="H3370" s="3" t="s">
        <v>153</v>
      </c>
      <c r="J3370" s="10"/>
      <c r="K3370" s="5">
        <f>SUM(K3366:K3369)</f>
        <v>695.94</v>
      </c>
      <c r="M3370" s="185">
        <v>58</v>
      </c>
      <c r="N3370" s="336" t="s">
        <v>209</v>
      </c>
      <c r="O3370" s="329" t="s">
        <v>2604</v>
      </c>
      <c r="P3370" s="329">
        <f>P3335</f>
        <v>2.37</v>
      </c>
      <c r="Q3370" s="188" t="s">
        <v>209</v>
      </c>
      <c r="R3370" s="185">
        <f t="shared" si="299"/>
        <v>137.46</v>
      </c>
    </row>
    <row r="3371" spans="6:18" ht="24" customHeight="1">
      <c r="H3371" s="7" t="s">
        <v>154</v>
      </c>
      <c r="J3371" s="10"/>
      <c r="K3371" s="5">
        <f>K3370/10</f>
        <v>69.594000000000008</v>
      </c>
      <c r="M3371" s="329"/>
      <c r="N3371" s="330"/>
      <c r="O3371" s="329"/>
      <c r="P3371" s="329"/>
      <c r="Q3371" s="332"/>
      <c r="R3371" s="337" t="s">
        <v>117</v>
      </c>
    </row>
    <row r="3372" spans="6:18" ht="24" customHeight="1">
      <c r="M3372" s="329"/>
      <c r="N3372" s="330"/>
      <c r="O3372" s="187" t="s">
        <v>2713</v>
      </c>
      <c r="P3372" s="329"/>
      <c r="Q3372" s="332"/>
      <c r="R3372" s="185">
        <f>SUM(R3360:R3370)</f>
        <v>9255.2546799999982</v>
      </c>
    </row>
    <row r="3373" spans="6:18" ht="24" customHeight="1">
      <c r="M3373" s="329"/>
      <c r="N3373" s="330"/>
      <c r="O3373" s="329"/>
      <c r="P3373" s="329"/>
      <c r="Q3373" s="332"/>
      <c r="R3373" s="337" t="s">
        <v>117</v>
      </c>
    </row>
    <row r="3374" spans="6:18" ht="24" customHeight="1">
      <c r="F3374" s="329"/>
      <c r="G3374" s="330"/>
      <c r="H3374" s="187"/>
      <c r="I3374" s="333"/>
      <c r="J3374" s="416"/>
      <c r="K3374" s="329"/>
      <c r="M3374" s="329"/>
      <c r="N3374" s="330"/>
      <c r="O3374" s="343" t="s">
        <v>154</v>
      </c>
      <c r="P3374" s="329"/>
      <c r="Q3374" s="334" t="s">
        <v>2433</v>
      </c>
      <c r="R3374" s="344">
        <f>R3372/M3363</f>
        <v>5337.5171164936555</v>
      </c>
    </row>
    <row r="3375" spans="6:18" ht="24" customHeight="1">
      <c r="F3375" s="329"/>
      <c r="G3375" s="330"/>
      <c r="H3375" s="187" t="s">
        <v>2707</v>
      </c>
      <c r="I3375" s="333" t="s">
        <v>155</v>
      </c>
      <c r="J3375" s="417">
        <v>3.9E-2</v>
      </c>
      <c r="K3375" s="329" t="s">
        <v>429</v>
      </c>
      <c r="N3375" s="6"/>
      <c r="Q3375" s="8"/>
      <c r="R3375" s="12" t="s">
        <v>155</v>
      </c>
    </row>
    <row r="3376" spans="6:18" ht="24" customHeight="1">
      <c r="F3376" s="329"/>
      <c r="G3376" s="330"/>
      <c r="H3376" s="187" t="s">
        <v>2636</v>
      </c>
      <c r="J3376" s="418"/>
      <c r="K3376" s="329"/>
      <c r="M3376" s="188"/>
      <c r="N3376" s="336" t="s">
        <v>122</v>
      </c>
      <c r="O3376" s="187" t="s">
        <v>2704</v>
      </c>
      <c r="P3376" s="329"/>
      <c r="Q3376" s="332"/>
      <c r="R3376" s="329"/>
    </row>
    <row r="3377" spans="6:18" ht="24" customHeight="1">
      <c r="F3377" s="329"/>
      <c r="G3377" s="330"/>
      <c r="H3377" s="187" t="s">
        <v>2714</v>
      </c>
      <c r="I3377" s="333" t="s">
        <v>155</v>
      </c>
      <c r="J3377" s="419">
        <v>1.519E-2</v>
      </c>
      <c r="K3377" s="329"/>
      <c r="M3377" s="329"/>
      <c r="N3377" s="330"/>
      <c r="O3377" s="187" t="s">
        <v>1467</v>
      </c>
      <c r="P3377" s="329"/>
      <c r="Q3377" s="332"/>
      <c r="R3377" s="329"/>
    </row>
    <row r="3378" spans="6:18" ht="24" customHeight="1">
      <c r="F3378" s="329"/>
      <c r="G3378" s="330"/>
      <c r="H3378" s="187" t="s">
        <v>2715</v>
      </c>
      <c r="I3378" s="333" t="s">
        <v>155</v>
      </c>
      <c r="J3378" s="428">
        <v>6.7499999999999999E-3</v>
      </c>
      <c r="K3378" s="361"/>
      <c r="M3378" s="329"/>
      <c r="N3378" s="330"/>
      <c r="O3378" s="415" t="s">
        <v>2716</v>
      </c>
      <c r="P3378" s="329"/>
      <c r="Q3378" s="332"/>
      <c r="R3378" s="329"/>
    </row>
    <row r="3379" spans="6:18" ht="24" customHeight="1">
      <c r="F3379" s="329"/>
      <c r="G3379" s="330"/>
      <c r="H3379" s="329"/>
      <c r="I3379" s="329"/>
      <c r="J3379" s="337" t="s">
        <v>117</v>
      </c>
      <c r="M3379" s="329"/>
      <c r="N3379" s="330"/>
      <c r="O3379" s="337" t="s">
        <v>117</v>
      </c>
      <c r="P3379" s="329"/>
      <c r="Q3379" s="332"/>
      <c r="R3379" s="329"/>
    </row>
    <row r="3380" spans="6:18" ht="24" customHeight="1">
      <c r="F3380" s="329"/>
      <c r="G3380" s="330"/>
      <c r="H3380" s="329"/>
      <c r="I3380" s="329"/>
      <c r="J3380" s="420">
        <v>2.1940000000000001E-2</v>
      </c>
      <c r="K3380" s="5" t="s">
        <v>429</v>
      </c>
      <c r="M3380" s="329"/>
      <c r="N3380" s="330"/>
      <c r="O3380" s="187" t="s">
        <v>2717</v>
      </c>
      <c r="P3380" s="333" t="s">
        <v>155</v>
      </c>
      <c r="Q3380" s="416">
        <v>2.081</v>
      </c>
      <c r="R3380" s="329" t="s">
        <v>174</v>
      </c>
    </row>
    <row r="3381" spans="6:18" ht="24" customHeight="1">
      <c r="F3381" s="329"/>
      <c r="G3381" s="330"/>
      <c r="H3381" s="329"/>
      <c r="I3381" s="329"/>
      <c r="J3381" s="337" t="s">
        <v>117</v>
      </c>
      <c r="M3381" s="329"/>
      <c r="N3381" s="330"/>
      <c r="O3381" s="187"/>
      <c r="P3381" s="333"/>
      <c r="Q3381" s="416"/>
      <c r="R3381" s="329"/>
    </row>
    <row r="3382" spans="6:18" ht="24" customHeight="1">
      <c r="F3382" s="329"/>
      <c r="G3382" s="330"/>
      <c r="H3382" s="187" t="s">
        <v>2694</v>
      </c>
      <c r="I3382" s="329"/>
      <c r="J3382" s="421">
        <v>0.58750000000000002</v>
      </c>
      <c r="K3382" s="361"/>
      <c r="M3382" s="329"/>
      <c r="N3382" s="330"/>
      <c r="O3382" s="187" t="s">
        <v>2707</v>
      </c>
      <c r="P3382" s="333" t="s">
        <v>155</v>
      </c>
      <c r="Q3382" s="417">
        <v>3.9E-2</v>
      </c>
      <c r="R3382" s="329" t="s">
        <v>429</v>
      </c>
    </row>
    <row r="3383" spans="6:18" ht="24" customHeight="1">
      <c r="F3383" s="329"/>
      <c r="G3383" s="330"/>
      <c r="H3383" s="187" t="s">
        <v>2695</v>
      </c>
      <c r="I3383" s="329"/>
      <c r="J3383" s="422">
        <v>0.28129999999999999</v>
      </c>
      <c r="K3383" s="361"/>
      <c r="M3383" s="329"/>
      <c r="N3383" s="330"/>
      <c r="O3383" s="187" t="s">
        <v>2636</v>
      </c>
      <c r="Q3383" s="418"/>
      <c r="R3383" s="329"/>
    </row>
    <row r="3384" spans="6:18" ht="24" customHeight="1">
      <c r="F3384" s="329"/>
      <c r="G3384" s="330"/>
      <c r="H3384" s="187"/>
      <c r="I3384" s="329"/>
      <c r="J3384" s="337" t="s">
        <v>117</v>
      </c>
      <c r="K3384" s="361"/>
      <c r="M3384" s="329"/>
      <c r="N3384" s="330"/>
      <c r="O3384" s="187" t="s">
        <v>2714</v>
      </c>
      <c r="P3384" s="333" t="s">
        <v>155</v>
      </c>
      <c r="Q3384" s="419">
        <v>1.519E-2</v>
      </c>
      <c r="R3384" s="329"/>
    </row>
    <row r="3385" spans="6:18" ht="24" customHeight="1">
      <c r="F3385" s="329"/>
      <c r="G3385" s="330"/>
      <c r="H3385" s="187"/>
      <c r="I3385" s="329"/>
      <c r="J3385" s="423">
        <v>0.86880000000000002</v>
      </c>
      <c r="K3385" s="335"/>
      <c r="M3385" s="329"/>
      <c r="N3385" s="330"/>
      <c r="O3385" s="187" t="s">
        <v>2715</v>
      </c>
      <c r="P3385" s="333" t="s">
        <v>155</v>
      </c>
      <c r="Q3385" s="428">
        <v>6.7499999999999999E-3</v>
      </c>
      <c r="R3385" s="361"/>
    </row>
    <row r="3386" spans="6:18" ht="24" customHeight="1">
      <c r="F3386" s="329"/>
      <c r="G3386" s="330"/>
      <c r="H3386" s="329"/>
      <c r="I3386" s="329"/>
      <c r="J3386" s="337" t="s">
        <v>117</v>
      </c>
      <c r="K3386" s="337"/>
      <c r="M3386" s="329"/>
      <c r="N3386" s="330"/>
      <c r="O3386" s="329"/>
      <c r="P3386" s="329"/>
      <c r="Q3386" s="337" t="s">
        <v>117</v>
      </c>
    </row>
    <row r="3387" spans="6:18" ht="24" customHeight="1">
      <c r="F3387" s="361">
        <v>3.9E-2</v>
      </c>
      <c r="G3387" s="336" t="s">
        <v>126</v>
      </c>
      <c r="H3387" s="187" t="s">
        <v>1483</v>
      </c>
      <c r="I3387" s="185">
        <f>C88</f>
        <v>111600</v>
      </c>
      <c r="J3387" s="188" t="s">
        <v>126</v>
      </c>
      <c r="K3387" s="185">
        <v>2868.26</v>
      </c>
      <c r="M3387" s="329"/>
      <c r="N3387" s="330"/>
      <c r="O3387" s="329"/>
      <c r="P3387" s="329"/>
      <c r="Q3387" s="420">
        <v>2.1940000000000001E-2</v>
      </c>
      <c r="R3387" s="5" t="s">
        <v>429</v>
      </c>
    </row>
    <row r="3388" spans="6:18" ht="24" customHeight="1">
      <c r="F3388" s="361">
        <v>2.1940000000000001E-2</v>
      </c>
      <c r="G3388" s="336" t="s">
        <v>126</v>
      </c>
      <c r="H3388" s="187" t="s">
        <v>1485</v>
      </c>
      <c r="I3388" s="185">
        <f>C89</f>
        <v>99400</v>
      </c>
      <c r="J3388" s="188" t="s">
        <v>126</v>
      </c>
      <c r="K3388" s="185">
        <v>1435.86</v>
      </c>
      <c r="M3388" s="329"/>
      <c r="N3388" s="330"/>
      <c r="O3388" s="329"/>
      <c r="P3388" s="329"/>
      <c r="Q3388" s="337" t="s">
        <v>117</v>
      </c>
    </row>
    <row r="3389" spans="6:18" ht="24" customHeight="1">
      <c r="F3389" s="361">
        <v>0.86880000000000002</v>
      </c>
      <c r="G3389" s="336" t="s">
        <v>140</v>
      </c>
      <c r="H3389" s="3" t="s">
        <v>623</v>
      </c>
      <c r="I3389" s="185">
        <f>C784</f>
        <v>0</v>
      </c>
      <c r="J3389" s="188" t="s">
        <v>126</v>
      </c>
      <c r="K3389" s="185">
        <v>336.66</v>
      </c>
      <c r="M3389" s="329"/>
      <c r="N3389" s="330"/>
      <c r="O3389" s="187" t="s">
        <v>2694</v>
      </c>
      <c r="P3389" s="329"/>
      <c r="Q3389" s="421">
        <v>0.58750000000000002</v>
      </c>
      <c r="R3389" s="361"/>
    </row>
    <row r="3390" spans="6:18" ht="24" customHeight="1">
      <c r="F3390" s="377">
        <v>2.081</v>
      </c>
      <c r="G3390" s="336" t="s">
        <v>140</v>
      </c>
      <c r="H3390" s="187" t="s">
        <v>1480</v>
      </c>
      <c r="I3390" s="435">
        <v>363</v>
      </c>
      <c r="J3390" s="188" t="s">
        <v>140</v>
      </c>
      <c r="K3390" s="185">
        <v>755.4</v>
      </c>
      <c r="M3390" s="329"/>
      <c r="N3390" s="330"/>
      <c r="O3390" s="187" t="s">
        <v>2695</v>
      </c>
      <c r="P3390" s="329"/>
      <c r="Q3390" s="422">
        <v>0.28129999999999999</v>
      </c>
      <c r="R3390" s="361"/>
    </row>
    <row r="3391" spans="6:18" ht="24" customHeight="1">
      <c r="F3391" s="185">
        <v>2</v>
      </c>
      <c r="G3391" s="336" t="s">
        <v>1</v>
      </c>
      <c r="H3391" s="338" t="s">
        <v>2718</v>
      </c>
      <c r="I3391" s="185">
        <f t="shared" ref="I3391:I3396" si="301">I3322</f>
        <v>50.9</v>
      </c>
      <c r="J3391" s="188" t="s">
        <v>209</v>
      </c>
      <c r="K3391" s="185">
        <v>84</v>
      </c>
      <c r="M3391" s="329"/>
      <c r="N3391" s="330"/>
      <c r="O3391" s="187"/>
      <c r="P3391" s="329"/>
      <c r="Q3391" s="337" t="s">
        <v>117</v>
      </c>
      <c r="R3391" s="361"/>
    </row>
    <row r="3392" spans="6:18" ht="24" customHeight="1">
      <c r="F3392" s="185">
        <v>4</v>
      </c>
      <c r="G3392" s="336" t="s">
        <v>209</v>
      </c>
      <c r="H3392" s="338" t="s">
        <v>2719</v>
      </c>
      <c r="I3392" s="185">
        <f t="shared" si="301"/>
        <v>79.099999999999994</v>
      </c>
      <c r="J3392" s="188" t="s">
        <v>209</v>
      </c>
      <c r="K3392" s="185">
        <v>232</v>
      </c>
      <c r="M3392" s="329"/>
      <c r="N3392" s="330"/>
      <c r="O3392" s="187"/>
      <c r="P3392" s="329"/>
      <c r="Q3392" s="423">
        <v>0.86880000000000002</v>
      </c>
      <c r="R3392" s="335"/>
    </row>
    <row r="3393" spans="6:18" ht="24" customHeight="1">
      <c r="F3393" s="185">
        <v>2</v>
      </c>
      <c r="G3393" s="336" t="s">
        <v>209</v>
      </c>
      <c r="H3393" s="338" t="s">
        <v>2720</v>
      </c>
      <c r="I3393" s="185">
        <f t="shared" si="301"/>
        <v>86.3</v>
      </c>
      <c r="J3393" s="188" t="s">
        <v>209</v>
      </c>
      <c r="K3393" s="185">
        <v>126</v>
      </c>
      <c r="M3393" s="329"/>
      <c r="N3393" s="330"/>
      <c r="O3393" s="329"/>
      <c r="P3393" s="329"/>
      <c r="Q3393" s="337" t="s">
        <v>117</v>
      </c>
      <c r="R3393" s="337"/>
    </row>
    <row r="3394" spans="6:18" ht="24" customHeight="1">
      <c r="F3394" s="185">
        <v>1</v>
      </c>
      <c r="G3394" s="336" t="s">
        <v>209</v>
      </c>
      <c r="H3394" s="338" t="s">
        <v>2721</v>
      </c>
      <c r="I3394" s="185">
        <f t="shared" si="301"/>
        <v>185.2</v>
      </c>
      <c r="J3394" s="188" t="s">
        <v>209</v>
      </c>
      <c r="K3394" s="185">
        <v>152</v>
      </c>
      <c r="M3394" s="361">
        <v>3.9E-2</v>
      </c>
      <c r="N3394" s="336" t="s">
        <v>126</v>
      </c>
      <c r="O3394" s="187" t="s">
        <v>1483</v>
      </c>
      <c r="P3394" s="185">
        <f>P3291</f>
        <v>111600</v>
      </c>
      <c r="Q3394" s="188" t="s">
        <v>126</v>
      </c>
      <c r="R3394" s="185">
        <f>P3394*M3394</f>
        <v>4352.3999999999996</v>
      </c>
    </row>
    <row r="3395" spans="6:18" ht="24" customHeight="1">
      <c r="F3395" s="185">
        <v>1</v>
      </c>
      <c r="G3395" s="336" t="s">
        <v>209</v>
      </c>
      <c r="H3395" s="338" t="s">
        <v>2665</v>
      </c>
      <c r="I3395" s="185">
        <f t="shared" si="301"/>
        <v>22.7</v>
      </c>
      <c r="J3395" s="188" t="s">
        <v>209</v>
      </c>
      <c r="K3395" s="185">
        <v>20</v>
      </c>
      <c r="M3395" s="361">
        <v>2.1940000000000001E-2</v>
      </c>
      <c r="N3395" s="336" t="s">
        <v>126</v>
      </c>
      <c r="O3395" s="187" t="s">
        <v>1485</v>
      </c>
      <c r="P3395" s="185">
        <f>P3292</f>
        <v>99400</v>
      </c>
      <c r="Q3395" s="188" t="s">
        <v>126</v>
      </c>
      <c r="R3395" s="185">
        <f t="shared" ref="R3395:R3404" si="302">P3395*M3395</f>
        <v>2180.8360000000002</v>
      </c>
    </row>
    <row r="3396" spans="6:18" ht="24" customHeight="1">
      <c r="F3396" s="185">
        <v>1</v>
      </c>
      <c r="G3396" s="336" t="s">
        <v>209</v>
      </c>
      <c r="H3396" s="338" t="s">
        <v>2666</v>
      </c>
      <c r="I3396" s="185">
        <f t="shared" si="301"/>
        <v>43.8</v>
      </c>
      <c r="J3396" s="188" t="s">
        <v>209</v>
      </c>
      <c r="K3396" s="185">
        <v>37</v>
      </c>
      <c r="M3396" s="361">
        <v>0.86880000000000002</v>
      </c>
      <c r="N3396" s="336" t="s">
        <v>140</v>
      </c>
      <c r="O3396" s="3" t="s">
        <v>623</v>
      </c>
      <c r="P3396" s="185">
        <f>P3362</f>
        <v>387.4</v>
      </c>
      <c r="Q3396" s="188" t="s">
        <v>126</v>
      </c>
      <c r="R3396" s="185">
        <f t="shared" si="302"/>
        <v>336.57311999999996</v>
      </c>
    </row>
    <row r="3397" spans="6:18" ht="24" customHeight="1">
      <c r="F3397" s="329"/>
      <c r="G3397" s="330"/>
      <c r="H3397" s="329" t="s">
        <v>2604</v>
      </c>
      <c r="I3397" s="329"/>
      <c r="J3397" s="332"/>
      <c r="K3397" s="436"/>
      <c r="M3397" s="377">
        <v>2.081</v>
      </c>
      <c r="N3397" s="336" t="s">
        <v>140</v>
      </c>
      <c r="O3397" s="187" t="s">
        <v>1480</v>
      </c>
      <c r="P3397" s="185">
        <f>P3294</f>
        <v>963</v>
      </c>
      <c r="Q3397" s="188" t="s">
        <v>140</v>
      </c>
      <c r="R3397" s="185">
        <f t="shared" si="302"/>
        <v>2004.0029999999999</v>
      </c>
    </row>
    <row r="3398" spans="6:18" ht="24" customHeight="1">
      <c r="F3398" s="329"/>
      <c r="G3398" s="330"/>
      <c r="H3398" s="329"/>
      <c r="I3398" s="329"/>
      <c r="J3398" s="332"/>
      <c r="K3398" s="337" t="s">
        <v>117</v>
      </c>
      <c r="M3398" s="185">
        <v>2</v>
      </c>
      <c r="N3398" s="336" t="s">
        <v>1</v>
      </c>
      <c r="O3398" s="187" t="s">
        <v>2644</v>
      </c>
      <c r="P3398" s="185">
        <f t="shared" ref="P3398:P3403" si="303">P3295</f>
        <v>50.9</v>
      </c>
      <c r="Q3398" s="188" t="s">
        <v>209</v>
      </c>
      <c r="R3398" s="185">
        <f t="shared" si="302"/>
        <v>101.8</v>
      </c>
    </row>
    <row r="3399" spans="6:18" ht="24" customHeight="1">
      <c r="F3399" s="329"/>
      <c r="G3399" s="330"/>
      <c r="H3399" s="187" t="s">
        <v>2722</v>
      </c>
      <c r="I3399" s="329"/>
      <c r="J3399" s="332"/>
      <c r="K3399" s="185">
        <v>6067.81</v>
      </c>
      <c r="M3399" s="185">
        <v>4</v>
      </c>
      <c r="N3399" s="336" t="s">
        <v>209</v>
      </c>
      <c r="O3399" s="187" t="s">
        <v>1482</v>
      </c>
      <c r="P3399" s="185">
        <f t="shared" si="303"/>
        <v>79.099999999999994</v>
      </c>
      <c r="Q3399" s="188" t="s">
        <v>209</v>
      </c>
      <c r="R3399" s="185">
        <f t="shared" si="302"/>
        <v>316.39999999999998</v>
      </c>
    </row>
    <row r="3400" spans="6:18" ht="24" customHeight="1">
      <c r="F3400" s="329"/>
      <c r="G3400" s="330"/>
      <c r="H3400" s="329"/>
      <c r="I3400" s="329"/>
      <c r="J3400" s="332"/>
      <c r="K3400" s="337" t="s">
        <v>117</v>
      </c>
      <c r="M3400" s="185">
        <v>2</v>
      </c>
      <c r="N3400" s="336" t="s">
        <v>209</v>
      </c>
      <c r="O3400" s="187" t="s">
        <v>2663</v>
      </c>
      <c r="P3400" s="185">
        <f t="shared" si="303"/>
        <v>86.3</v>
      </c>
      <c r="Q3400" s="188" t="s">
        <v>209</v>
      </c>
      <c r="R3400" s="185">
        <f t="shared" si="302"/>
        <v>172.6</v>
      </c>
    </row>
    <row r="3401" spans="6:18" ht="24" customHeight="1">
      <c r="F3401" s="329"/>
      <c r="G3401" s="330"/>
      <c r="H3401" s="343" t="s">
        <v>154</v>
      </c>
      <c r="I3401" s="329"/>
      <c r="J3401" s="334" t="s">
        <v>2433</v>
      </c>
      <c r="K3401" s="344">
        <v>2915.81</v>
      </c>
      <c r="M3401" s="185">
        <v>1</v>
      </c>
      <c r="N3401" s="336" t="s">
        <v>209</v>
      </c>
      <c r="O3401" s="187" t="s">
        <v>2664</v>
      </c>
      <c r="P3401" s="185">
        <f t="shared" si="303"/>
        <v>185.2</v>
      </c>
      <c r="Q3401" s="188" t="s">
        <v>209</v>
      </c>
      <c r="R3401" s="185">
        <f t="shared" si="302"/>
        <v>185.2</v>
      </c>
    </row>
    <row r="3402" spans="6:18" ht="24" customHeight="1">
      <c r="K3402" s="12" t="s">
        <v>155</v>
      </c>
      <c r="M3402" s="185">
        <v>1</v>
      </c>
      <c r="N3402" s="336" t="s">
        <v>209</v>
      </c>
      <c r="O3402" s="187" t="s">
        <v>2665</v>
      </c>
      <c r="P3402" s="185">
        <f t="shared" si="303"/>
        <v>22.7</v>
      </c>
      <c r="Q3402" s="188" t="s">
        <v>209</v>
      </c>
      <c r="R3402" s="185">
        <f t="shared" si="302"/>
        <v>22.7</v>
      </c>
    </row>
    <row r="3403" spans="6:18" ht="24" customHeight="1">
      <c r="M3403" s="185">
        <v>1</v>
      </c>
      <c r="N3403" s="336" t="s">
        <v>209</v>
      </c>
      <c r="O3403" s="187" t="s">
        <v>2666</v>
      </c>
      <c r="P3403" s="185">
        <f t="shared" si="303"/>
        <v>43.8</v>
      </c>
      <c r="Q3403" s="188" t="s">
        <v>209</v>
      </c>
      <c r="R3403" s="185">
        <f t="shared" si="302"/>
        <v>43.8</v>
      </c>
    </row>
    <row r="3404" spans="6:18" ht="24" customHeight="1">
      <c r="M3404" s="185">
        <v>58</v>
      </c>
      <c r="N3404" s="336" t="s">
        <v>209</v>
      </c>
      <c r="O3404" s="329" t="s">
        <v>2604</v>
      </c>
      <c r="P3404" s="329">
        <f>P3370</f>
        <v>2.37</v>
      </c>
      <c r="Q3404" s="332"/>
      <c r="R3404" s="185">
        <f t="shared" si="302"/>
        <v>137.46</v>
      </c>
    </row>
    <row r="3405" spans="6:18" ht="24" customHeight="1">
      <c r="M3405" s="329"/>
      <c r="N3405" s="330"/>
      <c r="O3405" s="329"/>
      <c r="P3405" s="329"/>
      <c r="Q3405" s="332"/>
      <c r="R3405" s="337" t="s">
        <v>117</v>
      </c>
    </row>
    <row r="3406" spans="6:18" ht="24" customHeight="1">
      <c r="F3406" s="113"/>
      <c r="G3406" s="144"/>
      <c r="H3406" s="285" t="s">
        <v>2723</v>
      </c>
      <c r="I3406" s="285"/>
      <c r="J3406" s="145"/>
      <c r="K3406" s="113"/>
      <c r="M3406" s="329"/>
      <c r="N3406" s="330"/>
      <c r="O3406" s="187" t="s">
        <v>2722</v>
      </c>
      <c r="P3406" s="329"/>
      <c r="Q3406" s="332"/>
      <c r="R3406" s="185">
        <f>SUM(R3394:R3404)</f>
        <v>9853.7721199999996</v>
      </c>
    </row>
    <row r="3407" spans="6:18" ht="24" customHeight="1">
      <c r="F3407" s="113"/>
      <c r="G3407" s="144"/>
      <c r="H3407" s="113"/>
      <c r="I3407" s="113"/>
      <c r="J3407" s="145"/>
      <c r="K3407" s="113"/>
      <c r="M3407" s="329"/>
      <c r="N3407" s="330"/>
      <c r="O3407" s="329"/>
      <c r="P3407" s="329"/>
      <c r="Q3407" s="332"/>
      <c r="R3407" s="337" t="s">
        <v>117</v>
      </c>
    </row>
    <row r="3408" spans="6:18" ht="24" customHeight="1">
      <c r="F3408" s="5" t="s">
        <v>2724</v>
      </c>
      <c r="G3408" s="144"/>
      <c r="H3408" s="113"/>
      <c r="I3408" s="301">
        <f>2*0.95*2.325</f>
        <v>4.4175000000000004</v>
      </c>
      <c r="J3408" s="145"/>
      <c r="K3408" s="113"/>
      <c r="M3408" s="329"/>
      <c r="N3408" s="330"/>
      <c r="O3408" s="343" t="s">
        <v>154</v>
      </c>
      <c r="P3408" s="329"/>
      <c r="Q3408" s="334" t="s">
        <v>2433</v>
      </c>
      <c r="R3408" s="344">
        <f>R3406/M3397</f>
        <v>4735.1139452186444</v>
      </c>
    </row>
    <row r="3409" spans="6:18" ht="24" customHeight="1">
      <c r="F3409" s="5" t="s">
        <v>2725</v>
      </c>
      <c r="G3409" s="144"/>
      <c r="H3409" s="113"/>
      <c r="I3409" s="301">
        <f>2*2*2.325*0.075*0.0375</f>
        <v>2.6156249999999999E-2</v>
      </c>
      <c r="J3409" s="145"/>
      <c r="K3409" s="113"/>
      <c r="N3409" s="6"/>
      <c r="Q3409" s="8"/>
      <c r="R3409" s="12" t="s">
        <v>155</v>
      </c>
    </row>
    <row r="3410" spans="6:18" ht="24" customHeight="1">
      <c r="F3410" s="113" t="s">
        <v>2380</v>
      </c>
      <c r="G3410" s="144"/>
      <c r="H3410" s="113"/>
      <c r="I3410" s="143">
        <f>2*3*0.95*0.15*0.0375</f>
        <v>3.2062499999999994E-2</v>
      </c>
      <c r="J3410" s="145"/>
      <c r="K3410" s="113"/>
    </row>
    <row r="3411" spans="6:18" ht="24" customHeight="1">
      <c r="F3411" s="113" t="s">
        <v>2726</v>
      </c>
      <c r="G3411" s="6" t="s">
        <v>2727</v>
      </c>
      <c r="H3411" s="113"/>
      <c r="I3411" s="143">
        <f>2*2*0.95*0.075*0.0375</f>
        <v>1.0687499999999999E-2</v>
      </c>
      <c r="J3411" s="145"/>
      <c r="K3411" s="113"/>
      <c r="N3411" s="6"/>
      <c r="O3411" s="50"/>
      <c r="Q3411" s="8"/>
    </row>
    <row r="3412" spans="6:18" ht="24" customHeight="1">
      <c r="F3412" s="113"/>
      <c r="G3412" s="144"/>
      <c r="H3412" s="113"/>
      <c r="I3412" s="302">
        <f>SUM(I3410:I3411)</f>
        <v>4.2749999999999996E-2</v>
      </c>
      <c r="J3412" s="145"/>
      <c r="K3412" s="113"/>
    </row>
    <row r="3413" spans="6:18" ht="24" customHeight="1">
      <c r="F3413" s="113"/>
      <c r="G3413" s="144"/>
      <c r="H3413" s="113"/>
      <c r="I3413" s="113"/>
      <c r="J3413" s="145"/>
      <c r="K3413" s="113"/>
    </row>
    <row r="3414" spans="6:18" ht="24" customHeight="1">
      <c r="F3414" s="113"/>
      <c r="G3414" s="144"/>
      <c r="H3414" s="113"/>
      <c r="I3414" s="113"/>
      <c r="J3414" s="145"/>
      <c r="K3414" s="113"/>
    </row>
    <row r="3415" spans="6:18" ht="24" customHeight="1">
      <c r="F3415" s="5" t="s">
        <v>2728</v>
      </c>
      <c r="G3415" s="144"/>
      <c r="H3415" s="113"/>
      <c r="I3415" s="143">
        <f>2*4*0.825*0.36*0.01875</f>
        <v>4.4549999999999999E-2</v>
      </c>
      <c r="J3415" s="145"/>
      <c r="K3415" s="113"/>
    </row>
    <row r="3416" spans="6:18" ht="24" customHeight="1">
      <c r="F3416" s="5" t="s">
        <v>2729</v>
      </c>
      <c r="G3416" s="144"/>
      <c r="H3416" s="113"/>
      <c r="I3416" s="143">
        <f>2*0.825*0.36*0.01875</f>
        <v>1.11375E-2</v>
      </c>
      <c r="J3416" s="145"/>
      <c r="K3416" s="113"/>
    </row>
    <row r="3417" spans="6:18" ht="24" customHeight="1">
      <c r="F3417" s="113"/>
      <c r="G3417" s="144"/>
      <c r="H3417" s="113"/>
      <c r="I3417" s="302">
        <f>SUM(I3415:I3416)</f>
        <v>5.5687500000000001E-2</v>
      </c>
      <c r="J3417" s="145"/>
      <c r="K3417" s="113"/>
    </row>
    <row r="3418" spans="6:18" ht="24" customHeight="1">
      <c r="F3418" s="113"/>
      <c r="G3418" s="144"/>
      <c r="H3418" s="50" t="s">
        <v>2376</v>
      </c>
      <c r="I3418" s="113"/>
      <c r="J3418" s="145"/>
      <c r="K3418" s="113"/>
      <c r="M3418" s="188"/>
      <c r="N3418" s="336" t="s">
        <v>122</v>
      </c>
      <c r="O3418" s="187" t="s">
        <v>2651</v>
      </c>
      <c r="P3418" s="329"/>
      <c r="Q3418" s="332"/>
      <c r="R3418" s="329"/>
    </row>
    <row r="3419" spans="6:18" ht="24" customHeight="1">
      <c r="F3419" s="113"/>
      <c r="G3419" s="144"/>
      <c r="H3419" s="113"/>
      <c r="I3419" s="113"/>
      <c r="J3419" s="145"/>
      <c r="K3419" s="113"/>
      <c r="M3419" s="329"/>
      <c r="N3419" s="330"/>
      <c r="O3419" s="187" t="s">
        <v>1467</v>
      </c>
      <c r="P3419" s="329"/>
      <c r="Q3419" s="332"/>
      <c r="R3419" s="329"/>
    </row>
    <row r="3420" spans="6:18" ht="24" customHeight="1">
      <c r="F3420" s="143">
        <f>I3409</f>
        <v>2.6156249999999999E-2</v>
      </c>
      <c r="G3420" s="144" t="s">
        <v>126</v>
      </c>
      <c r="H3420" s="113" t="s">
        <v>2377</v>
      </c>
      <c r="I3420" s="113">
        <f>I2633</f>
        <v>111600</v>
      </c>
      <c r="J3420" s="145" t="s">
        <v>126</v>
      </c>
      <c r="K3420" s="113">
        <f>F3420*I3420</f>
        <v>2919.0374999999999</v>
      </c>
      <c r="M3420" s="329"/>
      <c r="N3420" s="330"/>
      <c r="O3420" s="415" t="s">
        <v>2667</v>
      </c>
      <c r="P3420" s="329"/>
      <c r="Q3420" s="332"/>
      <c r="R3420" s="329"/>
    </row>
    <row r="3421" spans="6:18" ht="24" customHeight="1">
      <c r="F3421" s="143">
        <f>I3412</f>
        <v>4.2749999999999996E-2</v>
      </c>
      <c r="G3421" s="144" t="s">
        <v>126</v>
      </c>
      <c r="H3421" s="113" t="s">
        <v>1572</v>
      </c>
      <c r="I3421" s="113">
        <f>I2634</f>
        <v>99400</v>
      </c>
      <c r="J3421" s="145" t="s">
        <v>126</v>
      </c>
      <c r="K3421" s="113">
        <f t="shared" ref="K3421:K3430" si="304">F3421*I3421</f>
        <v>4249.3499999999995</v>
      </c>
      <c r="M3421" s="329"/>
      <c r="N3421" s="330"/>
      <c r="O3421" s="337" t="s">
        <v>117</v>
      </c>
      <c r="P3421" s="329"/>
      <c r="Q3421" s="332"/>
      <c r="R3421" s="329"/>
    </row>
    <row r="3422" spans="6:18" ht="24" customHeight="1">
      <c r="F3422" s="146">
        <f>I3417</f>
        <v>5.5687500000000001E-2</v>
      </c>
      <c r="G3422" s="144" t="s">
        <v>126</v>
      </c>
      <c r="H3422" s="5" t="s">
        <v>2730</v>
      </c>
      <c r="I3422" s="113">
        <f>I2635</f>
        <v>101921.4</v>
      </c>
      <c r="J3422" s="145" t="s">
        <v>126</v>
      </c>
      <c r="K3422" s="113">
        <f t="shared" si="304"/>
        <v>5675.7479624999996</v>
      </c>
      <c r="M3422" s="329"/>
      <c r="N3422" s="330"/>
      <c r="O3422" s="187" t="s">
        <v>2668</v>
      </c>
      <c r="P3422" s="333" t="s">
        <v>155</v>
      </c>
      <c r="Q3422" s="416">
        <v>2.4279999999999999</v>
      </c>
      <c r="R3422" s="329" t="s">
        <v>174</v>
      </c>
    </row>
    <row r="3423" spans="6:18" ht="24" customHeight="1">
      <c r="F3423" s="143">
        <f>I3408</f>
        <v>4.4175000000000004</v>
      </c>
      <c r="G3423" s="144" t="s">
        <v>140</v>
      </c>
      <c r="H3423" s="113" t="s">
        <v>1574</v>
      </c>
      <c r="I3423" s="113">
        <f>I2636</f>
        <v>1155</v>
      </c>
      <c r="J3423" s="145" t="s">
        <v>140</v>
      </c>
      <c r="K3423" s="113">
        <f t="shared" si="304"/>
        <v>5102.2125000000005</v>
      </c>
      <c r="M3423" s="329"/>
      <c r="N3423" s="330"/>
      <c r="O3423" s="187"/>
      <c r="P3423" s="333"/>
      <c r="Q3423" s="416"/>
      <c r="R3423" s="329"/>
    </row>
    <row r="3424" spans="6:18" ht="24" customHeight="1">
      <c r="F3424" s="113">
        <v>2</v>
      </c>
      <c r="G3424" s="144" t="s">
        <v>1576</v>
      </c>
      <c r="H3424" s="5" t="s">
        <v>2401</v>
      </c>
      <c r="I3424" s="303">
        <v>450</v>
      </c>
      <c r="J3424" s="145" t="s">
        <v>227</v>
      </c>
      <c r="K3424" s="113">
        <f t="shared" si="304"/>
        <v>900</v>
      </c>
      <c r="M3424" s="329"/>
      <c r="N3424" s="330"/>
      <c r="O3424" s="187" t="s">
        <v>2635</v>
      </c>
      <c r="P3424" s="333" t="s">
        <v>155</v>
      </c>
      <c r="Q3424" s="417">
        <v>5.1999999999999998E-2</v>
      </c>
      <c r="R3424" s="329" t="s">
        <v>429</v>
      </c>
    </row>
    <row r="3425" spans="6:18" ht="24" customHeight="1">
      <c r="F3425" s="113">
        <v>6</v>
      </c>
      <c r="G3425" s="144" t="s">
        <v>1576</v>
      </c>
      <c r="H3425" s="5" t="s">
        <v>2402</v>
      </c>
      <c r="I3425" s="303">
        <v>79</v>
      </c>
      <c r="J3425" s="145" t="s">
        <v>227</v>
      </c>
      <c r="K3425" s="113">
        <f t="shared" si="304"/>
        <v>474</v>
      </c>
      <c r="M3425" s="329"/>
      <c r="N3425" s="330"/>
      <c r="O3425" s="187" t="s">
        <v>2636</v>
      </c>
      <c r="Q3425" s="418"/>
      <c r="R3425" s="329"/>
    </row>
    <row r="3426" spans="6:18" ht="24" customHeight="1">
      <c r="F3426" s="113">
        <v>4</v>
      </c>
      <c r="G3426" s="144" t="s">
        <v>1576</v>
      </c>
      <c r="H3426" s="5" t="s">
        <v>2403</v>
      </c>
      <c r="I3426" s="303">
        <v>130</v>
      </c>
      <c r="J3426" s="145" t="s">
        <v>227</v>
      </c>
      <c r="K3426" s="113">
        <f t="shared" si="304"/>
        <v>520</v>
      </c>
      <c r="M3426" s="329"/>
      <c r="N3426" s="330"/>
      <c r="O3426" s="187" t="s">
        <v>2671</v>
      </c>
      <c r="P3426" s="333" t="s">
        <v>155</v>
      </c>
      <c r="Q3426" s="419">
        <v>1.772E-2</v>
      </c>
      <c r="R3426" s="329"/>
    </row>
    <row r="3427" spans="6:18" ht="24" customHeight="1">
      <c r="F3427" s="113">
        <v>1</v>
      </c>
      <c r="G3427" s="144" t="s">
        <v>1576</v>
      </c>
      <c r="H3427" s="5" t="s">
        <v>2404</v>
      </c>
      <c r="I3427" s="303">
        <v>985</v>
      </c>
      <c r="J3427" s="145" t="s">
        <v>227</v>
      </c>
      <c r="K3427" s="113">
        <f t="shared" si="304"/>
        <v>985</v>
      </c>
      <c r="M3427" s="329"/>
      <c r="N3427" s="330"/>
      <c r="O3427" s="187" t="s">
        <v>2672</v>
      </c>
      <c r="P3427" s="333" t="s">
        <v>155</v>
      </c>
      <c r="Q3427" s="428">
        <v>7.8750000000000001E-3</v>
      </c>
      <c r="R3427" s="361"/>
    </row>
    <row r="3428" spans="6:18" ht="24" customHeight="1">
      <c r="F3428" s="113">
        <v>2</v>
      </c>
      <c r="G3428" s="144" t="s">
        <v>1576</v>
      </c>
      <c r="H3428" s="5" t="s">
        <v>2405</v>
      </c>
      <c r="I3428" s="303">
        <v>21.5</v>
      </c>
      <c r="J3428" s="145" t="s">
        <v>227</v>
      </c>
      <c r="K3428" s="113">
        <f t="shared" si="304"/>
        <v>43</v>
      </c>
      <c r="M3428" s="329"/>
      <c r="N3428" s="330"/>
      <c r="O3428" s="329"/>
      <c r="P3428" s="329"/>
      <c r="Q3428" s="337" t="s">
        <v>117</v>
      </c>
    </row>
    <row r="3429" spans="6:18" ht="24" customHeight="1">
      <c r="F3429" s="113">
        <v>2</v>
      </c>
      <c r="G3429" s="144" t="s">
        <v>1576</v>
      </c>
      <c r="H3429" s="113" t="s">
        <v>630</v>
      </c>
      <c r="I3429" s="113">
        <f>I3396</f>
        <v>43.8</v>
      </c>
      <c r="J3429" s="145" t="s">
        <v>227</v>
      </c>
      <c r="K3429" s="113">
        <f t="shared" si="304"/>
        <v>87.6</v>
      </c>
      <c r="M3429" s="329"/>
      <c r="N3429" s="330"/>
      <c r="O3429" s="329"/>
      <c r="P3429" s="329"/>
      <c r="Q3429" s="420">
        <v>2.5600000000000001E-2</v>
      </c>
      <c r="R3429" s="5" t="s">
        <v>429</v>
      </c>
    </row>
    <row r="3430" spans="6:18" ht="24" customHeight="1">
      <c r="F3430" s="147">
        <v>130</v>
      </c>
      <c r="G3430" s="144" t="s">
        <v>1576</v>
      </c>
      <c r="H3430" s="113" t="s">
        <v>1508</v>
      </c>
      <c r="I3430" s="303">
        <f>I3328</f>
        <v>2.37</v>
      </c>
      <c r="J3430" s="145"/>
      <c r="K3430" s="113">
        <f t="shared" si="304"/>
        <v>308.10000000000002</v>
      </c>
      <c r="M3430" s="329"/>
      <c r="N3430" s="330"/>
      <c r="O3430" s="329"/>
      <c r="P3430" s="329"/>
      <c r="Q3430" s="337" t="s">
        <v>117</v>
      </c>
    </row>
    <row r="3431" spans="6:18" ht="24" customHeight="1">
      <c r="F3431" s="113"/>
      <c r="G3431" s="144"/>
      <c r="H3431" s="113"/>
      <c r="I3431" s="113"/>
      <c r="J3431" s="145"/>
      <c r="K3431" s="148"/>
      <c r="M3431" s="329"/>
      <c r="N3431" s="330"/>
      <c r="O3431" s="187" t="s">
        <v>2731</v>
      </c>
      <c r="P3431" s="329"/>
      <c r="Q3431" s="302">
        <v>0.58750000000000002</v>
      </c>
      <c r="R3431" s="383" t="s">
        <v>174</v>
      </c>
    </row>
    <row r="3432" spans="6:18" ht="24" customHeight="1">
      <c r="F3432" s="113"/>
      <c r="G3432" s="75"/>
      <c r="H3432" s="50" t="s">
        <v>2732</v>
      </c>
      <c r="I3432" s="113"/>
      <c r="J3432" s="145"/>
      <c r="K3432" s="50">
        <f>SUM(K3420:K3431)</f>
        <v>21264.047962499997</v>
      </c>
      <c r="M3432" s="329"/>
      <c r="N3432" s="330"/>
      <c r="O3432" s="187" t="s">
        <v>2733</v>
      </c>
      <c r="P3432" s="329"/>
      <c r="Q3432" s="423">
        <v>5.3E-3</v>
      </c>
      <c r="R3432" s="383" t="s">
        <v>429</v>
      </c>
    </row>
    <row r="3433" spans="6:18" ht="24" customHeight="1">
      <c r="F3433" s="113"/>
      <c r="G3433" s="75"/>
      <c r="I3433" s="113"/>
      <c r="J3433" s="145"/>
      <c r="K3433" s="148" t="s">
        <v>1586</v>
      </c>
      <c r="M3433" s="329"/>
      <c r="N3433" s="330"/>
      <c r="O3433" s="187" t="s">
        <v>2734</v>
      </c>
      <c r="P3433" s="329"/>
      <c r="Q3433" s="423">
        <v>6.7</v>
      </c>
      <c r="R3433" s="383" t="s">
        <v>231</v>
      </c>
    </row>
    <row r="3434" spans="6:18" ht="24" customHeight="1">
      <c r="F3434" s="113"/>
      <c r="G3434" s="75"/>
      <c r="H3434" s="50" t="s">
        <v>154</v>
      </c>
      <c r="I3434" s="113"/>
      <c r="J3434" s="145"/>
      <c r="K3434" s="50">
        <f>K3432/F3423</f>
        <v>4813.5932003395574</v>
      </c>
      <c r="M3434" s="329"/>
      <c r="N3434" s="330"/>
      <c r="O3434" s="329"/>
      <c r="P3434" s="329"/>
      <c r="Q3434" s="337"/>
      <c r="R3434" s="337"/>
    </row>
    <row r="3435" spans="6:18" ht="24" customHeight="1">
      <c r="G3435" s="5"/>
      <c r="J3435" s="5"/>
      <c r="M3435" s="361">
        <v>5.1999999999999998E-2</v>
      </c>
      <c r="N3435" s="336" t="s">
        <v>126</v>
      </c>
      <c r="O3435" s="187" t="s">
        <v>1483</v>
      </c>
      <c r="P3435" s="185">
        <f>P3221</f>
        <v>111600</v>
      </c>
      <c r="Q3435" s="188" t="s">
        <v>126</v>
      </c>
      <c r="R3435" s="185">
        <f>P3435*M3435</f>
        <v>5803.2</v>
      </c>
    </row>
    <row r="3436" spans="6:18" ht="24" customHeight="1">
      <c r="M3436" s="361">
        <v>2.5600000000000001E-2</v>
      </c>
      <c r="N3436" s="336" t="s">
        <v>126</v>
      </c>
      <c r="O3436" s="187" t="s">
        <v>1485</v>
      </c>
      <c r="P3436" s="185">
        <f>P3222</f>
        <v>99400</v>
      </c>
      <c r="Q3436" s="188" t="s">
        <v>126</v>
      </c>
      <c r="R3436" s="185">
        <f t="shared" ref="R3436:R3448" si="305">P3436*M3436</f>
        <v>2544.6400000000003</v>
      </c>
    </row>
    <row r="3437" spans="6:18" ht="24" customHeight="1">
      <c r="M3437" s="361">
        <v>5.3E-3</v>
      </c>
      <c r="N3437" s="336" t="s">
        <v>126</v>
      </c>
      <c r="O3437" s="187" t="s">
        <v>2642</v>
      </c>
      <c r="P3437" s="185">
        <f>P3223</f>
        <v>101921.4</v>
      </c>
      <c r="Q3437" s="188" t="s">
        <v>126</v>
      </c>
      <c r="R3437" s="185">
        <f t="shared" si="305"/>
        <v>540.18341999999996</v>
      </c>
    </row>
    <row r="3438" spans="6:18" ht="24" customHeight="1">
      <c r="M3438" s="377"/>
      <c r="N3438" s="330"/>
      <c r="O3438" s="187" t="s">
        <v>1560</v>
      </c>
      <c r="P3438" s="185"/>
      <c r="Q3438" s="332"/>
      <c r="R3438" s="185">
        <f t="shared" si="305"/>
        <v>0</v>
      </c>
    </row>
    <row r="3439" spans="6:18" ht="24" customHeight="1">
      <c r="M3439" s="377">
        <v>0.58750000000000002</v>
      </c>
      <c r="N3439" s="336" t="s">
        <v>140</v>
      </c>
      <c r="O3439" s="187" t="s">
        <v>2700</v>
      </c>
      <c r="P3439" s="185">
        <f>P3225</f>
        <v>355.5</v>
      </c>
      <c r="Q3439" s="332" t="s">
        <v>140</v>
      </c>
      <c r="R3439" s="185">
        <f t="shared" si="305"/>
        <v>208.85625000000002</v>
      </c>
    </row>
    <row r="3440" spans="6:18" ht="24" customHeight="1">
      <c r="M3440" s="377">
        <v>6.7</v>
      </c>
      <c r="N3440" s="336" t="s">
        <v>203</v>
      </c>
      <c r="O3440" s="187" t="s">
        <v>2701</v>
      </c>
      <c r="P3440" s="185">
        <f>P3226</f>
        <v>15.15</v>
      </c>
      <c r="Q3440" s="332" t="s">
        <v>231</v>
      </c>
      <c r="R3440" s="185">
        <f t="shared" si="305"/>
        <v>101.50500000000001</v>
      </c>
    </row>
    <row r="3441" spans="6:18" ht="24" customHeight="1">
      <c r="M3441" s="377">
        <v>2.4279999999999999</v>
      </c>
      <c r="N3441" s="336" t="s">
        <v>140</v>
      </c>
      <c r="O3441" s="187" t="s">
        <v>1480</v>
      </c>
      <c r="P3441" s="185">
        <f>P3227</f>
        <v>1078</v>
      </c>
      <c r="Q3441" s="188" t="s">
        <v>140</v>
      </c>
      <c r="R3441" s="185">
        <f t="shared" si="305"/>
        <v>2617.384</v>
      </c>
    </row>
    <row r="3442" spans="6:18" ht="55.5" customHeight="1">
      <c r="M3442" s="185">
        <v>4</v>
      </c>
      <c r="N3442" s="336" t="s">
        <v>1</v>
      </c>
      <c r="O3442" s="187" t="s">
        <v>2644</v>
      </c>
      <c r="P3442" s="185">
        <f t="shared" ref="P3442:P3447" si="306">P3228</f>
        <v>50.9</v>
      </c>
      <c r="Q3442" s="188" t="s">
        <v>209</v>
      </c>
      <c r="R3442" s="185">
        <f t="shared" si="305"/>
        <v>203.6</v>
      </c>
    </row>
    <row r="3443" spans="6:18" ht="24" customHeight="1">
      <c r="M3443" s="185">
        <v>8</v>
      </c>
      <c r="N3443" s="336" t="s">
        <v>209</v>
      </c>
      <c r="O3443" s="187" t="s">
        <v>1482</v>
      </c>
      <c r="P3443" s="185">
        <f t="shared" si="306"/>
        <v>79.099999999999994</v>
      </c>
      <c r="Q3443" s="188" t="s">
        <v>209</v>
      </c>
      <c r="R3443" s="185">
        <f t="shared" si="305"/>
        <v>632.79999999999995</v>
      </c>
    </row>
    <row r="3444" spans="6:18" ht="24" customHeight="1">
      <c r="M3444" s="185">
        <v>4</v>
      </c>
      <c r="N3444" s="336" t="s">
        <v>209</v>
      </c>
      <c r="O3444" s="187" t="s">
        <v>2663</v>
      </c>
      <c r="P3444" s="185">
        <f t="shared" si="306"/>
        <v>86.3</v>
      </c>
      <c r="Q3444" s="188" t="s">
        <v>209</v>
      </c>
      <c r="R3444" s="185">
        <f t="shared" si="305"/>
        <v>345.2</v>
      </c>
    </row>
    <row r="3445" spans="6:18" ht="24" customHeight="1">
      <c r="M3445" s="185">
        <v>1</v>
      </c>
      <c r="N3445" s="336" t="s">
        <v>209</v>
      </c>
      <c r="O3445" s="187" t="s">
        <v>2664</v>
      </c>
      <c r="P3445" s="185">
        <f t="shared" si="306"/>
        <v>185.2</v>
      </c>
      <c r="Q3445" s="188" t="s">
        <v>209</v>
      </c>
      <c r="R3445" s="185">
        <f t="shared" si="305"/>
        <v>185.2</v>
      </c>
    </row>
    <row r="3446" spans="6:18" ht="24" customHeight="1">
      <c r="M3446" s="185">
        <v>2</v>
      </c>
      <c r="N3446" s="336" t="s">
        <v>209</v>
      </c>
      <c r="O3446" s="187" t="s">
        <v>2665</v>
      </c>
      <c r="P3446" s="185">
        <f t="shared" si="306"/>
        <v>22.7</v>
      </c>
      <c r="Q3446" s="188" t="s">
        <v>209</v>
      </c>
      <c r="R3446" s="185">
        <f t="shared" si="305"/>
        <v>45.4</v>
      </c>
    </row>
    <row r="3447" spans="6:18" ht="24" customHeight="1">
      <c r="M3447" s="185">
        <v>2</v>
      </c>
      <c r="N3447" s="336" t="s">
        <v>209</v>
      </c>
      <c r="O3447" s="187" t="s">
        <v>2666</v>
      </c>
      <c r="P3447" s="185">
        <f t="shared" si="306"/>
        <v>43.8</v>
      </c>
      <c r="Q3447" s="188" t="s">
        <v>209</v>
      </c>
      <c r="R3447" s="185">
        <f t="shared" si="305"/>
        <v>87.6</v>
      </c>
    </row>
    <row r="3448" spans="6:18" ht="24" customHeight="1">
      <c r="M3448" s="329">
        <v>118</v>
      </c>
      <c r="N3448" s="336" t="s">
        <v>209</v>
      </c>
      <c r="O3448" s="329" t="s">
        <v>2604</v>
      </c>
      <c r="P3448" s="329">
        <f>P3404</f>
        <v>2.37</v>
      </c>
      <c r="Q3448" s="188" t="s">
        <v>209</v>
      </c>
      <c r="R3448" s="185">
        <f t="shared" si="305"/>
        <v>279.66000000000003</v>
      </c>
    </row>
    <row r="3449" spans="6:18" ht="24" customHeight="1">
      <c r="M3449" s="329"/>
      <c r="N3449" s="330"/>
      <c r="O3449" s="329"/>
      <c r="P3449" s="329"/>
      <c r="Q3449" s="332"/>
      <c r="R3449" s="337" t="s">
        <v>117</v>
      </c>
    </row>
    <row r="3450" spans="6:18" ht="24" customHeight="1">
      <c r="F3450" s="51">
        <v>29.5</v>
      </c>
      <c r="G3450" s="15" t="s">
        <v>122</v>
      </c>
      <c r="H3450" s="3" t="s">
        <v>2735</v>
      </c>
      <c r="J3450" s="10"/>
      <c r="M3450" s="329"/>
      <c r="N3450" s="330"/>
      <c r="O3450" s="187" t="s">
        <v>2690</v>
      </c>
      <c r="P3450" s="329"/>
      <c r="Q3450" s="332"/>
      <c r="R3450" s="185">
        <f>SUM(R3435:R3449)</f>
        <v>13595.22867</v>
      </c>
    </row>
    <row r="3451" spans="6:18" ht="24" customHeight="1">
      <c r="H3451" s="3" t="s">
        <v>2736</v>
      </c>
      <c r="J3451" s="10"/>
      <c r="M3451" s="329"/>
      <c r="N3451" s="330"/>
      <c r="O3451" s="329"/>
      <c r="P3451" s="329"/>
      <c r="Q3451" s="332"/>
      <c r="R3451" s="337" t="s">
        <v>117</v>
      </c>
    </row>
    <row r="3452" spans="6:18" ht="24" customHeight="1">
      <c r="H3452" s="3" t="s">
        <v>158</v>
      </c>
      <c r="J3452" s="10"/>
      <c r="M3452" s="329"/>
      <c r="N3452" s="330"/>
      <c r="O3452" s="343" t="s">
        <v>154</v>
      </c>
      <c r="P3452" s="329"/>
      <c r="Q3452" s="334" t="s">
        <v>2433</v>
      </c>
      <c r="R3452" s="344">
        <f>R3450/M3441</f>
        <v>5599.3528294892922</v>
      </c>
    </row>
    <row r="3453" spans="6:18" ht="24" customHeight="1">
      <c r="H3453" s="12" t="s">
        <v>117</v>
      </c>
      <c r="I3453" s="12" t="s">
        <v>117</v>
      </c>
      <c r="J3453" s="10"/>
      <c r="K3453" s="17"/>
    </row>
    <row r="3454" spans="6:18" ht="24" customHeight="1">
      <c r="F3454" s="17">
        <v>10</v>
      </c>
      <c r="G3454" s="15" t="s">
        <v>140</v>
      </c>
      <c r="H3454" s="7" t="s">
        <v>2737</v>
      </c>
      <c r="I3454" s="14">
        <v>412</v>
      </c>
      <c r="J3454" s="4" t="s">
        <v>140</v>
      </c>
      <c r="K3454" s="17">
        <f>F3454*I3454</f>
        <v>4120</v>
      </c>
    </row>
    <row r="3455" spans="6:18" ht="24" customHeight="1">
      <c r="F3455" s="17">
        <v>0.21</v>
      </c>
      <c r="G3455" s="15" t="s">
        <v>126</v>
      </c>
      <c r="H3455" s="3" t="s">
        <v>142</v>
      </c>
      <c r="I3455" s="17">
        <f>K32</f>
        <v>4193.8</v>
      </c>
      <c r="J3455" s="4" t="s">
        <v>126</v>
      </c>
      <c r="K3455" s="17">
        <f>(F3455*I3455)</f>
        <v>880.69799999999998</v>
      </c>
    </row>
    <row r="3456" spans="6:18" ht="24" customHeight="1">
      <c r="H3456" s="3" t="s">
        <v>160</v>
      </c>
      <c r="I3456" s="17"/>
      <c r="J3456" s="10"/>
      <c r="K3456" s="3" t="s">
        <v>115</v>
      </c>
      <c r="M3456" s="51">
        <v>29.5</v>
      </c>
      <c r="N3456" s="15" t="s">
        <v>122</v>
      </c>
      <c r="O3456" s="3" t="s">
        <v>2735</v>
      </c>
      <c r="Q3456" s="10"/>
    </row>
    <row r="3457" spans="6:18" ht="24" customHeight="1">
      <c r="F3457" s="17">
        <v>1.1000000000000001</v>
      </c>
      <c r="G3457" s="15" t="s">
        <v>1</v>
      </c>
      <c r="H3457" s="3" t="s">
        <v>144</v>
      </c>
      <c r="I3457" s="17">
        <f>C10</f>
        <v>769</v>
      </c>
      <c r="J3457" s="4" t="s">
        <v>1</v>
      </c>
      <c r="K3457" s="17">
        <f>(F3457*I3457)</f>
        <v>845.90000000000009</v>
      </c>
      <c r="N3457" s="6"/>
      <c r="O3457" s="3" t="s">
        <v>2736</v>
      </c>
      <c r="Q3457" s="10"/>
    </row>
    <row r="3458" spans="6:18" ht="24" customHeight="1">
      <c r="F3458" s="17">
        <v>1.1000000000000001</v>
      </c>
      <c r="G3458" s="15" t="s">
        <v>1</v>
      </c>
      <c r="H3458" s="3" t="s">
        <v>145</v>
      </c>
      <c r="I3458" s="17">
        <f>C11</f>
        <v>718</v>
      </c>
      <c r="J3458" s="4" t="s">
        <v>1</v>
      </c>
      <c r="K3458" s="17">
        <f>(F3458*I3458)</f>
        <v>789.80000000000007</v>
      </c>
      <c r="N3458" s="6"/>
      <c r="O3458" s="3" t="s">
        <v>158</v>
      </c>
      <c r="Q3458" s="10"/>
    </row>
    <row r="3459" spans="6:18" ht="24" customHeight="1">
      <c r="F3459" s="17">
        <v>2.2000000000000002</v>
      </c>
      <c r="G3459" s="15" t="s">
        <v>1</v>
      </c>
      <c r="H3459" s="3" t="s">
        <v>146</v>
      </c>
      <c r="I3459" s="17">
        <f>C12</f>
        <v>502</v>
      </c>
      <c r="J3459" s="4" t="s">
        <v>1</v>
      </c>
      <c r="K3459" s="17">
        <f>(F3459*I3459)</f>
        <v>1104.4000000000001</v>
      </c>
      <c r="N3459" s="6"/>
      <c r="O3459" s="12" t="s">
        <v>117</v>
      </c>
      <c r="P3459" s="12" t="s">
        <v>117</v>
      </c>
      <c r="Q3459" s="10"/>
      <c r="R3459" s="17"/>
    </row>
    <row r="3460" spans="6:18" ht="24" customHeight="1">
      <c r="F3460" s="17">
        <v>2.2000000000000002</v>
      </c>
      <c r="G3460" s="15" t="s">
        <v>1</v>
      </c>
      <c r="H3460" s="3" t="s">
        <v>147</v>
      </c>
      <c r="I3460" s="17">
        <f>C13</f>
        <v>412</v>
      </c>
      <c r="J3460" s="4" t="s">
        <v>1</v>
      </c>
      <c r="K3460" s="17">
        <f>(F3460*I3460)</f>
        <v>906.40000000000009</v>
      </c>
      <c r="M3460" s="17">
        <v>10</v>
      </c>
      <c r="N3460" s="15" t="s">
        <v>140</v>
      </c>
      <c r="O3460" s="7" t="s">
        <v>2737</v>
      </c>
      <c r="P3460" s="437">
        <f>I3454</f>
        <v>412</v>
      </c>
      <c r="Q3460" s="4" t="s">
        <v>140</v>
      </c>
      <c r="R3460" s="17">
        <f>P3460*M3460</f>
        <v>4120</v>
      </c>
    </row>
    <row r="3461" spans="6:18" ht="24" customHeight="1">
      <c r="F3461" s="49">
        <v>20</v>
      </c>
      <c r="G3461" s="15" t="s">
        <v>148</v>
      </c>
      <c r="H3461" s="3" t="s">
        <v>125</v>
      </c>
      <c r="I3461" s="17">
        <f>AC31</f>
        <v>5800</v>
      </c>
      <c r="J3461" s="4" t="s">
        <v>124</v>
      </c>
      <c r="K3461" s="17">
        <f>(F3461*I3461)/1000</f>
        <v>116</v>
      </c>
      <c r="M3461" s="17">
        <v>0.21</v>
      </c>
      <c r="N3461" s="15" t="s">
        <v>126</v>
      </c>
      <c r="O3461" s="3" t="s">
        <v>142</v>
      </c>
      <c r="P3461" s="438">
        <f t="shared" ref="P3461:P3471" si="307">I3455</f>
        <v>4193.8</v>
      </c>
      <c r="Q3461" s="4" t="s">
        <v>126</v>
      </c>
      <c r="R3461" s="17">
        <f t="shared" ref="R3461:R3471" si="308">P3461*M3461</f>
        <v>880.69799999999998</v>
      </c>
    </row>
    <row r="3462" spans="6:18" ht="24" customHeight="1">
      <c r="F3462" s="49">
        <v>2</v>
      </c>
      <c r="G3462" s="15" t="s">
        <v>148</v>
      </c>
      <c r="H3462" s="3" t="s">
        <v>1641</v>
      </c>
      <c r="I3462" s="17">
        <f>I1256</f>
        <v>36.1</v>
      </c>
      <c r="J3462" s="4" t="s">
        <v>148</v>
      </c>
      <c r="K3462" s="17">
        <f>(F3462*I3462)</f>
        <v>72.2</v>
      </c>
      <c r="N3462" s="6"/>
      <c r="O3462" s="3" t="s">
        <v>160</v>
      </c>
      <c r="P3462" s="438">
        <f t="shared" si="307"/>
        <v>0</v>
      </c>
      <c r="Q3462" s="10"/>
      <c r="R3462" s="17">
        <f t="shared" si="308"/>
        <v>0</v>
      </c>
    </row>
    <row r="3463" spans="6:18" ht="24" customHeight="1">
      <c r="F3463" s="17">
        <v>1.6</v>
      </c>
      <c r="G3463" s="15" t="s">
        <v>1</v>
      </c>
      <c r="H3463" s="3" t="s">
        <v>145</v>
      </c>
      <c r="I3463" s="17">
        <f>I3458</f>
        <v>718</v>
      </c>
      <c r="J3463" s="4" t="s">
        <v>1</v>
      </c>
      <c r="K3463" s="17">
        <f>(F3463*I3463)</f>
        <v>1148.8</v>
      </c>
      <c r="M3463" s="17">
        <v>1.1000000000000001</v>
      </c>
      <c r="N3463" s="15" t="s">
        <v>1</v>
      </c>
      <c r="O3463" s="3" t="s">
        <v>144</v>
      </c>
      <c r="P3463" s="438">
        <f t="shared" si="307"/>
        <v>769</v>
      </c>
      <c r="Q3463" s="4" t="s">
        <v>1</v>
      </c>
      <c r="R3463" s="17">
        <f t="shared" si="308"/>
        <v>845.90000000000009</v>
      </c>
    </row>
    <row r="3464" spans="6:18" ht="24" customHeight="1">
      <c r="F3464" s="17">
        <v>0.5</v>
      </c>
      <c r="G3464" s="15" t="s">
        <v>1</v>
      </c>
      <c r="H3464" s="3" t="s">
        <v>146</v>
      </c>
      <c r="I3464" s="17">
        <f>I3459</f>
        <v>502</v>
      </c>
      <c r="J3464" s="4" t="s">
        <v>1</v>
      </c>
      <c r="K3464" s="17">
        <f>(F3464*I3464)</f>
        <v>251</v>
      </c>
      <c r="M3464" s="17">
        <v>1.1000000000000001</v>
      </c>
      <c r="N3464" s="15" t="s">
        <v>1</v>
      </c>
      <c r="O3464" s="3" t="s">
        <v>145</v>
      </c>
      <c r="P3464" s="438">
        <f t="shared" si="307"/>
        <v>718</v>
      </c>
      <c r="Q3464" s="4" t="s">
        <v>1</v>
      </c>
      <c r="R3464" s="17">
        <f t="shared" si="308"/>
        <v>789.80000000000007</v>
      </c>
    </row>
    <row r="3465" spans="6:18" ht="24" customHeight="1">
      <c r="F3465" s="17">
        <v>1.1000000000000001</v>
      </c>
      <c r="G3465" s="15" t="s">
        <v>1</v>
      </c>
      <c r="H3465" s="3" t="s">
        <v>147</v>
      </c>
      <c r="I3465" s="17">
        <f>I3460</f>
        <v>412</v>
      </c>
      <c r="J3465" s="4" t="s">
        <v>1</v>
      </c>
      <c r="K3465" s="17">
        <f>(F3465*I3465)</f>
        <v>453.20000000000005</v>
      </c>
      <c r="M3465" s="17">
        <v>2.2000000000000002</v>
      </c>
      <c r="N3465" s="15" t="s">
        <v>1</v>
      </c>
      <c r="O3465" s="3" t="s">
        <v>146</v>
      </c>
      <c r="P3465" s="438">
        <f t="shared" si="307"/>
        <v>502</v>
      </c>
      <c r="Q3465" s="4" t="s">
        <v>1</v>
      </c>
      <c r="R3465" s="17">
        <f t="shared" si="308"/>
        <v>1104.4000000000001</v>
      </c>
    </row>
    <row r="3466" spans="6:18" ht="24" customHeight="1">
      <c r="G3466" s="15" t="s">
        <v>129</v>
      </c>
      <c r="H3466" s="3" t="s">
        <v>130</v>
      </c>
      <c r="I3466" s="17">
        <f>I1262</f>
        <v>0</v>
      </c>
      <c r="J3466" s="4" t="s">
        <v>129</v>
      </c>
      <c r="K3466" s="17">
        <v>0</v>
      </c>
      <c r="M3466" s="17">
        <v>2.2000000000000002</v>
      </c>
      <c r="N3466" s="15" t="s">
        <v>1</v>
      </c>
      <c r="O3466" s="3" t="s">
        <v>147</v>
      </c>
      <c r="P3466" s="438">
        <f t="shared" si="307"/>
        <v>412</v>
      </c>
      <c r="Q3466" s="4" t="s">
        <v>1</v>
      </c>
      <c r="R3466" s="17">
        <f t="shared" si="308"/>
        <v>906.40000000000009</v>
      </c>
    </row>
    <row r="3467" spans="6:18" ht="24" customHeight="1">
      <c r="J3467" s="10"/>
      <c r="K3467" s="12" t="s">
        <v>117</v>
      </c>
      <c r="M3467" s="49">
        <v>20</v>
      </c>
      <c r="N3467" s="15" t="s">
        <v>148</v>
      </c>
      <c r="O3467" s="3" t="s">
        <v>125</v>
      </c>
      <c r="P3467" s="438">
        <f t="shared" si="307"/>
        <v>5800</v>
      </c>
      <c r="Q3467" s="4" t="s">
        <v>124</v>
      </c>
      <c r="R3467" s="17">
        <f>P3467*M3467/1000</f>
        <v>116</v>
      </c>
    </row>
    <row r="3468" spans="6:18" ht="24" customHeight="1">
      <c r="H3468" s="3" t="s">
        <v>153</v>
      </c>
      <c r="J3468" s="10"/>
      <c r="K3468" s="17">
        <f>SUM(K3454:K3466)</f>
        <v>10688.398000000001</v>
      </c>
      <c r="M3468" s="49">
        <v>2</v>
      </c>
      <c r="N3468" s="15" t="s">
        <v>148</v>
      </c>
      <c r="O3468" s="3" t="s">
        <v>2738</v>
      </c>
      <c r="P3468" s="438">
        <f>I3644</f>
        <v>24.5</v>
      </c>
      <c r="Q3468" s="4" t="s">
        <v>148</v>
      </c>
      <c r="R3468" s="17">
        <f t="shared" si="308"/>
        <v>49</v>
      </c>
    </row>
    <row r="3469" spans="6:18" ht="24" customHeight="1">
      <c r="J3469" s="10"/>
      <c r="K3469" s="12" t="s">
        <v>117</v>
      </c>
      <c r="M3469" s="17">
        <v>1.6</v>
      </c>
      <c r="N3469" s="15" t="s">
        <v>1</v>
      </c>
      <c r="O3469" s="3" t="s">
        <v>145</v>
      </c>
      <c r="P3469" s="438">
        <f t="shared" si="307"/>
        <v>718</v>
      </c>
      <c r="Q3469" s="4" t="s">
        <v>1</v>
      </c>
      <c r="R3469" s="17">
        <f t="shared" si="308"/>
        <v>1148.8</v>
      </c>
    </row>
    <row r="3470" spans="6:18" ht="24" customHeight="1">
      <c r="H3470" s="3" t="s">
        <v>154</v>
      </c>
      <c r="J3470" s="10"/>
      <c r="K3470" s="16">
        <f>(K3468/10)</f>
        <v>1068.8398000000002</v>
      </c>
      <c r="M3470" s="17">
        <v>0.5</v>
      </c>
      <c r="N3470" s="15" t="s">
        <v>1</v>
      </c>
      <c r="O3470" s="3" t="s">
        <v>146</v>
      </c>
      <c r="P3470" s="438">
        <f t="shared" si="307"/>
        <v>502</v>
      </c>
      <c r="Q3470" s="4" t="s">
        <v>1</v>
      </c>
      <c r="R3470" s="17">
        <f t="shared" si="308"/>
        <v>251</v>
      </c>
    </row>
    <row r="3471" spans="6:18" ht="24" customHeight="1">
      <c r="J3471" s="10"/>
      <c r="K3471" s="12" t="s">
        <v>155</v>
      </c>
      <c r="M3471" s="17">
        <v>1.1000000000000001</v>
      </c>
      <c r="N3471" s="15" t="s">
        <v>1</v>
      </c>
      <c r="O3471" s="3" t="s">
        <v>147</v>
      </c>
      <c r="P3471" s="438">
        <f t="shared" si="307"/>
        <v>412</v>
      </c>
      <c r="Q3471" s="4" t="s">
        <v>1</v>
      </c>
      <c r="R3471" s="17">
        <f t="shared" si="308"/>
        <v>453.20000000000005</v>
      </c>
    </row>
    <row r="3472" spans="6:18" ht="24" customHeight="1">
      <c r="N3472" s="15" t="s">
        <v>129</v>
      </c>
      <c r="O3472" s="3" t="s">
        <v>130</v>
      </c>
      <c r="P3472" s="17">
        <v>0</v>
      </c>
      <c r="Q3472" s="4" t="s">
        <v>129</v>
      </c>
      <c r="R3472" s="17">
        <v>0</v>
      </c>
    </row>
    <row r="3473" spans="6:19" ht="24" customHeight="1">
      <c r="N3473" s="6"/>
      <c r="Q3473" s="10"/>
      <c r="R3473" s="12" t="s">
        <v>117</v>
      </c>
    </row>
    <row r="3474" spans="6:19" ht="24" customHeight="1">
      <c r="N3474" s="6"/>
      <c r="O3474" s="3" t="s">
        <v>153</v>
      </c>
      <c r="Q3474" s="10"/>
      <c r="R3474" s="17">
        <f>SUM(R3460:R3473)</f>
        <v>10665.198</v>
      </c>
    </row>
    <row r="3475" spans="6:19" ht="24" customHeight="1">
      <c r="N3475" s="6"/>
      <c r="Q3475" s="10"/>
      <c r="R3475" s="12" t="s">
        <v>117</v>
      </c>
    </row>
    <row r="3476" spans="6:19" ht="57.75" customHeight="1">
      <c r="G3476" s="439">
        <v>90</v>
      </c>
      <c r="H3476" s="440" t="s">
        <v>2739</v>
      </c>
      <c r="N3476" s="6"/>
      <c r="O3476" s="3" t="s">
        <v>154</v>
      </c>
      <c r="Q3476" s="10"/>
      <c r="R3476" s="16">
        <f>R3474/10</f>
        <v>1066.5198</v>
      </c>
    </row>
    <row r="3477" spans="6:19" ht="24" customHeight="1">
      <c r="F3477" s="101">
        <v>3.8100000000000002E-2</v>
      </c>
      <c r="G3477" s="144" t="s">
        <v>126</v>
      </c>
      <c r="H3477" s="113" t="s">
        <v>2740</v>
      </c>
      <c r="I3477" s="5">
        <f>I3387</f>
        <v>111600</v>
      </c>
      <c r="J3477" s="5">
        <f>J2279</f>
        <v>0</v>
      </c>
      <c r="K3477" s="5">
        <f>F3477*I3477</f>
        <v>4251.96</v>
      </c>
      <c r="N3477" s="6"/>
      <c r="Q3477" s="10"/>
      <c r="R3477" s="12" t="s">
        <v>155</v>
      </c>
    </row>
    <row r="3478" spans="6:19" ht="24" customHeight="1">
      <c r="F3478" s="9">
        <v>2.4E-2</v>
      </c>
      <c r="G3478" s="144" t="s">
        <v>126</v>
      </c>
      <c r="H3478" s="113" t="s">
        <v>2673</v>
      </c>
      <c r="I3478" s="5">
        <f>I3388</f>
        <v>99400</v>
      </c>
      <c r="J3478" s="5">
        <f>J2280</f>
        <v>0</v>
      </c>
      <c r="K3478" s="5">
        <f t="shared" ref="K3478:K3491" si="309">F3478*I3478</f>
        <v>2385.6</v>
      </c>
    </row>
    <row r="3479" spans="6:19" ht="24" customHeight="1">
      <c r="F3479" s="5">
        <v>0.01</v>
      </c>
      <c r="G3479" s="144" t="s">
        <v>126</v>
      </c>
      <c r="H3479" s="3" t="s">
        <v>1487</v>
      </c>
      <c r="I3479" s="5">
        <f>I2815</f>
        <v>95000</v>
      </c>
      <c r="J3479" s="5">
        <f>J2281</f>
        <v>0</v>
      </c>
      <c r="K3479" s="5">
        <f t="shared" si="309"/>
        <v>950</v>
      </c>
    </row>
    <row r="3480" spans="6:19" ht="24" customHeight="1">
      <c r="H3480" s="3" t="s">
        <v>1489</v>
      </c>
    </row>
    <row r="3481" spans="6:19" ht="24" customHeight="1">
      <c r="F3481" s="5">
        <v>1.05</v>
      </c>
      <c r="G3481" s="15" t="s">
        <v>140</v>
      </c>
      <c r="H3481" s="109" t="s">
        <v>2741</v>
      </c>
      <c r="I3481" s="79">
        <v>355.5</v>
      </c>
      <c r="J3481" s="8" t="s">
        <v>140</v>
      </c>
      <c r="K3481" s="5">
        <f t="shared" si="309"/>
        <v>373.27500000000003</v>
      </c>
    </row>
    <row r="3482" spans="6:19" ht="24" customHeight="1">
      <c r="F3482" s="5">
        <v>12</v>
      </c>
      <c r="G3482" s="15" t="s">
        <v>1962</v>
      </c>
      <c r="H3482" s="5" t="s">
        <v>2742</v>
      </c>
      <c r="I3482" s="5">
        <f>I2537</f>
        <v>54.5</v>
      </c>
      <c r="J3482" s="8" t="s">
        <v>1962</v>
      </c>
      <c r="K3482" s="5">
        <f t="shared" si="309"/>
        <v>654</v>
      </c>
      <c r="S3482" s="429" t="s">
        <v>2743</v>
      </c>
    </row>
    <row r="3483" spans="6:19" ht="24" customHeight="1">
      <c r="F3483" s="5">
        <v>2.85</v>
      </c>
      <c r="G3483" s="15" t="s">
        <v>140</v>
      </c>
      <c r="H3483" s="5" t="s">
        <v>2744</v>
      </c>
      <c r="I3483" s="5">
        <f>D31</f>
        <v>1078</v>
      </c>
      <c r="J3483" s="8" t="s">
        <v>140</v>
      </c>
      <c r="K3483" s="5">
        <f t="shared" si="309"/>
        <v>3072.3</v>
      </c>
    </row>
    <row r="3484" spans="6:19" ht="24" customHeight="1">
      <c r="F3484" s="5">
        <v>6</v>
      </c>
      <c r="G3484" s="15" t="s">
        <v>164</v>
      </c>
      <c r="H3484" s="3" t="s">
        <v>1482</v>
      </c>
      <c r="I3484" s="5">
        <f>I2819</f>
        <v>110.17</v>
      </c>
      <c r="J3484" s="8" t="s">
        <v>1</v>
      </c>
      <c r="K3484" s="5">
        <f t="shared" si="309"/>
        <v>661.02</v>
      </c>
    </row>
    <row r="3485" spans="6:19" ht="24" customHeight="1">
      <c r="F3485" s="5">
        <v>1</v>
      </c>
      <c r="G3485" s="15" t="s">
        <v>164</v>
      </c>
      <c r="H3485" s="5" t="s">
        <v>2745</v>
      </c>
      <c r="I3485" s="5">
        <f>I2821</f>
        <v>550</v>
      </c>
      <c r="J3485" s="8" t="s">
        <v>1</v>
      </c>
      <c r="K3485" s="5">
        <f t="shared" si="309"/>
        <v>550</v>
      </c>
    </row>
    <row r="3486" spans="6:19" ht="24" customHeight="1">
      <c r="F3486" s="5">
        <v>3</v>
      </c>
      <c r="G3486" s="15" t="s">
        <v>164</v>
      </c>
      <c r="H3486" s="3" t="s">
        <v>1484</v>
      </c>
      <c r="I3486" s="5">
        <f>I2820</f>
        <v>160</v>
      </c>
      <c r="J3486" s="8" t="s">
        <v>1</v>
      </c>
      <c r="K3486" s="5">
        <f t="shared" si="309"/>
        <v>480</v>
      </c>
    </row>
    <row r="3487" spans="6:19" ht="24" customHeight="1">
      <c r="F3487" s="5">
        <v>2</v>
      </c>
      <c r="G3487" s="15" t="s">
        <v>164</v>
      </c>
      <c r="H3487" s="3" t="s">
        <v>2746</v>
      </c>
      <c r="I3487" s="5">
        <f>I2820</f>
        <v>160</v>
      </c>
      <c r="J3487" s="8" t="s">
        <v>1</v>
      </c>
      <c r="K3487" s="5">
        <f t="shared" si="309"/>
        <v>320</v>
      </c>
    </row>
    <row r="3488" spans="6:19" ht="24" customHeight="1">
      <c r="F3488" s="5">
        <v>2</v>
      </c>
      <c r="G3488" s="15" t="s">
        <v>164</v>
      </c>
      <c r="H3488" s="3" t="s">
        <v>630</v>
      </c>
      <c r="I3488" s="5">
        <f>I2823</f>
        <v>43.8</v>
      </c>
      <c r="J3488" s="8" t="s">
        <v>1</v>
      </c>
      <c r="K3488" s="5">
        <f t="shared" si="309"/>
        <v>87.6</v>
      </c>
    </row>
    <row r="3489" spans="6:15" ht="24" customHeight="1">
      <c r="F3489" s="5">
        <v>2</v>
      </c>
      <c r="G3489" s="15" t="s">
        <v>164</v>
      </c>
      <c r="H3489" s="3" t="s">
        <v>1488</v>
      </c>
      <c r="I3489" s="5">
        <f>I2822</f>
        <v>7.3</v>
      </c>
      <c r="J3489" s="8" t="s">
        <v>1</v>
      </c>
      <c r="K3489" s="5">
        <f t="shared" si="309"/>
        <v>14.6</v>
      </c>
    </row>
    <row r="3490" spans="6:15" ht="24" customHeight="1">
      <c r="F3490" s="5">
        <v>1.05</v>
      </c>
      <c r="G3490" s="15" t="s">
        <v>140</v>
      </c>
      <c r="H3490" s="3" t="s">
        <v>2747</v>
      </c>
      <c r="I3490" s="5">
        <f>K1553</f>
        <v>117.35039999999999</v>
      </c>
      <c r="J3490" s="8" t="s">
        <v>140</v>
      </c>
      <c r="K3490" s="5">
        <f t="shared" si="309"/>
        <v>123.21791999999999</v>
      </c>
    </row>
    <row r="3491" spans="6:15" ht="24" customHeight="1">
      <c r="F3491" s="441">
        <v>3.15</v>
      </c>
      <c r="G3491" s="15" t="s">
        <v>140</v>
      </c>
      <c r="H3491" s="3" t="s">
        <v>2748</v>
      </c>
      <c r="I3491" s="5">
        <f>K1167</f>
        <v>157.19</v>
      </c>
      <c r="J3491" s="8" t="s">
        <v>140</v>
      </c>
      <c r="K3491" s="5">
        <f t="shared" si="309"/>
        <v>495.14849999999996</v>
      </c>
    </row>
    <row r="3492" spans="6:15" ht="24" customHeight="1">
      <c r="G3492" s="15"/>
      <c r="H3492" s="3" t="s">
        <v>2749</v>
      </c>
      <c r="I3492" s="1513" t="s">
        <v>129</v>
      </c>
      <c r="J3492" s="1513"/>
      <c r="K3492" s="5">
        <f>R3199</f>
        <v>279.66000000000003</v>
      </c>
    </row>
    <row r="3493" spans="6:15" ht="24" customHeight="1">
      <c r="K3493" s="442" t="s">
        <v>155</v>
      </c>
    </row>
    <row r="3494" spans="6:15" ht="24" customHeight="1">
      <c r="H3494" s="7" t="s">
        <v>2750</v>
      </c>
      <c r="I3494" s="50"/>
      <c r="J3494" s="59"/>
      <c r="K3494" s="50">
        <f>SUM(K3477:K3493)</f>
        <v>14698.381419999998</v>
      </c>
    </row>
    <row r="3495" spans="6:15" ht="24" customHeight="1">
      <c r="K3495" s="442" t="s">
        <v>155</v>
      </c>
    </row>
    <row r="3497" spans="6:15" ht="24" customHeight="1">
      <c r="J3497" s="10"/>
    </row>
    <row r="3498" spans="6:15" ht="24" customHeight="1">
      <c r="G3498" s="8" t="s">
        <v>2751</v>
      </c>
      <c r="J3498" s="10"/>
    </row>
    <row r="3499" spans="6:15" ht="24" customHeight="1">
      <c r="J3499" s="10"/>
    </row>
    <row r="3500" spans="6:15" ht="24" customHeight="1">
      <c r="F3500" s="101">
        <v>1.8</v>
      </c>
      <c r="G3500" s="6" t="s">
        <v>126</v>
      </c>
      <c r="H3500" s="5" t="s">
        <v>2752</v>
      </c>
      <c r="I3500" s="5">
        <v>451.25</v>
      </c>
      <c r="J3500" s="10" t="s">
        <v>126</v>
      </c>
      <c r="K3500" s="91">
        <f>I3500*F3500</f>
        <v>812.25</v>
      </c>
    </row>
    <row r="3501" spans="6:15" ht="24" customHeight="1">
      <c r="J3501" s="10"/>
      <c r="K3501" s="91"/>
    </row>
    <row r="3502" spans="6:15" ht="24" customHeight="1">
      <c r="F3502" s="101">
        <v>1.2</v>
      </c>
      <c r="G3502" s="6" t="s">
        <v>126</v>
      </c>
      <c r="H3502" s="5" t="s">
        <v>2753</v>
      </c>
      <c r="I3502" s="5">
        <v>842.15</v>
      </c>
      <c r="J3502" s="10" t="s">
        <v>126</v>
      </c>
      <c r="K3502" s="91">
        <f t="shared" ref="K3502:K3510" si="310">I3502*F3502</f>
        <v>1010.5799999999999</v>
      </c>
    </row>
    <row r="3503" spans="6:15" ht="24" customHeight="1">
      <c r="J3503" s="10"/>
      <c r="K3503" s="91"/>
    </row>
    <row r="3504" spans="6:15" ht="24" customHeight="1">
      <c r="F3504" s="101">
        <v>0.6</v>
      </c>
      <c r="G3504" s="6" t="s">
        <v>126</v>
      </c>
      <c r="H3504" s="5" t="s">
        <v>2754</v>
      </c>
      <c r="I3504" s="5">
        <f>AC16</f>
        <v>1322.8</v>
      </c>
      <c r="J3504" s="10" t="s">
        <v>126</v>
      </c>
      <c r="K3504" s="91">
        <f t="shared" si="310"/>
        <v>793.68</v>
      </c>
      <c r="O3504" s="50" t="s">
        <v>2755</v>
      </c>
    </row>
    <row r="3505" spans="6:18" ht="24" customHeight="1">
      <c r="J3505" s="10"/>
      <c r="K3505" s="91"/>
    </row>
    <row r="3506" spans="6:18" ht="24" customHeight="1">
      <c r="F3506" s="101">
        <v>3</v>
      </c>
      <c r="G3506" s="6" t="s">
        <v>126</v>
      </c>
      <c r="H3506" s="5" t="s">
        <v>2756</v>
      </c>
      <c r="I3506" s="5">
        <f>R3519</f>
        <v>1598.7</v>
      </c>
      <c r="J3506" s="10" t="s">
        <v>126</v>
      </c>
      <c r="K3506" s="91">
        <f t="shared" si="310"/>
        <v>4796.1000000000004</v>
      </c>
    </row>
    <row r="3507" spans="6:18" ht="24" customHeight="1">
      <c r="F3507" s="101"/>
      <c r="J3507" s="10"/>
      <c r="K3507" s="91"/>
      <c r="M3507" s="5">
        <f>(1.08/8)</f>
        <v>0.13500000000000001</v>
      </c>
      <c r="N3507" s="5" t="s">
        <v>126</v>
      </c>
      <c r="O3507" s="5" t="s">
        <v>146</v>
      </c>
      <c r="P3507" s="5">
        <f>P3515</f>
        <v>502</v>
      </c>
      <c r="Q3507" s="5" t="s">
        <v>126</v>
      </c>
      <c r="R3507" s="5">
        <f>P3507*M3507</f>
        <v>67.77000000000001</v>
      </c>
    </row>
    <row r="3508" spans="6:18" ht="24" customHeight="1">
      <c r="F3508" s="101">
        <v>3</v>
      </c>
      <c r="G3508" s="6" t="s">
        <v>126</v>
      </c>
      <c r="H3508" s="5" t="s">
        <v>2757</v>
      </c>
      <c r="I3508" s="5">
        <f>R3521</f>
        <v>20.27</v>
      </c>
      <c r="J3508" s="10" t="s">
        <v>126</v>
      </c>
      <c r="K3508" s="91">
        <f t="shared" si="310"/>
        <v>60.81</v>
      </c>
    </row>
    <row r="3509" spans="6:18" ht="24" customHeight="1">
      <c r="F3509" s="101"/>
      <c r="J3509" s="10"/>
      <c r="K3509" s="91"/>
      <c r="O3509" s="91" t="s">
        <v>2758</v>
      </c>
      <c r="R3509" s="5">
        <f>R3507</f>
        <v>67.77000000000001</v>
      </c>
    </row>
    <row r="3510" spans="6:18" ht="24" customHeight="1">
      <c r="F3510" s="101">
        <v>3</v>
      </c>
      <c r="G3510" s="6" t="s">
        <v>126</v>
      </c>
      <c r="H3510" s="5" t="s">
        <v>2759</v>
      </c>
      <c r="I3510" s="5">
        <v>31.65</v>
      </c>
      <c r="J3510" s="10" t="s">
        <v>126</v>
      </c>
      <c r="K3510" s="91">
        <f t="shared" si="310"/>
        <v>94.949999999999989</v>
      </c>
      <c r="O3510" s="91" t="s">
        <v>2760</v>
      </c>
      <c r="R3510" s="5">
        <f>R3509/0.75</f>
        <v>90.360000000000014</v>
      </c>
    </row>
    <row r="3511" spans="6:18" ht="24" customHeight="1">
      <c r="J3511" s="10"/>
      <c r="K3511" s="91"/>
    </row>
    <row r="3512" spans="6:18" ht="24" customHeight="1">
      <c r="H3512" s="5" t="s">
        <v>2761</v>
      </c>
      <c r="J3512" s="10" t="s">
        <v>129</v>
      </c>
      <c r="K3512" s="91">
        <v>0.3</v>
      </c>
      <c r="O3512" s="50" t="s">
        <v>2762</v>
      </c>
    </row>
    <row r="3513" spans="6:18" ht="24" customHeight="1">
      <c r="J3513" s="10"/>
      <c r="K3513" s="91"/>
    </row>
    <row r="3514" spans="6:18" ht="24" customHeight="1">
      <c r="H3514" s="91" t="s">
        <v>2763</v>
      </c>
      <c r="J3514" s="10"/>
      <c r="K3514" s="191">
        <f>SUM(K3500:K3513)</f>
        <v>7568.670000000001</v>
      </c>
      <c r="M3514" s="5">
        <v>1.8</v>
      </c>
      <c r="N3514" s="5" t="s">
        <v>240</v>
      </c>
      <c r="O3514" s="5" t="s">
        <v>2764</v>
      </c>
      <c r="P3514" s="5">
        <f>AE10</f>
        <v>718</v>
      </c>
      <c r="Q3514" s="5" t="s">
        <v>227</v>
      </c>
      <c r="R3514" s="5">
        <f>P3514*M3514</f>
        <v>1292.4000000000001</v>
      </c>
    </row>
    <row r="3515" spans="6:18" ht="24" customHeight="1">
      <c r="H3515" s="91" t="s">
        <v>2765</v>
      </c>
      <c r="J3515" s="10"/>
      <c r="K3515" s="50">
        <f>K3514/F3506</f>
        <v>2522.8900000000003</v>
      </c>
      <c r="M3515" s="5">
        <v>17.7</v>
      </c>
      <c r="N3515" s="5" t="s">
        <v>240</v>
      </c>
      <c r="O3515" s="5" t="s">
        <v>2766</v>
      </c>
      <c r="P3515" s="5">
        <f>AE11</f>
        <v>502</v>
      </c>
      <c r="Q3515" s="5" t="s">
        <v>227</v>
      </c>
      <c r="R3515" s="5">
        <f>P3515*M3515</f>
        <v>8885.4</v>
      </c>
    </row>
    <row r="3516" spans="6:18" ht="24" customHeight="1">
      <c r="J3516" s="10"/>
      <c r="K3516" s="442" t="s">
        <v>155</v>
      </c>
      <c r="M3516" s="5">
        <v>14.1</v>
      </c>
      <c r="N3516" s="5" t="s">
        <v>240</v>
      </c>
      <c r="O3516" s="5" t="s">
        <v>2767</v>
      </c>
      <c r="P3516" s="5">
        <f>AE12</f>
        <v>412</v>
      </c>
      <c r="Q3516" s="5" t="s">
        <v>227</v>
      </c>
      <c r="R3516" s="5">
        <f>P3516*M3516</f>
        <v>5809.2</v>
      </c>
    </row>
    <row r="3518" spans="6:18" ht="24" customHeight="1">
      <c r="O3518" s="91" t="s">
        <v>2768</v>
      </c>
      <c r="R3518" s="5">
        <f>SUM(R3514:R3517)</f>
        <v>15987</v>
      </c>
    </row>
    <row r="3519" spans="6:18" ht="24" customHeight="1">
      <c r="O3519" s="91" t="s">
        <v>2760</v>
      </c>
      <c r="R3519" s="5">
        <f>R3518/10</f>
        <v>1598.7</v>
      </c>
    </row>
    <row r="3520" spans="6:18" ht="24" customHeight="1">
      <c r="F3520" s="443"/>
      <c r="G3520" s="444"/>
      <c r="H3520" s="443" t="s">
        <v>2769</v>
      </c>
      <c r="I3520" s="443"/>
      <c r="J3520" s="445"/>
      <c r="O3520" s="91"/>
    </row>
    <row r="3521" spans="6:32" ht="24" customHeight="1">
      <c r="H3521" s="196" t="s">
        <v>2770</v>
      </c>
      <c r="I3521" s="443">
        <v>2.56</v>
      </c>
      <c r="O3521" s="50" t="s">
        <v>2771</v>
      </c>
      <c r="R3521" s="50">
        <v>20.27</v>
      </c>
    </row>
    <row r="3522" spans="6:32" ht="24" customHeight="1">
      <c r="F3522" s="443">
        <f>I3521</f>
        <v>2.56</v>
      </c>
      <c r="G3522" s="444" t="s">
        <v>140</v>
      </c>
      <c r="H3522" s="443" t="s">
        <v>2772</v>
      </c>
      <c r="I3522" s="446">
        <v>2211</v>
      </c>
      <c r="J3522" s="444" t="s">
        <v>140</v>
      </c>
      <c r="K3522" s="443">
        <f>I3522*F3522</f>
        <v>5660.16</v>
      </c>
    </row>
    <row r="3523" spans="6:32" ht="24" customHeight="1">
      <c r="F3523" s="443">
        <f>F3522</f>
        <v>2.56</v>
      </c>
      <c r="G3523" s="444" t="s">
        <v>140</v>
      </c>
      <c r="H3523" s="443" t="s">
        <v>2773</v>
      </c>
      <c r="I3523" s="446">
        <v>248</v>
      </c>
      <c r="J3523" s="444" t="s">
        <v>140</v>
      </c>
      <c r="K3523" s="443">
        <f t="shared" ref="K3523:K3531" si="311">I3523*F3523</f>
        <v>634.88</v>
      </c>
    </row>
    <row r="3524" spans="6:32" ht="24" customHeight="1">
      <c r="F3524" s="443">
        <v>4</v>
      </c>
      <c r="G3524" s="444" t="s">
        <v>1</v>
      </c>
      <c r="H3524" s="443" t="s">
        <v>2774</v>
      </c>
      <c r="I3524" s="443">
        <f>P3228</f>
        <v>50.9</v>
      </c>
      <c r="J3524" s="444" t="s">
        <v>1</v>
      </c>
      <c r="K3524" s="443">
        <f t="shared" si="311"/>
        <v>203.6</v>
      </c>
      <c r="M3524" s="443"/>
      <c r="N3524" s="444"/>
      <c r="O3524" s="447" t="s">
        <v>2775</v>
      </c>
      <c r="P3524" s="443"/>
      <c r="Q3524" s="445"/>
    </row>
    <row r="3525" spans="6:32" ht="24" customHeight="1">
      <c r="F3525" s="443">
        <v>10</v>
      </c>
      <c r="G3525" s="444" t="s">
        <v>1</v>
      </c>
      <c r="H3525" s="443" t="s">
        <v>2776</v>
      </c>
      <c r="I3525" s="443">
        <f>P3229</f>
        <v>79.099999999999994</v>
      </c>
      <c r="J3525" s="444" t="s">
        <v>1</v>
      </c>
      <c r="K3525" s="443">
        <f t="shared" si="311"/>
        <v>791</v>
      </c>
      <c r="N3525" s="6"/>
      <c r="O3525" s="448" t="s">
        <v>2777</v>
      </c>
      <c r="P3525" s="448">
        <f>1.4*2.325</f>
        <v>3.2549999999999999</v>
      </c>
      <c r="Q3525" s="8"/>
    </row>
    <row r="3526" spans="6:32" ht="24" customHeight="1">
      <c r="F3526" s="443">
        <v>3</v>
      </c>
      <c r="G3526" s="444" t="s">
        <v>1</v>
      </c>
      <c r="H3526" s="443" t="s">
        <v>2778</v>
      </c>
      <c r="I3526" s="443">
        <f>C284</f>
        <v>57.2</v>
      </c>
      <c r="J3526" s="444" t="s">
        <v>1</v>
      </c>
      <c r="K3526" s="443">
        <f t="shared" si="311"/>
        <v>171.60000000000002</v>
      </c>
      <c r="M3526" s="443">
        <f>P3525</f>
        <v>3.2549999999999999</v>
      </c>
      <c r="N3526" s="444" t="s">
        <v>140</v>
      </c>
      <c r="O3526" s="443" t="s">
        <v>2779</v>
      </c>
      <c r="P3526" s="443">
        <f>I3522</f>
        <v>2211</v>
      </c>
      <c r="Q3526" s="444" t="s">
        <v>140</v>
      </c>
      <c r="R3526" s="443">
        <f t="shared" ref="R3526:R3534" si="312">P3526*M3526</f>
        <v>7196.8049999999994</v>
      </c>
    </row>
    <row r="3527" spans="6:32" ht="24" customHeight="1">
      <c r="F3527" s="443">
        <v>1</v>
      </c>
      <c r="G3527" s="444" t="s">
        <v>1</v>
      </c>
      <c r="H3527" s="443" t="s">
        <v>2780</v>
      </c>
      <c r="I3527" s="443">
        <f>C286</f>
        <v>159.69999999999999</v>
      </c>
      <c r="J3527" s="444" t="s">
        <v>1</v>
      </c>
      <c r="K3527" s="443">
        <f t="shared" si="311"/>
        <v>159.69999999999999</v>
      </c>
      <c r="M3527" s="443">
        <f>M3526</f>
        <v>3.2549999999999999</v>
      </c>
      <c r="N3527" s="444" t="s">
        <v>140</v>
      </c>
      <c r="O3527" s="443" t="s">
        <v>2781</v>
      </c>
      <c r="P3527" s="443">
        <f t="shared" ref="P3527:P3534" si="313">I3523</f>
        <v>248</v>
      </c>
      <c r="Q3527" s="444" t="s">
        <v>140</v>
      </c>
      <c r="R3527" s="443">
        <f t="shared" si="312"/>
        <v>807.24</v>
      </c>
    </row>
    <row r="3528" spans="6:32" ht="24" customHeight="1">
      <c r="F3528" s="443">
        <v>162</v>
      </c>
      <c r="G3528" s="444" t="s">
        <v>1</v>
      </c>
      <c r="H3528" s="443" t="s">
        <v>2782</v>
      </c>
      <c r="I3528" s="443">
        <f>P3448</f>
        <v>2.37</v>
      </c>
      <c r="J3528" s="444" t="s">
        <v>1</v>
      </c>
      <c r="K3528" s="443">
        <f t="shared" si="311"/>
        <v>383.94</v>
      </c>
      <c r="M3528" s="443">
        <v>4</v>
      </c>
      <c r="N3528" s="444" t="s">
        <v>1</v>
      </c>
      <c r="O3528" s="443" t="s">
        <v>2783</v>
      </c>
      <c r="P3528" s="443">
        <f t="shared" si="313"/>
        <v>50.9</v>
      </c>
      <c r="Q3528" s="444" t="s">
        <v>1</v>
      </c>
      <c r="R3528" s="443">
        <f t="shared" si="312"/>
        <v>203.6</v>
      </c>
    </row>
    <row r="3529" spans="6:32" ht="24" customHeight="1">
      <c r="F3529" s="443">
        <v>2</v>
      </c>
      <c r="G3529" s="444" t="s">
        <v>1</v>
      </c>
      <c r="H3529" s="443" t="s">
        <v>2784</v>
      </c>
      <c r="I3529" s="443">
        <f>P3197</f>
        <v>22.7</v>
      </c>
      <c r="J3529" s="444" t="s">
        <v>1</v>
      </c>
      <c r="K3529" s="443">
        <f t="shared" si="311"/>
        <v>45.4</v>
      </c>
      <c r="M3529" s="443">
        <v>10</v>
      </c>
      <c r="N3529" s="444" t="s">
        <v>1</v>
      </c>
      <c r="O3529" s="443" t="s">
        <v>2785</v>
      </c>
      <c r="P3529" s="443">
        <f t="shared" si="313"/>
        <v>79.099999999999994</v>
      </c>
      <c r="Q3529" s="444" t="s">
        <v>1</v>
      </c>
      <c r="R3529" s="443">
        <f t="shared" si="312"/>
        <v>791</v>
      </c>
    </row>
    <row r="3530" spans="6:32" ht="24" customHeight="1">
      <c r="F3530" s="443">
        <v>2</v>
      </c>
      <c r="G3530" s="444" t="s">
        <v>1</v>
      </c>
      <c r="H3530" s="443" t="s">
        <v>2786</v>
      </c>
      <c r="I3530" s="443">
        <f>P3403</f>
        <v>43.8</v>
      </c>
      <c r="J3530" s="444" t="s">
        <v>1</v>
      </c>
      <c r="K3530" s="443">
        <f t="shared" si="311"/>
        <v>87.6</v>
      </c>
      <c r="M3530" s="443">
        <v>3</v>
      </c>
      <c r="N3530" s="444" t="s">
        <v>1</v>
      </c>
      <c r="O3530" s="443" t="s">
        <v>2787</v>
      </c>
      <c r="P3530" s="443">
        <f t="shared" si="313"/>
        <v>57.2</v>
      </c>
      <c r="Q3530" s="444" t="s">
        <v>1</v>
      </c>
      <c r="R3530" s="443">
        <f t="shared" si="312"/>
        <v>171.60000000000002</v>
      </c>
    </row>
    <row r="3531" spans="6:32" ht="24" customHeight="1">
      <c r="F3531" s="449">
        <v>0.41099999999999998</v>
      </c>
      <c r="G3531" s="444" t="s">
        <v>140</v>
      </c>
      <c r="H3531" s="443" t="s">
        <v>2788</v>
      </c>
      <c r="I3531" s="443">
        <f>I1136</f>
        <v>157.19</v>
      </c>
      <c r="J3531" s="444" t="s">
        <v>140</v>
      </c>
      <c r="K3531" s="443">
        <f t="shared" si="311"/>
        <v>64.60508999999999</v>
      </c>
      <c r="M3531" s="443">
        <v>1</v>
      </c>
      <c r="N3531" s="444" t="s">
        <v>1</v>
      </c>
      <c r="O3531" s="443" t="s">
        <v>2745</v>
      </c>
      <c r="P3531" s="443">
        <f t="shared" si="313"/>
        <v>159.69999999999999</v>
      </c>
      <c r="Q3531" s="444" t="s">
        <v>1</v>
      </c>
      <c r="R3531" s="443">
        <f t="shared" si="312"/>
        <v>159.69999999999999</v>
      </c>
    </row>
    <row r="3532" spans="6:32" ht="24" customHeight="1">
      <c r="F3532" s="443"/>
      <c r="G3532" s="444"/>
      <c r="H3532" s="443" t="s">
        <v>2789</v>
      </c>
      <c r="I3532" s="443"/>
      <c r="J3532" s="445"/>
      <c r="K3532" s="443">
        <f>SUM(K3522:K3531)</f>
        <v>8202.4850900000001</v>
      </c>
      <c r="M3532" s="443">
        <v>162</v>
      </c>
      <c r="N3532" s="444" t="s">
        <v>1</v>
      </c>
      <c r="O3532" s="443" t="s">
        <v>2782</v>
      </c>
      <c r="P3532" s="443">
        <f t="shared" si="313"/>
        <v>2.37</v>
      </c>
      <c r="Q3532" s="444" t="s">
        <v>1</v>
      </c>
      <c r="R3532" s="443">
        <f t="shared" si="312"/>
        <v>383.94</v>
      </c>
    </row>
    <row r="3533" spans="6:32" ht="24" customHeight="1">
      <c r="F3533" s="443"/>
      <c r="G3533" s="444"/>
      <c r="H3533" s="443" t="s">
        <v>169</v>
      </c>
      <c r="I3533" s="443"/>
      <c r="J3533" s="445"/>
      <c r="K3533" s="443">
        <f>K3532/F3523</f>
        <v>3204.0957382812499</v>
      </c>
      <c r="M3533" s="443">
        <v>2</v>
      </c>
      <c r="N3533" s="444" t="s">
        <v>1</v>
      </c>
      <c r="O3533" s="443" t="s">
        <v>2790</v>
      </c>
      <c r="P3533" s="443">
        <f t="shared" si="313"/>
        <v>22.7</v>
      </c>
      <c r="Q3533" s="444" t="s">
        <v>1</v>
      </c>
      <c r="R3533" s="443">
        <f t="shared" si="312"/>
        <v>45.4</v>
      </c>
    </row>
    <row r="3534" spans="6:32" ht="24" customHeight="1">
      <c r="H3534" s="443"/>
      <c r="K3534" s="443"/>
      <c r="M3534" s="443">
        <v>2</v>
      </c>
      <c r="N3534" s="444" t="s">
        <v>1</v>
      </c>
      <c r="O3534" s="443" t="s">
        <v>2786</v>
      </c>
      <c r="P3534" s="443">
        <f t="shared" si="313"/>
        <v>43.8</v>
      </c>
      <c r="Q3534" s="444" t="s">
        <v>1</v>
      </c>
      <c r="R3534" s="443">
        <f t="shared" si="312"/>
        <v>87.6</v>
      </c>
    </row>
    <row r="3535" spans="6:32" ht="24" customHeight="1">
      <c r="M3535" s="449">
        <v>0</v>
      </c>
      <c r="N3535" s="444" t="s">
        <v>140</v>
      </c>
      <c r="O3535" s="443" t="s">
        <v>2788</v>
      </c>
      <c r="P3535" s="443">
        <f>I3531</f>
        <v>157.19</v>
      </c>
      <c r="Q3535" s="444" t="s">
        <v>140</v>
      </c>
      <c r="R3535" s="443">
        <f>P3535*M3535</f>
        <v>0</v>
      </c>
    </row>
    <row r="3536" spans="6:32" ht="24" customHeight="1">
      <c r="F3536" s="443"/>
      <c r="G3536" s="444"/>
      <c r="H3536" s="443" t="s">
        <v>2791</v>
      </c>
      <c r="I3536" s="443"/>
      <c r="J3536" s="445"/>
      <c r="M3536" s="443"/>
      <c r="N3536" s="444"/>
      <c r="O3536" s="443" t="s">
        <v>2792</v>
      </c>
      <c r="P3536" s="443"/>
      <c r="Q3536" s="445"/>
      <c r="R3536" s="443">
        <f>SUM(R3526:R3535)</f>
        <v>9846.8850000000002</v>
      </c>
      <c r="S3536" s="443"/>
      <c r="T3536" s="444"/>
      <c r="U3536" s="443" t="s">
        <v>2793</v>
      </c>
      <c r="V3536" s="443"/>
      <c r="W3536" s="445"/>
      <c r="AB3536" s="443"/>
      <c r="AC3536" s="444"/>
      <c r="AD3536" s="443" t="s">
        <v>2794</v>
      </c>
      <c r="AE3536" s="443"/>
      <c r="AF3536" s="445"/>
    </row>
    <row r="3537" spans="6:33" ht="24" customHeight="1">
      <c r="H3537" s="443" t="s">
        <v>2795</v>
      </c>
      <c r="I3537" s="5">
        <f>0.9*2.025</f>
        <v>1.8225</v>
      </c>
      <c r="M3537" s="443"/>
      <c r="N3537" s="444"/>
      <c r="O3537" s="443" t="s">
        <v>169</v>
      </c>
      <c r="P3537" s="443"/>
      <c r="Q3537" s="445"/>
      <c r="R3537" s="443">
        <f>R3536/M3527</f>
        <v>3025.1566820276498</v>
      </c>
      <c r="S3537" s="5"/>
      <c r="T3537" s="6"/>
      <c r="U3537" s="443" t="s">
        <v>2796</v>
      </c>
      <c r="V3537" s="5">
        <f>0.9*2.325</f>
        <v>2.0925000000000002</v>
      </c>
      <c r="W3537" s="8"/>
      <c r="AC3537" s="6"/>
      <c r="AD3537" s="443" t="s">
        <v>2795</v>
      </c>
      <c r="AE3537" s="5">
        <f>0.8*2.025</f>
        <v>1.62</v>
      </c>
      <c r="AF3537" s="8"/>
    </row>
    <row r="3538" spans="6:33" ht="24" customHeight="1">
      <c r="F3538" s="443">
        <f>I3537</f>
        <v>1.8225</v>
      </c>
      <c r="G3538" s="444" t="s">
        <v>140</v>
      </c>
      <c r="H3538" s="443" t="s">
        <v>2797</v>
      </c>
      <c r="I3538" s="446">
        <v>2211</v>
      </c>
      <c r="J3538" s="444" t="s">
        <v>140</v>
      </c>
      <c r="K3538" s="443">
        <f>I3538*F3538</f>
        <v>4029.5475000000001</v>
      </c>
      <c r="Q3538" s="444"/>
      <c r="R3538" s="447"/>
      <c r="S3538" s="443">
        <f>V3537</f>
        <v>2.0925000000000002</v>
      </c>
      <c r="T3538" s="444" t="s">
        <v>140</v>
      </c>
      <c r="U3538" s="443" t="s">
        <v>2797</v>
      </c>
      <c r="V3538" s="443">
        <f>I3538</f>
        <v>2211</v>
      </c>
      <c r="W3538" s="444" t="s">
        <v>140</v>
      </c>
      <c r="X3538" s="443">
        <f>V3538*S3538</f>
        <v>4626.5175000000008</v>
      </c>
      <c r="AB3538" s="443">
        <f>AE3537</f>
        <v>1.62</v>
      </c>
      <c r="AC3538" s="444" t="s">
        <v>140</v>
      </c>
      <c r="AD3538" s="443" t="s">
        <v>2798</v>
      </c>
      <c r="AE3538" s="446">
        <f>I3522</f>
        <v>2211</v>
      </c>
      <c r="AF3538" s="444" t="s">
        <v>140</v>
      </c>
      <c r="AG3538" s="443">
        <f>AE3538*AB3538</f>
        <v>3581.82</v>
      </c>
    </row>
    <row r="3539" spans="6:33" ht="24" customHeight="1">
      <c r="F3539" s="443">
        <f>I3537</f>
        <v>1.8225</v>
      </c>
      <c r="G3539" s="444" t="s">
        <v>140</v>
      </c>
      <c r="H3539" s="443" t="s">
        <v>2799</v>
      </c>
      <c r="I3539" s="446">
        <v>161</v>
      </c>
      <c r="J3539" s="444" t="s">
        <v>140</v>
      </c>
      <c r="K3539" s="443">
        <f t="shared" ref="K3539:K3546" si="314">I3539*F3539</f>
        <v>293.42250000000001</v>
      </c>
      <c r="S3539" s="443">
        <f>V3537</f>
        <v>2.0925000000000002</v>
      </c>
      <c r="T3539" s="444" t="s">
        <v>140</v>
      </c>
      <c r="U3539" s="443" t="s">
        <v>2800</v>
      </c>
      <c r="V3539" s="443">
        <f t="shared" ref="V3539:V3547" si="315">I3539</f>
        <v>161</v>
      </c>
      <c r="W3539" s="444" t="s">
        <v>140</v>
      </c>
      <c r="X3539" s="443">
        <f t="shared" ref="X3539:X3546" si="316">V3539*S3539</f>
        <v>336.89250000000004</v>
      </c>
      <c r="AB3539" s="443">
        <f>AE3537</f>
        <v>1.62</v>
      </c>
      <c r="AC3539" s="444" t="s">
        <v>140</v>
      </c>
      <c r="AD3539" s="443" t="s">
        <v>2801</v>
      </c>
      <c r="AE3539" s="446">
        <f>I3539</f>
        <v>161</v>
      </c>
      <c r="AF3539" s="444" t="s">
        <v>140</v>
      </c>
      <c r="AG3539" s="443">
        <f t="shared" ref="AG3539:AG3546" si="317">AE3539*AB3539</f>
        <v>260.82</v>
      </c>
    </row>
    <row r="3540" spans="6:33" ht="24" customHeight="1">
      <c r="F3540" s="443">
        <v>2</v>
      </c>
      <c r="G3540" s="444" t="s">
        <v>1</v>
      </c>
      <c r="H3540" s="443" t="s">
        <v>2783</v>
      </c>
      <c r="I3540" s="443">
        <f t="shared" ref="I3540:I3546" si="318">I3524</f>
        <v>50.9</v>
      </c>
      <c r="J3540" s="444" t="s">
        <v>1</v>
      </c>
      <c r="K3540" s="443">
        <f t="shared" si="314"/>
        <v>101.8</v>
      </c>
      <c r="M3540" s="443"/>
      <c r="N3540" s="444"/>
      <c r="O3540" s="443" t="s">
        <v>2802</v>
      </c>
      <c r="P3540" s="443"/>
      <c r="Q3540" s="445"/>
      <c r="S3540" s="443">
        <v>2</v>
      </c>
      <c r="T3540" s="444" t="s">
        <v>1</v>
      </c>
      <c r="U3540" s="443" t="s">
        <v>2783</v>
      </c>
      <c r="V3540" s="443">
        <f t="shared" si="315"/>
        <v>50.9</v>
      </c>
      <c r="W3540" s="444" t="s">
        <v>1</v>
      </c>
      <c r="X3540" s="443">
        <f t="shared" si="316"/>
        <v>101.8</v>
      </c>
      <c r="AB3540" s="443">
        <v>2</v>
      </c>
      <c r="AC3540" s="444" t="s">
        <v>1</v>
      </c>
      <c r="AD3540" s="443" t="s">
        <v>2783</v>
      </c>
      <c r="AE3540" s="446">
        <f t="shared" ref="AE3540:AE3547" si="319">I3540</f>
        <v>50.9</v>
      </c>
      <c r="AF3540" s="444" t="s">
        <v>1</v>
      </c>
      <c r="AG3540" s="443">
        <f t="shared" si="317"/>
        <v>101.8</v>
      </c>
    </row>
    <row r="3541" spans="6:33" ht="24" customHeight="1">
      <c r="F3541" s="443">
        <v>5</v>
      </c>
      <c r="G3541" s="444" t="s">
        <v>1</v>
      </c>
      <c r="H3541" s="443" t="s">
        <v>2785</v>
      </c>
      <c r="I3541" s="443">
        <f t="shared" si="318"/>
        <v>79.099999999999994</v>
      </c>
      <c r="J3541" s="444" t="s">
        <v>1</v>
      </c>
      <c r="K3541" s="443">
        <f t="shared" si="314"/>
        <v>395.5</v>
      </c>
      <c r="N3541" s="6"/>
      <c r="O3541" s="448" t="s">
        <v>2803</v>
      </c>
      <c r="P3541" s="448">
        <f>1.1*2.325</f>
        <v>2.5575000000000006</v>
      </c>
      <c r="Q3541" s="8"/>
      <c r="S3541" s="443">
        <v>6</v>
      </c>
      <c r="T3541" s="444" t="s">
        <v>1</v>
      </c>
      <c r="U3541" s="443" t="s">
        <v>2785</v>
      </c>
      <c r="V3541" s="443">
        <f t="shared" si="315"/>
        <v>79.099999999999994</v>
      </c>
      <c r="W3541" s="444" t="s">
        <v>1</v>
      </c>
      <c r="X3541" s="443">
        <f t="shared" si="316"/>
        <v>474.59999999999997</v>
      </c>
      <c r="AB3541" s="443">
        <v>5</v>
      </c>
      <c r="AC3541" s="444" t="s">
        <v>1</v>
      </c>
      <c r="AD3541" s="443" t="s">
        <v>2785</v>
      </c>
      <c r="AE3541" s="446">
        <f t="shared" si="319"/>
        <v>79.099999999999994</v>
      </c>
      <c r="AF3541" s="444" t="s">
        <v>1</v>
      </c>
      <c r="AG3541" s="443">
        <f t="shared" si="317"/>
        <v>395.5</v>
      </c>
    </row>
    <row r="3542" spans="6:33" ht="24" customHeight="1">
      <c r="F3542" s="443">
        <v>2</v>
      </c>
      <c r="G3542" s="444" t="s">
        <v>1</v>
      </c>
      <c r="H3542" s="443" t="s">
        <v>2787</v>
      </c>
      <c r="I3542" s="443">
        <f t="shared" si="318"/>
        <v>57.2</v>
      </c>
      <c r="J3542" s="444" t="s">
        <v>1</v>
      </c>
      <c r="K3542" s="443">
        <f t="shared" si="314"/>
        <v>114.4</v>
      </c>
      <c r="M3542" s="443">
        <f>P3541</f>
        <v>2.5575000000000006</v>
      </c>
      <c r="N3542" s="444" t="s">
        <v>140</v>
      </c>
      <c r="O3542" s="443" t="s">
        <v>2797</v>
      </c>
      <c r="P3542" s="443">
        <f>I3538</f>
        <v>2211</v>
      </c>
      <c r="Q3542" s="444" t="s">
        <v>140</v>
      </c>
      <c r="R3542" s="443">
        <f>P3542*M3542</f>
        <v>5654.6325000000015</v>
      </c>
      <c r="S3542" s="443">
        <v>2</v>
      </c>
      <c r="T3542" s="444" t="s">
        <v>1</v>
      </c>
      <c r="U3542" s="443" t="s">
        <v>2787</v>
      </c>
      <c r="V3542" s="443">
        <f t="shared" si="315"/>
        <v>57.2</v>
      </c>
      <c r="W3542" s="444" t="s">
        <v>1</v>
      </c>
      <c r="X3542" s="443">
        <f t="shared" si="316"/>
        <v>114.4</v>
      </c>
      <c r="AB3542" s="443">
        <v>2</v>
      </c>
      <c r="AC3542" s="444" t="s">
        <v>1</v>
      </c>
      <c r="AD3542" s="443" t="s">
        <v>2787</v>
      </c>
      <c r="AE3542" s="446">
        <f t="shared" si="319"/>
        <v>57.2</v>
      </c>
      <c r="AF3542" s="444" t="s">
        <v>1</v>
      </c>
      <c r="AG3542" s="443">
        <f t="shared" si="317"/>
        <v>114.4</v>
      </c>
    </row>
    <row r="3543" spans="6:33" ht="24" customHeight="1">
      <c r="F3543" s="443">
        <v>1</v>
      </c>
      <c r="G3543" s="444" t="s">
        <v>1</v>
      </c>
      <c r="H3543" s="443" t="s">
        <v>2745</v>
      </c>
      <c r="I3543" s="443">
        <f t="shared" si="318"/>
        <v>159.69999999999999</v>
      </c>
      <c r="J3543" s="444" t="s">
        <v>1</v>
      </c>
      <c r="K3543" s="443">
        <f t="shared" si="314"/>
        <v>159.69999999999999</v>
      </c>
      <c r="M3543" s="443">
        <f>P3541</f>
        <v>2.5575000000000006</v>
      </c>
      <c r="N3543" s="444" t="s">
        <v>140</v>
      </c>
      <c r="O3543" s="443" t="s">
        <v>2804</v>
      </c>
      <c r="P3543" s="443">
        <v>122</v>
      </c>
      <c r="Q3543" s="444" t="s">
        <v>140</v>
      </c>
      <c r="R3543" s="443">
        <f t="shared" ref="R3543:R3551" si="320">P3543*M3543</f>
        <v>312.01500000000004</v>
      </c>
      <c r="S3543" s="443">
        <v>1</v>
      </c>
      <c r="T3543" s="444" t="s">
        <v>1</v>
      </c>
      <c r="U3543" s="443" t="s">
        <v>2745</v>
      </c>
      <c r="V3543" s="443">
        <f t="shared" si="315"/>
        <v>159.69999999999999</v>
      </c>
      <c r="W3543" s="444" t="s">
        <v>1</v>
      </c>
      <c r="X3543" s="443">
        <f t="shared" si="316"/>
        <v>159.69999999999999</v>
      </c>
      <c r="AB3543" s="443">
        <v>1</v>
      </c>
      <c r="AC3543" s="444" t="s">
        <v>1</v>
      </c>
      <c r="AD3543" s="443" t="s">
        <v>2745</v>
      </c>
      <c r="AE3543" s="446">
        <f t="shared" si="319"/>
        <v>159.69999999999999</v>
      </c>
      <c r="AF3543" s="444" t="s">
        <v>1</v>
      </c>
      <c r="AG3543" s="443">
        <f t="shared" si="317"/>
        <v>159.69999999999999</v>
      </c>
    </row>
    <row r="3544" spans="6:33" ht="24" customHeight="1">
      <c r="F3544" s="443">
        <v>92</v>
      </c>
      <c r="G3544" s="444" t="s">
        <v>1</v>
      </c>
      <c r="H3544" s="443" t="s">
        <v>2782</v>
      </c>
      <c r="I3544" s="443">
        <f t="shared" si="318"/>
        <v>2.37</v>
      </c>
      <c r="J3544" s="444" t="s">
        <v>1</v>
      </c>
      <c r="K3544" s="443">
        <f t="shared" si="314"/>
        <v>218.04000000000002</v>
      </c>
      <c r="M3544" s="443">
        <v>2</v>
      </c>
      <c r="N3544" s="444" t="s">
        <v>1</v>
      </c>
      <c r="O3544" s="443" t="s">
        <v>2783</v>
      </c>
      <c r="P3544" s="443">
        <f t="shared" ref="P3544:P3550" si="321">P3528</f>
        <v>50.9</v>
      </c>
      <c r="Q3544" s="444" t="s">
        <v>1</v>
      </c>
      <c r="R3544" s="443">
        <f t="shared" si="320"/>
        <v>101.8</v>
      </c>
      <c r="S3544" s="443">
        <v>92</v>
      </c>
      <c r="T3544" s="444" t="s">
        <v>1</v>
      </c>
      <c r="U3544" s="443" t="s">
        <v>2782</v>
      </c>
      <c r="V3544" s="443">
        <f t="shared" si="315"/>
        <v>2.37</v>
      </c>
      <c r="W3544" s="444" t="s">
        <v>1</v>
      </c>
      <c r="X3544" s="443">
        <f t="shared" si="316"/>
        <v>218.04000000000002</v>
      </c>
      <c r="AB3544" s="443">
        <v>92</v>
      </c>
      <c r="AC3544" s="444" t="s">
        <v>1</v>
      </c>
      <c r="AD3544" s="443" t="s">
        <v>2782</v>
      </c>
      <c r="AE3544" s="446">
        <f t="shared" si="319"/>
        <v>2.37</v>
      </c>
      <c r="AF3544" s="444" t="s">
        <v>1</v>
      </c>
      <c r="AG3544" s="443">
        <f t="shared" si="317"/>
        <v>218.04000000000002</v>
      </c>
    </row>
    <row r="3545" spans="6:33" ht="24" customHeight="1">
      <c r="F3545" s="443">
        <v>1</v>
      </c>
      <c r="G3545" s="444" t="s">
        <v>1</v>
      </c>
      <c r="H3545" s="443" t="s">
        <v>2790</v>
      </c>
      <c r="I3545" s="443">
        <f t="shared" si="318"/>
        <v>22.7</v>
      </c>
      <c r="J3545" s="444" t="s">
        <v>1</v>
      </c>
      <c r="K3545" s="443">
        <f t="shared" si="314"/>
        <v>22.7</v>
      </c>
      <c r="M3545" s="443">
        <v>5</v>
      </c>
      <c r="N3545" s="444" t="s">
        <v>1</v>
      </c>
      <c r="O3545" s="443" t="s">
        <v>2785</v>
      </c>
      <c r="P3545" s="443">
        <f t="shared" si="321"/>
        <v>79.099999999999994</v>
      </c>
      <c r="Q3545" s="444" t="s">
        <v>1</v>
      </c>
      <c r="R3545" s="443">
        <f t="shared" si="320"/>
        <v>395.5</v>
      </c>
      <c r="S3545" s="443">
        <v>1</v>
      </c>
      <c r="T3545" s="444" t="s">
        <v>1</v>
      </c>
      <c r="U3545" s="443" t="s">
        <v>2790</v>
      </c>
      <c r="V3545" s="443">
        <f t="shared" si="315"/>
        <v>22.7</v>
      </c>
      <c r="W3545" s="444" t="s">
        <v>1</v>
      </c>
      <c r="X3545" s="443">
        <f t="shared" si="316"/>
        <v>22.7</v>
      </c>
      <c r="AB3545" s="443">
        <v>1</v>
      </c>
      <c r="AC3545" s="444" t="s">
        <v>1</v>
      </c>
      <c r="AD3545" s="443" t="s">
        <v>2790</v>
      </c>
      <c r="AE3545" s="446">
        <f t="shared" si="319"/>
        <v>22.7</v>
      </c>
      <c r="AF3545" s="444" t="s">
        <v>1</v>
      </c>
      <c r="AG3545" s="443">
        <f t="shared" si="317"/>
        <v>22.7</v>
      </c>
    </row>
    <row r="3546" spans="6:33" ht="24" customHeight="1">
      <c r="F3546" s="443">
        <v>1</v>
      </c>
      <c r="G3546" s="444" t="s">
        <v>1</v>
      </c>
      <c r="H3546" s="443" t="s">
        <v>2786</v>
      </c>
      <c r="I3546" s="443">
        <f t="shared" si="318"/>
        <v>43.8</v>
      </c>
      <c r="J3546" s="444" t="s">
        <v>1</v>
      </c>
      <c r="K3546" s="443">
        <f t="shared" si="314"/>
        <v>43.8</v>
      </c>
      <c r="M3546" s="443">
        <v>2</v>
      </c>
      <c r="N3546" s="444" t="s">
        <v>1</v>
      </c>
      <c r="O3546" s="443" t="s">
        <v>2787</v>
      </c>
      <c r="P3546" s="443">
        <f t="shared" si="321"/>
        <v>57.2</v>
      </c>
      <c r="Q3546" s="444" t="s">
        <v>1</v>
      </c>
      <c r="R3546" s="443">
        <f t="shared" si="320"/>
        <v>114.4</v>
      </c>
      <c r="S3546" s="443">
        <v>1</v>
      </c>
      <c r="T3546" s="444" t="s">
        <v>1</v>
      </c>
      <c r="U3546" s="443" t="s">
        <v>2786</v>
      </c>
      <c r="V3546" s="443">
        <f t="shared" si="315"/>
        <v>43.8</v>
      </c>
      <c r="W3546" s="444" t="s">
        <v>1</v>
      </c>
      <c r="X3546" s="443">
        <f t="shared" si="316"/>
        <v>43.8</v>
      </c>
      <c r="AB3546" s="443">
        <v>1</v>
      </c>
      <c r="AC3546" s="444" t="s">
        <v>1</v>
      </c>
      <c r="AD3546" s="443" t="s">
        <v>2786</v>
      </c>
      <c r="AE3546" s="446">
        <f t="shared" si="319"/>
        <v>43.8</v>
      </c>
      <c r="AF3546" s="444" t="s">
        <v>1</v>
      </c>
      <c r="AG3546" s="443">
        <f t="shared" si="317"/>
        <v>43.8</v>
      </c>
    </row>
    <row r="3547" spans="6:33" ht="24" customHeight="1">
      <c r="F3547" s="450">
        <v>0.35</v>
      </c>
      <c r="G3547" s="451" t="s">
        <v>140</v>
      </c>
      <c r="H3547" s="446" t="s">
        <v>2805</v>
      </c>
      <c r="I3547" s="446">
        <f>K1540</f>
        <v>197.58330000000001</v>
      </c>
      <c r="J3547" s="451" t="s">
        <v>140</v>
      </c>
      <c r="K3547" s="446"/>
      <c r="M3547" s="443">
        <v>1</v>
      </c>
      <c r="N3547" s="444" t="s">
        <v>1</v>
      </c>
      <c r="O3547" s="443" t="s">
        <v>2745</v>
      </c>
      <c r="P3547" s="443">
        <f t="shared" si="321"/>
        <v>159.69999999999999</v>
      </c>
      <c r="Q3547" s="444" t="s">
        <v>1</v>
      </c>
      <c r="R3547" s="443">
        <f t="shared" si="320"/>
        <v>159.69999999999999</v>
      </c>
      <c r="S3547" s="450">
        <v>0.39</v>
      </c>
      <c r="T3547" s="451" t="s">
        <v>140</v>
      </c>
      <c r="U3547" s="446" t="s">
        <v>2805</v>
      </c>
      <c r="V3547" s="443">
        <f t="shared" si="315"/>
        <v>197.58330000000001</v>
      </c>
      <c r="W3547" s="451" t="s">
        <v>140</v>
      </c>
      <c r="X3547" s="446"/>
      <c r="AB3547" s="450">
        <v>0.35</v>
      </c>
      <c r="AC3547" s="451" t="s">
        <v>140</v>
      </c>
      <c r="AD3547" s="446" t="s">
        <v>2805</v>
      </c>
      <c r="AE3547" s="446">
        <f t="shared" si="319"/>
        <v>197.58330000000001</v>
      </c>
      <c r="AF3547" s="451" t="s">
        <v>140</v>
      </c>
      <c r="AG3547" s="443"/>
    </row>
    <row r="3548" spans="6:33" ht="24" customHeight="1">
      <c r="F3548" s="443"/>
      <c r="G3548" s="444"/>
      <c r="H3548" s="443" t="s">
        <v>2806</v>
      </c>
      <c r="I3548" s="443"/>
      <c r="J3548" s="445"/>
      <c r="K3548" s="443">
        <f>SUM(K3538:K3547)</f>
        <v>5378.91</v>
      </c>
      <c r="M3548" s="443">
        <v>92</v>
      </c>
      <c r="N3548" s="444" t="s">
        <v>1</v>
      </c>
      <c r="O3548" s="443" t="s">
        <v>2782</v>
      </c>
      <c r="P3548" s="443">
        <f t="shared" si="321"/>
        <v>2.37</v>
      </c>
      <c r="Q3548" s="444" t="s">
        <v>1</v>
      </c>
      <c r="R3548" s="443">
        <f t="shared" si="320"/>
        <v>218.04000000000002</v>
      </c>
      <c r="S3548" s="443"/>
      <c r="T3548" s="444"/>
      <c r="U3548" s="443" t="s">
        <v>2807</v>
      </c>
      <c r="V3548" s="443"/>
      <c r="W3548" s="445"/>
      <c r="X3548" s="443">
        <f>SUM(X3538:X3547)</f>
        <v>6098.4500000000007</v>
      </c>
      <c r="AB3548" s="443"/>
      <c r="AC3548" s="444"/>
      <c r="AD3548" s="443" t="s">
        <v>2808</v>
      </c>
      <c r="AE3548" s="443"/>
      <c r="AF3548" s="445"/>
      <c r="AG3548" s="443">
        <f>SUM(AG3538:AG3547)</f>
        <v>4898.58</v>
      </c>
    </row>
    <row r="3549" spans="6:33" ht="24" customHeight="1">
      <c r="F3549" s="443"/>
      <c r="G3549" s="444"/>
      <c r="H3549" s="443" t="s">
        <v>169</v>
      </c>
      <c r="I3549" s="443"/>
      <c r="J3549" s="445"/>
      <c r="K3549" s="443">
        <f>K3548/F3539</f>
        <v>2951.3909465020574</v>
      </c>
      <c r="M3549" s="443">
        <v>1</v>
      </c>
      <c r="N3549" s="444" t="s">
        <v>1</v>
      </c>
      <c r="O3549" s="443" t="s">
        <v>2790</v>
      </c>
      <c r="P3549" s="443">
        <f t="shared" si="321"/>
        <v>22.7</v>
      </c>
      <c r="Q3549" s="444" t="s">
        <v>1</v>
      </c>
      <c r="R3549" s="443">
        <f t="shared" si="320"/>
        <v>22.7</v>
      </c>
      <c r="S3549" s="443"/>
      <c r="T3549" s="444"/>
      <c r="U3549" s="443" t="s">
        <v>169</v>
      </c>
      <c r="V3549" s="443"/>
      <c r="W3549" s="445"/>
      <c r="X3549" s="443">
        <f>X3548/S3539</f>
        <v>2914.432497013142</v>
      </c>
      <c r="AB3549" s="443"/>
      <c r="AC3549" s="444"/>
      <c r="AD3549" s="443" t="s">
        <v>169</v>
      </c>
      <c r="AE3549" s="443"/>
      <c r="AF3549" s="445"/>
      <c r="AG3549" s="443">
        <f>AG3548/AB3539</f>
        <v>3023.8148148148148</v>
      </c>
    </row>
    <row r="3550" spans="6:33" ht="24" customHeight="1">
      <c r="M3550" s="443">
        <v>1</v>
      </c>
      <c r="N3550" s="444" t="s">
        <v>1</v>
      </c>
      <c r="O3550" s="443" t="s">
        <v>2786</v>
      </c>
      <c r="P3550" s="443">
        <f t="shared" si="321"/>
        <v>43.8</v>
      </c>
      <c r="Q3550" s="444" t="s">
        <v>1</v>
      </c>
      <c r="R3550" s="443">
        <f t="shared" si="320"/>
        <v>43.8</v>
      </c>
      <c r="AC3550" s="6"/>
      <c r="AF3550" s="8"/>
    </row>
    <row r="3551" spans="6:33" ht="24" customHeight="1">
      <c r="M3551" s="449"/>
      <c r="N3551" s="444" t="s">
        <v>140</v>
      </c>
      <c r="O3551" s="443" t="s">
        <v>2788</v>
      </c>
      <c r="P3551" s="443">
        <f>P3535</f>
        <v>157.19</v>
      </c>
      <c r="Q3551" s="444" t="s">
        <v>140</v>
      </c>
      <c r="R3551" s="443">
        <f t="shared" si="320"/>
        <v>0</v>
      </c>
    </row>
    <row r="3552" spans="6:33" ht="24" customHeight="1">
      <c r="F3552" s="51"/>
      <c r="G3552" s="15" t="s">
        <v>122</v>
      </c>
      <c r="H3552" s="3" t="s">
        <v>2022</v>
      </c>
      <c r="M3552" s="443"/>
      <c r="N3552" s="444"/>
      <c r="O3552" s="443" t="s">
        <v>2809</v>
      </c>
      <c r="P3552" s="443"/>
      <c r="Q3552" s="445"/>
      <c r="R3552" s="443">
        <f>SUM(R3542:R3551)</f>
        <v>7022.5875000000015</v>
      </c>
      <c r="S3552" s="443"/>
      <c r="T3552" s="444"/>
      <c r="U3552" s="443" t="s">
        <v>2810</v>
      </c>
      <c r="V3552" s="443"/>
      <c r="W3552" s="445"/>
    </row>
    <row r="3553" spans="6:24" ht="24" customHeight="1">
      <c r="H3553" s="7" t="s">
        <v>2811</v>
      </c>
      <c r="M3553" s="443"/>
      <c r="N3553" s="444"/>
      <c r="O3553" s="443" t="s">
        <v>169</v>
      </c>
      <c r="P3553" s="443"/>
      <c r="Q3553" s="445"/>
      <c r="R3553" s="443">
        <f>R3552/M3543</f>
        <v>2745.8797653958945</v>
      </c>
      <c r="S3553" s="5"/>
      <c r="T3553" s="6"/>
      <c r="U3553" s="443" t="s">
        <v>2812</v>
      </c>
      <c r="V3553" s="5">
        <f>1.4*2.025</f>
        <v>2.8349999999999995</v>
      </c>
      <c r="W3553" s="8"/>
    </row>
    <row r="3554" spans="6:24" ht="24" customHeight="1">
      <c r="H3554" s="3" t="s">
        <v>2024</v>
      </c>
      <c r="N3554" s="6"/>
      <c r="Q3554" s="8"/>
      <c r="S3554" s="443">
        <f>V3553</f>
        <v>2.8349999999999995</v>
      </c>
      <c r="T3554" s="444" t="s">
        <v>140</v>
      </c>
      <c r="U3554" s="443" t="s">
        <v>2797</v>
      </c>
      <c r="V3554" s="443">
        <f>P3526</f>
        <v>2211</v>
      </c>
      <c r="W3554" s="444" t="s">
        <v>140</v>
      </c>
      <c r="X3554" s="443">
        <f>V3554*S3554</f>
        <v>6268.1849999999986</v>
      </c>
    </row>
    <row r="3555" spans="6:24" ht="24" customHeight="1">
      <c r="H3555" s="3" t="s">
        <v>2025</v>
      </c>
      <c r="S3555" s="443">
        <f>V3553</f>
        <v>2.8349999999999995</v>
      </c>
      <c r="T3555" s="444" t="s">
        <v>140</v>
      </c>
      <c r="U3555" s="443" t="s">
        <v>2800</v>
      </c>
      <c r="V3555" s="443">
        <f>P3527</f>
        <v>248</v>
      </c>
      <c r="W3555" s="444" t="s">
        <v>140</v>
      </c>
      <c r="X3555" s="443">
        <f t="shared" ref="X3555:X3563" si="322">V3555*S3555</f>
        <v>703.07999999999993</v>
      </c>
    </row>
    <row r="3556" spans="6:24" ht="46.5" customHeight="1">
      <c r="H3556" s="12" t="s">
        <v>117</v>
      </c>
      <c r="S3556" s="443">
        <v>4</v>
      </c>
      <c r="T3556" s="444" t="s">
        <v>1</v>
      </c>
      <c r="U3556" s="443" t="s">
        <v>2783</v>
      </c>
      <c r="V3556" s="443">
        <f t="shared" ref="V3556:V3563" si="323">V3540</f>
        <v>50.9</v>
      </c>
      <c r="W3556" s="444" t="s">
        <v>1</v>
      </c>
      <c r="X3556" s="443">
        <f t="shared" si="322"/>
        <v>203.6</v>
      </c>
    </row>
    <row r="3557" spans="6:24" ht="33.75" customHeight="1">
      <c r="F3557" s="250">
        <v>1</v>
      </c>
      <c r="G3557" s="250" t="s">
        <v>209</v>
      </c>
      <c r="H3557" s="62" t="s">
        <v>2813</v>
      </c>
      <c r="I3557" s="452">
        <v>1640</v>
      </c>
      <c r="J3557" s="252" t="s">
        <v>209</v>
      </c>
      <c r="K3557" s="250">
        <f>(F3557*I3557)</f>
        <v>1640</v>
      </c>
      <c r="S3557" s="443">
        <v>10</v>
      </c>
      <c r="T3557" s="444" t="s">
        <v>1</v>
      </c>
      <c r="U3557" s="443" t="s">
        <v>2785</v>
      </c>
      <c r="V3557" s="443">
        <f t="shared" si="323"/>
        <v>79.099999999999994</v>
      </c>
      <c r="W3557" s="444" t="s">
        <v>1</v>
      </c>
      <c r="X3557" s="443">
        <f t="shared" si="322"/>
        <v>791</v>
      </c>
    </row>
    <row r="3558" spans="6:24" ht="24" customHeight="1">
      <c r="F3558" s="17"/>
      <c r="G3558" s="15"/>
      <c r="H3558" s="37"/>
      <c r="I3558" s="17"/>
      <c r="J3558" s="3"/>
      <c r="K3558" s="17"/>
      <c r="S3558" s="443">
        <v>3</v>
      </c>
      <c r="T3558" s="444" t="s">
        <v>1</v>
      </c>
      <c r="U3558" s="443" t="s">
        <v>2787</v>
      </c>
      <c r="V3558" s="443">
        <f t="shared" si="323"/>
        <v>57.2</v>
      </c>
      <c r="W3558" s="444" t="s">
        <v>1</v>
      </c>
      <c r="X3558" s="443">
        <f t="shared" si="322"/>
        <v>171.60000000000002</v>
      </c>
    </row>
    <row r="3559" spans="6:24" ht="24" customHeight="1">
      <c r="F3559" s="17"/>
      <c r="G3559" s="15"/>
      <c r="H3559" s="37"/>
      <c r="I3559" s="17"/>
      <c r="J3559" s="4"/>
      <c r="K3559" s="17"/>
      <c r="S3559" s="443">
        <v>1</v>
      </c>
      <c r="T3559" s="444" t="s">
        <v>1</v>
      </c>
      <c r="U3559" s="443" t="s">
        <v>2745</v>
      </c>
      <c r="V3559" s="443">
        <f t="shared" si="323"/>
        <v>159.69999999999999</v>
      </c>
      <c r="W3559" s="444" t="s">
        <v>1</v>
      </c>
      <c r="X3559" s="443">
        <f t="shared" si="322"/>
        <v>159.69999999999999</v>
      </c>
    </row>
    <row r="3560" spans="6:24" ht="24" customHeight="1">
      <c r="F3560" s="253">
        <v>1</v>
      </c>
      <c r="G3560" s="253" t="s">
        <v>209</v>
      </c>
      <c r="H3560" s="37" t="s">
        <v>2814</v>
      </c>
      <c r="I3560" s="266">
        <f>I1939</f>
        <v>-166</v>
      </c>
      <c r="J3560" s="37" t="s">
        <v>209</v>
      </c>
      <c r="K3560" s="253">
        <f>(F3560*I3560)</f>
        <v>-166</v>
      </c>
      <c r="S3560" s="443">
        <v>162</v>
      </c>
      <c r="T3560" s="444" t="s">
        <v>1</v>
      </c>
      <c r="U3560" s="443" t="s">
        <v>2782</v>
      </c>
      <c r="V3560" s="443">
        <f t="shared" si="323"/>
        <v>2.37</v>
      </c>
      <c r="W3560" s="444" t="s">
        <v>1</v>
      </c>
      <c r="X3560" s="443">
        <f t="shared" si="322"/>
        <v>383.94</v>
      </c>
    </row>
    <row r="3561" spans="6:24" ht="24" customHeight="1">
      <c r="F3561" s="24"/>
      <c r="G3561" s="246"/>
      <c r="H3561" s="37"/>
      <c r="I3561" s="24"/>
      <c r="J3561" s="77"/>
      <c r="K3561" s="24"/>
      <c r="S3561" s="443">
        <v>2</v>
      </c>
      <c r="T3561" s="444" t="s">
        <v>1</v>
      </c>
      <c r="U3561" s="443" t="s">
        <v>2790</v>
      </c>
      <c r="V3561" s="443">
        <f t="shared" si="323"/>
        <v>22.7</v>
      </c>
      <c r="W3561" s="444" t="s">
        <v>1</v>
      </c>
      <c r="X3561" s="443">
        <f t="shared" si="322"/>
        <v>45.4</v>
      </c>
    </row>
    <row r="3562" spans="6:24" ht="24" customHeight="1">
      <c r="F3562" s="24">
        <v>1</v>
      </c>
      <c r="G3562" s="246" t="s">
        <v>209</v>
      </c>
      <c r="H3562" s="37" t="s">
        <v>2028</v>
      </c>
      <c r="I3562" s="453">
        <v>250</v>
      </c>
      <c r="J3562" s="37" t="s">
        <v>209</v>
      </c>
      <c r="K3562" s="454">
        <f>(F3562*I3562)</f>
        <v>250</v>
      </c>
      <c r="S3562" s="443">
        <v>2</v>
      </c>
      <c r="T3562" s="444" t="s">
        <v>1</v>
      </c>
      <c r="U3562" s="443" t="s">
        <v>2786</v>
      </c>
      <c r="V3562" s="443">
        <f t="shared" si="323"/>
        <v>43.8</v>
      </c>
      <c r="W3562" s="444" t="s">
        <v>1</v>
      </c>
      <c r="X3562" s="443">
        <f t="shared" si="322"/>
        <v>87.6</v>
      </c>
    </row>
    <row r="3563" spans="6:24" ht="24" customHeight="1">
      <c r="F3563" s="17"/>
      <c r="G3563" s="15"/>
      <c r="H3563" s="3"/>
      <c r="I3563" s="17"/>
      <c r="J3563" s="3"/>
      <c r="K3563" s="17"/>
      <c r="S3563" s="450">
        <v>0.65</v>
      </c>
      <c r="T3563" s="451" t="s">
        <v>140</v>
      </c>
      <c r="U3563" s="446" t="s">
        <v>2805</v>
      </c>
      <c r="V3563" s="443">
        <f t="shared" si="323"/>
        <v>197.58330000000001</v>
      </c>
      <c r="W3563" s="451" t="s">
        <v>140</v>
      </c>
      <c r="X3563" s="446">
        <f t="shared" si="322"/>
        <v>128.42914500000001</v>
      </c>
    </row>
    <row r="3564" spans="6:24" ht="24" customHeight="1">
      <c r="F3564" s="17">
        <v>0.5</v>
      </c>
      <c r="G3564" s="15" t="s">
        <v>209</v>
      </c>
      <c r="H3564" s="3" t="s">
        <v>210</v>
      </c>
      <c r="I3564" s="17">
        <f>I1943</f>
        <v>667</v>
      </c>
      <c r="J3564" s="3" t="s">
        <v>209</v>
      </c>
      <c r="K3564" s="17">
        <f>(F3564*I3564)</f>
        <v>333.5</v>
      </c>
      <c r="S3564" s="443"/>
      <c r="T3564" s="444"/>
      <c r="U3564" s="443" t="s">
        <v>2815</v>
      </c>
      <c r="V3564" s="443"/>
      <c r="W3564" s="445"/>
      <c r="X3564" s="443">
        <f>SUM(X3554:X3563)</f>
        <v>8942.5341449999996</v>
      </c>
    </row>
    <row r="3565" spans="6:24" ht="24" customHeight="1">
      <c r="F3565" s="17">
        <v>1</v>
      </c>
      <c r="G3565" s="15" t="s">
        <v>209</v>
      </c>
      <c r="H3565" s="3" t="s">
        <v>146</v>
      </c>
      <c r="I3565" s="17">
        <f>I1944</f>
        <v>502</v>
      </c>
      <c r="J3565" s="3" t="s">
        <v>209</v>
      </c>
      <c r="K3565" s="17">
        <f>(F3565*I3565)</f>
        <v>502</v>
      </c>
      <c r="S3565" s="443"/>
      <c r="T3565" s="444"/>
      <c r="U3565" s="443" t="s">
        <v>169</v>
      </c>
      <c r="V3565" s="443"/>
      <c r="W3565" s="445"/>
      <c r="X3565" s="443">
        <f>X3564/S3555</f>
        <v>3154.3330317460322</v>
      </c>
    </row>
    <row r="3566" spans="6:24" ht="24" customHeight="1">
      <c r="F3566" s="17">
        <v>0.5</v>
      </c>
      <c r="G3566" s="15" t="s">
        <v>209</v>
      </c>
      <c r="H3566" s="3" t="s">
        <v>144</v>
      </c>
      <c r="I3566" s="17">
        <f>I1945</f>
        <v>769</v>
      </c>
      <c r="J3566" s="3" t="s">
        <v>209</v>
      </c>
      <c r="K3566" s="17">
        <f>(F3566*I3566)</f>
        <v>384.5</v>
      </c>
    </row>
    <row r="3567" spans="6:24" ht="24" customHeight="1">
      <c r="G3567" s="15" t="s">
        <v>129</v>
      </c>
      <c r="H3567" s="3" t="s">
        <v>2029</v>
      </c>
      <c r="J3567" s="3" t="s">
        <v>129</v>
      </c>
      <c r="K3567" s="17">
        <v>0.82</v>
      </c>
    </row>
    <row r="3568" spans="6:24" ht="24" customHeight="1">
      <c r="K3568" s="12" t="s">
        <v>117</v>
      </c>
      <c r="S3568" s="443"/>
      <c r="T3568" s="444"/>
      <c r="U3568" s="443" t="s">
        <v>2816</v>
      </c>
      <c r="V3568" s="443"/>
      <c r="W3568" s="445"/>
    </row>
    <row r="3569" spans="6:24" ht="24" customHeight="1">
      <c r="H3569" s="3" t="s">
        <v>991</v>
      </c>
      <c r="K3569" s="16">
        <f>SUM(K3557:K3567)</f>
        <v>2944.82</v>
      </c>
      <c r="S3569" s="5"/>
      <c r="T3569" s="6"/>
      <c r="U3569" s="443" t="s">
        <v>2817</v>
      </c>
      <c r="V3569" s="5">
        <f>1.4*2.325</f>
        <v>3.2549999999999999</v>
      </c>
      <c r="W3569" s="8"/>
    </row>
    <row r="3570" spans="6:24" ht="24" customHeight="1">
      <c r="K3570" s="12" t="s">
        <v>117</v>
      </c>
      <c r="S3570" s="443">
        <f>V3569</f>
        <v>3.2549999999999999</v>
      </c>
      <c r="T3570" s="444" t="s">
        <v>140</v>
      </c>
      <c r="U3570" s="443" t="s">
        <v>2797</v>
      </c>
      <c r="V3570" s="443">
        <f>V3554</f>
        <v>2211</v>
      </c>
      <c r="W3570" s="444" t="s">
        <v>140</v>
      </c>
      <c r="X3570" s="443">
        <f>V3570*S3570</f>
        <v>7196.8049999999994</v>
      </c>
    </row>
    <row r="3571" spans="6:24" ht="24" customHeight="1">
      <c r="G3571" s="5"/>
      <c r="I3571" s="9"/>
      <c r="J3571" s="5"/>
      <c r="S3571" s="443">
        <f>V3569</f>
        <v>3.2549999999999999</v>
      </c>
      <c r="T3571" s="444" t="s">
        <v>140</v>
      </c>
      <c r="U3571" s="443" t="s">
        <v>2800</v>
      </c>
      <c r="V3571" s="443">
        <f t="shared" ref="V3571:V3579" si="324">V3555</f>
        <v>248</v>
      </c>
      <c r="W3571" s="444" t="s">
        <v>140</v>
      </c>
      <c r="X3571" s="443">
        <f t="shared" ref="X3571:X3579" si="325">V3571*S3571</f>
        <v>807.24</v>
      </c>
    </row>
    <row r="3572" spans="6:24" ht="35.1" customHeight="1">
      <c r="G3572" s="5"/>
      <c r="H3572" s="455" t="s">
        <v>2818</v>
      </c>
      <c r="I3572" s="9"/>
      <c r="J3572" s="5"/>
      <c r="S3572" s="443">
        <v>4</v>
      </c>
      <c r="T3572" s="444" t="s">
        <v>1</v>
      </c>
      <c r="U3572" s="443" t="s">
        <v>2783</v>
      </c>
      <c r="V3572" s="443">
        <f t="shared" si="324"/>
        <v>50.9</v>
      </c>
      <c r="W3572" s="444" t="s">
        <v>1</v>
      </c>
      <c r="X3572" s="443">
        <f t="shared" si="325"/>
        <v>203.6</v>
      </c>
    </row>
    <row r="3573" spans="6:24" ht="35.1" customHeight="1">
      <c r="F3573" s="5">
        <v>70</v>
      </c>
      <c r="G3573" s="6" t="s">
        <v>231</v>
      </c>
      <c r="H3573" s="109" t="s">
        <v>2819</v>
      </c>
      <c r="I3573" s="113">
        <f>P1353</f>
        <v>33</v>
      </c>
      <c r="J3573" s="8" t="s">
        <v>2820</v>
      </c>
      <c r="K3573" s="5">
        <f>I3573*F3573</f>
        <v>2310</v>
      </c>
      <c r="S3573" s="443">
        <v>12</v>
      </c>
      <c r="T3573" s="444" t="s">
        <v>1</v>
      </c>
      <c r="U3573" s="443" t="s">
        <v>2785</v>
      </c>
      <c r="V3573" s="443">
        <f t="shared" si="324"/>
        <v>79.099999999999994</v>
      </c>
      <c r="W3573" s="444" t="s">
        <v>1</v>
      </c>
      <c r="X3573" s="443">
        <f t="shared" si="325"/>
        <v>949.19999999999993</v>
      </c>
    </row>
    <row r="3574" spans="6:24" ht="35.1" customHeight="1">
      <c r="F3574" s="5">
        <v>0.3</v>
      </c>
      <c r="G3574" s="6" t="s">
        <v>642</v>
      </c>
      <c r="H3574" s="109" t="s">
        <v>2821</v>
      </c>
      <c r="I3574" s="113">
        <f>P1355</f>
        <v>17600</v>
      </c>
      <c r="J3574" s="8" t="s">
        <v>2822</v>
      </c>
      <c r="K3574" s="5">
        <f>I3574*F3574</f>
        <v>5280</v>
      </c>
      <c r="S3574" s="443">
        <v>3</v>
      </c>
      <c r="T3574" s="444" t="s">
        <v>1</v>
      </c>
      <c r="U3574" s="443" t="s">
        <v>2787</v>
      </c>
      <c r="V3574" s="443">
        <f t="shared" si="324"/>
        <v>57.2</v>
      </c>
      <c r="W3574" s="444" t="s">
        <v>1</v>
      </c>
      <c r="X3574" s="443">
        <f t="shared" si="325"/>
        <v>171.60000000000002</v>
      </c>
    </row>
    <row r="3575" spans="6:24" ht="35.1" customHeight="1">
      <c r="H3575" s="5" t="s">
        <v>2823</v>
      </c>
      <c r="K3575" s="5">
        <f>SUM(K3573:K3574)</f>
        <v>7590</v>
      </c>
      <c r="S3575" s="443">
        <v>1</v>
      </c>
      <c r="T3575" s="444" t="s">
        <v>1</v>
      </c>
      <c r="U3575" s="443" t="s">
        <v>2745</v>
      </c>
      <c r="V3575" s="443">
        <f t="shared" si="324"/>
        <v>159.69999999999999</v>
      </c>
      <c r="W3575" s="444" t="s">
        <v>1</v>
      </c>
      <c r="X3575" s="443">
        <f t="shared" si="325"/>
        <v>159.69999999999999</v>
      </c>
    </row>
    <row r="3576" spans="6:24" ht="35.1" customHeight="1">
      <c r="H3576" s="50" t="s">
        <v>2824</v>
      </c>
      <c r="I3576" s="50"/>
      <c r="J3576" s="59"/>
      <c r="K3576" s="50">
        <f>K3575/10</f>
        <v>759</v>
      </c>
      <c r="S3576" s="443">
        <v>162</v>
      </c>
      <c r="T3576" s="444" t="s">
        <v>1</v>
      </c>
      <c r="U3576" s="443" t="s">
        <v>2782</v>
      </c>
      <c r="V3576" s="443">
        <f t="shared" si="324"/>
        <v>2.37</v>
      </c>
      <c r="W3576" s="444" t="s">
        <v>1</v>
      </c>
      <c r="X3576" s="443">
        <f t="shared" si="325"/>
        <v>383.94</v>
      </c>
    </row>
    <row r="3577" spans="6:24" ht="35.1" customHeight="1">
      <c r="F3577" s="5">
        <v>1</v>
      </c>
      <c r="G3577" s="6" t="s">
        <v>2825</v>
      </c>
      <c r="H3577" s="5" t="s">
        <v>2826</v>
      </c>
      <c r="I3577" s="5">
        <f>K3576</f>
        <v>759</v>
      </c>
      <c r="J3577" s="8" t="s">
        <v>2825</v>
      </c>
      <c r="K3577" s="5">
        <f>I3577*F3577</f>
        <v>759</v>
      </c>
      <c r="S3577" s="443">
        <v>2</v>
      </c>
      <c r="T3577" s="444" t="s">
        <v>1</v>
      </c>
      <c r="U3577" s="443" t="s">
        <v>2790</v>
      </c>
      <c r="V3577" s="443">
        <f t="shared" si="324"/>
        <v>22.7</v>
      </c>
      <c r="W3577" s="444" t="s">
        <v>1</v>
      </c>
      <c r="X3577" s="443">
        <f t="shared" si="325"/>
        <v>45.4</v>
      </c>
    </row>
    <row r="3578" spans="6:24" ht="35.1" customHeight="1">
      <c r="F3578" s="5">
        <v>2</v>
      </c>
      <c r="G3578" s="6" t="s">
        <v>240</v>
      </c>
      <c r="H3578" s="109" t="s">
        <v>2243</v>
      </c>
      <c r="I3578" s="113">
        <f>I2349</f>
        <v>502</v>
      </c>
      <c r="J3578" s="8" t="s">
        <v>227</v>
      </c>
      <c r="K3578" s="5">
        <f>I3578*F3578</f>
        <v>1004</v>
      </c>
      <c r="S3578" s="443">
        <v>2</v>
      </c>
      <c r="T3578" s="444" t="s">
        <v>1</v>
      </c>
      <c r="U3578" s="443" t="s">
        <v>2786</v>
      </c>
      <c r="V3578" s="443">
        <f t="shared" si="324"/>
        <v>43.8</v>
      </c>
      <c r="W3578" s="444" t="s">
        <v>1</v>
      </c>
      <c r="X3578" s="443">
        <f t="shared" si="325"/>
        <v>87.6</v>
      </c>
    </row>
    <row r="3579" spans="6:24" ht="35.1" customHeight="1">
      <c r="H3579" s="5" t="s">
        <v>2827</v>
      </c>
      <c r="K3579" s="5">
        <v>10.3</v>
      </c>
      <c r="S3579" s="450">
        <v>0.73</v>
      </c>
      <c r="T3579" s="451" t="s">
        <v>140</v>
      </c>
      <c r="U3579" s="446" t="s">
        <v>2805</v>
      </c>
      <c r="V3579" s="443">
        <f t="shared" si="324"/>
        <v>197.58330000000001</v>
      </c>
      <c r="W3579" s="451" t="s">
        <v>140</v>
      </c>
      <c r="X3579" s="446">
        <f t="shared" si="325"/>
        <v>144.23580899999999</v>
      </c>
    </row>
    <row r="3580" spans="6:24" ht="35.1" customHeight="1">
      <c r="H3580" s="5" t="s">
        <v>2828</v>
      </c>
      <c r="K3580" s="5">
        <f>SUM(K3577:K3579)</f>
        <v>1773.3</v>
      </c>
      <c r="S3580" s="443"/>
      <c r="T3580" s="444"/>
      <c r="U3580" s="443" t="s">
        <v>2792</v>
      </c>
      <c r="V3580" s="443"/>
      <c r="W3580" s="445"/>
      <c r="X3580" s="443">
        <f>SUM(X3570:X3579)</f>
        <v>10149.320809000001</v>
      </c>
    </row>
    <row r="3581" spans="6:24" s="50" customFormat="1" ht="35.1" customHeight="1">
      <c r="G3581" s="75"/>
      <c r="H3581" s="50" t="s">
        <v>2829</v>
      </c>
      <c r="J3581" s="59"/>
      <c r="K3581" s="50">
        <f>K3580/6</f>
        <v>295.55</v>
      </c>
      <c r="S3581" s="443"/>
      <c r="T3581" s="444"/>
      <c r="U3581" s="443" t="s">
        <v>169</v>
      </c>
      <c r="V3581" s="443"/>
      <c r="W3581" s="445"/>
      <c r="X3581" s="443">
        <f>X3580/S3571</f>
        <v>3118.0709090629803</v>
      </c>
    </row>
    <row r="3582" spans="6:24" ht="35.1" customHeight="1">
      <c r="H3582" s="50" t="s">
        <v>2830</v>
      </c>
    </row>
    <row r="3583" spans="6:24" ht="35.1" customHeight="1">
      <c r="F3583" s="5">
        <v>49</v>
      </c>
      <c r="G3583" s="6" t="s">
        <v>2831</v>
      </c>
      <c r="H3583" s="5" t="s">
        <v>2832</v>
      </c>
      <c r="I3583" s="5">
        <f>I3573</f>
        <v>33</v>
      </c>
      <c r="J3583" s="8" t="s">
        <v>2820</v>
      </c>
      <c r="K3583" s="5">
        <f>F3583*I3583</f>
        <v>1617</v>
      </c>
      <c r="S3583" s="443"/>
      <c r="T3583" s="444"/>
      <c r="U3583" s="443" t="s">
        <v>2833</v>
      </c>
      <c r="V3583" s="443"/>
      <c r="W3583" s="445"/>
    </row>
    <row r="3584" spans="6:24" ht="35.1" customHeight="1">
      <c r="F3584" s="5">
        <v>0.3</v>
      </c>
      <c r="G3584" s="6" t="s">
        <v>642</v>
      </c>
      <c r="H3584" s="5" t="s">
        <v>2834</v>
      </c>
      <c r="I3584" s="5">
        <f>I3574</f>
        <v>17600</v>
      </c>
      <c r="J3584" s="8" t="s">
        <v>642</v>
      </c>
      <c r="K3584" s="5">
        <f>F3584*I3584</f>
        <v>5280</v>
      </c>
      <c r="S3584" s="5"/>
      <c r="T3584" s="6"/>
      <c r="U3584" s="196" t="s">
        <v>2835</v>
      </c>
      <c r="V3584" s="443">
        <f>1.7*2.325</f>
        <v>3.9525000000000001</v>
      </c>
      <c r="W3584" s="8"/>
    </row>
    <row r="3585" spans="6:24" ht="35.1" customHeight="1">
      <c r="H3585" s="50" t="s">
        <v>2836</v>
      </c>
      <c r="K3585" s="50">
        <f>SUM(K3583:K3584)</f>
        <v>6897</v>
      </c>
      <c r="S3585" s="443">
        <f>V3584</f>
        <v>3.9525000000000001</v>
      </c>
      <c r="T3585" s="444" t="s">
        <v>140</v>
      </c>
      <c r="U3585" s="443" t="s">
        <v>2797</v>
      </c>
      <c r="V3585" s="443">
        <f>V3570</f>
        <v>2211</v>
      </c>
      <c r="W3585" s="444" t="s">
        <v>140</v>
      </c>
      <c r="X3585" s="443">
        <f>V3585*S3585</f>
        <v>8738.9775000000009</v>
      </c>
    </row>
    <row r="3586" spans="6:24" ht="35.1" customHeight="1">
      <c r="H3586" s="50" t="s">
        <v>2824</v>
      </c>
      <c r="K3586" s="50">
        <f>K3585/10</f>
        <v>689.7</v>
      </c>
      <c r="S3586" s="443">
        <f>S3585</f>
        <v>3.9525000000000001</v>
      </c>
      <c r="T3586" s="444" t="s">
        <v>140</v>
      </c>
      <c r="U3586" s="443" t="s">
        <v>2800</v>
      </c>
      <c r="V3586" s="443">
        <f t="shared" ref="V3586:V3593" si="326">V3571</f>
        <v>248</v>
      </c>
      <c r="W3586" s="444" t="s">
        <v>140</v>
      </c>
      <c r="X3586" s="443">
        <f t="shared" ref="X3586:X3594" si="327">V3586*S3586</f>
        <v>980.22</v>
      </c>
    </row>
    <row r="3587" spans="6:24" ht="35.1" customHeight="1">
      <c r="F3587" s="5">
        <v>2</v>
      </c>
      <c r="G3587" s="6" t="s">
        <v>188</v>
      </c>
      <c r="H3587" s="113" t="s">
        <v>2243</v>
      </c>
      <c r="I3587" s="5">
        <f>I3578</f>
        <v>502</v>
      </c>
      <c r="J3587" s="8" t="s">
        <v>188</v>
      </c>
      <c r="K3587" s="5">
        <f>F3587*I3587</f>
        <v>1004</v>
      </c>
      <c r="S3587" s="443">
        <v>4</v>
      </c>
      <c r="T3587" s="444" t="s">
        <v>1</v>
      </c>
      <c r="U3587" s="443" t="s">
        <v>2783</v>
      </c>
      <c r="V3587" s="443">
        <f t="shared" si="326"/>
        <v>50.9</v>
      </c>
      <c r="W3587" s="444" t="s">
        <v>1</v>
      </c>
      <c r="X3587" s="443">
        <f t="shared" si="327"/>
        <v>203.6</v>
      </c>
    </row>
    <row r="3588" spans="6:24" ht="35.1" customHeight="1">
      <c r="H3588" s="113" t="s">
        <v>2837</v>
      </c>
      <c r="K3588" s="5">
        <v>4.3499999999999996</v>
      </c>
      <c r="S3588" s="443">
        <v>10</v>
      </c>
      <c r="T3588" s="444" t="s">
        <v>1</v>
      </c>
      <c r="U3588" s="443" t="s">
        <v>2785</v>
      </c>
      <c r="V3588" s="443">
        <f t="shared" si="326"/>
        <v>79.099999999999994</v>
      </c>
      <c r="W3588" s="444" t="s">
        <v>1</v>
      </c>
      <c r="X3588" s="443">
        <f t="shared" si="327"/>
        <v>791</v>
      </c>
    </row>
    <row r="3589" spans="6:24" ht="35.1" customHeight="1">
      <c r="H3589" s="113" t="s">
        <v>2838</v>
      </c>
      <c r="K3589" s="5">
        <f>SUM(K3586:K3588)</f>
        <v>1698.05</v>
      </c>
      <c r="S3589" s="443">
        <v>3</v>
      </c>
      <c r="T3589" s="444" t="s">
        <v>1</v>
      </c>
      <c r="U3589" s="443" t="s">
        <v>2787</v>
      </c>
      <c r="V3589" s="443">
        <f t="shared" si="326"/>
        <v>57.2</v>
      </c>
      <c r="W3589" s="444" t="s">
        <v>1</v>
      </c>
      <c r="X3589" s="443">
        <f t="shared" si="327"/>
        <v>171.60000000000002</v>
      </c>
    </row>
    <row r="3590" spans="6:24" ht="35.1" customHeight="1">
      <c r="H3590" s="50" t="s">
        <v>2839</v>
      </c>
      <c r="I3590" s="50"/>
      <c r="J3590" s="59"/>
      <c r="K3590" s="50">
        <f>K3589/6</f>
        <v>283.00833333333333</v>
      </c>
      <c r="S3590" s="443">
        <v>1</v>
      </c>
      <c r="T3590" s="444" t="s">
        <v>1</v>
      </c>
      <c r="U3590" s="443" t="s">
        <v>2745</v>
      </c>
      <c r="V3590" s="443">
        <f t="shared" si="326"/>
        <v>159.69999999999999</v>
      </c>
      <c r="W3590" s="444" t="s">
        <v>1</v>
      </c>
      <c r="X3590" s="443">
        <f t="shared" si="327"/>
        <v>159.69999999999999</v>
      </c>
    </row>
    <row r="3591" spans="6:24" s="50" customFormat="1" ht="35.1" customHeight="1">
      <c r="G3591" s="75"/>
      <c r="H3591" s="113" t="s">
        <v>2840</v>
      </c>
      <c r="I3591" s="113"/>
      <c r="J3591" s="145"/>
      <c r="K3591" s="113">
        <f>K3581</f>
        <v>295.55</v>
      </c>
      <c r="S3591" s="443">
        <v>118</v>
      </c>
      <c r="T3591" s="444" t="s">
        <v>1</v>
      </c>
      <c r="U3591" s="443" t="s">
        <v>2782</v>
      </c>
      <c r="V3591" s="443">
        <f t="shared" si="326"/>
        <v>2.37</v>
      </c>
      <c r="W3591" s="444" t="s">
        <v>1</v>
      </c>
      <c r="X3591" s="443">
        <f t="shared" si="327"/>
        <v>279.66000000000003</v>
      </c>
    </row>
    <row r="3592" spans="6:24" s="50" customFormat="1" ht="35.1" customHeight="1">
      <c r="G3592" s="75"/>
      <c r="H3592" s="113" t="s">
        <v>2841</v>
      </c>
      <c r="I3592" s="113">
        <f>K3591</f>
        <v>295.55</v>
      </c>
      <c r="J3592" s="145">
        <f>K3590</f>
        <v>283.00833333333333</v>
      </c>
      <c r="K3592" s="113">
        <f>SUM(I3592:J3592)</f>
        <v>578.55833333333339</v>
      </c>
      <c r="S3592" s="443">
        <v>2</v>
      </c>
      <c r="T3592" s="444" t="s">
        <v>1</v>
      </c>
      <c r="U3592" s="443" t="s">
        <v>2790</v>
      </c>
      <c r="V3592" s="443">
        <f t="shared" si="326"/>
        <v>22.7</v>
      </c>
      <c r="W3592" s="444" t="s">
        <v>1</v>
      </c>
      <c r="X3592" s="443">
        <f t="shared" si="327"/>
        <v>45.4</v>
      </c>
    </row>
    <row r="3593" spans="6:24" s="50" customFormat="1" ht="35.1" customHeight="1">
      <c r="G3593" s="75"/>
      <c r="H3593" s="113" t="s">
        <v>2842</v>
      </c>
      <c r="I3593" s="113">
        <f>K3592</f>
        <v>578.55833333333339</v>
      </c>
      <c r="J3593" s="145">
        <f>J3592</f>
        <v>283.00833333333333</v>
      </c>
      <c r="K3593" s="113">
        <f>SUM(I3593:J3593)</f>
        <v>861.56666666666672</v>
      </c>
      <c r="S3593" s="443">
        <v>2</v>
      </c>
      <c r="T3593" s="444" t="s">
        <v>1</v>
      </c>
      <c r="U3593" s="443" t="s">
        <v>2786</v>
      </c>
      <c r="V3593" s="443">
        <f t="shared" si="326"/>
        <v>43.8</v>
      </c>
      <c r="W3593" s="444" t="s">
        <v>1</v>
      </c>
      <c r="X3593" s="443">
        <f t="shared" si="327"/>
        <v>87.6</v>
      </c>
    </row>
    <row r="3594" spans="6:24" s="50" customFormat="1" ht="35.1" customHeight="1">
      <c r="G3594" s="75"/>
      <c r="H3594" s="113" t="s">
        <v>2843</v>
      </c>
      <c r="I3594" s="113">
        <f>K3593</f>
        <v>861.56666666666672</v>
      </c>
      <c r="J3594" s="145">
        <f>J3593</f>
        <v>283.00833333333333</v>
      </c>
      <c r="K3594" s="113">
        <f>SUM(I3594:J3594)</f>
        <v>1144.575</v>
      </c>
      <c r="S3594" s="449"/>
      <c r="T3594" s="444"/>
      <c r="U3594" s="443"/>
      <c r="V3594" s="443"/>
      <c r="W3594" s="444" t="s">
        <v>140</v>
      </c>
      <c r="X3594" s="443">
        <f t="shared" si="327"/>
        <v>0</v>
      </c>
    </row>
    <row r="3595" spans="6:24" s="50" customFormat="1" ht="35.1" customHeight="1">
      <c r="G3595" s="75"/>
      <c r="H3595" s="113" t="s">
        <v>2844</v>
      </c>
      <c r="I3595" s="113">
        <f>K3594</f>
        <v>1144.575</v>
      </c>
      <c r="J3595" s="145">
        <f>J3594</f>
        <v>283.00833333333333</v>
      </c>
      <c r="K3595" s="113">
        <f>SUM(I3595:J3595)</f>
        <v>1427.5833333333335</v>
      </c>
      <c r="S3595" s="443"/>
      <c r="T3595" s="444"/>
      <c r="U3595" s="443" t="s">
        <v>2845</v>
      </c>
      <c r="V3595" s="443"/>
      <c r="W3595" s="445"/>
      <c r="X3595" s="443">
        <f>SUM(X3585:X3594)</f>
        <v>11457.757500000002</v>
      </c>
    </row>
    <row r="3596" spans="6:24" ht="24" customHeight="1">
      <c r="S3596" s="443"/>
      <c r="T3596" s="444"/>
      <c r="U3596" s="443" t="s">
        <v>169</v>
      </c>
      <c r="V3596" s="443"/>
      <c r="W3596" s="445"/>
      <c r="X3596" s="443">
        <f>X3595/S3586</f>
        <v>2898.8633776091083</v>
      </c>
    </row>
    <row r="3597" spans="6:24" ht="24" customHeight="1">
      <c r="F3597" s="4"/>
      <c r="G3597" s="15" t="s">
        <v>122</v>
      </c>
      <c r="H3597" s="7" t="s">
        <v>2846</v>
      </c>
      <c r="L3597" s="8"/>
      <c r="S3597" s="5"/>
      <c r="T3597" s="6"/>
      <c r="U3597" s="443"/>
      <c r="W3597" s="8"/>
      <c r="X3597" s="443"/>
    </row>
    <row r="3598" spans="6:24" ht="24" customHeight="1">
      <c r="H3598" s="7" t="s">
        <v>2847</v>
      </c>
      <c r="L3598" s="3"/>
    </row>
    <row r="3599" spans="6:24" ht="24" customHeight="1">
      <c r="H3599" s="12" t="s">
        <v>117</v>
      </c>
      <c r="L3599" s="3"/>
    </row>
    <row r="3600" spans="6:24" ht="24" customHeight="1">
      <c r="F3600" s="135">
        <v>7.0699999999999999E-2</v>
      </c>
      <c r="G3600" s="15" t="s">
        <v>642</v>
      </c>
      <c r="H3600" s="3" t="s">
        <v>1548</v>
      </c>
      <c r="I3600" s="17">
        <f>I2814</f>
        <v>99400</v>
      </c>
      <c r="J3600" s="3" t="s">
        <v>126</v>
      </c>
      <c r="K3600" s="17">
        <f t="shared" ref="K3600:K3608" si="328">(F3600*I3600)</f>
        <v>7027.58</v>
      </c>
      <c r="L3600" s="3"/>
      <c r="S3600" s="443"/>
      <c r="T3600" s="444"/>
      <c r="U3600" s="443" t="s">
        <v>2848</v>
      </c>
      <c r="V3600" s="443"/>
      <c r="W3600" s="445"/>
    </row>
    <row r="3601" spans="6:24" ht="24" customHeight="1">
      <c r="F3601" s="135">
        <v>5.16</v>
      </c>
      <c r="G3601" s="15" t="s">
        <v>140</v>
      </c>
      <c r="H3601" s="3" t="s">
        <v>2849</v>
      </c>
      <c r="I3601" s="17">
        <v>537</v>
      </c>
      <c r="J3601" s="3" t="s">
        <v>126</v>
      </c>
      <c r="K3601" s="17">
        <f t="shared" si="328"/>
        <v>2770.92</v>
      </c>
      <c r="L3601" s="3"/>
      <c r="S3601" s="5"/>
      <c r="T3601" s="6"/>
      <c r="U3601" s="196" t="s">
        <v>2850</v>
      </c>
      <c r="V3601" s="443">
        <f>1.7*2.025</f>
        <v>3.4424999999999999</v>
      </c>
      <c r="W3601" s="8"/>
    </row>
    <row r="3602" spans="6:24" ht="24" customHeight="1">
      <c r="F3602" s="135">
        <v>3.6659999999999999</v>
      </c>
      <c r="G3602" s="15" t="s">
        <v>140</v>
      </c>
      <c r="H3602" s="3" t="s">
        <v>2851</v>
      </c>
      <c r="I3602" s="45">
        <f>P1395</f>
        <v>208.8</v>
      </c>
      <c r="J3602" s="3" t="s">
        <v>140</v>
      </c>
      <c r="K3602" s="17">
        <f t="shared" si="328"/>
        <v>765.46080000000006</v>
      </c>
      <c r="L3602" s="3"/>
      <c r="S3602" s="443">
        <f>V3601</f>
        <v>3.4424999999999999</v>
      </c>
      <c r="T3602" s="444" t="s">
        <v>140</v>
      </c>
      <c r="U3602" s="443" t="s">
        <v>2797</v>
      </c>
      <c r="V3602" s="443">
        <f>V3585</f>
        <v>2211</v>
      </c>
      <c r="W3602" s="444" t="s">
        <v>140</v>
      </c>
      <c r="X3602" s="443">
        <f>V3602*S3602</f>
        <v>7611.3674999999994</v>
      </c>
    </row>
    <row r="3603" spans="6:24" ht="24" customHeight="1">
      <c r="F3603" s="17">
        <v>22.66</v>
      </c>
      <c r="G3603" s="15" t="s">
        <v>231</v>
      </c>
      <c r="H3603" s="3" t="s">
        <v>2852</v>
      </c>
      <c r="I3603" s="17">
        <v>14.4</v>
      </c>
      <c r="J3603" s="15" t="s">
        <v>231</v>
      </c>
      <c r="K3603" s="17">
        <f t="shared" si="328"/>
        <v>326.30400000000003</v>
      </c>
      <c r="L3603" s="3"/>
      <c r="S3603" s="443">
        <f>S3602</f>
        <v>3.4424999999999999</v>
      </c>
      <c r="T3603" s="444" t="s">
        <v>140</v>
      </c>
      <c r="U3603" s="443" t="s">
        <v>2800</v>
      </c>
      <c r="V3603" s="443">
        <f t="shared" ref="V3603:V3610" si="329">V3586</f>
        <v>248</v>
      </c>
      <c r="W3603" s="444" t="s">
        <v>140</v>
      </c>
      <c r="X3603" s="443">
        <f t="shared" ref="X3603:X3611" si="330">V3603*S3603</f>
        <v>853.74</v>
      </c>
    </row>
    <row r="3604" spans="6:24" ht="24" customHeight="1">
      <c r="F3604" s="17">
        <v>15</v>
      </c>
      <c r="G3604" s="15" t="s">
        <v>209</v>
      </c>
      <c r="H3604" s="3" t="s">
        <v>1506</v>
      </c>
      <c r="I3604" s="17">
        <v>69.849999999999994</v>
      </c>
      <c r="J3604" s="3" t="s">
        <v>209</v>
      </c>
      <c r="K3604" s="17">
        <f>(F3603*I3604)</f>
        <v>1582.8009999999999</v>
      </c>
      <c r="L3604" s="3"/>
      <c r="S3604" s="443">
        <v>4</v>
      </c>
      <c r="T3604" s="444" t="s">
        <v>1</v>
      </c>
      <c r="U3604" s="443" t="s">
        <v>2783</v>
      </c>
      <c r="V3604" s="443">
        <f t="shared" si="329"/>
        <v>50.9</v>
      </c>
      <c r="W3604" s="444" t="s">
        <v>1</v>
      </c>
      <c r="X3604" s="443">
        <f t="shared" si="330"/>
        <v>203.6</v>
      </c>
    </row>
    <row r="3605" spans="6:24" ht="24" customHeight="1">
      <c r="F3605" s="17">
        <v>10</v>
      </c>
      <c r="G3605" s="15" t="s">
        <v>209</v>
      </c>
      <c r="H3605" s="3" t="s">
        <v>2853</v>
      </c>
      <c r="I3605" s="17">
        <v>64.05</v>
      </c>
      <c r="J3605" s="3" t="s">
        <v>209</v>
      </c>
      <c r="K3605" s="17">
        <f>(F3604*I3605)</f>
        <v>960.75</v>
      </c>
      <c r="L3605" s="3"/>
      <c r="S3605" s="443">
        <v>10</v>
      </c>
      <c r="T3605" s="444" t="s">
        <v>1</v>
      </c>
      <c r="U3605" s="443" t="s">
        <v>2785</v>
      </c>
      <c r="V3605" s="443">
        <f t="shared" si="329"/>
        <v>79.099999999999994</v>
      </c>
      <c r="W3605" s="444" t="s">
        <v>1</v>
      </c>
      <c r="X3605" s="443">
        <f t="shared" si="330"/>
        <v>791</v>
      </c>
    </row>
    <row r="3606" spans="6:24" ht="24" customHeight="1">
      <c r="F3606" s="17">
        <v>5</v>
      </c>
      <c r="G3606" s="15" t="s">
        <v>209</v>
      </c>
      <c r="H3606" s="3" t="s">
        <v>2854</v>
      </c>
      <c r="I3606" s="17">
        <v>50.6</v>
      </c>
      <c r="J3606" s="3" t="s">
        <v>209</v>
      </c>
      <c r="K3606" s="17">
        <f>(F3607*I3606)</f>
        <v>253</v>
      </c>
      <c r="L3606" s="8"/>
      <c r="S3606" s="443">
        <v>3</v>
      </c>
      <c r="T3606" s="444" t="s">
        <v>1</v>
      </c>
      <c r="U3606" s="443" t="s">
        <v>2787</v>
      </c>
      <c r="V3606" s="443">
        <f t="shared" si="329"/>
        <v>57.2</v>
      </c>
      <c r="W3606" s="444" t="s">
        <v>1</v>
      </c>
      <c r="X3606" s="443">
        <f t="shared" si="330"/>
        <v>171.60000000000002</v>
      </c>
    </row>
    <row r="3607" spans="6:24" ht="24" customHeight="1">
      <c r="F3607" s="17">
        <v>5</v>
      </c>
      <c r="G3607" s="15" t="s">
        <v>209</v>
      </c>
      <c r="H3607" s="3" t="s">
        <v>1554</v>
      </c>
      <c r="I3607" s="17">
        <v>7.3</v>
      </c>
      <c r="J3607" s="3" t="s">
        <v>209</v>
      </c>
      <c r="K3607" s="17">
        <f>(F3605*I3607)</f>
        <v>73</v>
      </c>
      <c r="L3607" s="8"/>
      <c r="S3607" s="443">
        <v>1</v>
      </c>
      <c r="T3607" s="444" t="s">
        <v>1</v>
      </c>
      <c r="U3607" s="443" t="s">
        <v>2745</v>
      </c>
      <c r="V3607" s="443">
        <f t="shared" si="329"/>
        <v>159.69999999999999</v>
      </c>
      <c r="W3607" s="444" t="s">
        <v>1</v>
      </c>
      <c r="X3607" s="443">
        <f t="shared" si="330"/>
        <v>159.69999999999999</v>
      </c>
    </row>
    <row r="3608" spans="6:24" ht="24" customHeight="1">
      <c r="F3608" s="17">
        <v>10</v>
      </c>
      <c r="H3608" s="3" t="s">
        <v>1508</v>
      </c>
      <c r="I3608" s="17">
        <f>I3430</f>
        <v>2.37</v>
      </c>
      <c r="J3608" s="3" t="s">
        <v>209</v>
      </c>
      <c r="K3608" s="17">
        <f t="shared" si="328"/>
        <v>23.700000000000003</v>
      </c>
      <c r="L3608" s="8"/>
      <c r="S3608" s="443">
        <v>118</v>
      </c>
      <c r="T3608" s="444" t="s">
        <v>1</v>
      </c>
      <c r="U3608" s="443" t="s">
        <v>2782</v>
      </c>
      <c r="V3608" s="443">
        <f t="shared" si="329"/>
        <v>2.37</v>
      </c>
      <c r="W3608" s="444" t="s">
        <v>1</v>
      </c>
      <c r="X3608" s="443">
        <f t="shared" si="330"/>
        <v>279.66000000000003</v>
      </c>
    </row>
    <row r="3609" spans="6:24" ht="24" customHeight="1">
      <c r="K3609" s="12" t="s">
        <v>117</v>
      </c>
      <c r="L3609" s="8"/>
      <c r="S3609" s="443">
        <v>2</v>
      </c>
      <c r="T3609" s="444" t="s">
        <v>1</v>
      </c>
      <c r="U3609" s="443" t="s">
        <v>2790</v>
      </c>
      <c r="V3609" s="443">
        <f t="shared" si="329"/>
        <v>22.7</v>
      </c>
      <c r="W3609" s="444" t="s">
        <v>1</v>
      </c>
      <c r="X3609" s="443">
        <f t="shared" si="330"/>
        <v>45.4</v>
      </c>
    </row>
    <row r="3610" spans="6:24" ht="24" customHeight="1">
      <c r="H3610" s="4" t="s">
        <v>2855</v>
      </c>
      <c r="K3610" s="17">
        <f>SUM(K3596:K3608)</f>
        <v>13783.515800000001</v>
      </c>
      <c r="L3610" s="8"/>
      <c r="S3610" s="443">
        <v>2</v>
      </c>
      <c r="T3610" s="444" t="s">
        <v>1</v>
      </c>
      <c r="U3610" s="443" t="s">
        <v>2786</v>
      </c>
      <c r="V3610" s="443">
        <f t="shared" si="329"/>
        <v>43.8</v>
      </c>
      <c r="W3610" s="444" t="s">
        <v>1</v>
      </c>
      <c r="X3610" s="443">
        <f t="shared" si="330"/>
        <v>87.6</v>
      </c>
    </row>
    <row r="3611" spans="6:24" ht="24" customHeight="1">
      <c r="K3611" s="12" t="s">
        <v>117</v>
      </c>
      <c r="L3611" s="8"/>
      <c r="S3611" s="449"/>
      <c r="T3611" s="444"/>
      <c r="U3611" s="443"/>
      <c r="V3611" s="443"/>
      <c r="W3611" s="444" t="s">
        <v>140</v>
      </c>
      <c r="X3611" s="443">
        <f t="shared" si="330"/>
        <v>0</v>
      </c>
    </row>
    <row r="3612" spans="6:24" ht="24" customHeight="1">
      <c r="H3612" s="19" t="s">
        <v>154</v>
      </c>
      <c r="I3612" s="3" t="s">
        <v>115</v>
      </c>
      <c r="K3612" s="16">
        <f>K3610/F3601</f>
        <v>2671.2239922480621</v>
      </c>
      <c r="S3612" s="443"/>
      <c r="T3612" s="444"/>
      <c r="U3612" s="443" t="s">
        <v>2856</v>
      </c>
      <c r="V3612" s="443"/>
      <c r="W3612" s="445"/>
      <c r="X3612" s="443">
        <f>SUM(X3602:X3611)</f>
        <v>10203.667500000001</v>
      </c>
    </row>
    <row r="3613" spans="6:24" ht="24" customHeight="1">
      <c r="K3613" s="12" t="s">
        <v>155</v>
      </c>
      <c r="S3613" s="443"/>
      <c r="T3613" s="444"/>
      <c r="U3613" s="443" t="s">
        <v>169</v>
      </c>
      <c r="V3613" s="443"/>
      <c r="W3613" s="445"/>
      <c r="X3613" s="443">
        <f>X3612/S3603</f>
        <v>2964.0283224400878</v>
      </c>
    </row>
    <row r="3614" spans="6:24" ht="24" customHeight="1">
      <c r="F3614" s="4" t="s">
        <v>1562</v>
      </c>
      <c r="G3614" s="15" t="s">
        <v>122</v>
      </c>
      <c r="H3614" s="3" t="s">
        <v>2857</v>
      </c>
      <c r="S3614" s="5"/>
    </row>
    <row r="3615" spans="6:24" ht="24" customHeight="1">
      <c r="H3615" s="3" t="s">
        <v>2858</v>
      </c>
      <c r="S3615" s="443"/>
      <c r="T3615" s="444"/>
      <c r="U3615" s="443" t="s">
        <v>2859</v>
      </c>
      <c r="V3615" s="443"/>
      <c r="W3615" s="445"/>
    </row>
    <row r="3616" spans="6:24" ht="18.75" customHeight="1">
      <c r="H3616" s="12" t="s">
        <v>117</v>
      </c>
      <c r="S3616" s="5"/>
      <c r="T3616" s="6"/>
      <c r="U3616" s="196" t="s">
        <v>2860</v>
      </c>
      <c r="W3616" s="8">
        <f>1.1*2.025</f>
        <v>2.2275</v>
      </c>
    </row>
    <row r="3617" spans="6:24" ht="18.75" customHeight="1">
      <c r="H3617" s="187" t="s">
        <v>2861</v>
      </c>
      <c r="I3617" s="333" t="s">
        <v>155</v>
      </c>
      <c r="J3617" s="417">
        <f>0.65*0.65</f>
        <v>0.42250000000000004</v>
      </c>
      <c r="K3617" s="329" t="s">
        <v>174</v>
      </c>
      <c r="S3617" s="443">
        <f>W3616</f>
        <v>2.2275</v>
      </c>
      <c r="T3617" s="444" t="s">
        <v>140</v>
      </c>
      <c r="U3617" s="443" t="s">
        <v>2797</v>
      </c>
      <c r="V3617" s="443">
        <f>V3538</f>
        <v>2211</v>
      </c>
      <c r="W3617" s="444" t="s">
        <v>140</v>
      </c>
      <c r="X3617" s="443">
        <f>V3617*S3617</f>
        <v>4925.0025000000005</v>
      </c>
    </row>
    <row r="3618" spans="6:24" ht="18.75" customHeight="1">
      <c r="H3618" s="187"/>
      <c r="I3618" s="333"/>
      <c r="J3618" s="416"/>
      <c r="K3618" s="329"/>
      <c r="S3618" s="443">
        <f>S3617</f>
        <v>2.2275</v>
      </c>
      <c r="T3618" s="444" t="s">
        <v>140</v>
      </c>
      <c r="U3618" s="443" t="s">
        <v>2800</v>
      </c>
      <c r="V3618" s="443">
        <f>P3543</f>
        <v>122</v>
      </c>
      <c r="W3618" s="444" t="s">
        <v>140</v>
      </c>
      <c r="X3618" s="443">
        <f>V3618*S3618</f>
        <v>271.755</v>
      </c>
    </row>
    <row r="3619" spans="6:24" ht="18.75" customHeight="1">
      <c r="H3619" s="187" t="s">
        <v>2862</v>
      </c>
      <c r="I3619" s="333" t="s">
        <v>155</v>
      </c>
      <c r="J3619" s="417">
        <v>5.1999999999999998E-2</v>
      </c>
      <c r="K3619" s="329" t="s">
        <v>429</v>
      </c>
      <c r="S3619" s="443">
        <v>2</v>
      </c>
      <c r="T3619" s="444" t="s">
        <v>1</v>
      </c>
      <c r="U3619" s="443" t="s">
        <v>2783</v>
      </c>
      <c r="V3619" s="443">
        <f t="shared" ref="V3619:V3625" si="331">V3604</f>
        <v>50.9</v>
      </c>
      <c r="W3619" s="444" t="s">
        <v>1</v>
      </c>
      <c r="X3619" s="443">
        <f>V3618*S3619</f>
        <v>244</v>
      </c>
    </row>
    <row r="3620" spans="6:24" ht="18.75" customHeight="1">
      <c r="H3620" s="187" t="s">
        <v>2636</v>
      </c>
      <c r="J3620" s="418"/>
      <c r="K3620" s="329"/>
      <c r="S3620" s="443">
        <v>5</v>
      </c>
      <c r="T3620" s="444" t="s">
        <v>1</v>
      </c>
      <c r="U3620" s="443" t="s">
        <v>2785</v>
      </c>
      <c r="V3620" s="443">
        <f t="shared" si="331"/>
        <v>79.099999999999994</v>
      </c>
      <c r="W3620" s="444" t="s">
        <v>1</v>
      </c>
      <c r="X3620" s="443">
        <f>V3619*S3620</f>
        <v>254.5</v>
      </c>
    </row>
    <row r="3621" spans="6:24" ht="18.75" customHeight="1">
      <c r="H3621" s="187" t="s">
        <v>2863</v>
      </c>
      <c r="I3621" s="333" t="s">
        <v>155</v>
      </c>
      <c r="J3621" s="419">
        <v>1.772E-2</v>
      </c>
      <c r="K3621" s="329"/>
      <c r="S3621" s="443">
        <v>2</v>
      </c>
      <c r="T3621" s="444" t="s">
        <v>1</v>
      </c>
      <c r="U3621" s="443" t="s">
        <v>2787</v>
      </c>
      <c r="V3621" s="443">
        <f t="shared" si="331"/>
        <v>57.2</v>
      </c>
      <c r="W3621" s="444" t="s">
        <v>1</v>
      </c>
      <c r="X3621" s="443">
        <f>V3620*S3621</f>
        <v>158.19999999999999</v>
      </c>
    </row>
    <row r="3622" spans="6:24" ht="18.75" customHeight="1">
      <c r="H3622" s="12"/>
      <c r="S3622" s="443">
        <v>1</v>
      </c>
      <c r="T3622" s="444" t="s">
        <v>1</v>
      </c>
      <c r="U3622" s="443" t="s">
        <v>2745</v>
      </c>
      <c r="V3622" s="443">
        <f t="shared" si="331"/>
        <v>159.69999999999999</v>
      </c>
      <c r="W3622" s="444" t="s">
        <v>1</v>
      </c>
      <c r="X3622" s="443">
        <f>V3621*S3622</f>
        <v>57.2</v>
      </c>
    </row>
    <row r="3623" spans="6:24" ht="24" customHeight="1">
      <c r="F3623" s="135">
        <v>5.3E-3</v>
      </c>
      <c r="G3623" s="15" t="s">
        <v>642</v>
      </c>
      <c r="H3623" s="3" t="s">
        <v>1548</v>
      </c>
      <c r="I3623" s="17">
        <f>C2604</f>
        <v>0</v>
      </c>
      <c r="J3623" s="3" t="s">
        <v>126</v>
      </c>
      <c r="K3623" s="17">
        <f t="shared" ref="K3623:K3629" si="332">(F3623*I3623)</f>
        <v>0</v>
      </c>
      <c r="S3623" s="443">
        <v>92</v>
      </c>
      <c r="T3623" s="444" t="s">
        <v>1</v>
      </c>
      <c r="U3623" s="443" t="s">
        <v>2782</v>
      </c>
      <c r="V3623" s="443">
        <f t="shared" si="331"/>
        <v>2.37</v>
      </c>
      <c r="W3623" s="444" t="s">
        <v>1</v>
      </c>
      <c r="X3623" s="443">
        <f>V3623*S3623</f>
        <v>218.04000000000002</v>
      </c>
    </row>
    <row r="3624" spans="6:24" ht="24" customHeight="1">
      <c r="F3624" s="135">
        <v>0.27450000000000002</v>
      </c>
      <c r="G3624" s="15" t="s">
        <v>140</v>
      </c>
      <c r="H3624" s="3" t="str">
        <f>H3602</f>
        <v>4 mm thicj frosted glass</v>
      </c>
      <c r="I3624" s="17">
        <f>I3602</f>
        <v>208.8</v>
      </c>
      <c r="J3624" s="3" t="s">
        <v>126</v>
      </c>
      <c r="K3624" s="17">
        <f t="shared" si="332"/>
        <v>57.315600000000011</v>
      </c>
      <c r="S3624" s="443">
        <v>1</v>
      </c>
      <c r="T3624" s="444" t="s">
        <v>1</v>
      </c>
      <c r="U3624" s="443" t="s">
        <v>2790</v>
      </c>
      <c r="V3624" s="443">
        <f t="shared" si="331"/>
        <v>22.7</v>
      </c>
      <c r="W3624" s="444" t="s">
        <v>1</v>
      </c>
      <c r="X3624" s="443">
        <f>V3623*S3624</f>
        <v>2.37</v>
      </c>
    </row>
    <row r="3625" spans="6:24" ht="24" customHeight="1">
      <c r="F3625" s="135">
        <v>0.4</v>
      </c>
      <c r="G3625" s="15" t="s">
        <v>140</v>
      </c>
      <c r="H3625" s="3" t="s">
        <v>624</v>
      </c>
      <c r="I3625" s="17">
        <f>D2547</f>
        <v>0</v>
      </c>
      <c r="J3625" s="3" t="s">
        <v>140</v>
      </c>
      <c r="K3625" s="17">
        <f t="shared" si="332"/>
        <v>0</v>
      </c>
      <c r="S3625" s="443">
        <v>1</v>
      </c>
      <c r="T3625" s="444" t="s">
        <v>1</v>
      </c>
      <c r="U3625" s="443" t="s">
        <v>2786</v>
      </c>
      <c r="V3625" s="443">
        <f t="shared" si="331"/>
        <v>43.8</v>
      </c>
      <c r="W3625" s="444" t="s">
        <v>1</v>
      </c>
      <c r="X3625" s="443">
        <f>V3624*S3625</f>
        <v>22.7</v>
      </c>
    </row>
    <row r="3626" spans="6:24" ht="24" customHeight="1">
      <c r="F3626" s="17">
        <v>2</v>
      </c>
      <c r="G3626" s="15" t="s">
        <v>1565</v>
      </c>
      <c r="H3626" s="3" t="s">
        <v>1566</v>
      </c>
      <c r="I3626" s="17">
        <f>C2820</f>
        <v>0</v>
      </c>
      <c r="J3626" s="3" t="s">
        <v>1565</v>
      </c>
      <c r="K3626" s="17">
        <f t="shared" si="332"/>
        <v>0</v>
      </c>
      <c r="S3626" s="449"/>
      <c r="T3626" s="444" t="s">
        <v>140</v>
      </c>
      <c r="U3626" s="443"/>
      <c r="W3626" s="444" t="s">
        <v>140</v>
      </c>
      <c r="X3626" s="443">
        <f>V3625*S3626</f>
        <v>0</v>
      </c>
    </row>
    <row r="3627" spans="6:24" ht="24" customHeight="1">
      <c r="F3627" s="17">
        <v>1</v>
      </c>
      <c r="G3627" s="15" t="s">
        <v>209</v>
      </c>
      <c r="H3627" s="3" t="s">
        <v>1567</v>
      </c>
      <c r="I3627" s="17">
        <f>C2808</f>
        <v>0</v>
      </c>
      <c r="J3627" s="3" t="s">
        <v>209</v>
      </c>
      <c r="K3627" s="17">
        <f t="shared" si="332"/>
        <v>0</v>
      </c>
      <c r="S3627" s="443"/>
      <c r="T3627" s="444"/>
      <c r="U3627" s="443" t="s">
        <v>2789</v>
      </c>
      <c r="V3627" s="443"/>
      <c r="W3627" s="445"/>
      <c r="X3627" s="443">
        <f>SUM(X3617:X3626)</f>
        <v>6153.7674999999999</v>
      </c>
    </row>
    <row r="3628" spans="6:24" ht="24" customHeight="1">
      <c r="F3628" s="17">
        <v>1</v>
      </c>
      <c r="G3628" s="15" t="s">
        <v>209</v>
      </c>
      <c r="H3628" s="3" t="s">
        <v>1568</v>
      </c>
      <c r="I3628" s="17">
        <f>C2806</f>
        <v>0</v>
      </c>
      <c r="J3628" s="3" t="s">
        <v>209</v>
      </c>
      <c r="K3628" s="17">
        <f t="shared" si="332"/>
        <v>0</v>
      </c>
      <c r="S3628" s="443"/>
      <c r="T3628" s="444"/>
      <c r="U3628" s="443" t="s">
        <v>169</v>
      </c>
      <c r="V3628" s="443"/>
      <c r="W3628" s="445"/>
      <c r="X3628" s="443">
        <f>X3627/S3618</f>
        <v>2762.6341189674522</v>
      </c>
    </row>
    <row r="3629" spans="6:24" ht="24" customHeight="1">
      <c r="F3629" s="17">
        <v>10</v>
      </c>
      <c r="H3629" s="3" t="s">
        <v>1508</v>
      </c>
      <c r="I3629" s="17">
        <f>I3608</f>
        <v>2.37</v>
      </c>
      <c r="J3629" s="3" t="s">
        <v>209</v>
      </c>
      <c r="K3629" s="17">
        <f t="shared" si="332"/>
        <v>23.700000000000003</v>
      </c>
    </row>
    <row r="3630" spans="6:24" ht="24" customHeight="1">
      <c r="K3630" s="12" t="s">
        <v>117</v>
      </c>
      <c r="S3630" s="5"/>
      <c r="U3630" s="7" t="s">
        <v>1569</v>
      </c>
    </row>
    <row r="3631" spans="6:24" ht="24" customHeight="1">
      <c r="H3631" s="4" t="s">
        <v>1570</v>
      </c>
      <c r="K3631" s="17">
        <f>SUM(K3613:K3629)</f>
        <v>81.015600000000006</v>
      </c>
      <c r="S3631" s="5"/>
      <c r="U3631" s="285" t="s">
        <v>2864</v>
      </c>
    </row>
    <row r="3632" spans="6:24" ht="24" customHeight="1">
      <c r="K3632" s="12" t="s">
        <v>117</v>
      </c>
      <c r="S3632" s="5"/>
    </row>
    <row r="3633" spans="6:24" ht="24" customHeight="1">
      <c r="H3633" s="19" t="s">
        <v>154</v>
      </c>
      <c r="I3633" s="3" t="s">
        <v>115</v>
      </c>
      <c r="K3633" s="16">
        <f>K3631/F3625</f>
        <v>202.53900000000002</v>
      </c>
      <c r="S3633" s="5"/>
    </row>
    <row r="3634" spans="6:24" ht="24" customHeight="1">
      <c r="F3634" s="3" t="s">
        <v>115</v>
      </c>
      <c r="S3634" s="143">
        <v>2.2800000000000001E-2</v>
      </c>
      <c r="T3634" s="144" t="s">
        <v>126</v>
      </c>
      <c r="U3634" s="113" t="s">
        <v>1571</v>
      </c>
      <c r="V3634" s="113">
        <f>V3612</f>
        <v>0</v>
      </c>
      <c r="W3634" s="145" t="s">
        <v>126</v>
      </c>
      <c r="X3634" s="113">
        <f>V3634*S3634</f>
        <v>0</v>
      </c>
    </row>
    <row r="3635" spans="6:24" ht="24" customHeight="1">
      <c r="K3635" s="12" t="s">
        <v>155</v>
      </c>
      <c r="S3635" s="143">
        <v>3.5400000000000001E-2</v>
      </c>
      <c r="T3635" s="144" t="s">
        <v>126</v>
      </c>
      <c r="U3635" s="113" t="s">
        <v>1572</v>
      </c>
      <c r="V3635" s="113">
        <f>V3613</f>
        <v>0</v>
      </c>
      <c r="W3635" s="145" t="s">
        <v>126</v>
      </c>
      <c r="X3635" s="113">
        <f t="shared" ref="X3635:X3644" si="333">V3635*S3635</f>
        <v>0</v>
      </c>
    </row>
    <row r="3636" spans="6:24" ht="24" customHeight="1">
      <c r="F3636" s="5">
        <v>45</v>
      </c>
      <c r="H3636" s="1514" t="s">
        <v>2865</v>
      </c>
      <c r="I3636" s="1514"/>
      <c r="J3636" s="1514"/>
      <c r="S3636" s="146">
        <v>3.2300000000000002E-2</v>
      </c>
      <c r="T3636" s="144" t="s">
        <v>126</v>
      </c>
      <c r="U3636" s="113" t="s">
        <v>1573</v>
      </c>
      <c r="V3636" s="113">
        <f>V3614</f>
        <v>0</v>
      </c>
      <c r="W3636" s="145" t="s">
        <v>126</v>
      </c>
      <c r="X3636" s="113">
        <f t="shared" si="333"/>
        <v>0</v>
      </c>
    </row>
    <row r="3637" spans="6:24" ht="24" customHeight="1">
      <c r="H3637" s="1514"/>
      <c r="I3637" s="1514"/>
      <c r="J3637" s="1514"/>
      <c r="S3637" s="147">
        <v>2.835</v>
      </c>
      <c r="T3637" s="144" t="s">
        <v>140</v>
      </c>
      <c r="U3637" s="113" t="s">
        <v>1574</v>
      </c>
      <c r="V3637" s="113">
        <v>698</v>
      </c>
      <c r="W3637" s="145" t="s">
        <v>140</v>
      </c>
      <c r="X3637" s="113">
        <f t="shared" si="333"/>
        <v>1978.83</v>
      </c>
    </row>
    <row r="3638" spans="6:24" ht="24" customHeight="1">
      <c r="S3638" s="113">
        <v>2</v>
      </c>
      <c r="T3638" s="144" t="s">
        <v>1576</v>
      </c>
      <c r="U3638" s="5" t="s">
        <v>2401</v>
      </c>
      <c r="V3638" s="303">
        <v>450</v>
      </c>
      <c r="W3638" s="145" t="s">
        <v>227</v>
      </c>
      <c r="X3638" s="113">
        <f t="shared" si="333"/>
        <v>900</v>
      </c>
    </row>
    <row r="3639" spans="6:24" ht="33" customHeight="1">
      <c r="F3639" s="17">
        <v>0.15</v>
      </c>
      <c r="G3639" s="6" t="s">
        <v>126</v>
      </c>
      <c r="H3639" s="249" t="s">
        <v>2866</v>
      </c>
      <c r="I3639" s="79">
        <v>2525.42</v>
      </c>
      <c r="J3639" s="8" t="s">
        <v>126</v>
      </c>
      <c r="K3639" s="5">
        <f t="shared" ref="K3639:K3644" si="334">I3639*F3639</f>
        <v>378.81299999999999</v>
      </c>
      <c r="L3639" s="5">
        <f>89.4/0.0354</f>
        <v>2525.4237288135596</v>
      </c>
      <c r="S3639" s="113">
        <v>6</v>
      </c>
      <c r="T3639" s="144" t="s">
        <v>1576</v>
      </c>
      <c r="U3639" s="5" t="s">
        <v>2402</v>
      </c>
      <c r="V3639" s="303">
        <v>79</v>
      </c>
      <c r="W3639" s="145" t="s">
        <v>227</v>
      </c>
      <c r="X3639" s="113">
        <f t="shared" si="333"/>
        <v>474</v>
      </c>
    </row>
    <row r="3640" spans="6:24" ht="24" customHeight="1">
      <c r="F3640" s="81">
        <v>7.1999999999999995E-2</v>
      </c>
      <c r="G3640" s="6" t="s">
        <v>124</v>
      </c>
      <c r="H3640" s="5" t="s">
        <v>125</v>
      </c>
      <c r="I3640" s="5">
        <f>I1645</f>
        <v>5800</v>
      </c>
      <c r="J3640" s="8" t="s">
        <v>124</v>
      </c>
      <c r="K3640" s="5">
        <f t="shared" si="334"/>
        <v>417.59999999999997</v>
      </c>
      <c r="S3640" s="113">
        <v>4</v>
      </c>
      <c r="T3640" s="144" t="s">
        <v>1576</v>
      </c>
      <c r="U3640" s="5" t="s">
        <v>2403</v>
      </c>
      <c r="V3640" s="303">
        <v>130</v>
      </c>
      <c r="W3640" s="145" t="s">
        <v>227</v>
      </c>
      <c r="X3640" s="113">
        <f t="shared" si="333"/>
        <v>520</v>
      </c>
    </row>
    <row r="3641" spans="6:24" ht="24" customHeight="1">
      <c r="F3641" s="17">
        <v>1.6</v>
      </c>
      <c r="G3641" s="6" t="s">
        <v>1</v>
      </c>
      <c r="H3641" s="5" t="s">
        <v>144</v>
      </c>
      <c r="I3641" s="5">
        <f>I1646</f>
        <v>769</v>
      </c>
      <c r="J3641" s="8" t="s">
        <v>1</v>
      </c>
      <c r="K3641" s="5">
        <f t="shared" si="334"/>
        <v>1230.4000000000001</v>
      </c>
      <c r="S3641" s="113">
        <v>1</v>
      </c>
      <c r="T3641" s="144" t="s">
        <v>1576</v>
      </c>
      <c r="U3641" s="5" t="s">
        <v>2404</v>
      </c>
      <c r="V3641" s="303">
        <v>985</v>
      </c>
      <c r="W3641" s="145" t="s">
        <v>227</v>
      </c>
      <c r="X3641" s="113">
        <f t="shared" si="333"/>
        <v>985</v>
      </c>
    </row>
    <row r="3642" spans="6:24" ht="24" customHeight="1">
      <c r="F3642" s="17">
        <v>0.5</v>
      </c>
      <c r="G3642" s="6" t="s">
        <v>1</v>
      </c>
      <c r="H3642" s="5" t="s">
        <v>146</v>
      </c>
      <c r="I3642" s="5">
        <f>I1647</f>
        <v>502</v>
      </c>
      <c r="J3642" s="8" t="s">
        <v>1</v>
      </c>
      <c r="K3642" s="5">
        <f t="shared" si="334"/>
        <v>251</v>
      </c>
      <c r="S3642" s="113">
        <v>2</v>
      </c>
      <c r="T3642" s="144" t="s">
        <v>1576</v>
      </c>
      <c r="U3642" s="5" t="s">
        <v>2405</v>
      </c>
      <c r="V3642" s="303">
        <v>24.2</v>
      </c>
      <c r="W3642" s="145" t="s">
        <v>227</v>
      </c>
      <c r="X3642" s="113">
        <f t="shared" si="333"/>
        <v>48.4</v>
      </c>
    </row>
    <row r="3643" spans="6:24" ht="24" customHeight="1">
      <c r="F3643" s="17">
        <v>1.1000000000000001</v>
      </c>
      <c r="G3643" s="6" t="s">
        <v>1</v>
      </c>
      <c r="H3643" s="5" t="s">
        <v>147</v>
      </c>
      <c r="I3643" s="5">
        <f>I1648</f>
        <v>412</v>
      </c>
      <c r="J3643" s="8" t="s">
        <v>1</v>
      </c>
      <c r="K3643" s="5">
        <f t="shared" si="334"/>
        <v>453.20000000000005</v>
      </c>
      <c r="S3643" s="113">
        <v>2</v>
      </c>
      <c r="T3643" s="144" t="s">
        <v>1576</v>
      </c>
      <c r="U3643" s="113" t="s">
        <v>630</v>
      </c>
      <c r="V3643" s="113">
        <v>48.9</v>
      </c>
      <c r="W3643" s="145" t="s">
        <v>227</v>
      </c>
      <c r="X3643" s="113">
        <f t="shared" si="333"/>
        <v>97.8</v>
      </c>
    </row>
    <row r="3644" spans="6:24" ht="24" customHeight="1">
      <c r="F3644" s="17">
        <v>14.5</v>
      </c>
      <c r="G3644" s="6" t="s">
        <v>1962</v>
      </c>
      <c r="H3644" s="5" t="s">
        <v>2867</v>
      </c>
      <c r="I3644" s="5">
        <f>I3747</f>
        <v>24.5</v>
      </c>
      <c r="J3644" s="8" t="s">
        <v>1962</v>
      </c>
      <c r="K3644" s="5">
        <f t="shared" si="334"/>
        <v>355.25</v>
      </c>
      <c r="S3644" s="113">
        <v>118</v>
      </c>
      <c r="T3644" s="75"/>
      <c r="U3644" s="113" t="s">
        <v>1508</v>
      </c>
      <c r="V3644" s="113">
        <v>2.4</v>
      </c>
      <c r="W3644" s="145"/>
      <c r="X3644" s="113">
        <f t="shared" si="333"/>
        <v>283.2</v>
      </c>
    </row>
    <row r="3645" spans="6:24" ht="24" customHeight="1">
      <c r="G3645" s="6" t="s">
        <v>166</v>
      </c>
      <c r="H3645" s="5" t="s">
        <v>130</v>
      </c>
      <c r="J3645" s="8" t="s">
        <v>166</v>
      </c>
      <c r="K3645" s="5">
        <v>7</v>
      </c>
      <c r="S3645" s="5"/>
      <c r="W3645" s="145"/>
      <c r="X3645" s="50">
        <f>SUM(X3634:X3644)</f>
        <v>5287.23</v>
      </c>
    </row>
    <row r="3646" spans="6:24" ht="24" customHeight="1">
      <c r="S3646" s="113"/>
      <c r="T3646" s="75"/>
      <c r="U3646" s="50"/>
      <c r="V3646" s="113"/>
      <c r="W3646" s="145"/>
      <c r="X3646" s="148" t="s">
        <v>1586</v>
      </c>
    </row>
    <row r="3647" spans="6:24" ht="24" customHeight="1">
      <c r="H3647" s="5" t="s">
        <v>153</v>
      </c>
      <c r="K3647" s="5">
        <f>SUM(K3639:K3646)</f>
        <v>3093.2629999999999</v>
      </c>
      <c r="S3647" s="113"/>
      <c r="T3647" s="75"/>
      <c r="U3647" s="50" t="s">
        <v>1589</v>
      </c>
      <c r="V3647" s="113"/>
      <c r="W3647" s="145"/>
      <c r="X3647" s="50">
        <f>X3645/2.835</f>
        <v>1864.9841269841268</v>
      </c>
    </row>
    <row r="3648" spans="6:24" ht="24" customHeight="1">
      <c r="H3648" s="5" t="s">
        <v>154</v>
      </c>
      <c r="K3648" s="5">
        <f>K3647/10</f>
        <v>309.3263</v>
      </c>
      <c r="S3648" s="113"/>
      <c r="T3648" s="75"/>
      <c r="W3648" s="8"/>
      <c r="X3648" s="53" t="s">
        <v>1586</v>
      </c>
    </row>
    <row r="3649" spans="6:25" ht="24" customHeight="1">
      <c r="S3649" s="5"/>
    </row>
    <row r="3650" spans="6:25" ht="24" customHeight="1">
      <c r="K3650" s="5" t="s">
        <v>155</v>
      </c>
      <c r="S3650" s="456" t="s">
        <v>2868</v>
      </c>
      <c r="T3650" s="456"/>
      <c r="U3650" s="456"/>
      <c r="V3650" s="456"/>
      <c r="W3650" s="457"/>
      <c r="X3650" s="457"/>
      <c r="Y3650" s="196"/>
    </row>
    <row r="3651" spans="6:25" ht="24" customHeight="1">
      <c r="S3651" s="198"/>
      <c r="T3651" s="199"/>
      <c r="U3651" s="200"/>
      <c r="V3651" s="201"/>
      <c r="W3651" s="199"/>
      <c r="X3651" s="201"/>
      <c r="Y3651" s="196"/>
    </row>
    <row r="3652" spans="6:25" ht="24" customHeight="1">
      <c r="G3652" s="5"/>
      <c r="H3652" s="19" t="s">
        <v>2869</v>
      </c>
      <c r="J3652" s="5"/>
      <c r="S3652" s="198"/>
      <c r="T3652" s="199"/>
      <c r="U3652" s="202"/>
      <c r="V3652" s="201"/>
      <c r="W3652" s="199"/>
      <c r="X3652" s="201"/>
      <c r="Y3652" s="196"/>
    </row>
    <row r="3653" spans="6:25" ht="24" customHeight="1">
      <c r="G3653" s="5"/>
      <c r="H3653" s="12" t="s">
        <v>117</v>
      </c>
      <c r="J3653" s="5"/>
      <c r="S3653" s="198">
        <v>28.49</v>
      </c>
      <c r="T3653" s="199" t="s">
        <v>654</v>
      </c>
      <c r="U3653" s="458" t="s">
        <v>2870</v>
      </c>
      <c r="V3653" s="201">
        <f>I3781</f>
        <v>287</v>
      </c>
      <c r="W3653" s="199" t="s">
        <v>654</v>
      </c>
      <c r="X3653" s="201">
        <f>V3653*S3653</f>
        <v>8176.6299999999992</v>
      </c>
      <c r="Y3653" s="196"/>
    </row>
    <row r="3654" spans="6:25" ht="24" customHeight="1">
      <c r="G3654" s="3" t="s">
        <v>122</v>
      </c>
      <c r="H3654" s="7" t="s">
        <v>2871</v>
      </c>
      <c r="J3654" s="5"/>
      <c r="S3654" s="459">
        <v>3.82</v>
      </c>
      <c r="T3654" s="199" t="s">
        <v>231</v>
      </c>
      <c r="U3654" s="202" t="s">
        <v>2872</v>
      </c>
      <c r="V3654" s="201">
        <v>35.5</v>
      </c>
      <c r="W3654" s="199" t="s">
        <v>231</v>
      </c>
      <c r="X3654" s="201">
        <v>501.66</v>
      </c>
      <c r="Y3654" s="196"/>
    </row>
    <row r="3655" spans="6:25" ht="24" customHeight="1">
      <c r="G3655" s="5"/>
      <c r="H3655" s="7" t="s">
        <v>2873</v>
      </c>
      <c r="J3655" s="5"/>
      <c r="S3655" s="198">
        <v>1.52</v>
      </c>
      <c r="T3655" s="199" t="s">
        <v>110</v>
      </c>
      <c r="U3655" s="202" t="s">
        <v>2874</v>
      </c>
      <c r="V3655" s="201">
        <v>336</v>
      </c>
      <c r="W3655" s="199" t="s">
        <v>110</v>
      </c>
      <c r="X3655" s="201">
        <f t="shared" ref="X3655:X3664" si="335">V3655*S3655</f>
        <v>510.72</v>
      </c>
      <c r="Y3655" s="196"/>
    </row>
    <row r="3656" spans="6:25" ht="24" customHeight="1">
      <c r="G3656" s="5"/>
      <c r="H3656" s="7" t="s">
        <v>809</v>
      </c>
      <c r="J3656" s="5"/>
      <c r="S3656" s="198">
        <v>1.52</v>
      </c>
      <c r="T3656" s="199" t="s">
        <v>110</v>
      </c>
      <c r="U3656" s="202" t="s">
        <v>2875</v>
      </c>
      <c r="V3656" s="201">
        <v>695</v>
      </c>
      <c r="W3656" s="199" t="s">
        <v>1</v>
      </c>
      <c r="X3656" s="201">
        <f t="shared" si="335"/>
        <v>1056.4000000000001</v>
      </c>
      <c r="Y3656" s="196"/>
    </row>
    <row r="3657" spans="6:25" ht="24" customHeight="1">
      <c r="G3657" s="5"/>
      <c r="H3657" s="12" t="s">
        <v>117</v>
      </c>
      <c r="J3657" s="5"/>
      <c r="S3657" s="198">
        <v>3</v>
      </c>
      <c r="T3657" s="199" t="s">
        <v>2876</v>
      </c>
      <c r="U3657" s="202" t="s">
        <v>2877</v>
      </c>
      <c r="V3657" s="201">
        <v>11.1</v>
      </c>
      <c r="W3657" s="199" t="s">
        <v>2876</v>
      </c>
      <c r="X3657" s="201">
        <f t="shared" si="335"/>
        <v>33.299999999999997</v>
      </c>
      <c r="Y3657" s="196"/>
    </row>
    <row r="3658" spans="6:25" ht="24" customHeight="1">
      <c r="G3658" s="3" t="s">
        <v>810</v>
      </c>
      <c r="H3658" s="460" t="s">
        <v>2878</v>
      </c>
      <c r="J3658" s="5"/>
      <c r="S3658" s="198">
        <v>4.2</v>
      </c>
      <c r="T3658" s="199" t="s">
        <v>227</v>
      </c>
      <c r="U3658" s="202" t="s">
        <v>2879</v>
      </c>
      <c r="V3658" s="201">
        <v>7.2</v>
      </c>
      <c r="W3658" s="199" t="s">
        <v>1</v>
      </c>
      <c r="X3658" s="201">
        <f t="shared" si="335"/>
        <v>30.240000000000002</v>
      </c>
      <c r="Y3658" s="196"/>
    </row>
    <row r="3659" spans="6:25" ht="24" customHeight="1">
      <c r="G3659" s="5"/>
      <c r="H3659" s="12" t="s">
        <v>117</v>
      </c>
      <c r="J3659" s="5"/>
      <c r="S3659" s="198">
        <v>3.15</v>
      </c>
      <c r="T3659" s="199" t="s">
        <v>174</v>
      </c>
      <c r="U3659" s="202" t="s">
        <v>1824</v>
      </c>
      <c r="V3659" s="196">
        <f>X3675</f>
        <v>1540</v>
      </c>
      <c r="W3659" s="199" t="s">
        <v>174</v>
      </c>
      <c r="X3659" s="201">
        <f t="shared" si="335"/>
        <v>4851</v>
      </c>
      <c r="Y3659" s="196"/>
    </row>
    <row r="3660" spans="6:25" ht="24" customHeight="1">
      <c r="F3660" s="17">
        <v>18.899999999999999</v>
      </c>
      <c r="G3660" s="3" t="s">
        <v>126</v>
      </c>
      <c r="H3660" s="3" t="s">
        <v>814</v>
      </c>
      <c r="I3660" s="17">
        <f>P431</f>
        <v>168</v>
      </c>
      <c r="J3660" s="3" t="s">
        <v>126</v>
      </c>
      <c r="K3660" s="17">
        <f>(F3660*I3660)</f>
        <v>3175.2</v>
      </c>
      <c r="S3660" s="50">
        <v>1</v>
      </c>
      <c r="T3660" s="75" t="s">
        <v>1576</v>
      </c>
      <c r="U3660" s="50" t="s">
        <v>2880</v>
      </c>
      <c r="V3660" s="50">
        <v>43.8</v>
      </c>
      <c r="W3660" s="59" t="s">
        <v>227</v>
      </c>
      <c r="X3660" s="50">
        <f t="shared" si="335"/>
        <v>43.8</v>
      </c>
      <c r="Y3660" s="196"/>
    </row>
    <row r="3661" spans="6:25" ht="24" customHeight="1">
      <c r="F3661" s="17">
        <v>18.63</v>
      </c>
      <c r="G3661" s="3" t="s">
        <v>126</v>
      </c>
      <c r="H3661" s="3" t="s">
        <v>815</v>
      </c>
      <c r="I3661" s="17">
        <f>P432</f>
        <v>29.3</v>
      </c>
      <c r="J3661" s="3" t="s">
        <v>126</v>
      </c>
      <c r="K3661" s="17">
        <f>(F3661*I3661)</f>
        <v>545.85900000000004</v>
      </c>
      <c r="S3661" s="50">
        <v>1</v>
      </c>
      <c r="T3661" s="75" t="s">
        <v>1576</v>
      </c>
      <c r="U3661" s="50" t="s">
        <v>2881</v>
      </c>
      <c r="V3661" s="50">
        <v>890</v>
      </c>
      <c r="W3661" s="59" t="s">
        <v>227</v>
      </c>
      <c r="X3661" s="50">
        <f t="shared" si="335"/>
        <v>890</v>
      </c>
      <c r="Y3661" s="196"/>
    </row>
    <row r="3662" spans="6:25" ht="45.75" customHeight="1">
      <c r="F3662" s="17">
        <v>30</v>
      </c>
      <c r="G3662" s="3" t="s">
        <v>203</v>
      </c>
      <c r="H3662" s="60" t="s">
        <v>2882</v>
      </c>
      <c r="I3662" s="16">
        <v>191</v>
      </c>
      <c r="J3662" s="3" t="s">
        <v>203</v>
      </c>
      <c r="K3662" s="17">
        <f>(F3662*I3662)</f>
        <v>5730</v>
      </c>
      <c r="S3662" s="443">
        <v>45</v>
      </c>
      <c r="T3662" s="444" t="s">
        <v>1576</v>
      </c>
      <c r="U3662" s="443" t="s">
        <v>2883</v>
      </c>
      <c r="V3662" s="461">
        <v>1.45</v>
      </c>
      <c r="W3662" s="445" t="s">
        <v>164</v>
      </c>
      <c r="X3662" s="201">
        <f t="shared" si="335"/>
        <v>65.25</v>
      </c>
      <c r="Y3662" s="196"/>
    </row>
    <row r="3663" spans="6:25" ht="24" customHeight="1">
      <c r="G3663" s="5"/>
      <c r="J3663" s="5"/>
      <c r="S3663" s="443">
        <v>2</v>
      </c>
      <c r="T3663" s="444" t="s">
        <v>1576</v>
      </c>
      <c r="U3663" s="443" t="s">
        <v>2884</v>
      </c>
      <c r="V3663" s="461">
        <v>108.7</v>
      </c>
      <c r="W3663" s="59" t="s">
        <v>227</v>
      </c>
      <c r="X3663" s="201">
        <f t="shared" si="335"/>
        <v>217.4</v>
      </c>
      <c r="Y3663" s="196"/>
    </row>
    <row r="3664" spans="6:25" ht="24" customHeight="1">
      <c r="F3664" s="17">
        <v>30</v>
      </c>
      <c r="G3664" s="3" t="s">
        <v>203</v>
      </c>
      <c r="H3664" s="3" t="s">
        <v>816</v>
      </c>
      <c r="I3664" s="17">
        <v>11.02</v>
      </c>
      <c r="J3664" s="3" t="s">
        <v>203</v>
      </c>
      <c r="K3664" s="17">
        <f>(F3664*I3664)</f>
        <v>330.59999999999997</v>
      </c>
      <c r="S3664" s="443">
        <v>2</v>
      </c>
      <c r="T3664" s="444" t="s">
        <v>1576</v>
      </c>
      <c r="U3664" s="443" t="s">
        <v>2885</v>
      </c>
      <c r="V3664" s="461">
        <v>54</v>
      </c>
      <c r="W3664" s="59" t="s">
        <v>227</v>
      </c>
      <c r="X3664" s="201">
        <f t="shared" si="335"/>
        <v>108</v>
      </c>
      <c r="Y3664" s="196"/>
    </row>
    <row r="3665" spans="6:25" ht="24" customHeight="1">
      <c r="G3665" s="5"/>
      <c r="H3665" s="3" t="s">
        <v>817</v>
      </c>
      <c r="J3665" s="5"/>
      <c r="S3665" s="5"/>
      <c r="X3665" s="9"/>
      <c r="Y3665" s="196"/>
    </row>
    <row r="3666" spans="6:25" ht="24" customHeight="1">
      <c r="G3666" s="5"/>
      <c r="H3666" s="3" t="s">
        <v>818</v>
      </c>
      <c r="J3666" s="5"/>
      <c r="S3666" s="198"/>
      <c r="T3666" s="199"/>
      <c r="U3666" s="202"/>
      <c r="V3666" s="196"/>
      <c r="W3666" s="203"/>
      <c r="X3666" s="201"/>
      <c r="Y3666" s="196"/>
    </row>
    <row r="3667" spans="6:25" ht="24" customHeight="1">
      <c r="G3667" s="5"/>
      <c r="H3667" s="3" t="s">
        <v>819</v>
      </c>
      <c r="J3667" s="5"/>
      <c r="S3667" s="198"/>
      <c r="T3667" s="199"/>
      <c r="U3667" s="3" t="s">
        <v>2886</v>
      </c>
      <c r="W3667" s="199"/>
      <c r="X3667" s="201">
        <f>SUM(X3653:X3666)</f>
        <v>16484.399999999994</v>
      </c>
      <c r="Y3667" s="196"/>
    </row>
    <row r="3668" spans="6:25" ht="24" customHeight="1">
      <c r="G3668" s="5"/>
      <c r="H3668" s="3" t="s">
        <v>2887</v>
      </c>
      <c r="J3668" s="5"/>
      <c r="S3668" s="198"/>
      <c r="T3668" s="199"/>
      <c r="U3668" s="3" t="s">
        <v>154</v>
      </c>
      <c r="W3668" s="457"/>
      <c r="X3668" s="205">
        <f>X3667/3.15</f>
        <v>5233.1428571428551</v>
      </c>
      <c r="Y3668" s="207" t="s">
        <v>227</v>
      </c>
    </row>
    <row r="3669" spans="6:25" ht="24.75" customHeight="1">
      <c r="G3669" s="5"/>
      <c r="H3669" s="3"/>
      <c r="J3669" s="5"/>
      <c r="S3669" s="196"/>
      <c r="T3669" s="196"/>
      <c r="U3669" s="208"/>
      <c r="V3669" s="196"/>
      <c r="W3669" s="196"/>
      <c r="X3669" s="196"/>
      <c r="Y3669" s="196"/>
    </row>
    <row r="3670" spans="6:25" ht="30" customHeight="1">
      <c r="F3670" s="17">
        <v>5</v>
      </c>
      <c r="G3670" s="3" t="s">
        <v>1</v>
      </c>
      <c r="H3670" s="62" t="s">
        <v>2888</v>
      </c>
      <c r="I3670" s="25">
        <v>35.6</v>
      </c>
      <c r="J3670" s="3" t="s">
        <v>1</v>
      </c>
      <c r="K3670" s="17">
        <f>(F3670*I3670)</f>
        <v>178</v>
      </c>
      <c r="S3670" s="201">
        <v>1</v>
      </c>
      <c r="T3670" s="199" t="s">
        <v>209</v>
      </c>
      <c r="U3670" s="202" t="s">
        <v>1827</v>
      </c>
      <c r="V3670" s="201">
        <f>AE17</f>
        <v>679</v>
      </c>
      <c r="W3670" s="202" t="s">
        <v>209</v>
      </c>
      <c r="X3670" s="201">
        <f>V3670*S3670</f>
        <v>679</v>
      </c>
      <c r="Y3670" s="196"/>
    </row>
    <row r="3671" spans="6:25" ht="24" customHeight="1">
      <c r="F3671" s="17">
        <v>1</v>
      </c>
      <c r="G3671" s="3" t="s">
        <v>129</v>
      </c>
      <c r="H3671" s="3" t="s">
        <v>828</v>
      </c>
      <c r="I3671" s="17">
        <v>12.1</v>
      </c>
      <c r="J3671" s="3" t="s">
        <v>129</v>
      </c>
      <c r="K3671" s="17">
        <f>(F3671*I3671)</f>
        <v>12.1</v>
      </c>
      <c r="S3671" s="201">
        <v>1</v>
      </c>
      <c r="T3671" s="199" t="s">
        <v>209</v>
      </c>
      <c r="U3671" s="202" t="s">
        <v>1828</v>
      </c>
      <c r="V3671" s="201">
        <f>AE11</f>
        <v>502</v>
      </c>
      <c r="W3671" s="202" t="s">
        <v>209</v>
      </c>
      <c r="X3671" s="201">
        <f>V3671*S3671</f>
        <v>502</v>
      </c>
      <c r="Y3671" s="196"/>
    </row>
    <row r="3672" spans="6:25" ht="24" customHeight="1">
      <c r="F3672" s="17"/>
      <c r="G3672" s="3" t="s">
        <v>129</v>
      </c>
      <c r="H3672" s="3" t="s">
        <v>130</v>
      </c>
      <c r="J3672" s="3" t="s">
        <v>129</v>
      </c>
      <c r="K3672" s="17">
        <v>17.100000000000001</v>
      </c>
      <c r="S3672" s="201">
        <v>0.5</v>
      </c>
      <c r="T3672" s="199" t="s">
        <v>209</v>
      </c>
      <c r="U3672" s="202" t="s">
        <v>1829</v>
      </c>
      <c r="V3672" s="201">
        <f>AE20</f>
        <v>718</v>
      </c>
      <c r="W3672" s="202" t="s">
        <v>209</v>
      </c>
      <c r="X3672" s="201">
        <f>V3672*S3672</f>
        <v>359</v>
      </c>
      <c r="Y3672" s="196"/>
    </row>
    <row r="3673" spans="6:25" ht="24" customHeight="1">
      <c r="G3673" s="5"/>
      <c r="J3673" s="5"/>
      <c r="S3673" s="196"/>
      <c r="T3673" s="199" t="s">
        <v>129</v>
      </c>
      <c r="U3673" s="202"/>
      <c r="V3673" s="201"/>
      <c r="W3673" s="202" t="s">
        <v>129</v>
      </c>
      <c r="X3673" s="201"/>
      <c r="Y3673" s="196"/>
    </row>
    <row r="3674" spans="6:25" ht="24" customHeight="1">
      <c r="G3674" s="5"/>
      <c r="J3674" s="5"/>
      <c r="K3674" s="12" t="s">
        <v>117</v>
      </c>
      <c r="S3674" s="196"/>
      <c r="T3674" s="204"/>
      <c r="U3674" s="196"/>
      <c r="V3674" s="196"/>
      <c r="W3674" s="209"/>
      <c r="X3674" s="210" t="s">
        <v>117</v>
      </c>
      <c r="Y3674" s="196"/>
    </row>
    <row r="3675" spans="6:25" ht="24" customHeight="1">
      <c r="G3675" s="5"/>
      <c r="H3675" s="3" t="s">
        <v>830</v>
      </c>
      <c r="J3675" s="5"/>
      <c r="K3675" s="17">
        <f>SUM(K3660:K3672)</f>
        <v>9988.8590000000004</v>
      </c>
      <c r="S3675" s="196"/>
      <c r="T3675" s="204"/>
      <c r="U3675" s="202" t="s">
        <v>1830</v>
      </c>
      <c r="V3675" s="196"/>
      <c r="W3675" s="209"/>
      <c r="X3675" s="205">
        <f>SUM(X3670:X3674)</f>
        <v>1540</v>
      </c>
      <c r="Y3675" s="196"/>
    </row>
    <row r="3676" spans="6:25" ht="24" customHeight="1">
      <c r="G3676" s="5"/>
      <c r="J3676" s="5"/>
      <c r="K3676" s="12" t="s">
        <v>117</v>
      </c>
      <c r="S3676" s="196"/>
      <c r="T3676" s="204"/>
      <c r="U3676" s="196"/>
      <c r="V3676" s="196"/>
      <c r="W3676" s="209"/>
      <c r="X3676" s="210" t="s">
        <v>117</v>
      </c>
      <c r="Y3676" s="196"/>
    </row>
    <row r="3677" spans="6:25" ht="24" customHeight="1">
      <c r="G3677" s="5"/>
      <c r="H3677" s="3" t="s">
        <v>216</v>
      </c>
      <c r="J3677" s="5"/>
      <c r="K3677" s="16">
        <f>(K3675/30)</f>
        <v>332.96196666666668</v>
      </c>
      <c r="S3677" s="5"/>
    </row>
    <row r="3678" spans="6:25" ht="24" customHeight="1">
      <c r="G3678" s="5"/>
      <c r="J3678" s="5"/>
      <c r="K3678" s="12" t="s">
        <v>117</v>
      </c>
      <c r="S3678" s="5"/>
    </row>
    <row r="3679" spans="6:25" ht="24" customHeight="1">
      <c r="G3679" s="3" t="s">
        <v>2</v>
      </c>
      <c r="H3679" s="460" t="s">
        <v>2889</v>
      </c>
      <c r="J3679" s="5"/>
      <c r="S3679" s="462"/>
      <c r="T3679" s="462"/>
      <c r="U3679" s="462"/>
      <c r="V3679" s="462"/>
      <c r="W3679" s="462"/>
      <c r="X3679" s="462"/>
    </row>
    <row r="3680" spans="6:25" ht="24" customHeight="1">
      <c r="G3680" s="5"/>
      <c r="H3680" s="12" t="s">
        <v>117</v>
      </c>
      <c r="J3680" s="5"/>
      <c r="S3680" s="1501" t="s">
        <v>2890</v>
      </c>
      <c r="T3680" s="1501"/>
      <c r="U3680" s="1501"/>
      <c r="V3680" s="1501"/>
      <c r="W3680" s="457"/>
      <c r="X3680" s="457"/>
    </row>
    <row r="3681" spans="6:25" ht="24" customHeight="1">
      <c r="F3681" s="17">
        <f>F3660</f>
        <v>18.899999999999999</v>
      </c>
      <c r="G3681" s="3" t="s">
        <v>126</v>
      </c>
      <c r="H3681" s="3" t="str">
        <f>H3660</f>
        <v>E.W EXCLUDING REFILLING</v>
      </c>
      <c r="I3681" s="17">
        <f>I3660</f>
        <v>168</v>
      </c>
      <c r="J3681" s="3" t="s">
        <v>126</v>
      </c>
      <c r="K3681" s="17">
        <f>(F3681*I3681)</f>
        <v>3175.2</v>
      </c>
      <c r="S3681" s="198"/>
      <c r="T3681" s="199"/>
      <c r="U3681" s="200"/>
      <c r="V3681" s="201"/>
      <c r="W3681" s="199"/>
      <c r="X3681" s="201"/>
    </row>
    <row r="3682" spans="6:25" ht="24" customHeight="1">
      <c r="F3682" s="17">
        <v>18.3</v>
      </c>
      <c r="G3682" s="3" t="s">
        <v>126</v>
      </c>
      <c r="H3682" s="3" t="str">
        <f>H3661</f>
        <v>REFILLING CHARGE</v>
      </c>
      <c r="I3682" s="17">
        <f>I3661</f>
        <v>29.3</v>
      </c>
      <c r="J3682" s="3" t="s">
        <v>126</v>
      </c>
      <c r="K3682" s="17">
        <f>(F3682*I3682)</f>
        <v>536.19000000000005</v>
      </c>
      <c r="S3682" s="198"/>
      <c r="T3682" s="199"/>
      <c r="U3682" s="202"/>
      <c r="V3682" s="201"/>
      <c r="W3682" s="199"/>
      <c r="X3682" s="201"/>
    </row>
    <row r="3683" spans="6:25" ht="39" customHeight="1">
      <c r="F3683" s="17">
        <f>F3662</f>
        <v>30</v>
      </c>
      <c r="G3683" s="3" t="s">
        <v>203</v>
      </c>
      <c r="H3683" s="60" t="s">
        <v>2891</v>
      </c>
      <c r="I3683" s="16">
        <v>402</v>
      </c>
      <c r="J3683" s="3" t="s">
        <v>203</v>
      </c>
      <c r="K3683" s="17">
        <f>(F3683*I3683)</f>
        <v>12060</v>
      </c>
      <c r="S3683" s="198">
        <v>29.06</v>
      </c>
      <c r="T3683" s="199" t="s">
        <v>654</v>
      </c>
      <c r="U3683" s="458" t="s">
        <v>2870</v>
      </c>
      <c r="V3683" s="201">
        <f>V3653</f>
        <v>287</v>
      </c>
      <c r="W3683" s="199" t="s">
        <v>654</v>
      </c>
      <c r="X3683" s="201">
        <f>V3683*S3683</f>
        <v>8340.2199999999993</v>
      </c>
    </row>
    <row r="3684" spans="6:25" ht="24" customHeight="1">
      <c r="F3684" s="17"/>
      <c r="G3684" s="5"/>
      <c r="H3684" s="3"/>
      <c r="I3684" s="17"/>
      <c r="J3684" s="5"/>
      <c r="K3684" s="17"/>
      <c r="S3684" s="459">
        <v>9.24</v>
      </c>
      <c r="T3684" s="199" t="s">
        <v>231</v>
      </c>
      <c r="U3684" s="202" t="s">
        <v>2892</v>
      </c>
      <c r="V3684" s="201">
        <f t="shared" ref="V3684:V3694" si="336">V3654</f>
        <v>35.5</v>
      </c>
      <c r="W3684" s="199" t="s">
        <v>231</v>
      </c>
      <c r="X3684" s="201">
        <f t="shared" ref="X3684:X3694" si="337">V3684*S3684</f>
        <v>328.02</v>
      </c>
    </row>
    <row r="3685" spans="6:25" ht="24" customHeight="1">
      <c r="F3685" s="17">
        <f>F3664</f>
        <v>30</v>
      </c>
      <c r="G3685" s="5"/>
      <c r="H3685" s="3" t="str">
        <f>H3664</f>
        <v>CONVEYING,LOWERING  ANDLAYING</v>
      </c>
      <c r="I3685" s="17">
        <v>15.54</v>
      </c>
      <c r="J3685" s="3" t="s">
        <v>203</v>
      </c>
      <c r="K3685" s="17">
        <f>(F3685*I3685)</f>
        <v>466.2</v>
      </c>
      <c r="S3685" s="198">
        <v>1.49</v>
      </c>
      <c r="T3685" s="199" t="s">
        <v>110</v>
      </c>
      <c r="U3685" s="202" t="s">
        <v>2874</v>
      </c>
      <c r="V3685" s="201">
        <f t="shared" si="336"/>
        <v>336</v>
      </c>
      <c r="W3685" s="199" t="s">
        <v>110</v>
      </c>
      <c r="X3685" s="201">
        <f t="shared" si="337"/>
        <v>500.64</v>
      </c>
    </row>
    <row r="3686" spans="6:25" ht="24" customHeight="1">
      <c r="F3686" s="17"/>
      <c r="G3686" s="5"/>
      <c r="H3686" s="3" t="str">
        <f>H3665</f>
        <v>TO PROPER GRADEAND</v>
      </c>
      <c r="I3686" s="17"/>
      <c r="J3686" s="5"/>
      <c r="S3686" s="198">
        <v>0.75</v>
      </c>
      <c r="T3686" s="199" t="s">
        <v>110</v>
      </c>
      <c r="U3686" s="202" t="s">
        <v>2875</v>
      </c>
      <c r="V3686" s="201">
        <f t="shared" si="336"/>
        <v>695</v>
      </c>
      <c r="W3686" s="199" t="s">
        <v>1</v>
      </c>
      <c r="X3686" s="201">
        <f t="shared" si="337"/>
        <v>521.25</v>
      </c>
    </row>
    <row r="3687" spans="6:25" ht="24" customHeight="1">
      <c r="F3687" s="17"/>
      <c r="G3687" s="5"/>
      <c r="H3687" s="3" t="str">
        <f>H3666</f>
        <v>ALIGNMENT,JOINTING</v>
      </c>
      <c r="I3687" s="17"/>
      <c r="J3687" s="5"/>
      <c r="S3687" s="463">
        <v>2</v>
      </c>
      <c r="T3687" s="199" t="s">
        <v>2876</v>
      </c>
      <c r="U3687" s="202" t="s">
        <v>2877</v>
      </c>
      <c r="V3687" s="201">
        <f t="shared" si="336"/>
        <v>11.1</v>
      </c>
      <c r="W3687" s="199" t="s">
        <v>2876</v>
      </c>
      <c r="X3687" s="201">
        <f t="shared" si="337"/>
        <v>22.2</v>
      </c>
    </row>
    <row r="3688" spans="6:25" ht="24" customHeight="1">
      <c r="F3688" s="17"/>
      <c r="G3688" s="3"/>
      <c r="H3688" s="3" t="str">
        <f>H3667</f>
        <v>ETC BUT EXCLUDING  COST OF</v>
      </c>
      <c r="I3688" s="17"/>
      <c r="J3688" s="3"/>
      <c r="K3688" s="17"/>
      <c r="S3688" s="198">
        <v>7.08</v>
      </c>
      <c r="T3688" s="199" t="s">
        <v>227</v>
      </c>
      <c r="U3688" s="202" t="s">
        <v>2879</v>
      </c>
      <c r="V3688" s="201">
        <f t="shared" si="336"/>
        <v>7.2</v>
      </c>
      <c r="W3688" s="199" t="s">
        <v>1</v>
      </c>
      <c r="X3688" s="201">
        <f t="shared" si="337"/>
        <v>50.975999999999999</v>
      </c>
    </row>
    <row r="3689" spans="6:25" ht="24" customHeight="1">
      <c r="F3689" s="17"/>
      <c r="G3689" s="3"/>
      <c r="H3689" s="3" t="str">
        <f>H3668</f>
        <v>JOINTING MATERIALS. (TWAD SR 17-18 11-b)</v>
      </c>
      <c r="I3689" s="17"/>
      <c r="J3689" s="3"/>
      <c r="K3689" s="17"/>
      <c r="S3689" s="198">
        <v>2.1</v>
      </c>
      <c r="T3689" s="199" t="s">
        <v>174</v>
      </c>
      <c r="U3689" s="202" t="s">
        <v>1824</v>
      </c>
      <c r="V3689" s="201">
        <f t="shared" si="336"/>
        <v>1540</v>
      </c>
      <c r="W3689" s="199" t="s">
        <v>174</v>
      </c>
      <c r="X3689" s="201">
        <f t="shared" si="337"/>
        <v>3234</v>
      </c>
    </row>
    <row r="3690" spans="6:25" ht="24" customHeight="1">
      <c r="F3690" s="17"/>
      <c r="G3690" s="3"/>
      <c r="H3690" s="3"/>
      <c r="I3690" s="17"/>
      <c r="J3690" s="3"/>
      <c r="K3690" s="17"/>
      <c r="S3690" s="50">
        <v>1</v>
      </c>
      <c r="T3690" s="75" t="s">
        <v>1576</v>
      </c>
      <c r="U3690" s="50" t="s">
        <v>2880</v>
      </c>
      <c r="V3690" s="201">
        <f t="shared" si="336"/>
        <v>43.8</v>
      </c>
      <c r="W3690" s="59" t="s">
        <v>227</v>
      </c>
      <c r="X3690" s="201">
        <f t="shared" si="337"/>
        <v>43.8</v>
      </c>
    </row>
    <row r="3691" spans="6:25" ht="24" customHeight="1">
      <c r="F3691" s="17">
        <f>F3670</f>
        <v>5</v>
      </c>
      <c r="G3691" s="3" t="s">
        <v>129</v>
      </c>
      <c r="H3691" s="3" t="str">
        <f>H3670</f>
        <v>CUTTING CHARGES ( P-32/141)</v>
      </c>
      <c r="I3691" s="25">
        <f>I3670</f>
        <v>35.6</v>
      </c>
      <c r="J3691" s="3" t="s">
        <v>1</v>
      </c>
      <c r="K3691" s="17">
        <f>(F3691*I3691)</f>
        <v>178</v>
      </c>
      <c r="S3691" s="50">
        <v>1</v>
      </c>
      <c r="T3691" s="75" t="s">
        <v>1576</v>
      </c>
      <c r="U3691" s="50" t="s">
        <v>2881</v>
      </c>
      <c r="V3691" s="201">
        <f t="shared" si="336"/>
        <v>890</v>
      </c>
      <c r="W3691" s="59" t="s">
        <v>227</v>
      </c>
      <c r="X3691" s="201">
        <f t="shared" si="337"/>
        <v>890</v>
      </c>
    </row>
    <row r="3692" spans="6:25" ht="24" customHeight="1">
      <c r="F3692" s="17">
        <f>F3671</f>
        <v>1</v>
      </c>
      <c r="G3692" s="5"/>
      <c r="H3692" s="3" t="str">
        <f>H3671</f>
        <v>COST OF JOINTING  MATERIALS</v>
      </c>
      <c r="I3692" s="17">
        <f>I3671</f>
        <v>12.1</v>
      </c>
      <c r="J3692" s="3" t="s">
        <v>129</v>
      </c>
      <c r="K3692" s="17">
        <f>(F3692*I3692)</f>
        <v>12.1</v>
      </c>
      <c r="S3692" s="443">
        <v>6</v>
      </c>
      <c r="T3692" s="444" t="s">
        <v>1576</v>
      </c>
      <c r="U3692" s="443" t="s">
        <v>2893</v>
      </c>
      <c r="V3692" s="201">
        <f t="shared" si="336"/>
        <v>1.45</v>
      </c>
      <c r="W3692" s="445" t="s">
        <v>164</v>
      </c>
      <c r="X3692" s="201">
        <f t="shared" si="337"/>
        <v>8.6999999999999993</v>
      </c>
    </row>
    <row r="3693" spans="6:25" ht="24" customHeight="1">
      <c r="G3693" s="5"/>
      <c r="H3693" s="3" t="str">
        <f>H3672</f>
        <v>SUNDRIES</v>
      </c>
      <c r="J3693" s="3" t="s">
        <v>129</v>
      </c>
      <c r="K3693" s="17">
        <v>24.3</v>
      </c>
      <c r="S3693" s="443">
        <v>2</v>
      </c>
      <c r="T3693" s="444" t="s">
        <v>1576</v>
      </c>
      <c r="U3693" s="443" t="s">
        <v>2894</v>
      </c>
      <c r="V3693" s="201">
        <f t="shared" si="336"/>
        <v>108.7</v>
      </c>
      <c r="W3693" s="59" t="s">
        <v>227</v>
      </c>
      <c r="X3693" s="201">
        <f t="shared" si="337"/>
        <v>217.4</v>
      </c>
    </row>
    <row r="3694" spans="6:25" ht="24" customHeight="1">
      <c r="G3694" s="5"/>
      <c r="J3694" s="5"/>
      <c r="K3694" s="17"/>
      <c r="S3694" s="443">
        <v>2</v>
      </c>
      <c r="T3694" s="444" t="s">
        <v>1576</v>
      </c>
      <c r="U3694" s="443" t="s">
        <v>2885</v>
      </c>
      <c r="V3694" s="201">
        <f t="shared" si="336"/>
        <v>54</v>
      </c>
      <c r="W3694" s="59" t="s">
        <v>227</v>
      </c>
      <c r="X3694" s="201">
        <f t="shared" si="337"/>
        <v>108</v>
      </c>
    </row>
    <row r="3695" spans="6:25" ht="24" customHeight="1">
      <c r="G3695" s="5"/>
      <c r="H3695" s="3" t="s">
        <v>830</v>
      </c>
      <c r="J3695" s="5"/>
      <c r="K3695" s="17">
        <f>SUM(K3681:K3694)</f>
        <v>16451.989999999998</v>
      </c>
      <c r="S3695" s="5"/>
      <c r="U3695" s="3" t="s">
        <v>2895</v>
      </c>
      <c r="W3695" s="199"/>
      <c r="X3695" s="201">
        <f>SUM(X3683:X3694)</f>
        <v>14265.206</v>
      </c>
      <c r="Y3695" s="196"/>
    </row>
    <row r="3696" spans="6:25" ht="24" customHeight="1">
      <c r="G3696" s="5"/>
      <c r="J3696" s="5"/>
      <c r="K3696" s="12" t="s">
        <v>117</v>
      </c>
      <c r="S3696" s="462"/>
      <c r="T3696" s="462"/>
      <c r="U3696" s="3" t="s">
        <v>154</v>
      </c>
      <c r="W3696" s="457"/>
      <c r="X3696" s="205">
        <f>X3695/2.1</f>
        <v>6792.9552380952382</v>
      </c>
      <c r="Y3696" s="207"/>
    </row>
    <row r="3697" spans="6:26" ht="24" customHeight="1">
      <c r="G3697" s="5"/>
      <c r="H3697" s="3" t="s">
        <v>216</v>
      </c>
      <c r="J3697" s="5"/>
      <c r="K3697" s="16">
        <f>(K3695/30)</f>
        <v>548.39966666666658</v>
      </c>
      <c r="S3697" s="462"/>
      <c r="T3697" s="462"/>
      <c r="U3697" s="462"/>
      <c r="V3697" s="462"/>
      <c r="W3697" s="462"/>
      <c r="X3697" s="462"/>
    </row>
    <row r="3698" spans="6:26" ht="24" customHeight="1">
      <c r="G3698" s="5"/>
      <c r="J3698" s="5"/>
      <c r="S3698" s="5"/>
      <c r="U3698" s="50" t="s">
        <v>2896</v>
      </c>
    </row>
    <row r="3699" spans="6:26" ht="240.75" customHeight="1">
      <c r="S3699" s="456"/>
      <c r="T3699" s="456"/>
      <c r="U3699" s="464" t="s">
        <v>2897</v>
      </c>
      <c r="V3699" s="464"/>
      <c r="W3699" s="464"/>
      <c r="X3699" s="464"/>
      <c r="Y3699" s="464"/>
      <c r="Z3699" s="464"/>
    </row>
    <row r="3700" spans="6:26" ht="25.5" customHeight="1">
      <c r="S3700" s="456"/>
      <c r="T3700" s="456"/>
      <c r="U3700" s="464"/>
      <c r="V3700" s="464"/>
      <c r="W3700" s="464"/>
      <c r="X3700" s="464"/>
      <c r="Y3700" s="464"/>
      <c r="Z3700" s="464"/>
    </row>
    <row r="3701" spans="6:26" ht="24" customHeight="1">
      <c r="F3701" s="462"/>
      <c r="G3701" s="462"/>
      <c r="H3701" s="462"/>
      <c r="I3701" s="462"/>
      <c r="J3701" s="462"/>
      <c r="K3701" s="462"/>
      <c r="L3701" s="462"/>
      <c r="M3701" s="462"/>
      <c r="N3701" s="462"/>
      <c r="S3701" s="198">
        <v>17.440000000000001</v>
      </c>
      <c r="T3701" s="199" t="s">
        <v>654</v>
      </c>
      <c r="U3701" s="458" t="s">
        <v>2898</v>
      </c>
      <c r="V3701" s="201">
        <f>V3683</f>
        <v>287</v>
      </c>
      <c r="W3701" s="199" t="s">
        <v>654</v>
      </c>
      <c r="X3701" s="201">
        <f>V3701*S3701</f>
        <v>5005.2800000000007</v>
      </c>
      <c r="Y3701" s="196"/>
    </row>
    <row r="3702" spans="6:26" ht="24" customHeight="1">
      <c r="F3702" s="462"/>
      <c r="G3702" s="462"/>
      <c r="H3702" s="465" t="s">
        <v>2899</v>
      </c>
      <c r="I3702" s="465"/>
      <c r="J3702" s="465"/>
      <c r="K3702" s="465"/>
      <c r="L3702" s="462"/>
      <c r="M3702" s="462"/>
      <c r="N3702" s="462"/>
      <c r="S3702" s="459">
        <v>13.56</v>
      </c>
      <c r="T3702" s="199" t="s">
        <v>231</v>
      </c>
      <c r="U3702" s="202" t="s">
        <v>2892</v>
      </c>
      <c r="V3702" s="201">
        <v>33.89</v>
      </c>
      <c r="W3702" s="199" t="s">
        <v>231</v>
      </c>
      <c r="X3702" s="201">
        <v>501.66</v>
      </c>
      <c r="Y3702" s="196"/>
    </row>
    <row r="3703" spans="6:26" ht="24" customHeight="1">
      <c r="F3703" s="462">
        <v>11</v>
      </c>
      <c r="G3703" s="466" t="s">
        <v>174</v>
      </c>
      <c r="H3703" s="462" t="s">
        <v>2900</v>
      </c>
      <c r="I3703" s="379">
        <v>378</v>
      </c>
      <c r="J3703" s="466" t="s">
        <v>174</v>
      </c>
      <c r="K3703" s="326">
        <f>I3703*F3703</f>
        <v>4158</v>
      </c>
      <c r="L3703" s="462"/>
      <c r="M3703" s="462"/>
      <c r="N3703" s="462"/>
      <c r="S3703" s="198">
        <v>2.62</v>
      </c>
      <c r="T3703" s="199" t="s">
        <v>110</v>
      </c>
      <c r="U3703" s="202" t="s">
        <v>2901</v>
      </c>
      <c r="V3703" s="201">
        <v>258.52</v>
      </c>
      <c r="W3703" s="199" t="s">
        <v>110</v>
      </c>
      <c r="X3703" s="201">
        <f>V3703*S3703</f>
        <v>677.32240000000002</v>
      </c>
      <c r="Y3703" s="196"/>
    </row>
    <row r="3704" spans="6:26" ht="24" customHeight="1">
      <c r="F3704" s="462">
        <v>2.2000000000000002</v>
      </c>
      <c r="G3704" s="462" t="s">
        <v>227</v>
      </c>
      <c r="H3704" s="462" t="s">
        <v>2902</v>
      </c>
      <c r="I3704" s="5">
        <f>AE17</f>
        <v>679</v>
      </c>
      <c r="J3704" s="462" t="s">
        <v>227</v>
      </c>
      <c r="K3704" s="326">
        <f>I3704*F3704</f>
        <v>1493.8000000000002</v>
      </c>
      <c r="L3704" s="462"/>
      <c r="M3704" s="462"/>
      <c r="N3704" s="462"/>
      <c r="S3704" s="198">
        <v>8</v>
      </c>
      <c r="T3704" s="199" t="s">
        <v>240</v>
      </c>
      <c r="U3704" s="202" t="s">
        <v>2903</v>
      </c>
      <c r="V3704" s="201">
        <v>13.1</v>
      </c>
      <c r="W3704" s="199" t="s">
        <v>240</v>
      </c>
      <c r="X3704" s="201">
        <f>V3704*S3704</f>
        <v>104.8</v>
      </c>
      <c r="Y3704" s="196"/>
    </row>
    <row r="3705" spans="6:26" ht="24" customHeight="1">
      <c r="F3705" s="462">
        <v>1.1000000000000001</v>
      </c>
      <c r="G3705" s="462" t="s">
        <v>227</v>
      </c>
      <c r="H3705" s="462" t="s">
        <v>2904</v>
      </c>
      <c r="I3705" s="5">
        <f>AE19</f>
        <v>752</v>
      </c>
      <c r="J3705" s="462" t="s">
        <v>227</v>
      </c>
      <c r="K3705" s="326">
        <f>I3705*F3705</f>
        <v>827.2</v>
      </c>
      <c r="L3705" s="462"/>
      <c r="M3705" s="462"/>
      <c r="N3705" s="462"/>
      <c r="S3705" s="198">
        <v>3</v>
      </c>
      <c r="T3705" s="199" t="s">
        <v>240</v>
      </c>
      <c r="U3705" s="202" t="s">
        <v>2905</v>
      </c>
      <c r="V3705" s="201">
        <v>62.8</v>
      </c>
      <c r="W3705" s="199" t="s">
        <v>2876</v>
      </c>
      <c r="X3705" s="201">
        <f>V3705*S3705</f>
        <v>188.39999999999998</v>
      </c>
      <c r="Y3705" s="196"/>
    </row>
    <row r="3706" spans="6:26" ht="24" customHeight="1">
      <c r="F3706" s="462">
        <v>3.2</v>
      </c>
      <c r="G3706" s="462" t="s">
        <v>227</v>
      </c>
      <c r="H3706" s="467" t="s">
        <v>2906</v>
      </c>
      <c r="I3706" s="5">
        <f>AE11</f>
        <v>502</v>
      </c>
      <c r="J3706" s="462" t="s">
        <v>227</v>
      </c>
      <c r="K3706" s="326">
        <f>I3706*F3706</f>
        <v>1606.4</v>
      </c>
      <c r="L3706" s="462"/>
      <c r="M3706" s="462"/>
      <c r="N3706" s="462"/>
      <c r="S3706" s="198">
        <v>4</v>
      </c>
      <c r="T3706" s="199" t="s">
        <v>240</v>
      </c>
      <c r="U3706" s="202" t="s">
        <v>2907</v>
      </c>
      <c r="V3706" s="201">
        <v>29.5</v>
      </c>
      <c r="W3706" s="199" t="s">
        <v>1</v>
      </c>
      <c r="X3706" s="201">
        <f>V3706*S3706</f>
        <v>118</v>
      </c>
      <c r="Y3706" s="196"/>
    </row>
    <row r="3707" spans="6:26" ht="24" customHeight="1">
      <c r="F3707" s="462"/>
      <c r="G3707" s="462" t="s">
        <v>2908</v>
      </c>
      <c r="H3707" s="462" t="s">
        <v>2909</v>
      </c>
      <c r="I3707" s="462" t="s">
        <v>2908</v>
      </c>
      <c r="J3707" s="462"/>
      <c r="K3707" s="462">
        <v>107.11</v>
      </c>
      <c r="L3707" s="462"/>
      <c r="M3707" s="462"/>
      <c r="N3707" s="462"/>
      <c r="S3707" s="198">
        <v>2.4300000000000002</v>
      </c>
      <c r="T3707" s="199" t="s">
        <v>174</v>
      </c>
      <c r="U3707" s="202" t="s">
        <v>1824</v>
      </c>
      <c r="V3707" s="196">
        <f>X3675</f>
        <v>1540</v>
      </c>
      <c r="W3707" s="199" t="s">
        <v>174</v>
      </c>
      <c r="X3707" s="201">
        <f>V3707*S3707</f>
        <v>3742.2000000000003</v>
      </c>
      <c r="Y3707" s="196"/>
    </row>
    <row r="3708" spans="6:26" ht="24" customHeight="1">
      <c r="F3708" s="462"/>
      <c r="G3708" s="462"/>
      <c r="H3708" s="462" t="s">
        <v>2910</v>
      </c>
      <c r="I3708" s="462"/>
      <c r="J3708" s="462"/>
      <c r="K3708" s="326">
        <f>SUM(K3703:K3707)</f>
        <v>8192.51</v>
      </c>
      <c r="L3708" s="462"/>
      <c r="M3708" s="462"/>
      <c r="N3708" s="462"/>
      <c r="S3708" s="50"/>
      <c r="T3708" s="75" t="s">
        <v>166</v>
      </c>
      <c r="U3708" s="50" t="s">
        <v>2911</v>
      </c>
      <c r="V3708" s="50"/>
      <c r="W3708" s="59" t="s">
        <v>166</v>
      </c>
      <c r="X3708" s="50">
        <v>130</v>
      </c>
      <c r="Y3708" s="196"/>
    </row>
    <row r="3709" spans="6:26" ht="24" customHeight="1">
      <c r="F3709" s="462"/>
      <c r="G3709" s="462"/>
      <c r="H3709" s="462" t="s">
        <v>2912</v>
      </c>
      <c r="I3709" s="462"/>
      <c r="J3709" s="462"/>
      <c r="K3709" s="468">
        <f>K3708/10</f>
        <v>819.25099999999998</v>
      </c>
      <c r="L3709" s="462"/>
      <c r="M3709" s="462"/>
      <c r="N3709" s="462">
        <f>L3709</f>
        <v>0</v>
      </c>
      <c r="S3709" s="50"/>
      <c r="T3709" s="75"/>
      <c r="U3709" s="50"/>
      <c r="V3709" s="50"/>
      <c r="W3709" s="59"/>
      <c r="X3709" s="50">
        <f>SUM(X3701:X3708)</f>
        <v>10467.662400000001</v>
      </c>
      <c r="Y3709" s="196"/>
    </row>
    <row r="3710" spans="6:26" ht="24" customHeight="1">
      <c r="F3710" s="462"/>
      <c r="G3710" s="462"/>
      <c r="H3710" s="462"/>
      <c r="I3710" s="462"/>
      <c r="J3710" s="462"/>
      <c r="K3710" s="462"/>
      <c r="L3710" s="462"/>
      <c r="M3710" s="462"/>
      <c r="N3710" s="462"/>
      <c r="X3710" s="50">
        <f>X3709/S3707</f>
        <v>4307.68</v>
      </c>
      <c r="Y3710" s="196" t="s">
        <v>174</v>
      </c>
    </row>
    <row r="3711" spans="6:26" ht="24" customHeight="1">
      <c r="F3711" s="1510" t="s">
        <v>2913</v>
      </c>
      <c r="G3711" s="1510"/>
      <c r="H3711" s="1510"/>
      <c r="I3711" s="1510"/>
      <c r="J3711" s="1510"/>
      <c r="K3711" s="1510"/>
      <c r="L3711" s="1510"/>
      <c r="M3711" s="1510"/>
      <c r="N3711" s="462"/>
      <c r="W3711" s="5" t="s">
        <v>2914</v>
      </c>
      <c r="X3711" s="5">
        <v>3584</v>
      </c>
      <c r="Y3711" s="196"/>
    </row>
    <row r="3712" spans="6:26" ht="36.75" customHeight="1">
      <c r="F3712" s="469"/>
      <c r="G3712" s="469"/>
      <c r="H3712" s="470" t="s">
        <v>2915</v>
      </c>
      <c r="I3712" s="470"/>
      <c r="J3712" s="470"/>
      <c r="K3712" s="470"/>
      <c r="L3712" s="469"/>
      <c r="M3712" s="1510"/>
      <c r="N3712" s="462"/>
      <c r="S3712" s="5"/>
      <c r="U3712" s="50" t="s">
        <v>2916</v>
      </c>
      <c r="Y3712" s="196"/>
    </row>
    <row r="3713" spans="6:25" ht="81" customHeight="1">
      <c r="F3713" s="471">
        <v>36</v>
      </c>
      <c r="G3713" s="469" t="s">
        <v>231</v>
      </c>
      <c r="H3713" s="472" t="s">
        <v>2917</v>
      </c>
      <c r="I3713" s="473">
        <v>34.6</v>
      </c>
      <c r="J3713" s="474" t="str">
        <f>G3713</f>
        <v>Rmt</v>
      </c>
      <c r="K3713" s="471">
        <f>I3713*F3713</f>
        <v>1245.6000000000001</v>
      </c>
      <c r="L3713" s="469"/>
      <c r="M3713" s="1510"/>
      <c r="N3713" s="462"/>
      <c r="S3713" s="456"/>
      <c r="T3713" s="456"/>
      <c r="U3713" s="464" t="s">
        <v>2918</v>
      </c>
      <c r="V3713" s="464"/>
      <c r="W3713" s="464"/>
      <c r="X3713" s="464"/>
      <c r="Y3713" s="196"/>
    </row>
    <row r="3714" spans="6:25" ht="36.75" customHeight="1">
      <c r="F3714" s="471">
        <v>9</v>
      </c>
      <c r="G3714" s="474" t="s">
        <v>174</v>
      </c>
      <c r="H3714" s="475" t="s">
        <v>2919</v>
      </c>
      <c r="I3714" s="471">
        <v>350</v>
      </c>
      <c r="J3714" s="474" t="str">
        <f>G3714</f>
        <v>Sqm</v>
      </c>
      <c r="K3714" s="471">
        <f>I3714*F3714</f>
        <v>3150</v>
      </c>
      <c r="L3714" s="469"/>
      <c r="M3714" s="1510"/>
      <c r="N3714" s="462"/>
      <c r="S3714" s="456"/>
      <c r="T3714" s="456"/>
      <c r="U3714" s="464"/>
      <c r="V3714" s="464"/>
      <c r="W3714" s="464"/>
      <c r="X3714" s="464"/>
      <c r="Y3714" s="196"/>
    </row>
    <row r="3715" spans="6:25" ht="36.75" customHeight="1">
      <c r="F3715" s="471">
        <v>9</v>
      </c>
      <c r="G3715" s="474" t="s">
        <v>174</v>
      </c>
      <c r="H3715" s="475" t="s">
        <v>2920</v>
      </c>
      <c r="I3715" s="471">
        <v>860.8</v>
      </c>
      <c r="J3715" s="474" t="str">
        <f>G3715</f>
        <v>Sqm</v>
      </c>
      <c r="K3715" s="471">
        <f>I3715*F3715</f>
        <v>7747.2</v>
      </c>
      <c r="L3715" s="469"/>
      <c r="M3715" s="1510"/>
      <c r="N3715" s="462"/>
      <c r="S3715" s="198">
        <v>14.43</v>
      </c>
      <c r="T3715" s="199" t="s">
        <v>654</v>
      </c>
      <c r="U3715" s="458" t="s">
        <v>2870</v>
      </c>
      <c r="V3715" s="201">
        <f>V3701</f>
        <v>287</v>
      </c>
      <c r="W3715" s="199" t="s">
        <v>654</v>
      </c>
      <c r="X3715" s="201">
        <f>V3715*S3715</f>
        <v>4141.41</v>
      </c>
      <c r="Y3715" s="196"/>
    </row>
    <row r="3716" spans="6:25" ht="36.75" customHeight="1">
      <c r="F3716" s="471">
        <v>9</v>
      </c>
      <c r="G3716" s="474" t="s">
        <v>174</v>
      </c>
      <c r="H3716" s="472" t="s">
        <v>2921</v>
      </c>
      <c r="I3716" s="471">
        <f>R2416</f>
        <v>1204.6823633156966</v>
      </c>
      <c r="J3716" s="474" t="str">
        <f>G3716</f>
        <v>Sqm</v>
      </c>
      <c r="K3716" s="471">
        <f>I3716*F3716</f>
        <v>10842.14126984127</v>
      </c>
      <c r="L3716" s="469"/>
      <c r="M3716" s="1510"/>
      <c r="N3716" s="462"/>
      <c r="S3716" s="459">
        <v>10.433999999999999</v>
      </c>
      <c r="T3716" s="199" t="s">
        <v>231</v>
      </c>
      <c r="U3716" s="202" t="s">
        <v>2892</v>
      </c>
      <c r="V3716" s="201">
        <f t="shared" ref="V3716:V3721" si="338">V3702</f>
        <v>33.89</v>
      </c>
      <c r="W3716" s="199" t="s">
        <v>231</v>
      </c>
      <c r="X3716" s="201">
        <v>501.66</v>
      </c>
      <c r="Y3716" s="196"/>
    </row>
    <row r="3717" spans="6:25" ht="36.75" customHeight="1">
      <c r="F3717" s="471">
        <v>9</v>
      </c>
      <c r="G3717" s="474" t="s">
        <v>174</v>
      </c>
      <c r="H3717" s="469" t="s">
        <v>2922</v>
      </c>
      <c r="I3717" s="471">
        <f>K3725</f>
        <v>1387</v>
      </c>
      <c r="J3717" s="474" t="str">
        <f>G3717</f>
        <v>Sqm</v>
      </c>
      <c r="K3717" s="471">
        <f>I3717*F3717</f>
        <v>12483</v>
      </c>
      <c r="L3717" s="469"/>
      <c r="M3717" s="1510"/>
      <c r="N3717" s="462"/>
      <c r="S3717" s="198">
        <v>2.16</v>
      </c>
      <c r="T3717" s="199" t="s">
        <v>110</v>
      </c>
      <c r="U3717" s="202" t="s">
        <v>2901</v>
      </c>
      <c r="V3717" s="201">
        <f t="shared" si="338"/>
        <v>258.52</v>
      </c>
      <c r="W3717" s="199" t="s">
        <v>110</v>
      </c>
      <c r="X3717" s="201">
        <f>V3717*S3717</f>
        <v>558.40319999999997</v>
      </c>
      <c r="Y3717" s="196"/>
    </row>
    <row r="3718" spans="6:25" ht="36.75" customHeight="1">
      <c r="F3718" s="469"/>
      <c r="G3718" s="469"/>
      <c r="H3718" s="469"/>
      <c r="I3718" s="469"/>
      <c r="J3718" s="469"/>
      <c r="K3718" s="471">
        <f>SUM(K3713:K3717)</f>
        <v>35467.941269841271</v>
      </c>
      <c r="L3718" s="469"/>
      <c r="M3718" s="1510"/>
      <c r="N3718" s="462"/>
      <c r="S3718" s="198">
        <v>6</v>
      </c>
      <c r="T3718" s="199" t="s">
        <v>240</v>
      </c>
      <c r="U3718" s="202" t="s">
        <v>2923</v>
      </c>
      <c r="V3718" s="201">
        <f t="shared" si="338"/>
        <v>13.1</v>
      </c>
      <c r="W3718" s="199" t="s">
        <v>240</v>
      </c>
      <c r="X3718" s="201">
        <f>V3718*S3718</f>
        <v>78.599999999999994</v>
      </c>
      <c r="Y3718" s="207"/>
    </row>
    <row r="3719" spans="6:25" ht="36.75" customHeight="1">
      <c r="F3719" s="469"/>
      <c r="G3719" s="469"/>
      <c r="H3719" s="469" t="s">
        <v>2924</v>
      </c>
      <c r="I3719" s="469"/>
      <c r="J3719" s="474"/>
      <c r="K3719" s="471">
        <f>K3718/9</f>
        <v>3940.8823633156967</v>
      </c>
      <c r="L3719" s="469"/>
      <c r="M3719" s="1510"/>
      <c r="N3719" s="462"/>
      <c r="S3719" s="198">
        <v>2</v>
      </c>
      <c r="T3719" s="199" t="s">
        <v>240</v>
      </c>
      <c r="U3719" s="202" t="s">
        <v>2925</v>
      </c>
      <c r="V3719" s="201">
        <f t="shared" si="338"/>
        <v>62.8</v>
      </c>
      <c r="W3719" s="199" t="s">
        <v>2876</v>
      </c>
      <c r="X3719" s="201">
        <f>V3719*S3719</f>
        <v>125.6</v>
      </c>
      <c r="Y3719" s="196"/>
    </row>
    <row r="3720" spans="6:25" ht="24" customHeight="1">
      <c r="F3720" s="469"/>
      <c r="G3720" s="469"/>
      <c r="H3720" s="476" t="s">
        <v>2926</v>
      </c>
      <c r="I3720" s="470" t="s">
        <v>2927</v>
      </c>
      <c r="J3720" s="469"/>
      <c r="K3720" s="477">
        <v>3282</v>
      </c>
      <c r="L3720" s="469"/>
      <c r="M3720" s="470"/>
      <c r="N3720" s="462"/>
      <c r="S3720" s="198">
        <v>3</v>
      </c>
      <c r="T3720" s="199" t="s">
        <v>240</v>
      </c>
      <c r="U3720" s="202" t="s">
        <v>2928</v>
      </c>
      <c r="V3720" s="201">
        <f t="shared" si="338"/>
        <v>29.5</v>
      </c>
      <c r="W3720" s="199" t="s">
        <v>1</v>
      </c>
      <c r="X3720" s="201">
        <f>V3720*S3720</f>
        <v>88.5</v>
      </c>
      <c r="Y3720" s="196"/>
    </row>
    <row r="3721" spans="6:25" ht="24" customHeight="1">
      <c r="F3721" s="469"/>
      <c r="G3721" s="469"/>
      <c r="H3721" s="469" t="s">
        <v>2929</v>
      </c>
      <c r="I3721" s="469"/>
      <c r="J3721" s="469"/>
      <c r="K3721" s="469"/>
      <c r="L3721" s="469"/>
      <c r="M3721" s="1510"/>
      <c r="N3721" s="462"/>
      <c r="S3721" s="198">
        <v>1.823</v>
      </c>
      <c r="T3721" s="199" t="s">
        <v>174</v>
      </c>
      <c r="U3721" s="202" t="s">
        <v>1824</v>
      </c>
      <c r="V3721" s="201">
        <f t="shared" si="338"/>
        <v>1540</v>
      </c>
      <c r="W3721" s="199" t="s">
        <v>174</v>
      </c>
      <c r="X3721" s="201">
        <f>V3721*S3721</f>
        <v>2807.42</v>
      </c>
      <c r="Y3721" s="196"/>
    </row>
    <row r="3722" spans="6:25" ht="24" customHeight="1">
      <c r="F3722" s="471">
        <v>1</v>
      </c>
      <c r="G3722" s="474" t="s">
        <v>188</v>
      </c>
      <c r="H3722" s="471" t="s">
        <v>2930</v>
      </c>
      <c r="I3722" s="471">
        <f>AE17</f>
        <v>679</v>
      </c>
      <c r="J3722" s="474" t="s">
        <v>188</v>
      </c>
      <c r="K3722" s="469">
        <f>I3722*F3722</f>
        <v>679</v>
      </c>
      <c r="L3722" s="469"/>
      <c r="M3722" s="1510"/>
      <c r="N3722" s="462"/>
      <c r="S3722" s="50"/>
      <c r="T3722" s="75" t="s">
        <v>166</v>
      </c>
      <c r="U3722" s="50" t="s">
        <v>2911</v>
      </c>
      <c r="V3722" s="50"/>
      <c r="W3722" s="59" t="s">
        <v>166</v>
      </c>
      <c r="X3722" s="50">
        <v>110</v>
      </c>
      <c r="Y3722" s="196"/>
    </row>
    <row r="3723" spans="6:25" ht="24" customHeight="1">
      <c r="F3723" s="471">
        <v>1</v>
      </c>
      <c r="G3723" s="474" t="s">
        <v>188</v>
      </c>
      <c r="H3723" s="472" t="s">
        <v>146</v>
      </c>
      <c r="I3723" s="471">
        <f>AE11</f>
        <v>502</v>
      </c>
      <c r="J3723" s="474" t="s">
        <v>188</v>
      </c>
      <c r="K3723" s="469">
        <f>I3723*F3723</f>
        <v>502</v>
      </c>
      <c r="L3723" s="469"/>
      <c r="M3723" s="1510"/>
      <c r="N3723" s="462"/>
      <c r="S3723" s="50"/>
      <c r="T3723" s="75"/>
      <c r="U3723" s="50"/>
      <c r="V3723" s="50"/>
      <c r="W3723" s="59"/>
      <c r="X3723" s="50">
        <f>SUM(X3715:X3722)</f>
        <v>8411.5931999999993</v>
      </c>
      <c r="Y3723" s="196"/>
    </row>
    <row r="3724" spans="6:25" ht="24" customHeight="1">
      <c r="F3724" s="471">
        <v>0.5</v>
      </c>
      <c r="G3724" s="474" t="s">
        <v>188</v>
      </c>
      <c r="H3724" s="472" t="s">
        <v>147</v>
      </c>
      <c r="I3724" s="471">
        <f>AE12</f>
        <v>412</v>
      </c>
      <c r="J3724" s="474" t="s">
        <v>188</v>
      </c>
      <c r="K3724" s="469">
        <f>I3724*F3724</f>
        <v>206</v>
      </c>
      <c r="L3724" s="469"/>
      <c r="M3724" s="1510"/>
      <c r="N3724" s="462"/>
      <c r="X3724" s="50">
        <f>X3723/S3721</f>
        <v>4614.1487657707075</v>
      </c>
      <c r="Y3724" s="196"/>
    </row>
    <row r="3725" spans="6:25" ht="24" customHeight="1">
      <c r="F3725" s="469"/>
      <c r="G3725" s="469"/>
      <c r="H3725" s="469"/>
      <c r="I3725" s="469"/>
      <c r="J3725" s="469"/>
      <c r="K3725" s="469">
        <f>SUM(K3722:K3724)</f>
        <v>1387</v>
      </c>
      <c r="L3725" s="469"/>
      <c r="M3725" s="1510"/>
      <c r="N3725" s="462"/>
      <c r="X3725" s="5">
        <v>3873</v>
      </c>
      <c r="Y3725" s="196"/>
    </row>
    <row r="3726" spans="6:25" ht="24" customHeight="1">
      <c r="F3726" s="469"/>
      <c r="G3726" s="469"/>
      <c r="H3726" s="469"/>
      <c r="I3726" s="469"/>
      <c r="J3726" s="469"/>
      <c r="K3726" s="469"/>
      <c r="L3726" s="469"/>
      <c r="M3726" s="1510"/>
      <c r="N3726" s="462"/>
      <c r="S3726" s="196"/>
      <c r="T3726" s="204"/>
      <c r="U3726" s="196"/>
      <c r="V3726" s="196"/>
      <c r="W3726" s="209"/>
      <c r="X3726" s="210"/>
      <c r="Y3726" s="196"/>
    </row>
    <row r="3727" spans="6:25" ht="24" customHeight="1">
      <c r="F3727" s="462"/>
      <c r="G3727" s="462"/>
      <c r="H3727" s="462"/>
      <c r="I3727" s="462"/>
      <c r="J3727" s="462"/>
      <c r="K3727" s="462"/>
      <c r="L3727" s="462"/>
      <c r="M3727" s="462"/>
      <c r="N3727" s="462"/>
      <c r="S3727" s="5"/>
    </row>
    <row r="3728" spans="6:25" ht="24" customHeight="1">
      <c r="G3728" s="5"/>
      <c r="H3728" s="112"/>
      <c r="J3728" s="5"/>
      <c r="K3728" s="462"/>
      <c r="L3728" s="462"/>
      <c r="M3728" s="462"/>
      <c r="N3728" s="462"/>
    </row>
    <row r="3729" spans="6:14" ht="24" customHeight="1">
      <c r="F3729" s="462"/>
      <c r="G3729" s="462"/>
      <c r="H3729" s="478" t="s">
        <v>2931</v>
      </c>
      <c r="I3729" s="465"/>
      <c r="J3729" s="462"/>
      <c r="K3729" s="462"/>
      <c r="L3729" s="462"/>
      <c r="M3729" s="462"/>
      <c r="N3729" s="462"/>
    </row>
    <row r="3730" spans="6:14" ht="24" customHeight="1">
      <c r="F3730" s="462"/>
      <c r="G3730" s="462"/>
      <c r="H3730" s="462"/>
      <c r="I3730" s="462"/>
      <c r="J3730" s="462"/>
      <c r="K3730" s="462"/>
      <c r="L3730" s="462"/>
      <c r="M3730" s="462"/>
      <c r="N3730" s="462"/>
    </row>
    <row r="3731" spans="6:14" ht="24" customHeight="1">
      <c r="F3731" s="379"/>
      <c r="G3731" s="466"/>
      <c r="H3731" s="479" t="s">
        <v>2932</v>
      </c>
      <c r="I3731" s="379"/>
      <c r="J3731" s="379"/>
      <c r="K3731" s="462"/>
      <c r="L3731" s="462"/>
      <c r="M3731" s="462"/>
      <c r="N3731" s="462"/>
    </row>
    <row r="3732" spans="6:14" ht="24" customHeight="1">
      <c r="F3732" s="379"/>
      <c r="G3732" s="466"/>
      <c r="H3732" s="467"/>
      <c r="I3732" s="379"/>
      <c r="J3732" s="379"/>
      <c r="K3732" s="462"/>
      <c r="L3732" s="462"/>
      <c r="M3732" s="462"/>
      <c r="N3732" s="462"/>
    </row>
    <row r="3733" spans="6:14" ht="24" customHeight="1">
      <c r="F3733" s="462"/>
      <c r="G3733" s="462"/>
      <c r="H3733" s="343" t="s">
        <v>162</v>
      </c>
      <c r="I3733" s="379"/>
      <c r="J3733" s="462"/>
      <c r="K3733" s="462"/>
      <c r="L3733" s="462"/>
      <c r="M3733" s="462"/>
      <c r="N3733" s="462"/>
    </row>
    <row r="3734" spans="6:14" ht="24" customHeight="1">
      <c r="F3734" s="379">
        <v>5</v>
      </c>
      <c r="G3734" s="466" t="s">
        <v>148</v>
      </c>
      <c r="H3734" s="379" t="s">
        <v>163</v>
      </c>
      <c r="I3734" s="379">
        <v>27.3</v>
      </c>
      <c r="J3734" s="466" t="s">
        <v>148</v>
      </c>
      <c r="K3734" s="466">
        <f>I3734*F3734</f>
        <v>136.5</v>
      </c>
      <c r="L3734" s="462"/>
      <c r="M3734" s="462"/>
      <c r="N3734" s="462"/>
    </row>
    <row r="3735" spans="6:14" ht="24" customHeight="1">
      <c r="F3735" s="379">
        <v>1</v>
      </c>
      <c r="G3735" s="466" t="s">
        <v>164</v>
      </c>
      <c r="H3735" s="379" t="s">
        <v>165</v>
      </c>
      <c r="I3735" s="379">
        <f>AE13</f>
        <v>615</v>
      </c>
      <c r="J3735" s="466" t="s">
        <v>164</v>
      </c>
      <c r="K3735" s="466">
        <f>I3735*F3735</f>
        <v>615</v>
      </c>
      <c r="L3735" s="462"/>
      <c r="M3735" s="462"/>
      <c r="N3735" s="462"/>
    </row>
    <row r="3736" spans="6:14" ht="24" customHeight="1">
      <c r="F3736" s="379"/>
      <c r="G3736" s="480" t="s">
        <v>166</v>
      </c>
      <c r="H3736" s="467" t="s">
        <v>167</v>
      </c>
      <c r="I3736" s="462"/>
      <c r="J3736" s="480" t="s">
        <v>166</v>
      </c>
      <c r="K3736" s="466">
        <v>0.8</v>
      </c>
      <c r="L3736" s="462"/>
      <c r="M3736" s="462"/>
      <c r="N3736" s="462"/>
    </row>
    <row r="3737" spans="6:14" ht="24" customHeight="1">
      <c r="F3737" s="462"/>
      <c r="G3737" s="462"/>
      <c r="H3737" s="467" t="s">
        <v>168</v>
      </c>
      <c r="I3737" s="462"/>
      <c r="J3737" s="462"/>
      <c r="K3737" s="481">
        <f>SUM(K3734:K3736)</f>
        <v>752.3</v>
      </c>
      <c r="L3737" s="462"/>
      <c r="M3737" s="462"/>
      <c r="N3737" s="462"/>
    </row>
    <row r="3738" spans="6:14" ht="24" customHeight="1">
      <c r="F3738" s="462"/>
      <c r="G3738" s="462"/>
      <c r="H3738" s="467" t="s">
        <v>169</v>
      </c>
      <c r="I3738" s="462"/>
      <c r="J3738" s="462"/>
      <c r="K3738" s="482">
        <f>K3737/10</f>
        <v>75.22999999999999</v>
      </c>
      <c r="L3738" s="462"/>
      <c r="M3738" s="462"/>
      <c r="N3738" s="462"/>
    </row>
    <row r="3741" spans="6:14" ht="24" customHeight="1">
      <c r="F3741" s="462"/>
      <c r="G3741" s="462"/>
      <c r="H3741" s="462"/>
      <c r="I3741" s="462"/>
      <c r="J3741" s="462"/>
      <c r="K3741" s="462"/>
      <c r="L3741" s="462"/>
      <c r="M3741" s="462"/>
      <c r="N3741" s="462"/>
    </row>
    <row r="3742" spans="6:14" ht="24" customHeight="1">
      <c r="F3742" s="379"/>
      <c r="G3742" s="466"/>
      <c r="H3742" s="479" t="s">
        <v>2933</v>
      </c>
      <c r="I3742" s="379"/>
      <c r="J3742" s="379"/>
      <c r="K3742" s="462"/>
      <c r="L3742" s="462"/>
      <c r="M3742" s="462"/>
      <c r="N3742" s="462"/>
    </row>
    <row r="3743" spans="6:14" ht="24" customHeight="1">
      <c r="F3743" s="379" t="s">
        <v>3</v>
      </c>
      <c r="G3743" s="466" t="s">
        <v>2876</v>
      </c>
      <c r="H3743" s="467"/>
      <c r="I3743" s="379" t="s">
        <v>10</v>
      </c>
      <c r="J3743" s="466" t="s">
        <v>2876</v>
      </c>
      <c r="K3743" s="466" t="s">
        <v>6</v>
      </c>
      <c r="L3743" s="462"/>
      <c r="M3743" s="462"/>
      <c r="N3743" s="462"/>
    </row>
    <row r="3744" spans="6:14" ht="24" customHeight="1">
      <c r="F3744" s="379"/>
      <c r="G3744" s="466"/>
      <c r="H3744" s="467"/>
      <c r="I3744" s="379"/>
      <c r="J3744" s="379"/>
      <c r="K3744" s="462"/>
      <c r="L3744" s="462"/>
      <c r="M3744" s="462"/>
      <c r="N3744" s="462"/>
    </row>
    <row r="3745" spans="6:14" ht="40.5" customHeight="1">
      <c r="F3745" s="379">
        <v>0.15</v>
      </c>
      <c r="G3745" s="466" t="s">
        <v>429</v>
      </c>
      <c r="H3745" s="483" t="s">
        <v>2934</v>
      </c>
      <c r="I3745" s="484">
        <f>I3639</f>
        <v>2525.42</v>
      </c>
      <c r="J3745" s="466" t="s">
        <v>429</v>
      </c>
      <c r="K3745" s="379">
        <f t="shared" ref="K3745:K3750" si="339">I3745*F3745</f>
        <v>378.81299999999999</v>
      </c>
      <c r="L3745" s="462"/>
      <c r="M3745" s="462"/>
      <c r="N3745" s="462"/>
    </row>
    <row r="3746" spans="6:14" ht="24" customHeight="1">
      <c r="F3746" s="485">
        <v>7.1999999999999995E-2</v>
      </c>
      <c r="G3746" s="466" t="s">
        <v>1123</v>
      </c>
      <c r="H3746" s="467" t="s">
        <v>1124</v>
      </c>
      <c r="I3746" s="379">
        <f>I9</f>
        <v>5800</v>
      </c>
      <c r="J3746" s="466" t="s">
        <v>1123</v>
      </c>
      <c r="K3746" s="379">
        <f t="shared" si="339"/>
        <v>417.59999999999997</v>
      </c>
      <c r="L3746" s="462"/>
      <c r="M3746" s="462"/>
      <c r="N3746" s="462"/>
    </row>
    <row r="3747" spans="6:14" ht="24" customHeight="1">
      <c r="F3747" s="379">
        <v>14.5</v>
      </c>
      <c r="G3747" s="466" t="s">
        <v>654</v>
      </c>
      <c r="H3747" s="343" t="s">
        <v>2935</v>
      </c>
      <c r="I3747" s="484">
        <f>P2433</f>
        <v>24.5</v>
      </c>
      <c r="J3747" s="466" t="s">
        <v>654</v>
      </c>
      <c r="K3747" s="379">
        <f t="shared" si="339"/>
        <v>355.25</v>
      </c>
      <c r="L3747" s="462"/>
      <c r="M3747" s="462"/>
      <c r="N3747" s="462"/>
    </row>
    <row r="3748" spans="6:14" ht="24" customHeight="1">
      <c r="F3748" s="379">
        <v>1.6</v>
      </c>
      <c r="G3748" s="466" t="s">
        <v>188</v>
      </c>
      <c r="H3748" s="379" t="s">
        <v>2936</v>
      </c>
      <c r="I3748" s="379">
        <f>AE9</f>
        <v>769</v>
      </c>
      <c r="J3748" s="466" t="s">
        <v>188</v>
      </c>
      <c r="K3748" s="379">
        <f t="shared" si="339"/>
        <v>1230.4000000000001</v>
      </c>
      <c r="L3748" s="462"/>
      <c r="M3748" s="462"/>
      <c r="N3748" s="462"/>
    </row>
    <row r="3749" spans="6:14" ht="24" customHeight="1">
      <c r="F3749" s="379">
        <v>0.5</v>
      </c>
      <c r="G3749" s="466" t="s">
        <v>188</v>
      </c>
      <c r="H3749" s="467" t="s">
        <v>146</v>
      </c>
      <c r="I3749" s="379">
        <f>AE11</f>
        <v>502</v>
      </c>
      <c r="J3749" s="466" t="s">
        <v>188</v>
      </c>
      <c r="K3749" s="379">
        <f t="shared" si="339"/>
        <v>251</v>
      </c>
      <c r="L3749" s="462"/>
      <c r="M3749" s="462"/>
      <c r="N3749" s="462"/>
    </row>
    <row r="3750" spans="6:14" ht="24" customHeight="1">
      <c r="F3750" s="379">
        <v>1.1000000000000001</v>
      </c>
      <c r="G3750" s="466" t="s">
        <v>188</v>
      </c>
      <c r="H3750" s="467" t="s">
        <v>147</v>
      </c>
      <c r="I3750" s="379">
        <v>280</v>
      </c>
      <c r="J3750" s="466" t="s">
        <v>188</v>
      </c>
      <c r="K3750" s="379">
        <f t="shared" si="339"/>
        <v>308</v>
      </c>
      <c r="L3750" s="462"/>
      <c r="M3750" s="462"/>
      <c r="N3750" s="462"/>
    </row>
    <row r="3751" spans="6:14" ht="24" customHeight="1">
      <c r="F3751" s="379"/>
      <c r="G3751" s="466"/>
      <c r="H3751" s="467" t="s">
        <v>167</v>
      </c>
      <c r="I3751" s="486" t="s">
        <v>166</v>
      </c>
      <c r="J3751" s="466"/>
      <c r="K3751" s="379">
        <v>52.63</v>
      </c>
      <c r="L3751" s="462"/>
      <c r="M3751" s="462"/>
      <c r="N3751" s="462"/>
    </row>
    <row r="3752" spans="6:14" ht="24" customHeight="1">
      <c r="F3752" s="379"/>
      <c r="G3752" s="466"/>
      <c r="H3752" s="467" t="s">
        <v>168</v>
      </c>
      <c r="I3752" s="462"/>
      <c r="J3752" s="462"/>
      <c r="K3752" s="379">
        <f>SUM(K3745:K3751)</f>
        <v>2993.6930000000002</v>
      </c>
      <c r="L3752" s="462"/>
      <c r="M3752" s="462"/>
      <c r="N3752" s="462"/>
    </row>
    <row r="3753" spans="6:14" ht="24" customHeight="1">
      <c r="F3753" s="462"/>
      <c r="G3753" s="462"/>
      <c r="H3753" s="467" t="s">
        <v>169</v>
      </c>
      <c r="I3753" s="462"/>
      <c r="J3753" s="462"/>
      <c r="K3753" s="487">
        <f>K3752/10</f>
        <v>299.36930000000001</v>
      </c>
      <c r="L3753" s="462"/>
      <c r="M3753" s="462"/>
      <c r="N3753" s="462"/>
    </row>
    <row r="3754" spans="6:14" ht="24" customHeight="1">
      <c r="F3754" s="462"/>
      <c r="G3754" s="462"/>
      <c r="H3754" s="462"/>
      <c r="I3754" s="462"/>
      <c r="J3754" s="462"/>
      <c r="K3754" s="462"/>
      <c r="L3754" s="462"/>
      <c r="M3754" s="462"/>
      <c r="N3754" s="462"/>
    </row>
    <row r="3755" spans="6:14" ht="24" customHeight="1">
      <c r="F3755" s="38"/>
      <c r="G3755" s="15" t="s">
        <v>122</v>
      </c>
      <c r="I3755" s="488"/>
      <c r="J3755" s="489"/>
    </row>
    <row r="3756" spans="6:14" ht="24" customHeight="1">
      <c r="H3756" s="3"/>
    </row>
    <row r="3757" spans="6:14" ht="24" customHeight="1">
      <c r="H3757" s="490" t="s">
        <v>2937</v>
      </c>
    </row>
    <row r="3758" spans="6:14" ht="24" customHeight="1">
      <c r="H3758" s="12" t="s">
        <v>117</v>
      </c>
    </row>
    <row r="3759" spans="6:14" ht="24" customHeight="1">
      <c r="F3759" s="17">
        <v>21.55</v>
      </c>
      <c r="G3759" s="15" t="s">
        <v>148</v>
      </c>
      <c r="H3759" s="3" t="s">
        <v>2938</v>
      </c>
      <c r="I3759" s="17">
        <f>I3735</f>
        <v>615</v>
      </c>
      <c r="J3759" s="15" t="s">
        <v>148</v>
      </c>
      <c r="K3759" s="17">
        <f>I3759*F3759</f>
        <v>13253.25</v>
      </c>
    </row>
    <row r="3760" spans="6:14" ht="24" customHeight="1">
      <c r="F3760" s="17"/>
      <c r="G3760" s="15"/>
      <c r="H3760" s="3" t="s">
        <v>2939</v>
      </c>
      <c r="I3760" s="17"/>
      <c r="J3760" s="15"/>
      <c r="K3760" s="17">
        <f>K3759*10/100</f>
        <v>1325.325</v>
      </c>
    </row>
    <row r="3761" spans="6:11" ht="24" customHeight="1">
      <c r="F3761" s="17">
        <v>3.7</v>
      </c>
      <c r="G3761" s="15" t="s">
        <v>148</v>
      </c>
      <c r="H3761" s="3" t="s">
        <v>2940</v>
      </c>
      <c r="I3761" s="17">
        <f>Y32</f>
        <v>45000</v>
      </c>
      <c r="J3761" s="15" t="s">
        <v>1123</v>
      </c>
      <c r="K3761" s="17">
        <f>I3761*F3761/10000</f>
        <v>16.649999999999999</v>
      </c>
    </row>
    <row r="3762" spans="6:11" ht="24" customHeight="1">
      <c r="F3762" s="462"/>
      <c r="G3762" s="462"/>
      <c r="H3762" s="3" t="s">
        <v>2941</v>
      </c>
      <c r="I3762" s="17"/>
      <c r="J3762" s="3"/>
      <c r="K3762" s="17">
        <f>K3761*5/100</f>
        <v>0.83250000000000002</v>
      </c>
    </row>
    <row r="3763" spans="6:11" ht="24" customHeight="1">
      <c r="F3763" s="17">
        <v>18</v>
      </c>
      <c r="G3763" s="15" t="s">
        <v>1576</v>
      </c>
      <c r="H3763" s="3" t="s">
        <v>2942</v>
      </c>
      <c r="I3763" s="17">
        <v>15</v>
      </c>
      <c r="J3763" s="15" t="s">
        <v>240</v>
      </c>
      <c r="K3763" s="17">
        <f>I3763*F3763</f>
        <v>270</v>
      </c>
    </row>
    <row r="3764" spans="6:11" ht="24" customHeight="1">
      <c r="F3764" s="17"/>
      <c r="G3764" s="15"/>
      <c r="H3764" s="3" t="s">
        <v>2943</v>
      </c>
      <c r="I3764" s="17"/>
      <c r="J3764" s="3"/>
      <c r="K3764" s="17">
        <f>K3763*10/100</f>
        <v>27</v>
      </c>
    </row>
    <row r="3765" spans="6:11" ht="24" customHeight="1">
      <c r="F3765" s="17">
        <v>28</v>
      </c>
      <c r="G3765" s="15" t="s">
        <v>1576</v>
      </c>
      <c r="H3765" s="3" t="s">
        <v>2944</v>
      </c>
      <c r="I3765" s="17">
        <v>1</v>
      </c>
      <c r="J3765" s="15" t="s">
        <v>1576</v>
      </c>
      <c r="K3765" s="17">
        <f>I3765*F3765</f>
        <v>28</v>
      </c>
    </row>
    <row r="3766" spans="6:11" ht="33" customHeight="1">
      <c r="F3766" s="17">
        <v>28</v>
      </c>
      <c r="G3766" s="15" t="s">
        <v>1576</v>
      </c>
      <c r="H3766" s="3" t="s">
        <v>2945</v>
      </c>
      <c r="I3766" s="17">
        <v>2</v>
      </c>
      <c r="J3766" s="15" t="s">
        <v>1576</v>
      </c>
      <c r="K3766" s="17">
        <f>I3766*F3766</f>
        <v>56</v>
      </c>
    </row>
    <row r="3767" spans="6:11" ht="36" customHeight="1">
      <c r="F3767" s="17">
        <v>4</v>
      </c>
      <c r="G3767" s="15" t="s">
        <v>1576</v>
      </c>
      <c r="H3767" s="220" t="s">
        <v>2946</v>
      </c>
      <c r="I3767" s="17">
        <f>AE17</f>
        <v>679</v>
      </c>
      <c r="J3767" s="15" t="s">
        <v>1576</v>
      </c>
      <c r="K3767" s="17">
        <f>I3767*F3767</f>
        <v>2716</v>
      </c>
    </row>
    <row r="3768" spans="6:11" ht="24" customHeight="1">
      <c r="F3768" s="17">
        <v>2</v>
      </c>
      <c r="G3768" s="15" t="s">
        <v>1576</v>
      </c>
      <c r="H3768" s="275" t="s">
        <v>2947</v>
      </c>
      <c r="I3768" s="17">
        <f>AE19</f>
        <v>752</v>
      </c>
      <c r="J3768" s="15" t="s">
        <v>1576</v>
      </c>
      <c r="K3768" s="17">
        <f>I3768*F3768</f>
        <v>1504</v>
      </c>
    </row>
    <row r="3769" spans="6:11" ht="24" customHeight="1">
      <c r="F3769" s="17">
        <v>6</v>
      </c>
      <c r="G3769" s="15" t="s">
        <v>1576</v>
      </c>
      <c r="H3769" s="275" t="s">
        <v>2948</v>
      </c>
      <c r="I3769" s="17">
        <f>AE11</f>
        <v>502</v>
      </c>
      <c r="J3769" s="15" t="s">
        <v>1576</v>
      </c>
      <c r="K3769" s="17">
        <f>I3769*F3769</f>
        <v>3012</v>
      </c>
    </row>
    <row r="3770" spans="6:11" ht="24" customHeight="1">
      <c r="F3770" s="17"/>
      <c r="G3770" s="15" t="s">
        <v>129</v>
      </c>
      <c r="H3770" s="3" t="s">
        <v>167</v>
      </c>
      <c r="I3770" s="3" t="s">
        <v>115</v>
      </c>
      <c r="J3770" s="3" t="s">
        <v>129</v>
      </c>
      <c r="K3770" s="17">
        <v>5.38</v>
      </c>
    </row>
    <row r="3771" spans="6:11" ht="24" customHeight="1">
      <c r="F3771" s="17"/>
      <c r="G3771" s="15"/>
      <c r="H3771" s="3"/>
      <c r="I3771" s="17"/>
      <c r="J3771" s="15"/>
      <c r="K3771" s="17"/>
    </row>
    <row r="3772" spans="6:11" ht="24" customHeight="1">
      <c r="H3772" s="3" t="s">
        <v>2949</v>
      </c>
      <c r="K3772" s="17">
        <f>SUM(K3759:K3771)</f>
        <v>22214.437500000004</v>
      </c>
    </row>
    <row r="3773" spans="6:11" ht="24" customHeight="1">
      <c r="K3773" s="12" t="s">
        <v>117</v>
      </c>
    </row>
    <row r="3774" spans="6:11" ht="24" customHeight="1">
      <c r="H3774" s="14" t="s">
        <v>2950</v>
      </c>
      <c r="I3774" s="50"/>
      <c r="J3774" s="191" t="s">
        <v>2433</v>
      </c>
      <c r="K3774" s="16">
        <f>K3772/18</f>
        <v>1234.135416666667</v>
      </c>
    </row>
    <row r="3775" spans="6:11" ht="24" customHeight="1">
      <c r="H3775" s="14"/>
      <c r="I3775" s="50"/>
      <c r="J3775" s="191"/>
      <c r="K3775" s="12" t="s">
        <v>117</v>
      </c>
    </row>
    <row r="3776" spans="6:11" ht="24" customHeight="1">
      <c r="H3776" s="14"/>
      <c r="I3776" s="50"/>
      <c r="J3776" s="191"/>
      <c r="K3776" s="16"/>
    </row>
    <row r="3777" spans="6:12" ht="24" customHeight="1">
      <c r="F3777" s="462"/>
      <c r="G3777" s="462"/>
      <c r="H3777" s="491" t="s">
        <v>2951</v>
      </c>
      <c r="I3777" s="462"/>
      <c r="J3777" s="462"/>
      <c r="K3777" s="462"/>
      <c r="L3777" s="462"/>
    </row>
    <row r="3778" spans="6:12" ht="24" customHeight="1">
      <c r="G3778" s="456" t="s">
        <v>2952</v>
      </c>
      <c r="H3778" s="456"/>
      <c r="I3778" s="456"/>
      <c r="J3778" s="456"/>
      <c r="K3778" s="457"/>
      <c r="L3778" s="457"/>
    </row>
    <row r="3779" spans="6:12" ht="24" customHeight="1">
      <c r="G3779" s="198"/>
      <c r="H3779" s="199"/>
      <c r="I3779" s="200"/>
      <c r="J3779" s="201"/>
      <c r="K3779" s="199"/>
      <c r="L3779" s="201"/>
    </row>
    <row r="3780" spans="6:12" ht="24" customHeight="1">
      <c r="G3780" s="198"/>
      <c r="H3780" s="199"/>
      <c r="I3780" s="202"/>
      <c r="J3780" s="201"/>
      <c r="K3780" s="199"/>
      <c r="L3780" s="201"/>
    </row>
    <row r="3781" spans="6:12" ht="24" customHeight="1">
      <c r="F3781" s="198">
        <v>38.86</v>
      </c>
      <c r="G3781" s="199" t="s">
        <v>654</v>
      </c>
      <c r="H3781" s="202" t="s">
        <v>2953</v>
      </c>
      <c r="I3781" s="201">
        <f>AB1350</f>
        <v>287</v>
      </c>
      <c r="J3781" s="199" t="s">
        <v>654</v>
      </c>
      <c r="K3781" s="201">
        <f t="shared" ref="K3781:K3788" si="340">I3781*F3781</f>
        <v>11152.82</v>
      </c>
      <c r="L3781" s="196"/>
    </row>
    <row r="3782" spans="6:12" ht="24" customHeight="1">
      <c r="F3782" s="198">
        <v>2.4300000000000002</v>
      </c>
      <c r="G3782" s="492" t="s">
        <v>110</v>
      </c>
      <c r="H3782" s="493" t="s">
        <v>2874</v>
      </c>
      <c r="I3782" s="201">
        <v>336</v>
      </c>
      <c r="J3782" s="199" t="s">
        <v>110</v>
      </c>
      <c r="K3782" s="201">
        <f t="shared" si="340"/>
        <v>816.48</v>
      </c>
      <c r="L3782" s="196"/>
    </row>
    <row r="3783" spans="6:12" ht="24" customHeight="1">
      <c r="F3783" s="198">
        <v>4.8499999999999996</v>
      </c>
      <c r="G3783" s="492" t="s">
        <v>110</v>
      </c>
      <c r="H3783" s="493" t="s">
        <v>2875</v>
      </c>
      <c r="I3783" s="201">
        <v>695</v>
      </c>
      <c r="J3783" s="199" t="s">
        <v>1</v>
      </c>
      <c r="K3783" s="201">
        <f t="shared" si="340"/>
        <v>3370.7499999999995</v>
      </c>
      <c r="L3783" s="196"/>
    </row>
    <row r="3784" spans="6:12" ht="24" customHeight="1">
      <c r="F3784" s="459">
        <v>34.65</v>
      </c>
      <c r="G3784" s="492" t="s">
        <v>231</v>
      </c>
      <c r="H3784" s="493" t="s">
        <v>2892</v>
      </c>
      <c r="I3784" s="201">
        <v>35.5</v>
      </c>
      <c r="J3784" s="199" t="s">
        <v>231</v>
      </c>
      <c r="K3784" s="201">
        <f t="shared" si="340"/>
        <v>1230.075</v>
      </c>
      <c r="L3784" s="196"/>
    </row>
    <row r="3785" spans="6:12" ht="24" customHeight="1">
      <c r="F3785" s="443">
        <v>144</v>
      </c>
      <c r="G3785" s="494" t="s">
        <v>1576</v>
      </c>
      <c r="H3785" s="495" t="s">
        <v>2954</v>
      </c>
      <c r="I3785" s="461">
        <v>2.25</v>
      </c>
      <c r="J3785" s="445" t="s">
        <v>164</v>
      </c>
      <c r="K3785" s="201">
        <f t="shared" si="340"/>
        <v>324</v>
      </c>
      <c r="L3785" s="196"/>
    </row>
    <row r="3786" spans="6:12" ht="24" customHeight="1">
      <c r="F3786" s="443">
        <v>12</v>
      </c>
      <c r="G3786" s="494" t="s">
        <v>1576</v>
      </c>
      <c r="H3786" s="495" t="s">
        <v>2955</v>
      </c>
      <c r="I3786" s="461">
        <v>4.55</v>
      </c>
      <c r="J3786" s="445" t="s">
        <v>164</v>
      </c>
      <c r="K3786" s="201">
        <f t="shared" si="340"/>
        <v>54.599999999999994</v>
      </c>
      <c r="L3786" s="196"/>
    </row>
    <row r="3787" spans="6:12" ht="24" customHeight="1">
      <c r="F3787" s="443">
        <v>12</v>
      </c>
      <c r="G3787" s="494" t="s">
        <v>1576</v>
      </c>
      <c r="H3787" s="495" t="s">
        <v>2956</v>
      </c>
      <c r="I3787" s="461">
        <v>1</v>
      </c>
      <c r="J3787" s="445" t="s">
        <v>164</v>
      </c>
      <c r="K3787" s="201">
        <f t="shared" si="340"/>
        <v>12</v>
      </c>
      <c r="L3787" s="196"/>
    </row>
    <row r="3788" spans="6:12" ht="24" customHeight="1">
      <c r="F3788" s="198">
        <v>2</v>
      </c>
      <c r="G3788" s="492" t="s">
        <v>2876</v>
      </c>
      <c r="H3788" s="493" t="s">
        <v>2957</v>
      </c>
      <c r="I3788" s="201">
        <v>11.1</v>
      </c>
      <c r="J3788" s="199" t="s">
        <v>2876</v>
      </c>
      <c r="K3788" s="201">
        <f t="shared" si="340"/>
        <v>22.2</v>
      </c>
      <c r="L3788" s="196"/>
    </row>
    <row r="3789" spans="6:12" ht="24" customHeight="1">
      <c r="F3789" s="198">
        <v>6.6150000000000002</v>
      </c>
      <c r="G3789" s="492" t="s">
        <v>174</v>
      </c>
      <c r="H3789" s="493" t="s">
        <v>1824</v>
      </c>
      <c r="I3789" s="196">
        <f>K3799</f>
        <v>1540</v>
      </c>
      <c r="J3789" s="199" t="s">
        <v>174</v>
      </c>
      <c r="K3789" s="201">
        <f>1059.95*6.615</f>
        <v>7011.5692500000005</v>
      </c>
      <c r="L3789" s="196"/>
    </row>
    <row r="3790" spans="6:12" ht="24" customHeight="1">
      <c r="F3790" s="198"/>
      <c r="G3790" s="492"/>
      <c r="H3790" s="493"/>
      <c r="I3790" s="196"/>
      <c r="J3790" s="203"/>
      <c r="K3790" s="201"/>
      <c r="L3790" s="196"/>
    </row>
    <row r="3791" spans="6:12" ht="24" customHeight="1">
      <c r="F3791" s="198"/>
      <c r="G3791" s="492"/>
      <c r="H3791" s="83" t="s">
        <v>2958</v>
      </c>
      <c r="J3791" s="199"/>
      <c r="K3791" s="201">
        <f>SUM(K3781:K3790)</f>
        <v>23994.49425</v>
      </c>
      <c r="L3791" s="196"/>
    </row>
    <row r="3792" spans="6:12" ht="24" customHeight="1">
      <c r="F3792" s="198"/>
      <c r="G3792" s="492"/>
      <c r="H3792" s="83" t="s">
        <v>154</v>
      </c>
      <c r="J3792" s="457"/>
      <c r="K3792" s="205">
        <f>K3791/6.615</f>
        <v>3627.2856009070292</v>
      </c>
      <c r="L3792" s="207" t="s">
        <v>227</v>
      </c>
    </row>
    <row r="3793" spans="6:12" ht="24" customHeight="1">
      <c r="F3793" s="196"/>
      <c r="G3793" s="496"/>
      <c r="H3793" s="497"/>
      <c r="I3793" s="196"/>
      <c r="J3793" s="196"/>
      <c r="K3793" s="196"/>
      <c r="L3793" s="196"/>
    </row>
    <row r="3794" spans="6:12" ht="24" customHeight="1">
      <c r="F3794" s="201">
        <v>1</v>
      </c>
      <c r="G3794" s="199" t="s">
        <v>209</v>
      </c>
      <c r="H3794" s="202" t="s">
        <v>1827</v>
      </c>
      <c r="I3794" s="201">
        <f>AE17</f>
        <v>679</v>
      </c>
      <c r="J3794" s="202" t="s">
        <v>209</v>
      </c>
      <c r="K3794" s="201">
        <f>I3794*F3794</f>
        <v>679</v>
      </c>
      <c r="L3794" s="196"/>
    </row>
    <row r="3795" spans="6:12" ht="24" customHeight="1">
      <c r="F3795" s="201">
        <v>1</v>
      </c>
      <c r="G3795" s="199" t="s">
        <v>209</v>
      </c>
      <c r="H3795" s="202" t="s">
        <v>1828</v>
      </c>
      <c r="I3795" s="201">
        <f>AE11</f>
        <v>502</v>
      </c>
      <c r="J3795" s="202" t="s">
        <v>209</v>
      </c>
      <c r="K3795" s="201">
        <f>I3795*F3795</f>
        <v>502</v>
      </c>
      <c r="L3795" s="196"/>
    </row>
    <row r="3796" spans="6:12" ht="24" customHeight="1">
      <c r="F3796" s="201">
        <v>0.5</v>
      </c>
      <c r="G3796" s="199" t="s">
        <v>209</v>
      </c>
      <c r="H3796" s="202" t="s">
        <v>1829</v>
      </c>
      <c r="I3796" s="201">
        <f>AE20</f>
        <v>718</v>
      </c>
      <c r="J3796" s="202" t="s">
        <v>209</v>
      </c>
      <c r="K3796" s="201">
        <f>I3796*F3796</f>
        <v>359</v>
      </c>
      <c r="L3796" s="196"/>
    </row>
    <row r="3797" spans="6:12" ht="24" customHeight="1">
      <c r="F3797" s="196"/>
      <c r="G3797" s="199" t="s">
        <v>129</v>
      </c>
      <c r="H3797" s="202"/>
      <c r="I3797" s="201"/>
      <c r="J3797" s="202" t="s">
        <v>129</v>
      </c>
      <c r="K3797" s="201"/>
      <c r="L3797" s="196"/>
    </row>
    <row r="3798" spans="6:12" ht="24" customHeight="1">
      <c r="G3798" s="196"/>
      <c r="H3798" s="204"/>
      <c r="I3798" s="196"/>
      <c r="J3798" s="196"/>
      <c r="K3798" s="210" t="s">
        <v>117</v>
      </c>
      <c r="L3798" s="462"/>
    </row>
    <row r="3799" spans="6:12" ht="24" customHeight="1">
      <c r="G3799" s="196"/>
      <c r="H3799" s="204"/>
      <c r="I3799" s="202" t="s">
        <v>1830</v>
      </c>
      <c r="J3799" s="196"/>
      <c r="K3799" s="205">
        <f>SUM(K3794:K3798)</f>
        <v>1540</v>
      </c>
      <c r="L3799" s="462"/>
    </row>
    <row r="3800" spans="6:12" ht="24" customHeight="1">
      <c r="G3800" s="196"/>
      <c r="H3800" s="204"/>
      <c r="I3800" s="196"/>
      <c r="J3800" s="196"/>
      <c r="K3800" s="210" t="s">
        <v>117</v>
      </c>
      <c r="L3800" s="462"/>
    </row>
    <row r="3801" spans="6:12" ht="24" customHeight="1">
      <c r="G3801" s="5"/>
      <c r="J3801" s="5"/>
      <c r="K3801" s="9"/>
    </row>
    <row r="3802" spans="6:12" ht="24" customHeight="1">
      <c r="F3802" s="51"/>
      <c r="G3802" s="15" t="s">
        <v>122</v>
      </c>
      <c r="H3802" s="3" t="s">
        <v>1672</v>
      </c>
    </row>
    <row r="3803" spans="6:12" ht="24" customHeight="1">
      <c r="H3803" s="3"/>
    </row>
    <row r="3804" spans="6:12" ht="24" customHeight="1">
      <c r="H3804" s="12" t="s">
        <v>117</v>
      </c>
    </row>
    <row r="3805" spans="6:12" ht="24" customHeight="1">
      <c r="F3805" s="17">
        <v>1.86</v>
      </c>
      <c r="G3805" s="15" t="s">
        <v>140</v>
      </c>
      <c r="H3805" s="3" t="s">
        <v>1673</v>
      </c>
      <c r="I3805" s="24">
        <v>699.4</v>
      </c>
      <c r="J3805" s="3" t="s">
        <v>140</v>
      </c>
      <c r="K3805" s="17">
        <f>(F3805*I3805)</f>
        <v>1300.884</v>
      </c>
    </row>
    <row r="3806" spans="6:12" ht="24" customHeight="1">
      <c r="F3806" s="17">
        <v>0.4</v>
      </c>
      <c r="G3806" s="15" t="s">
        <v>148</v>
      </c>
      <c r="H3806" s="3" t="s">
        <v>1641</v>
      </c>
      <c r="I3806" s="181">
        <f>I3462</f>
        <v>36.1</v>
      </c>
      <c r="J3806" s="3" t="s">
        <v>148</v>
      </c>
      <c r="K3806" s="17">
        <f>(F3806*I3806)</f>
        <v>14.440000000000001</v>
      </c>
    </row>
    <row r="3807" spans="6:12" ht="24" customHeight="1">
      <c r="F3807" s="17">
        <v>0.02</v>
      </c>
      <c r="G3807" s="15" t="s">
        <v>126</v>
      </c>
      <c r="H3807" s="3" t="s">
        <v>1664</v>
      </c>
      <c r="I3807" s="17">
        <f>K23</f>
        <v>5585.8</v>
      </c>
      <c r="J3807" s="3" t="s">
        <v>126</v>
      </c>
      <c r="K3807" s="17">
        <f>(F3807*I3807)</f>
        <v>111.71600000000001</v>
      </c>
    </row>
    <row r="3808" spans="6:12" ht="24" customHeight="1">
      <c r="F3808" s="17">
        <v>1</v>
      </c>
      <c r="G3808" s="15" t="s">
        <v>1</v>
      </c>
      <c r="H3808" s="3" t="s">
        <v>144</v>
      </c>
      <c r="I3808" s="17">
        <f>I3748</f>
        <v>769</v>
      </c>
      <c r="J3808" s="3" t="s">
        <v>1</v>
      </c>
      <c r="K3808" s="17">
        <f>(F3808*I3808)</f>
        <v>769</v>
      </c>
    </row>
    <row r="3809" spans="6:11" ht="24" customHeight="1">
      <c r="F3809" s="17">
        <v>1</v>
      </c>
      <c r="G3809" s="15" t="s">
        <v>1</v>
      </c>
      <c r="H3809" s="3" t="s">
        <v>1666</v>
      </c>
      <c r="I3809" s="17">
        <f>I3795</f>
        <v>502</v>
      </c>
      <c r="J3809" s="3" t="s">
        <v>1</v>
      </c>
      <c r="K3809" s="17">
        <f>(F3809*I3809)</f>
        <v>502</v>
      </c>
    </row>
    <row r="3810" spans="6:11" ht="24" customHeight="1">
      <c r="G3810" s="15" t="s">
        <v>129</v>
      </c>
      <c r="H3810" s="3" t="s">
        <v>130</v>
      </c>
      <c r="J3810" s="3" t="s">
        <v>129</v>
      </c>
      <c r="K3810" s="17"/>
    </row>
    <row r="3811" spans="6:11" ht="24" customHeight="1">
      <c r="K3811" s="12" t="s">
        <v>117</v>
      </c>
    </row>
    <row r="3812" spans="6:11" ht="24" customHeight="1">
      <c r="H3812" s="3" t="s">
        <v>1669</v>
      </c>
      <c r="K3812" s="17">
        <f>SUM(K3805:K3810)</f>
        <v>2698.04</v>
      </c>
    </row>
    <row r="3813" spans="6:11" ht="24" customHeight="1">
      <c r="K3813" s="12" t="s">
        <v>117</v>
      </c>
    </row>
    <row r="3814" spans="6:11" ht="24" customHeight="1">
      <c r="H3814" s="19" t="s">
        <v>154</v>
      </c>
      <c r="K3814" s="16">
        <f>(K3812/1.86)</f>
        <v>1450.5591397849462</v>
      </c>
    </row>
    <row r="3815" spans="6:11" ht="24" customHeight="1">
      <c r="K3815" s="12" t="s">
        <v>155</v>
      </c>
    </row>
    <row r="3817" spans="6:11" ht="24" customHeight="1">
      <c r="F3817" s="51"/>
      <c r="G3817" s="15" t="s">
        <v>122</v>
      </c>
      <c r="H3817" s="3" t="s">
        <v>1670</v>
      </c>
    </row>
    <row r="3818" spans="6:11" ht="24" customHeight="1">
      <c r="H3818" s="3"/>
    </row>
    <row r="3819" spans="6:11" ht="24" customHeight="1">
      <c r="H3819" s="3"/>
    </row>
    <row r="3820" spans="6:11" ht="24" customHeight="1">
      <c r="H3820" s="12" t="s">
        <v>117</v>
      </c>
      <c r="I3820" s="12" t="s">
        <v>117</v>
      </c>
    </row>
    <row r="3821" spans="6:11" ht="36" customHeight="1">
      <c r="F3821" s="17">
        <v>10</v>
      </c>
      <c r="G3821" s="15" t="s">
        <v>140</v>
      </c>
      <c r="H3821" s="66" t="s">
        <v>1671</v>
      </c>
      <c r="I3821" s="24">
        <v>538.21</v>
      </c>
      <c r="J3821" s="3" t="s">
        <v>140</v>
      </c>
      <c r="K3821" s="17">
        <f>(F3821*I3821)</f>
        <v>5382.1</v>
      </c>
    </row>
    <row r="3822" spans="6:11" ht="32.25" customHeight="1">
      <c r="F3822" s="17">
        <v>0.21</v>
      </c>
      <c r="G3822" s="15" t="s">
        <v>126</v>
      </c>
      <c r="H3822" s="3" t="s">
        <v>142</v>
      </c>
      <c r="I3822" s="24">
        <f>I3455</f>
        <v>4193.8</v>
      </c>
      <c r="J3822" s="3" t="s">
        <v>126</v>
      </c>
      <c r="K3822" s="17">
        <f>(F3822*I3822)</f>
        <v>880.69799999999998</v>
      </c>
    </row>
    <row r="3823" spans="6:11" ht="24" customHeight="1">
      <c r="H3823" s="3" t="s">
        <v>160</v>
      </c>
      <c r="I3823" s="24"/>
      <c r="K3823" s="3" t="s">
        <v>115</v>
      </c>
    </row>
    <row r="3824" spans="6:11" ht="24" customHeight="1">
      <c r="F3824" s="17">
        <v>1.1000000000000001</v>
      </c>
      <c r="G3824" s="15" t="s">
        <v>1</v>
      </c>
      <c r="H3824" s="3" t="s">
        <v>144</v>
      </c>
      <c r="I3824" s="24">
        <f>I3457</f>
        <v>769</v>
      </c>
      <c r="J3824" s="3" t="s">
        <v>1</v>
      </c>
      <c r="K3824" s="17">
        <f>(F3824*I3824)</f>
        <v>845.90000000000009</v>
      </c>
    </row>
    <row r="3825" spans="5:11" ht="24" customHeight="1">
      <c r="F3825" s="17">
        <v>1.1000000000000001</v>
      </c>
      <c r="G3825" s="15" t="s">
        <v>1</v>
      </c>
      <c r="H3825" s="3" t="s">
        <v>145</v>
      </c>
      <c r="I3825" s="24">
        <f t="shared" ref="I3825:I3832" si="341">I3458</f>
        <v>718</v>
      </c>
      <c r="J3825" s="3" t="s">
        <v>1</v>
      </c>
      <c r="K3825" s="17">
        <f>(F3825*I3825)</f>
        <v>789.80000000000007</v>
      </c>
    </row>
    <row r="3826" spans="5:11" ht="24" customHeight="1">
      <c r="F3826" s="17">
        <v>2.2000000000000002</v>
      </c>
      <c r="G3826" s="15" t="s">
        <v>1</v>
      </c>
      <c r="H3826" s="3" t="s">
        <v>146</v>
      </c>
      <c r="I3826" s="24">
        <f t="shared" si="341"/>
        <v>502</v>
      </c>
      <c r="J3826" s="3" t="s">
        <v>1</v>
      </c>
      <c r="K3826" s="17">
        <f>(F3826*I3826)</f>
        <v>1104.4000000000001</v>
      </c>
    </row>
    <row r="3827" spans="5:11" ht="24" customHeight="1">
      <c r="F3827" s="17">
        <v>2.2000000000000002</v>
      </c>
      <c r="G3827" s="15" t="s">
        <v>1</v>
      </c>
      <c r="H3827" s="3" t="s">
        <v>147</v>
      </c>
      <c r="I3827" s="24">
        <f t="shared" si="341"/>
        <v>412</v>
      </c>
      <c r="J3827" s="3" t="s">
        <v>1</v>
      </c>
      <c r="K3827" s="17">
        <f>(F3827*I3827)</f>
        <v>906.40000000000009</v>
      </c>
    </row>
    <row r="3828" spans="5:11" ht="24" customHeight="1">
      <c r="F3828" s="49">
        <v>20</v>
      </c>
      <c r="G3828" s="15" t="s">
        <v>148</v>
      </c>
      <c r="H3828" s="3" t="s">
        <v>125</v>
      </c>
      <c r="I3828" s="24">
        <f t="shared" si="341"/>
        <v>5800</v>
      </c>
      <c r="J3828" s="3" t="s">
        <v>124</v>
      </c>
      <c r="K3828" s="17">
        <f>(F3828*I3828)/1000</f>
        <v>116</v>
      </c>
    </row>
    <row r="3829" spans="5:11" ht="24" customHeight="1">
      <c r="F3829" s="49">
        <v>2</v>
      </c>
      <c r="G3829" s="15" t="s">
        <v>148</v>
      </c>
      <c r="H3829" s="3" t="s">
        <v>1641</v>
      </c>
      <c r="I3829" s="24">
        <f t="shared" si="341"/>
        <v>36.1</v>
      </c>
      <c r="J3829" s="3" t="s">
        <v>148</v>
      </c>
      <c r="K3829" s="17">
        <f>(F3829*I3829)</f>
        <v>72.2</v>
      </c>
    </row>
    <row r="3830" spans="5:11" ht="24" customHeight="1">
      <c r="F3830" s="17">
        <v>1.6</v>
      </c>
      <c r="G3830" s="15" t="s">
        <v>1</v>
      </c>
      <c r="H3830" s="3" t="s">
        <v>145</v>
      </c>
      <c r="I3830" s="24">
        <f t="shared" si="341"/>
        <v>718</v>
      </c>
      <c r="J3830" s="3" t="s">
        <v>1</v>
      </c>
      <c r="K3830" s="17">
        <f>(F3830*I3830)</f>
        <v>1148.8</v>
      </c>
    </row>
    <row r="3831" spans="5:11" ht="24" customHeight="1">
      <c r="F3831" s="17">
        <v>0.5</v>
      </c>
      <c r="G3831" s="15" t="s">
        <v>1</v>
      </c>
      <c r="H3831" s="3" t="s">
        <v>146</v>
      </c>
      <c r="I3831" s="24">
        <f t="shared" si="341"/>
        <v>502</v>
      </c>
      <c r="J3831" s="3" t="s">
        <v>1</v>
      </c>
      <c r="K3831" s="17">
        <f>(F3831*I3831)</f>
        <v>251</v>
      </c>
    </row>
    <row r="3832" spans="5:11" ht="24" customHeight="1">
      <c r="F3832" s="17">
        <v>1.1000000000000001</v>
      </c>
      <c r="G3832" s="15" t="s">
        <v>1</v>
      </c>
      <c r="H3832" s="3" t="s">
        <v>147</v>
      </c>
      <c r="I3832" s="24">
        <f t="shared" si="341"/>
        <v>412</v>
      </c>
      <c r="J3832" s="3" t="s">
        <v>1</v>
      </c>
      <c r="K3832" s="17">
        <f>(F3832*I3832)</f>
        <v>453.20000000000005</v>
      </c>
    </row>
    <row r="3833" spans="5:11" ht="24" customHeight="1">
      <c r="G3833" s="15" t="s">
        <v>129</v>
      </c>
      <c r="H3833" s="3" t="s">
        <v>130</v>
      </c>
      <c r="J3833" s="3" t="s">
        <v>129</v>
      </c>
      <c r="K3833" s="17">
        <v>0</v>
      </c>
    </row>
    <row r="3834" spans="5:11" ht="24" customHeight="1">
      <c r="K3834" s="12" t="s">
        <v>117</v>
      </c>
    </row>
    <row r="3835" spans="5:11" ht="24" customHeight="1">
      <c r="H3835" s="3" t="s">
        <v>153</v>
      </c>
      <c r="K3835" s="17">
        <f>SUM(K3821:K3833)</f>
        <v>11950.498000000001</v>
      </c>
    </row>
    <row r="3836" spans="5:11" ht="24" customHeight="1">
      <c r="K3836" s="12" t="s">
        <v>117</v>
      </c>
    </row>
    <row r="3837" spans="5:11" ht="24" customHeight="1">
      <c r="F3837" s="9"/>
      <c r="G3837" s="5"/>
      <c r="H3837" s="19" t="s">
        <v>154</v>
      </c>
      <c r="K3837" s="16">
        <f>(K3835/10)</f>
        <v>1195.0498000000002</v>
      </c>
    </row>
    <row r="3838" spans="5:11" ht="24" customHeight="1">
      <c r="F3838" s="9"/>
      <c r="G3838" s="5"/>
      <c r="K3838" s="12" t="s">
        <v>155</v>
      </c>
    </row>
    <row r="3840" spans="5:11" ht="24" customHeight="1">
      <c r="E3840" s="113"/>
      <c r="F3840" s="144"/>
      <c r="G3840" s="50" t="s">
        <v>2959</v>
      </c>
      <c r="H3840" s="113"/>
      <c r="I3840" s="145">
        <f>1.2*0.8</f>
        <v>0.96</v>
      </c>
      <c r="J3840" s="113"/>
      <c r="K3840" s="9"/>
    </row>
    <row r="3841" spans="5:11" ht="24" customHeight="1">
      <c r="E3841" s="113"/>
      <c r="F3841" s="144"/>
      <c r="G3841" s="113"/>
      <c r="H3841" s="113"/>
      <c r="I3841" s="145"/>
      <c r="J3841" s="113"/>
      <c r="K3841" s="9"/>
    </row>
    <row r="3842" spans="5:11" ht="24" customHeight="1">
      <c r="E3842" s="8" t="s">
        <v>2960</v>
      </c>
      <c r="F3842" s="145"/>
      <c r="G3842" s="145"/>
      <c r="H3842" s="147">
        <f>4*3.9</f>
        <v>15.6</v>
      </c>
      <c r="I3842" s="145" t="s">
        <v>1962</v>
      </c>
      <c r="J3842" s="145"/>
      <c r="K3842" s="9"/>
    </row>
    <row r="3843" spans="5:11" ht="24" customHeight="1">
      <c r="E3843" s="5" t="s">
        <v>2961</v>
      </c>
      <c r="F3843" s="144"/>
      <c r="G3843" s="113"/>
      <c r="H3843" s="113">
        <f>11*0.8*3.14</f>
        <v>27.632000000000005</v>
      </c>
      <c r="I3843" s="145" t="s">
        <v>1962</v>
      </c>
      <c r="J3843" s="145"/>
      <c r="K3843" s="9"/>
    </row>
    <row r="3844" spans="5:11" ht="24" customHeight="1">
      <c r="E3844" s="5" t="s">
        <v>2962</v>
      </c>
      <c r="F3844" s="144"/>
      <c r="G3844" s="113"/>
      <c r="H3844" s="113">
        <f>2*1.2*1.2</f>
        <v>2.88</v>
      </c>
      <c r="I3844" s="145" t="s">
        <v>1962</v>
      </c>
      <c r="J3844" s="145"/>
      <c r="K3844" s="9"/>
    </row>
    <row r="3845" spans="5:11" ht="24" customHeight="1">
      <c r="E3845" s="5" t="s">
        <v>2963</v>
      </c>
      <c r="F3845" s="144"/>
      <c r="G3845" s="113"/>
      <c r="H3845" s="113">
        <f>3*0.8*1.2</f>
        <v>2.8800000000000003</v>
      </c>
      <c r="I3845" s="145" t="s">
        <v>1962</v>
      </c>
      <c r="J3845" s="145"/>
      <c r="K3845" s="9"/>
    </row>
    <row r="3846" spans="5:11" ht="24" customHeight="1">
      <c r="E3846" s="5" t="s">
        <v>2964</v>
      </c>
      <c r="F3846" s="144"/>
      <c r="G3846" s="113"/>
      <c r="H3846" s="113">
        <v>5</v>
      </c>
      <c r="I3846" s="145"/>
      <c r="J3846" s="145"/>
      <c r="K3846" s="9"/>
    </row>
    <row r="3847" spans="5:11" ht="24" customHeight="1">
      <c r="E3847" s="113"/>
      <c r="F3847" s="144"/>
      <c r="G3847" s="113"/>
      <c r="H3847" s="148" t="s">
        <v>2327</v>
      </c>
      <c r="I3847" s="145"/>
      <c r="J3847" s="145"/>
      <c r="K3847" s="9"/>
    </row>
    <row r="3848" spans="5:11" ht="24" customHeight="1">
      <c r="E3848" s="113"/>
      <c r="F3848" s="144"/>
      <c r="G3848" s="113"/>
      <c r="H3848" s="143">
        <f>SUM(H3842:H3846)</f>
        <v>53.992000000000012</v>
      </c>
      <c r="I3848" s="145" t="s">
        <v>1962</v>
      </c>
      <c r="J3848" s="145">
        <f>H3848-51.7</f>
        <v>2.2920000000000087</v>
      </c>
      <c r="K3848" s="9"/>
    </row>
    <row r="3849" spans="5:11" ht="24" customHeight="1">
      <c r="E3849" s="113"/>
      <c r="F3849" s="144"/>
      <c r="G3849" s="113"/>
      <c r="H3849" s="148" t="s">
        <v>2327</v>
      </c>
      <c r="I3849" s="145"/>
      <c r="J3849" s="113"/>
      <c r="K3849" s="9"/>
    </row>
    <row r="3850" spans="5:11" ht="24" customHeight="1">
      <c r="E3850" s="113"/>
      <c r="F3850" s="144"/>
      <c r="G3850" s="113"/>
      <c r="H3850" s="113"/>
      <c r="I3850" s="145"/>
      <c r="J3850" s="113"/>
      <c r="K3850" s="9"/>
    </row>
    <row r="3851" spans="5:11" ht="24" customHeight="1">
      <c r="E3851" s="113"/>
      <c r="F3851" s="144"/>
      <c r="G3851" s="113"/>
      <c r="H3851" s="113"/>
      <c r="I3851" s="145"/>
      <c r="J3851" s="113"/>
      <c r="K3851" s="9"/>
    </row>
    <row r="3852" spans="5:11" ht="24" customHeight="1">
      <c r="E3852" s="147">
        <f>H3848</f>
        <v>53.992000000000012</v>
      </c>
      <c r="F3852" s="144" t="s">
        <v>148</v>
      </c>
      <c r="G3852" s="113" t="s">
        <v>2317</v>
      </c>
      <c r="H3852" s="113">
        <f>I2607</f>
        <v>54.5</v>
      </c>
      <c r="I3852" s="145" t="s">
        <v>148</v>
      </c>
      <c r="J3852" s="113">
        <f>H3852*E3852</f>
        <v>2942.5640000000008</v>
      </c>
      <c r="K3852" s="9"/>
    </row>
    <row r="3853" spans="5:11" ht="24" customHeight="1">
      <c r="E3853" s="147">
        <v>0.96</v>
      </c>
      <c r="F3853" s="144" t="s">
        <v>174</v>
      </c>
      <c r="G3853" s="113" t="s">
        <v>2318</v>
      </c>
      <c r="H3853" s="113">
        <f>I2608</f>
        <v>295</v>
      </c>
      <c r="I3853" s="145" t="s">
        <v>174</v>
      </c>
      <c r="J3853" s="113">
        <f>H3853*E3853</f>
        <v>283.2</v>
      </c>
      <c r="K3853" s="9"/>
    </row>
    <row r="3854" spans="5:11" ht="24" customHeight="1">
      <c r="E3854" s="147">
        <v>0.96</v>
      </c>
      <c r="F3854" s="144" t="s">
        <v>174</v>
      </c>
      <c r="G3854" s="113" t="s">
        <v>2337</v>
      </c>
      <c r="H3854" s="113">
        <f>I2609</f>
        <v>31.65</v>
      </c>
      <c r="I3854" s="145" t="s">
        <v>174</v>
      </c>
      <c r="J3854" s="113">
        <f>H3854*E3854</f>
        <v>30.383999999999997</v>
      </c>
      <c r="K3854" s="9"/>
    </row>
    <row r="3855" spans="5:11" ht="24" customHeight="1">
      <c r="E3855" s="113"/>
      <c r="F3855" s="144"/>
      <c r="G3855" s="113" t="s">
        <v>2338</v>
      </c>
      <c r="H3855" s="113">
        <f>I2610</f>
        <v>266.81</v>
      </c>
      <c r="I3855" s="145" t="s">
        <v>129</v>
      </c>
      <c r="J3855" s="113">
        <f>H3855</f>
        <v>266.81</v>
      </c>
      <c r="K3855" s="9"/>
    </row>
    <row r="3856" spans="5:11" ht="24" customHeight="1">
      <c r="E3856" s="113"/>
      <c r="F3856" s="144"/>
      <c r="G3856" s="113"/>
      <c r="H3856" s="113"/>
      <c r="I3856" s="145"/>
      <c r="J3856" s="148" t="s">
        <v>1586</v>
      </c>
      <c r="K3856" s="9"/>
    </row>
    <row r="3857" spans="5:11" ht="24" customHeight="1">
      <c r="E3857" s="113"/>
      <c r="F3857" s="144"/>
      <c r="G3857" s="50" t="s">
        <v>2321</v>
      </c>
      <c r="H3857" s="113"/>
      <c r="I3857" s="145"/>
      <c r="J3857" s="50">
        <f>SUM(J3852:J3856)</f>
        <v>3522.9580000000005</v>
      </c>
      <c r="K3857" s="9"/>
    </row>
    <row r="3858" spans="5:11" ht="24" customHeight="1">
      <c r="E3858" s="113"/>
      <c r="F3858" s="144"/>
      <c r="G3858" s="113"/>
      <c r="H3858" s="113"/>
      <c r="I3858" s="145"/>
      <c r="J3858" s="148" t="s">
        <v>1586</v>
      </c>
      <c r="K3858" s="9"/>
    </row>
    <row r="3859" spans="5:11" ht="24" customHeight="1">
      <c r="E3859" s="113"/>
      <c r="F3859" s="144"/>
      <c r="G3859" s="191" t="s">
        <v>2328</v>
      </c>
      <c r="H3859" s="113"/>
      <c r="I3859" s="145"/>
      <c r="J3859" s="50">
        <f>J3857/E3853</f>
        <v>3669.7479166666672</v>
      </c>
      <c r="K3859" s="9"/>
    </row>
    <row r="3860" spans="5:11" ht="24" customHeight="1">
      <c r="G3860" s="5"/>
      <c r="J3860" s="5"/>
      <c r="K3860" s="9"/>
    </row>
    <row r="3861" spans="5:11" ht="24" customHeight="1">
      <c r="E3861" s="113"/>
      <c r="F3861" s="144"/>
      <c r="G3861" s="50" t="s">
        <v>2965</v>
      </c>
      <c r="H3861" s="113"/>
      <c r="I3861" s="145">
        <f>1*0.8</f>
        <v>0.8</v>
      </c>
      <c r="J3861" s="113"/>
      <c r="K3861" s="9"/>
    </row>
    <row r="3862" spans="5:11" ht="24" customHeight="1">
      <c r="E3862" s="113"/>
      <c r="F3862" s="144"/>
      <c r="G3862" s="113"/>
      <c r="H3862" s="113"/>
      <c r="I3862" s="145"/>
      <c r="J3862" s="113"/>
      <c r="K3862" s="9"/>
    </row>
    <row r="3863" spans="5:11" ht="24" customHeight="1">
      <c r="E3863" s="8" t="s">
        <v>2966</v>
      </c>
      <c r="F3863" s="145"/>
      <c r="G3863" s="145"/>
      <c r="H3863" s="147">
        <f>3.6*3.9</f>
        <v>14.04</v>
      </c>
      <c r="I3863" s="145" t="s">
        <v>1962</v>
      </c>
      <c r="J3863" s="145"/>
      <c r="K3863" s="9"/>
    </row>
    <row r="3864" spans="5:11" ht="24" customHeight="1">
      <c r="E3864" s="5" t="s">
        <v>2967</v>
      </c>
      <c r="F3864" s="144"/>
      <c r="G3864" s="113"/>
      <c r="H3864" s="113">
        <f>9*0.8*3.14</f>
        <v>22.608000000000001</v>
      </c>
      <c r="I3864" s="145" t="s">
        <v>1962</v>
      </c>
      <c r="J3864" s="145"/>
      <c r="K3864" s="9"/>
    </row>
    <row r="3865" spans="5:11" ht="24" customHeight="1">
      <c r="E3865" s="5" t="s">
        <v>2968</v>
      </c>
      <c r="F3865" s="144"/>
      <c r="G3865" s="113"/>
      <c r="H3865" s="113">
        <f>2*1*1.2</f>
        <v>2.4</v>
      </c>
      <c r="I3865" s="145" t="s">
        <v>1962</v>
      </c>
      <c r="J3865" s="145"/>
      <c r="K3865" s="9"/>
    </row>
    <row r="3866" spans="5:11" ht="24" customHeight="1">
      <c r="E3866" s="5" t="s">
        <v>2963</v>
      </c>
      <c r="F3866" s="144"/>
      <c r="G3866" s="113"/>
      <c r="H3866" s="113">
        <f>3*0.8*1.2</f>
        <v>2.8800000000000003</v>
      </c>
      <c r="I3866" s="145" t="s">
        <v>1962</v>
      </c>
      <c r="J3866" s="145"/>
      <c r="K3866" s="9"/>
    </row>
    <row r="3867" spans="5:11" ht="24" customHeight="1">
      <c r="E3867" s="5" t="s">
        <v>2964</v>
      </c>
      <c r="F3867" s="144"/>
      <c r="G3867" s="113"/>
      <c r="H3867" s="113">
        <v>5</v>
      </c>
      <c r="I3867" s="145"/>
      <c r="J3867" s="145"/>
      <c r="K3867" s="9"/>
    </row>
    <row r="3868" spans="5:11" ht="24" customHeight="1">
      <c r="E3868" s="113"/>
      <c r="F3868" s="144"/>
      <c r="G3868" s="113"/>
      <c r="H3868" s="148" t="s">
        <v>2327</v>
      </c>
      <c r="I3868" s="145"/>
      <c r="J3868" s="145"/>
      <c r="K3868" s="9"/>
    </row>
    <row r="3869" spans="5:11" ht="24" customHeight="1">
      <c r="E3869" s="113"/>
      <c r="F3869" s="144"/>
      <c r="G3869" s="113"/>
      <c r="H3869" s="143">
        <f>SUM(H3863:H3867)</f>
        <v>46.927999999999997</v>
      </c>
      <c r="I3869" s="145" t="s">
        <v>1962</v>
      </c>
      <c r="J3869" s="145"/>
      <c r="K3869" s="9"/>
    </row>
    <row r="3870" spans="5:11" ht="24" customHeight="1">
      <c r="E3870" s="113"/>
      <c r="F3870" s="144"/>
      <c r="G3870" s="113"/>
      <c r="H3870" s="148" t="s">
        <v>2327</v>
      </c>
      <c r="I3870" s="145"/>
      <c r="J3870" s="113"/>
      <c r="K3870" s="9"/>
    </row>
    <row r="3871" spans="5:11" ht="24" customHeight="1">
      <c r="E3871" s="113"/>
      <c r="F3871" s="144"/>
      <c r="G3871" s="113"/>
      <c r="H3871" s="113"/>
      <c r="I3871" s="145"/>
      <c r="J3871" s="113"/>
      <c r="K3871" s="9"/>
    </row>
    <row r="3872" spans="5:11" ht="24" customHeight="1">
      <c r="E3872" s="113"/>
      <c r="F3872" s="144"/>
      <c r="G3872" s="113"/>
      <c r="H3872" s="113"/>
      <c r="I3872" s="145"/>
      <c r="J3872" s="113"/>
      <c r="K3872" s="9"/>
    </row>
    <row r="3873" spans="5:11" ht="24" customHeight="1">
      <c r="E3873" s="147">
        <f>H3869</f>
        <v>46.927999999999997</v>
      </c>
      <c r="F3873" s="144" t="s">
        <v>148</v>
      </c>
      <c r="G3873" s="113" t="s">
        <v>2317</v>
      </c>
      <c r="H3873" s="113">
        <f>H3852</f>
        <v>54.5</v>
      </c>
      <c r="I3873" s="145" t="s">
        <v>148</v>
      </c>
      <c r="J3873" s="113">
        <f>H3873*E3873</f>
        <v>2557.576</v>
      </c>
      <c r="K3873" s="9"/>
    </row>
    <row r="3874" spans="5:11" ht="24" customHeight="1">
      <c r="E3874" s="113">
        <v>0.8</v>
      </c>
      <c r="F3874" s="144" t="s">
        <v>174</v>
      </c>
      <c r="G3874" s="113" t="s">
        <v>2318</v>
      </c>
      <c r="H3874" s="113">
        <f>H3853</f>
        <v>295</v>
      </c>
      <c r="I3874" s="145" t="s">
        <v>174</v>
      </c>
      <c r="J3874" s="113">
        <f>H3874*E3874</f>
        <v>236</v>
      </c>
      <c r="K3874" s="9"/>
    </row>
    <row r="3875" spans="5:11" ht="24" customHeight="1">
      <c r="E3875" s="113">
        <v>0.8</v>
      </c>
      <c r="F3875" s="144" t="s">
        <v>174</v>
      </c>
      <c r="G3875" s="113" t="s">
        <v>2337</v>
      </c>
      <c r="H3875" s="113">
        <f>H3854</f>
        <v>31.65</v>
      </c>
      <c r="I3875" s="145" t="s">
        <v>174</v>
      </c>
      <c r="J3875" s="113">
        <f>H3875*E3875</f>
        <v>25.32</v>
      </c>
      <c r="K3875" s="9"/>
    </row>
    <row r="3876" spans="5:11" ht="24" customHeight="1">
      <c r="E3876" s="113"/>
      <c r="F3876" s="144"/>
      <c r="G3876" s="113" t="s">
        <v>2338</v>
      </c>
      <c r="H3876" s="113">
        <f>H3855</f>
        <v>266.81</v>
      </c>
      <c r="I3876" s="145" t="s">
        <v>129</v>
      </c>
      <c r="J3876" s="113">
        <v>47.1</v>
      </c>
      <c r="K3876" s="9"/>
    </row>
    <row r="3877" spans="5:11" ht="24" customHeight="1">
      <c r="E3877" s="113"/>
      <c r="F3877" s="144"/>
      <c r="G3877" s="113"/>
      <c r="H3877" s="113"/>
      <c r="I3877" s="145"/>
      <c r="J3877" s="148" t="s">
        <v>1586</v>
      </c>
      <c r="K3877" s="9"/>
    </row>
    <row r="3878" spans="5:11" ht="24" customHeight="1">
      <c r="E3878" s="113"/>
      <c r="F3878" s="144"/>
      <c r="G3878" s="50" t="s">
        <v>2321</v>
      </c>
      <c r="H3878" s="113"/>
      <c r="I3878" s="145"/>
      <c r="J3878" s="50">
        <f>SUM(J3873:J3877)</f>
        <v>2865.9960000000001</v>
      </c>
      <c r="K3878" s="9"/>
    </row>
    <row r="3879" spans="5:11" ht="24" customHeight="1">
      <c r="E3879" s="113"/>
      <c r="F3879" s="144"/>
      <c r="G3879" s="113"/>
      <c r="H3879" s="113"/>
      <c r="I3879" s="145"/>
      <c r="J3879" s="148" t="s">
        <v>1586</v>
      </c>
      <c r="K3879" s="9"/>
    </row>
    <row r="3880" spans="5:11" ht="24" customHeight="1">
      <c r="E3880" s="113"/>
      <c r="F3880" s="144"/>
      <c r="G3880" s="191" t="s">
        <v>2328</v>
      </c>
      <c r="H3880" s="113"/>
      <c r="I3880" s="145"/>
      <c r="J3880" s="50">
        <f>J3878/E3874</f>
        <v>3582.4949999999999</v>
      </c>
      <c r="K3880" s="9"/>
    </row>
    <row r="3881" spans="5:11" ht="24" customHeight="1">
      <c r="E3881" s="113" t="s">
        <v>2314</v>
      </c>
      <c r="F3881" s="144"/>
      <c r="G3881" s="113"/>
      <c r="H3881" s="113">
        <v>3.24</v>
      </c>
      <c r="I3881" s="145" t="s">
        <v>1962</v>
      </c>
      <c r="J3881" s="113"/>
      <c r="K3881" s="9"/>
    </row>
    <row r="3882" spans="5:11" ht="24" customHeight="1">
      <c r="E3882" s="113" t="s">
        <v>2315</v>
      </c>
      <c r="F3882" s="144"/>
      <c r="G3882" s="113"/>
      <c r="H3882" s="113">
        <v>2.16</v>
      </c>
      <c r="I3882" s="145" t="s">
        <v>1962</v>
      </c>
      <c r="J3882" s="113"/>
      <c r="K3882" s="9"/>
    </row>
    <row r="3883" spans="5:11" ht="24" customHeight="1">
      <c r="E3883" s="113"/>
      <c r="F3883" s="144"/>
      <c r="G3883" s="113"/>
      <c r="H3883" s="113"/>
      <c r="I3883" s="145"/>
      <c r="J3883" s="113"/>
      <c r="K3883" s="9"/>
    </row>
    <row r="3884" spans="5:11" ht="24" customHeight="1">
      <c r="E3884" s="113"/>
      <c r="F3884" s="144"/>
      <c r="G3884" s="113"/>
      <c r="H3884" s="148" t="s">
        <v>1586</v>
      </c>
      <c r="I3884" s="145"/>
      <c r="J3884" s="113"/>
      <c r="K3884" s="9"/>
    </row>
    <row r="3885" spans="5:11" ht="24" customHeight="1">
      <c r="E3885" s="113"/>
      <c r="F3885" s="144"/>
      <c r="G3885" s="113"/>
      <c r="H3885" s="113">
        <f>SUM(H3879:H3883)</f>
        <v>5.4</v>
      </c>
      <c r="I3885" s="145"/>
      <c r="J3885" s="113"/>
      <c r="K3885" s="9"/>
    </row>
    <row r="3886" spans="5:11" ht="24" customHeight="1">
      <c r="E3886" s="113"/>
      <c r="F3886" s="144"/>
      <c r="G3886" s="113"/>
      <c r="H3886" s="113" t="s">
        <v>2316</v>
      </c>
      <c r="I3886" s="145"/>
      <c r="J3886" s="113"/>
      <c r="K3886" s="9"/>
    </row>
    <row r="3887" spans="5:11" ht="24" customHeight="1">
      <c r="E3887" s="113"/>
      <c r="F3887" s="144"/>
      <c r="G3887" s="113"/>
      <c r="H3887" s="113"/>
      <c r="I3887" s="145"/>
      <c r="J3887" s="113"/>
      <c r="K3887" s="9"/>
    </row>
    <row r="3888" spans="5:11" ht="24" customHeight="1">
      <c r="E3888" s="113"/>
      <c r="F3888" s="144"/>
      <c r="G3888" s="113"/>
      <c r="H3888" s="113"/>
      <c r="I3888" s="145"/>
      <c r="J3888" s="113"/>
      <c r="K3888" s="9"/>
    </row>
    <row r="3889" spans="5:11" ht="24" customHeight="1">
      <c r="E3889" s="113">
        <v>42.81</v>
      </c>
      <c r="F3889" s="144" t="s">
        <v>148</v>
      </c>
      <c r="G3889" s="113" t="s">
        <v>2317</v>
      </c>
      <c r="H3889" s="113">
        <f>C3888</f>
        <v>0</v>
      </c>
      <c r="I3889" s="145" t="s">
        <v>148</v>
      </c>
      <c r="J3889" s="113">
        <f>H3889*E3889</f>
        <v>0</v>
      </c>
      <c r="K3889" s="9"/>
    </row>
    <row r="3890" spans="5:11" ht="24" customHeight="1">
      <c r="E3890" s="113">
        <v>0.77</v>
      </c>
      <c r="F3890" s="144" t="s">
        <v>174</v>
      </c>
      <c r="G3890" s="113" t="s">
        <v>2367</v>
      </c>
      <c r="H3890" s="113">
        <f>C3889</f>
        <v>0</v>
      </c>
      <c r="I3890" s="145" t="s">
        <v>174</v>
      </c>
      <c r="J3890" s="113">
        <f>H3890*E3890</f>
        <v>0</v>
      </c>
      <c r="K3890" s="9"/>
    </row>
    <row r="3891" spans="5:11" ht="24" customHeight="1">
      <c r="E3891" s="113">
        <v>0.77</v>
      </c>
      <c r="F3891" s="144" t="s">
        <v>174</v>
      </c>
      <c r="G3891" s="498" t="s">
        <v>2319</v>
      </c>
      <c r="H3891" s="111">
        <f>C3890</f>
        <v>0</v>
      </c>
      <c r="I3891" s="145" t="s">
        <v>174</v>
      </c>
      <c r="J3891" s="113">
        <f>H3891*E3891</f>
        <v>0</v>
      </c>
      <c r="K3891" s="9"/>
    </row>
    <row r="3892" spans="5:11" ht="24" customHeight="1">
      <c r="E3892" s="113"/>
      <c r="F3892" s="144"/>
      <c r="G3892" s="113" t="s">
        <v>2320</v>
      </c>
      <c r="H3892" s="113">
        <f>46.62+0.48</f>
        <v>47.099999999999994</v>
      </c>
      <c r="I3892" s="145" t="s">
        <v>129</v>
      </c>
      <c r="J3892" s="113">
        <f>H3892</f>
        <v>47.099999999999994</v>
      </c>
      <c r="K3892" s="9"/>
    </row>
    <row r="3893" spans="5:11" ht="24" customHeight="1">
      <c r="E3893" s="113"/>
      <c r="F3893" s="144"/>
      <c r="G3893" s="113"/>
      <c r="H3893" s="113"/>
      <c r="I3893" s="145"/>
      <c r="J3893" s="148" t="s">
        <v>1586</v>
      </c>
      <c r="K3893" s="9"/>
    </row>
    <row r="3894" spans="5:11" ht="24" customHeight="1">
      <c r="E3894" s="113"/>
      <c r="F3894" s="144"/>
      <c r="G3894" s="50" t="s">
        <v>2321</v>
      </c>
      <c r="H3894" s="113"/>
      <c r="I3894" s="145"/>
      <c r="J3894" s="50">
        <f>SUM(J3889:J3892)</f>
        <v>47.099999999999994</v>
      </c>
      <c r="K3894" s="9"/>
    </row>
    <row r="3895" spans="5:11" ht="24" customHeight="1">
      <c r="E3895" s="113"/>
      <c r="F3895" s="144"/>
      <c r="G3895" s="113"/>
      <c r="H3895" s="113"/>
      <c r="I3895" s="145"/>
      <c r="J3895" s="148" t="s">
        <v>1586</v>
      </c>
      <c r="K3895" s="9"/>
    </row>
    <row r="3896" spans="5:11" ht="24" customHeight="1">
      <c r="F3896" s="6"/>
      <c r="G3896" s="499">
        <f>1.285*0.6</f>
        <v>0.77099999999999991</v>
      </c>
      <c r="I3896" s="8"/>
      <c r="J3896" s="5">
        <f>J3894/G3896</f>
        <v>61.089494163424128</v>
      </c>
      <c r="K3896" s="9"/>
    </row>
    <row r="3897" spans="5:11" ht="24" customHeight="1">
      <c r="E3897" s="113">
        <f>C3890</f>
        <v>0</v>
      </c>
      <c r="G3897" s="8">
        <f>E3897*D3856</f>
        <v>0</v>
      </c>
      <c r="J3897" s="5"/>
      <c r="K3897" s="9"/>
    </row>
    <row r="3898" spans="5:11" ht="24" customHeight="1">
      <c r="E3898" s="113"/>
      <c r="G3898" s="8">
        <v>0.8</v>
      </c>
      <c r="J3898" s="5"/>
      <c r="K3898" s="9"/>
    </row>
    <row r="3899" spans="5:11" ht="24" customHeight="1">
      <c r="G3899" s="8">
        <f>SUM(G3895:G3898)</f>
        <v>1.571</v>
      </c>
      <c r="J3899" s="5"/>
      <c r="K3899" s="9"/>
    </row>
    <row r="3900" spans="5:11" ht="24" customHeight="1">
      <c r="G3900" s="8">
        <f>G3899/0.77</f>
        <v>2.04025974025974</v>
      </c>
      <c r="J3900" s="5"/>
      <c r="K3900" s="9"/>
    </row>
    <row r="3901" spans="5:11" ht="24" customHeight="1">
      <c r="G3901" s="5"/>
      <c r="H3901" s="50" t="s">
        <v>2969</v>
      </c>
      <c r="J3901" s="5"/>
      <c r="K3901" s="9"/>
    </row>
    <row r="3902" spans="5:11" ht="24" customHeight="1">
      <c r="F3902" s="4" t="s">
        <v>1409</v>
      </c>
      <c r="G3902" s="15" t="s">
        <v>122</v>
      </c>
      <c r="H3902" s="3" t="s">
        <v>1410</v>
      </c>
    </row>
    <row r="3903" spans="5:11" ht="24" customHeight="1">
      <c r="H3903" s="3" t="s">
        <v>1411</v>
      </c>
    </row>
    <row r="3904" spans="5:11" ht="24" customHeight="1">
      <c r="H3904" s="3" t="s">
        <v>1412</v>
      </c>
    </row>
    <row r="3905" spans="6:11" ht="24" customHeight="1">
      <c r="H3905" s="3" t="s">
        <v>1413</v>
      </c>
    </row>
    <row r="3906" spans="6:11" ht="24" customHeight="1">
      <c r="H3906" s="3" t="s">
        <v>1414</v>
      </c>
    </row>
    <row r="3907" spans="6:11" ht="24" customHeight="1">
      <c r="H3907" s="3" t="s">
        <v>1415</v>
      </c>
    </row>
    <row r="3908" spans="6:11" ht="24" customHeight="1">
      <c r="H3908" s="3" t="s">
        <v>1416</v>
      </c>
    </row>
    <row r="3909" spans="6:11" ht="24" customHeight="1">
      <c r="H3909" s="3" t="s">
        <v>1417</v>
      </c>
    </row>
    <row r="3910" spans="6:11" ht="24" customHeight="1">
      <c r="H3910" s="3" t="s">
        <v>1418</v>
      </c>
    </row>
    <row r="3911" spans="6:11" ht="24" customHeight="1">
      <c r="H3911" s="3" t="s">
        <v>1420</v>
      </c>
    </row>
    <row r="3912" spans="6:11" ht="24" customHeight="1">
      <c r="H3912" s="3" t="s">
        <v>1422</v>
      </c>
    </row>
    <row r="3913" spans="6:11" ht="24" customHeight="1">
      <c r="H3913" s="3" t="s">
        <v>1423</v>
      </c>
    </row>
    <row r="3914" spans="6:11" ht="24" customHeight="1">
      <c r="H3914" s="3" t="s">
        <v>1425</v>
      </c>
    </row>
    <row r="3915" spans="6:11" ht="24" customHeight="1">
      <c r="H3915" s="3" t="s">
        <v>1427</v>
      </c>
    </row>
    <row r="3918" spans="6:11" ht="24" customHeight="1">
      <c r="G3918" s="15" t="s">
        <v>1258</v>
      </c>
      <c r="H3918" s="4" t="s">
        <v>1431</v>
      </c>
    </row>
    <row r="3919" spans="6:11" ht="24" customHeight="1">
      <c r="H3919" s="4" t="s">
        <v>1434</v>
      </c>
    </row>
    <row r="3920" spans="6:11" ht="24" customHeight="1">
      <c r="F3920" s="80">
        <v>3.8100000000000002E-2</v>
      </c>
      <c r="G3920" s="15" t="s">
        <v>126</v>
      </c>
      <c r="H3920" s="3" t="s">
        <v>1424</v>
      </c>
      <c r="I3920" s="17">
        <f>K821</f>
        <v>7407.8179999999993</v>
      </c>
      <c r="J3920" s="3" t="s">
        <v>126</v>
      </c>
      <c r="K3920" s="17">
        <f>F3920*I3920</f>
        <v>282.23786580000001</v>
      </c>
    </row>
    <row r="3921" spans="6:11" ht="24" customHeight="1">
      <c r="F3921" s="126">
        <v>5.01</v>
      </c>
      <c r="G3921" s="15" t="s">
        <v>148</v>
      </c>
      <c r="H3921" s="3" t="s">
        <v>1426</v>
      </c>
      <c r="I3921" s="17">
        <f>K1608</f>
        <v>68782.5</v>
      </c>
      <c r="J3921" s="3" t="s">
        <v>124</v>
      </c>
      <c r="K3921" s="17">
        <f>F3921*I3921/1000</f>
        <v>344.600325</v>
      </c>
    </row>
    <row r="3922" spans="6:11" ht="24" customHeight="1">
      <c r="F3922" s="17">
        <v>3</v>
      </c>
      <c r="G3922" s="15" t="s">
        <v>209</v>
      </c>
      <c r="H3922" s="3" t="s">
        <v>1428</v>
      </c>
      <c r="I3922" s="78">
        <v>14.8</v>
      </c>
      <c r="J3922" s="3" t="s">
        <v>209</v>
      </c>
      <c r="K3922" s="17">
        <f t="shared" ref="K3922:K3929" si="342">F3922*I3922</f>
        <v>44.400000000000006</v>
      </c>
    </row>
    <row r="3923" spans="6:11" ht="24" customHeight="1">
      <c r="F3923" s="17">
        <v>12</v>
      </c>
      <c r="G3923" s="15" t="s">
        <v>209</v>
      </c>
      <c r="H3923" s="3" t="s">
        <v>1429</v>
      </c>
      <c r="I3923" s="78">
        <v>2</v>
      </c>
      <c r="J3923" s="3" t="s">
        <v>209</v>
      </c>
      <c r="K3923" s="17">
        <f t="shared" si="342"/>
        <v>24</v>
      </c>
    </row>
    <row r="3924" spans="6:11" ht="24" customHeight="1">
      <c r="F3924" s="17">
        <v>2</v>
      </c>
      <c r="G3924" s="15" t="s">
        <v>209</v>
      </c>
      <c r="H3924" s="3" t="s">
        <v>1430</v>
      </c>
      <c r="I3924" s="78">
        <v>4.9000000000000004</v>
      </c>
      <c r="J3924" s="3" t="s">
        <v>209</v>
      </c>
      <c r="K3924" s="17">
        <f t="shared" si="342"/>
        <v>9.8000000000000007</v>
      </c>
    </row>
    <row r="3925" spans="6:11" ht="24" customHeight="1">
      <c r="F3925" s="17">
        <v>6</v>
      </c>
      <c r="G3925" s="15" t="s">
        <v>209</v>
      </c>
      <c r="H3925" s="3" t="s">
        <v>1432</v>
      </c>
      <c r="I3925" s="78">
        <v>4.45</v>
      </c>
      <c r="J3925" s="3" t="s">
        <v>209</v>
      </c>
      <c r="K3925" s="17">
        <f t="shared" si="342"/>
        <v>26.700000000000003</v>
      </c>
    </row>
    <row r="3926" spans="6:11" ht="24" customHeight="1">
      <c r="F3926" s="17">
        <v>1</v>
      </c>
      <c r="G3926" s="15" t="s">
        <v>209</v>
      </c>
      <c r="H3926" s="3" t="s">
        <v>1435</v>
      </c>
      <c r="I3926" s="17">
        <f>I865</f>
        <v>769</v>
      </c>
      <c r="J3926" s="3" t="s">
        <v>209</v>
      </c>
      <c r="K3926" s="17">
        <f t="shared" si="342"/>
        <v>769</v>
      </c>
    </row>
    <row r="3927" spans="6:11" ht="24" customHeight="1">
      <c r="F3927" s="17">
        <v>1</v>
      </c>
      <c r="G3927" s="15" t="s">
        <v>209</v>
      </c>
      <c r="H3927" s="3" t="s">
        <v>1436</v>
      </c>
      <c r="I3927" s="17">
        <f>I866</f>
        <v>502</v>
      </c>
      <c r="J3927" s="3" t="s">
        <v>209</v>
      </c>
      <c r="K3927" s="17">
        <f t="shared" si="342"/>
        <v>502</v>
      </c>
    </row>
    <row r="3928" spans="6:11" ht="24" customHeight="1">
      <c r="F3928" s="17">
        <v>1</v>
      </c>
      <c r="G3928" s="15" t="s">
        <v>209</v>
      </c>
      <c r="H3928" s="3" t="s">
        <v>1437</v>
      </c>
      <c r="I3928" s="78">
        <v>25</v>
      </c>
      <c r="J3928" s="3" t="s">
        <v>209</v>
      </c>
      <c r="K3928" s="17">
        <f t="shared" si="342"/>
        <v>25</v>
      </c>
    </row>
    <row r="3929" spans="6:11" ht="24" customHeight="1">
      <c r="F3929" s="17">
        <v>0.5</v>
      </c>
      <c r="G3929" s="15" t="s">
        <v>209</v>
      </c>
      <c r="H3929" s="3" t="s">
        <v>1438</v>
      </c>
      <c r="I3929" s="17">
        <f>I868</f>
        <v>412</v>
      </c>
      <c r="J3929" s="3" t="s">
        <v>209</v>
      </c>
      <c r="K3929" s="17">
        <f t="shared" si="342"/>
        <v>206</v>
      </c>
    </row>
    <row r="3930" spans="6:11" ht="24" customHeight="1">
      <c r="G3930" s="15" t="s">
        <v>129</v>
      </c>
      <c r="H3930" s="3" t="s">
        <v>1439</v>
      </c>
      <c r="J3930" s="3" t="s">
        <v>129</v>
      </c>
      <c r="K3930" s="17">
        <v>1.1299999999999999</v>
      </c>
    </row>
    <row r="3931" spans="6:11" ht="24" customHeight="1">
      <c r="K3931" s="12" t="s">
        <v>117</v>
      </c>
    </row>
    <row r="3932" spans="6:11" ht="24" customHeight="1">
      <c r="H3932" s="19" t="s">
        <v>1440</v>
      </c>
      <c r="K3932" s="16">
        <f>SUM(K3920:K3930)</f>
        <v>2234.8681907999999</v>
      </c>
    </row>
    <row r="3933" spans="6:11" ht="24" customHeight="1">
      <c r="K3933" s="12" t="s">
        <v>117</v>
      </c>
    </row>
    <row r="3936" spans="6:11" ht="24" customHeight="1">
      <c r="G3936" s="15" t="s">
        <v>1196</v>
      </c>
      <c r="H3936" s="4" t="s">
        <v>1443</v>
      </c>
    </row>
    <row r="3937" spans="6:12" ht="24" customHeight="1">
      <c r="H3937" s="4" t="s">
        <v>1434</v>
      </c>
    </row>
    <row r="3938" spans="6:12" ht="46.5" customHeight="1">
      <c r="F3938" s="80">
        <v>3.6799999999999999E-2</v>
      </c>
      <c r="G3938" s="15" t="s">
        <v>126</v>
      </c>
      <c r="H3938" s="62" t="s">
        <v>2970</v>
      </c>
      <c r="I3938" s="17">
        <f t="shared" ref="I3938:I3945" si="343">I3920</f>
        <v>7407.8179999999993</v>
      </c>
      <c r="J3938" s="3" t="s">
        <v>126</v>
      </c>
      <c r="K3938" s="17">
        <f>F3938*I3938</f>
        <v>272.60770239999999</v>
      </c>
    </row>
    <row r="3939" spans="6:12" ht="24" customHeight="1">
      <c r="F3939" s="17">
        <v>4.87</v>
      </c>
      <c r="G3939" s="15" t="s">
        <v>148</v>
      </c>
      <c r="H3939" s="3" t="s">
        <v>1426</v>
      </c>
      <c r="I3939" s="17">
        <f t="shared" si="343"/>
        <v>68782.5</v>
      </c>
      <c r="J3939" s="3" t="s">
        <v>124</v>
      </c>
      <c r="K3939" s="17">
        <f>F3939*I3939/1000</f>
        <v>334.970775</v>
      </c>
    </row>
    <row r="3940" spans="6:12" ht="24" customHeight="1">
      <c r="F3940" s="17">
        <v>3</v>
      </c>
      <c r="G3940" s="15" t="s">
        <v>209</v>
      </c>
      <c r="H3940" s="3" t="s">
        <v>1428</v>
      </c>
      <c r="I3940" s="123">
        <f t="shared" si="343"/>
        <v>14.8</v>
      </c>
      <c r="J3940" s="3" t="s">
        <v>209</v>
      </c>
      <c r="K3940" s="17">
        <f t="shared" ref="K3940:K3947" si="344">F3940*I3940</f>
        <v>44.400000000000006</v>
      </c>
    </row>
    <row r="3941" spans="6:12" ht="24" customHeight="1">
      <c r="F3941" s="17">
        <v>12</v>
      </c>
      <c r="G3941" s="15" t="s">
        <v>209</v>
      </c>
      <c r="H3941" s="3" t="s">
        <v>1429</v>
      </c>
      <c r="I3941" s="123">
        <f t="shared" si="343"/>
        <v>2</v>
      </c>
      <c r="J3941" s="3" t="s">
        <v>209</v>
      </c>
      <c r="K3941" s="17">
        <f t="shared" si="344"/>
        <v>24</v>
      </c>
    </row>
    <row r="3942" spans="6:12" ht="24" customHeight="1">
      <c r="F3942" s="17">
        <v>2</v>
      </c>
      <c r="G3942" s="15" t="s">
        <v>209</v>
      </c>
      <c r="H3942" s="3" t="s">
        <v>1430</v>
      </c>
      <c r="I3942" s="123">
        <f t="shared" si="343"/>
        <v>4.9000000000000004</v>
      </c>
      <c r="J3942" s="3" t="s">
        <v>209</v>
      </c>
      <c r="K3942" s="17">
        <f t="shared" si="344"/>
        <v>9.8000000000000007</v>
      </c>
    </row>
    <row r="3943" spans="6:12" ht="24" customHeight="1">
      <c r="F3943" s="17">
        <v>6</v>
      </c>
      <c r="G3943" s="15" t="s">
        <v>209</v>
      </c>
      <c r="H3943" s="3" t="s">
        <v>1432</v>
      </c>
      <c r="I3943" s="123">
        <f t="shared" si="343"/>
        <v>4.45</v>
      </c>
      <c r="J3943" s="3" t="s">
        <v>209</v>
      </c>
      <c r="K3943" s="17">
        <f t="shared" si="344"/>
        <v>26.700000000000003</v>
      </c>
    </row>
    <row r="3944" spans="6:12" ht="24" customHeight="1">
      <c r="F3944" s="17">
        <v>1</v>
      </c>
      <c r="G3944" s="15" t="s">
        <v>209</v>
      </c>
      <c r="H3944" s="3" t="s">
        <v>1435</v>
      </c>
      <c r="I3944" s="17">
        <f t="shared" si="343"/>
        <v>769</v>
      </c>
      <c r="J3944" s="3" t="s">
        <v>209</v>
      </c>
      <c r="K3944" s="17">
        <f t="shared" si="344"/>
        <v>769</v>
      </c>
    </row>
    <row r="3945" spans="6:12" ht="24" customHeight="1">
      <c r="F3945" s="17">
        <v>1</v>
      </c>
      <c r="G3945" s="15" t="s">
        <v>209</v>
      </c>
      <c r="H3945" s="3" t="s">
        <v>1436</v>
      </c>
      <c r="I3945" s="17">
        <f t="shared" si="343"/>
        <v>502</v>
      </c>
      <c r="J3945" s="3" t="s">
        <v>209</v>
      </c>
      <c r="K3945" s="17">
        <f t="shared" si="344"/>
        <v>502</v>
      </c>
    </row>
    <row r="3946" spans="6:12" ht="24" customHeight="1">
      <c r="F3946" s="17">
        <v>1</v>
      </c>
      <c r="G3946" s="15" t="s">
        <v>209</v>
      </c>
      <c r="H3946" s="3" t="s">
        <v>1437</v>
      </c>
      <c r="I3946" s="127">
        <v>25</v>
      </c>
      <c r="J3946" s="3" t="s">
        <v>209</v>
      </c>
      <c r="K3946" s="17">
        <f t="shared" si="344"/>
        <v>25</v>
      </c>
    </row>
    <row r="3947" spans="6:12" ht="24" customHeight="1">
      <c r="F3947" s="17">
        <v>0.5</v>
      </c>
      <c r="G3947" s="15" t="s">
        <v>209</v>
      </c>
      <c r="H3947" s="3" t="s">
        <v>1438</v>
      </c>
      <c r="I3947" s="17">
        <f>I3929</f>
        <v>412</v>
      </c>
      <c r="J3947" s="3" t="s">
        <v>209</v>
      </c>
      <c r="K3947" s="17">
        <f t="shared" si="344"/>
        <v>206</v>
      </c>
    </row>
    <row r="3948" spans="6:12" ht="24" customHeight="1">
      <c r="G3948" s="15" t="s">
        <v>129</v>
      </c>
      <c r="H3948" s="3" t="s">
        <v>1439</v>
      </c>
      <c r="J3948" s="3" t="s">
        <v>129</v>
      </c>
      <c r="K3948" s="17">
        <f>1.9+0.08</f>
        <v>1.98</v>
      </c>
    </row>
    <row r="3949" spans="6:12" ht="24" customHeight="1">
      <c r="K3949" s="12" t="s">
        <v>117</v>
      </c>
    </row>
    <row r="3950" spans="6:12" ht="24" customHeight="1">
      <c r="H3950" s="19" t="s">
        <v>1440</v>
      </c>
      <c r="K3950" s="16">
        <f>SUM(K3938:K3948)</f>
        <v>2216.4584774</v>
      </c>
      <c r="L3950" s="5">
        <f>K3950-1729</f>
        <v>487.45847739999999</v>
      </c>
    </row>
    <row r="3951" spans="6:12" ht="24" customHeight="1">
      <c r="K3951" s="12" t="s">
        <v>117</v>
      </c>
    </row>
    <row r="3952" spans="6:12" ht="24" customHeight="1">
      <c r="F3952" s="4"/>
      <c r="G3952" s="15" t="s">
        <v>1225</v>
      </c>
      <c r="H3952" s="4" t="s">
        <v>1450</v>
      </c>
    </row>
    <row r="3953" spans="6:11" ht="24" customHeight="1">
      <c r="H3953" s="4" t="s">
        <v>1434</v>
      </c>
    </row>
    <row r="3954" spans="6:11" ht="24" customHeight="1">
      <c r="F3954" s="80">
        <v>3.5299999999999998E-2</v>
      </c>
      <c r="G3954" s="15" t="s">
        <v>126</v>
      </c>
      <c r="H3954" s="3" t="s">
        <v>1424</v>
      </c>
      <c r="I3954" s="17">
        <f t="shared" ref="I3954:I3959" si="345">I3938</f>
        <v>7407.8179999999993</v>
      </c>
      <c r="J3954" s="3" t="s">
        <v>126</v>
      </c>
      <c r="K3954" s="17">
        <f>F3954*I3954</f>
        <v>261.49597539999996</v>
      </c>
    </row>
    <row r="3955" spans="6:11" ht="24" customHeight="1">
      <c r="F3955" s="17">
        <v>4.59</v>
      </c>
      <c r="G3955" s="15" t="s">
        <v>148</v>
      </c>
      <c r="H3955" s="3" t="s">
        <v>1426</v>
      </c>
      <c r="I3955" s="17">
        <f t="shared" si="345"/>
        <v>68782.5</v>
      </c>
      <c r="J3955" s="3" t="s">
        <v>124</v>
      </c>
      <c r="K3955" s="17">
        <f>F3955*I3955/1000</f>
        <v>315.71167500000001</v>
      </c>
    </row>
    <row r="3956" spans="6:11" ht="24" customHeight="1">
      <c r="F3956" s="17">
        <v>3</v>
      </c>
      <c r="G3956" s="15" t="s">
        <v>209</v>
      </c>
      <c r="H3956" s="3" t="s">
        <v>1428</v>
      </c>
      <c r="I3956" s="123">
        <f t="shared" si="345"/>
        <v>14.8</v>
      </c>
      <c r="J3956" s="3" t="s">
        <v>209</v>
      </c>
      <c r="K3956" s="17">
        <f t="shared" ref="K3956:K3963" si="346">F3956*I3956</f>
        <v>44.400000000000006</v>
      </c>
    </row>
    <row r="3957" spans="6:11" ht="24" customHeight="1">
      <c r="F3957" s="17">
        <v>12</v>
      </c>
      <c r="G3957" s="15" t="s">
        <v>209</v>
      </c>
      <c r="H3957" s="3" t="s">
        <v>1429</v>
      </c>
      <c r="I3957" s="123">
        <f t="shared" si="345"/>
        <v>2</v>
      </c>
      <c r="J3957" s="3" t="s">
        <v>209</v>
      </c>
      <c r="K3957" s="17">
        <f t="shared" si="346"/>
        <v>24</v>
      </c>
    </row>
    <row r="3958" spans="6:11" ht="24" customHeight="1">
      <c r="F3958" s="17">
        <v>2</v>
      </c>
      <c r="G3958" s="15" t="s">
        <v>209</v>
      </c>
      <c r="H3958" s="17" t="str">
        <f>H3942</f>
        <v>TOWER BOLT RECEIVER</v>
      </c>
      <c r="I3958" s="123">
        <f t="shared" si="345"/>
        <v>4.9000000000000004</v>
      </c>
      <c r="J3958" s="3" t="s">
        <v>209</v>
      </c>
      <c r="K3958" s="17">
        <f t="shared" si="346"/>
        <v>9.8000000000000007</v>
      </c>
    </row>
    <row r="3959" spans="6:11" ht="24" customHeight="1">
      <c r="F3959" s="17">
        <v>6</v>
      </c>
      <c r="G3959" s="15" t="s">
        <v>209</v>
      </c>
      <c r="H3959" s="3" t="s">
        <v>1432</v>
      </c>
      <c r="I3959" s="123">
        <f t="shared" si="345"/>
        <v>4.45</v>
      </c>
      <c r="J3959" s="3" t="s">
        <v>209</v>
      </c>
      <c r="K3959" s="17">
        <f t="shared" si="346"/>
        <v>26.700000000000003</v>
      </c>
    </row>
    <row r="3960" spans="6:11" ht="24" customHeight="1">
      <c r="F3960" s="17">
        <v>1</v>
      </c>
      <c r="G3960" s="15" t="s">
        <v>209</v>
      </c>
      <c r="H3960" s="3" t="s">
        <v>1435</v>
      </c>
      <c r="I3960" s="17">
        <f>I3944</f>
        <v>769</v>
      </c>
      <c r="J3960" s="3" t="s">
        <v>209</v>
      </c>
      <c r="K3960" s="17">
        <f t="shared" si="346"/>
        <v>769</v>
      </c>
    </row>
    <row r="3961" spans="6:11" ht="24" customHeight="1">
      <c r="F3961" s="17">
        <v>1</v>
      </c>
      <c r="G3961" s="15" t="s">
        <v>209</v>
      </c>
      <c r="H3961" s="3" t="s">
        <v>1436</v>
      </c>
      <c r="I3961" s="17">
        <f>I3945</f>
        <v>502</v>
      </c>
      <c r="J3961" s="3" t="s">
        <v>209</v>
      </c>
      <c r="K3961" s="17">
        <f t="shared" si="346"/>
        <v>502</v>
      </c>
    </row>
    <row r="3962" spans="6:11" ht="24" customHeight="1">
      <c r="F3962" s="17">
        <v>1</v>
      </c>
      <c r="G3962" s="15" t="s">
        <v>209</v>
      </c>
      <c r="H3962" s="17" t="str">
        <f>H3946</f>
        <v>MOULDING CHARGES</v>
      </c>
      <c r="I3962" s="17">
        <f>I3946</f>
        <v>25</v>
      </c>
      <c r="J3962" s="3" t="s">
        <v>209</v>
      </c>
      <c r="K3962" s="17">
        <f t="shared" si="346"/>
        <v>25</v>
      </c>
    </row>
    <row r="3963" spans="6:11" ht="24" customHeight="1">
      <c r="F3963" s="17">
        <v>0.5</v>
      </c>
      <c r="G3963" s="15" t="s">
        <v>209</v>
      </c>
      <c r="H3963" s="3" t="s">
        <v>1438</v>
      </c>
      <c r="I3963" s="17">
        <f>I3947</f>
        <v>412</v>
      </c>
      <c r="J3963" s="3" t="s">
        <v>209</v>
      </c>
      <c r="K3963" s="17">
        <f t="shared" si="346"/>
        <v>206</v>
      </c>
    </row>
    <row r="3964" spans="6:11" ht="24" customHeight="1">
      <c r="G3964" s="15" t="s">
        <v>129</v>
      </c>
      <c r="H3964" s="3" t="s">
        <v>1439</v>
      </c>
      <c r="I3964" s="17">
        <f>I3948</f>
        <v>0</v>
      </c>
      <c r="J3964" s="3" t="s">
        <v>129</v>
      </c>
      <c r="K3964" s="17">
        <v>1.39</v>
      </c>
    </row>
    <row r="3965" spans="6:11" ht="24" customHeight="1">
      <c r="K3965" s="12" t="s">
        <v>117</v>
      </c>
    </row>
    <row r="3966" spans="6:11" ht="24" customHeight="1">
      <c r="H3966" s="19" t="s">
        <v>1440</v>
      </c>
      <c r="K3966" s="16">
        <f>SUM(K3954:K3964)</f>
        <v>2185.4976503999997</v>
      </c>
    </row>
    <row r="3967" spans="6:11" ht="24" customHeight="1">
      <c r="K3967" s="12" t="s">
        <v>117</v>
      </c>
    </row>
    <row r="3969" spans="6:11" ht="24" customHeight="1">
      <c r="G3969" s="5"/>
      <c r="H3969" s="4" t="s">
        <v>1421</v>
      </c>
      <c r="J3969" s="5"/>
      <c r="K3969" s="12"/>
    </row>
    <row r="3970" spans="6:11" ht="24" customHeight="1">
      <c r="G3970" s="5"/>
      <c r="J3970" s="5"/>
      <c r="K3970" s="12"/>
    </row>
    <row r="3971" spans="6:11" ht="24" customHeight="1">
      <c r="F3971" s="80">
        <v>6.5000000000000002E-2</v>
      </c>
      <c r="G3971" s="15" t="s">
        <v>126</v>
      </c>
      <c r="H3971" s="3" t="s">
        <v>1424</v>
      </c>
      <c r="I3971" s="17">
        <f>I3954</f>
        <v>7407.8179999999993</v>
      </c>
      <c r="J3971" s="3" t="s">
        <v>126</v>
      </c>
      <c r="K3971" s="17">
        <f>I3971*F3971</f>
        <v>481.50816999999995</v>
      </c>
    </row>
    <row r="3972" spans="6:11" ht="24" customHeight="1">
      <c r="F3972" s="125">
        <v>8.4499999999999993</v>
      </c>
      <c r="G3972" s="15" t="s">
        <v>148</v>
      </c>
      <c r="H3972" s="3" t="s">
        <v>1426</v>
      </c>
      <c r="I3972" s="17">
        <f t="shared" ref="I3972:I3981" si="347">I3955</f>
        <v>68782.5</v>
      </c>
      <c r="J3972" s="3" t="s">
        <v>124</v>
      </c>
      <c r="K3972" s="17">
        <f>I3972*F3972/1000</f>
        <v>581.21212500000001</v>
      </c>
    </row>
    <row r="3973" spans="6:11" ht="24" customHeight="1">
      <c r="F3973" s="17">
        <v>3</v>
      </c>
      <c r="G3973" s="15" t="s">
        <v>209</v>
      </c>
      <c r="H3973" s="3" t="s">
        <v>1428</v>
      </c>
      <c r="I3973" s="17">
        <f t="shared" si="347"/>
        <v>14.8</v>
      </c>
      <c r="J3973" s="3" t="s">
        <v>209</v>
      </c>
      <c r="K3973" s="17">
        <f t="shared" ref="K3973:K3980" si="348">I3973*F3973</f>
        <v>44.400000000000006</v>
      </c>
    </row>
    <row r="3974" spans="6:11" ht="24" customHeight="1">
      <c r="F3974" s="17">
        <v>12</v>
      </c>
      <c r="G3974" s="15" t="s">
        <v>209</v>
      </c>
      <c r="H3974" s="3" t="s">
        <v>1429</v>
      </c>
      <c r="I3974" s="17">
        <f t="shared" si="347"/>
        <v>2</v>
      </c>
      <c r="J3974" s="3" t="s">
        <v>209</v>
      </c>
      <c r="K3974" s="17">
        <f t="shared" si="348"/>
        <v>24</v>
      </c>
    </row>
    <row r="3975" spans="6:11" ht="24" customHeight="1">
      <c r="F3975" s="17">
        <v>2</v>
      </c>
      <c r="G3975" s="15" t="s">
        <v>209</v>
      </c>
      <c r="H3975" s="3" t="s">
        <v>1430</v>
      </c>
      <c r="I3975" s="17">
        <f t="shared" si="347"/>
        <v>4.9000000000000004</v>
      </c>
      <c r="J3975" s="3" t="s">
        <v>209</v>
      </c>
      <c r="K3975" s="17">
        <f t="shared" si="348"/>
        <v>9.8000000000000007</v>
      </c>
    </row>
    <row r="3976" spans="6:11" ht="24" customHeight="1">
      <c r="F3976" s="17">
        <v>6</v>
      </c>
      <c r="G3976" s="15" t="s">
        <v>209</v>
      </c>
      <c r="H3976" s="3" t="s">
        <v>1432</v>
      </c>
      <c r="I3976" s="17">
        <f t="shared" si="347"/>
        <v>4.45</v>
      </c>
      <c r="J3976" s="3" t="s">
        <v>209</v>
      </c>
      <c r="K3976" s="17">
        <f t="shared" si="348"/>
        <v>26.700000000000003</v>
      </c>
    </row>
    <row r="3977" spans="6:11" ht="24" customHeight="1">
      <c r="F3977" s="17">
        <v>1</v>
      </c>
      <c r="G3977" s="15" t="s">
        <v>209</v>
      </c>
      <c r="H3977" s="3" t="s">
        <v>1435</v>
      </c>
      <c r="I3977" s="17">
        <f t="shared" si="347"/>
        <v>769</v>
      </c>
      <c r="J3977" s="3" t="s">
        <v>209</v>
      </c>
      <c r="K3977" s="17">
        <f t="shared" si="348"/>
        <v>769</v>
      </c>
    </row>
    <row r="3978" spans="6:11" ht="24" customHeight="1">
      <c r="F3978" s="17">
        <v>1</v>
      </c>
      <c r="G3978" s="15" t="s">
        <v>209</v>
      </c>
      <c r="H3978" s="3" t="s">
        <v>1436</v>
      </c>
      <c r="I3978" s="17">
        <f t="shared" si="347"/>
        <v>502</v>
      </c>
      <c r="J3978" s="3" t="s">
        <v>209</v>
      </c>
      <c r="K3978" s="17">
        <f t="shared" si="348"/>
        <v>502</v>
      </c>
    </row>
    <row r="3979" spans="6:11" ht="24" customHeight="1">
      <c r="F3979" s="17">
        <v>1</v>
      </c>
      <c r="G3979" s="15" t="s">
        <v>209</v>
      </c>
      <c r="H3979" s="3" t="s">
        <v>1437</v>
      </c>
      <c r="I3979" s="17">
        <f t="shared" si="347"/>
        <v>25</v>
      </c>
      <c r="J3979" s="3" t="s">
        <v>209</v>
      </c>
      <c r="K3979" s="17">
        <f t="shared" si="348"/>
        <v>25</v>
      </c>
    </row>
    <row r="3980" spans="6:11" ht="24" customHeight="1">
      <c r="F3980" s="17">
        <v>0.5</v>
      </c>
      <c r="G3980" s="15" t="s">
        <v>209</v>
      </c>
      <c r="H3980" s="3" t="s">
        <v>1438</v>
      </c>
      <c r="I3980" s="17">
        <f t="shared" si="347"/>
        <v>412</v>
      </c>
      <c r="J3980" s="3" t="s">
        <v>209</v>
      </c>
      <c r="K3980" s="17">
        <f t="shared" si="348"/>
        <v>206</v>
      </c>
    </row>
    <row r="3981" spans="6:11" ht="24" customHeight="1">
      <c r="G3981" s="15" t="s">
        <v>129</v>
      </c>
      <c r="H3981" s="3" t="s">
        <v>1439</v>
      </c>
      <c r="I3981" s="17">
        <f t="shared" si="347"/>
        <v>0</v>
      </c>
      <c r="J3981" s="3" t="s">
        <v>129</v>
      </c>
      <c r="K3981" s="17">
        <v>2.1</v>
      </c>
    </row>
    <row r="3982" spans="6:11" ht="24" customHeight="1">
      <c r="K3982" s="12" t="s">
        <v>117</v>
      </c>
    </row>
    <row r="3983" spans="6:11" ht="24" customHeight="1">
      <c r="H3983" s="19" t="s">
        <v>1440</v>
      </c>
      <c r="K3983" s="74">
        <f>SUM(K3971:K3981)</f>
        <v>2671.7202950000001</v>
      </c>
    </row>
    <row r="3984" spans="6:11" ht="24" customHeight="1">
      <c r="K3984" s="12" t="s">
        <v>117</v>
      </c>
    </row>
    <row r="3985" spans="6:11" ht="24" customHeight="1">
      <c r="F3985" s="1500" t="s">
        <v>2971</v>
      </c>
      <c r="G3985" s="1500"/>
      <c r="H3985" s="1500"/>
      <c r="I3985" s="194"/>
      <c r="J3985" s="194"/>
    </row>
    <row r="3986" spans="6:11" ht="24" customHeight="1">
      <c r="F3986" s="9"/>
      <c r="H3986" s="157" t="s">
        <v>2972</v>
      </c>
    </row>
    <row r="3987" spans="6:11" ht="24" customHeight="1">
      <c r="F3987" s="49">
        <v>4.88</v>
      </c>
      <c r="G3987" s="15" t="s">
        <v>654</v>
      </c>
      <c r="H3987" s="3" t="s">
        <v>1711</v>
      </c>
      <c r="I3987" s="17">
        <f>AB1350</f>
        <v>287</v>
      </c>
      <c r="J3987" s="15" t="s">
        <v>654</v>
      </c>
      <c r="K3987" s="17">
        <f t="shared" ref="K3987:K3996" si="349">I3987*F3987</f>
        <v>1400.56</v>
      </c>
    </row>
    <row r="3988" spans="6:11" ht="24" customHeight="1">
      <c r="F3988" s="49">
        <v>7.76</v>
      </c>
      <c r="G3988" s="15" t="s">
        <v>654</v>
      </c>
      <c r="H3988" s="3" t="s">
        <v>1711</v>
      </c>
      <c r="I3988" s="17">
        <f>I3987</f>
        <v>287</v>
      </c>
      <c r="J3988" s="15" t="s">
        <v>654</v>
      </c>
      <c r="K3988" s="17">
        <f t="shared" si="349"/>
        <v>2227.12</v>
      </c>
    </row>
    <row r="3989" spans="6:11" ht="24" customHeight="1">
      <c r="F3989" s="49">
        <v>3.03</v>
      </c>
      <c r="G3989" s="15" t="s">
        <v>654</v>
      </c>
      <c r="H3989" s="3" t="s">
        <v>1711</v>
      </c>
      <c r="I3989" s="17">
        <f>I3988</f>
        <v>287</v>
      </c>
      <c r="J3989" s="15" t="s">
        <v>654</v>
      </c>
      <c r="K3989" s="17">
        <f t="shared" si="349"/>
        <v>869.6099999999999</v>
      </c>
    </row>
    <row r="3990" spans="6:11" ht="24" customHeight="1">
      <c r="F3990" s="49">
        <v>1.45</v>
      </c>
      <c r="G3990" s="15" t="s">
        <v>654</v>
      </c>
      <c r="H3990" s="3" t="s">
        <v>1711</v>
      </c>
      <c r="I3990" s="17">
        <f>I3989</f>
        <v>287</v>
      </c>
      <c r="J3990" s="15" t="s">
        <v>654</v>
      </c>
      <c r="K3990" s="17">
        <f t="shared" si="349"/>
        <v>416.15</v>
      </c>
    </row>
    <row r="3991" spans="6:11" ht="24" customHeight="1">
      <c r="F3991" s="49">
        <v>2.4300000000000002</v>
      </c>
      <c r="G3991" s="15" t="s">
        <v>110</v>
      </c>
      <c r="H3991" s="3" t="s">
        <v>1717</v>
      </c>
      <c r="I3991" s="17">
        <f>AB1354</f>
        <v>208.8</v>
      </c>
      <c r="J3991" s="15" t="s">
        <v>110</v>
      </c>
      <c r="K3991" s="17">
        <f t="shared" si="349"/>
        <v>507.38400000000007</v>
      </c>
    </row>
    <row r="3992" spans="6:11" ht="24" customHeight="1">
      <c r="F3992" s="49">
        <v>11.7</v>
      </c>
      <c r="G3992" s="15" t="s">
        <v>231</v>
      </c>
      <c r="H3992" s="3" t="s">
        <v>1720</v>
      </c>
      <c r="I3992" s="17">
        <f>AB1355</f>
        <v>28.6</v>
      </c>
      <c r="J3992" s="15" t="s">
        <v>231</v>
      </c>
      <c r="K3992" s="17">
        <f t="shared" si="349"/>
        <v>334.62</v>
      </c>
    </row>
    <row r="3993" spans="6:11" ht="24" customHeight="1">
      <c r="F3993" s="49">
        <v>3</v>
      </c>
      <c r="G3993" s="15" t="s">
        <v>1</v>
      </c>
      <c r="H3993" s="3" t="s">
        <v>2973</v>
      </c>
      <c r="I3993" s="17">
        <v>350</v>
      </c>
      <c r="J3993" s="15" t="s">
        <v>1</v>
      </c>
      <c r="K3993" s="17">
        <f t="shared" si="349"/>
        <v>1050</v>
      </c>
    </row>
    <row r="3994" spans="6:11" ht="24" customHeight="1">
      <c r="F3994" s="49">
        <v>3</v>
      </c>
      <c r="G3994" s="15" t="s">
        <v>1</v>
      </c>
      <c r="H3994" s="3" t="s">
        <v>1724</v>
      </c>
      <c r="I3994" s="17">
        <f>V1359</f>
        <v>50.9</v>
      </c>
      <c r="J3994" s="15" t="s">
        <v>1</v>
      </c>
      <c r="K3994" s="17">
        <f t="shared" si="349"/>
        <v>152.69999999999999</v>
      </c>
    </row>
    <row r="3995" spans="6:11" ht="24" customHeight="1">
      <c r="F3995" s="49">
        <v>4</v>
      </c>
      <c r="G3995" s="15" t="s">
        <v>1</v>
      </c>
      <c r="H3995" s="3" t="s">
        <v>1730</v>
      </c>
      <c r="I3995" s="17">
        <f>AB1360</f>
        <v>15</v>
      </c>
      <c r="J3995" s="15" t="s">
        <v>1</v>
      </c>
      <c r="K3995" s="17">
        <f t="shared" si="349"/>
        <v>60</v>
      </c>
    </row>
    <row r="3996" spans="6:11" ht="24" customHeight="1">
      <c r="F3996" s="49">
        <v>2.4300000000000002</v>
      </c>
      <c r="G3996" s="15" t="s">
        <v>174</v>
      </c>
      <c r="H3996" s="3" t="s">
        <v>1731</v>
      </c>
      <c r="I3996" s="17">
        <f>AB1361</f>
        <v>1540</v>
      </c>
      <c r="J3996" s="15" t="s">
        <v>1</v>
      </c>
      <c r="K3996" s="17">
        <f t="shared" si="349"/>
        <v>3742.2000000000003</v>
      </c>
    </row>
    <row r="3997" spans="6:11" ht="24" customHeight="1">
      <c r="F3997" s="9"/>
      <c r="H3997" s="3" t="s">
        <v>1733</v>
      </c>
      <c r="J3997" s="15"/>
      <c r="K3997" s="17"/>
    </row>
    <row r="3998" spans="6:11" ht="24" customHeight="1">
      <c r="F3998" s="9"/>
      <c r="G3998" s="5"/>
      <c r="H3998" s="14" t="s">
        <v>1735</v>
      </c>
      <c r="J3998" s="5"/>
      <c r="K3998" s="17">
        <f>SUM(K3987:K3997)</f>
        <v>10760.343999999999</v>
      </c>
    </row>
    <row r="3999" spans="6:11" ht="24" customHeight="1">
      <c r="F3999" s="9"/>
      <c r="G3999" s="5"/>
      <c r="H3999" s="14" t="s">
        <v>2974</v>
      </c>
      <c r="J3999" s="15" t="s">
        <v>174</v>
      </c>
      <c r="K3999" s="17">
        <f>K3998/F3996</f>
        <v>4428.1251028806582</v>
      </c>
    </row>
    <row r="4000" spans="6:11" ht="24" customHeight="1">
      <c r="F4000" s="9"/>
      <c r="G4000" s="5"/>
      <c r="J4000" s="5"/>
      <c r="K4000" s="16"/>
    </row>
    <row r="4001" spans="6:11" ht="24" customHeight="1">
      <c r="F4001" s="9"/>
      <c r="G4001" s="5"/>
      <c r="J4001" s="5"/>
    </row>
    <row r="4002" spans="6:11" ht="24" customHeight="1">
      <c r="H4002" s="1500" t="s">
        <v>2975</v>
      </c>
      <c r="I4002" s="1500"/>
      <c r="J4002" s="1500"/>
      <c r="K4002" s="1500"/>
    </row>
    <row r="4003" spans="6:11" ht="24" customHeight="1">
      <c r="F4003" s="81"/>
      <c r="G4003" s="15"/>
      <c r="H4003" s="3"/>
      <c r="I4003" s="17"/>
      <c r="J4003" s="15"/>
      <c r="K4003" s="17"/>
    </row>
    <row r="4004" spans="6:11" ht="24" customHeight="1">
      <c r="F4004" s="81"/>
      <c r="G4004" s="15"/>
      <c r="H4004" s="3"/>
      <c r="I4004" s="17"/>
      <c r="J4004" s="15"/>
      <c r="K4004" s="17"/>
    </row>
    <row r="4005" spans="6:11" ht="24" customHeight="1">
      <c r="F4005" s="81"/>
      <c r="G4005" s="15"/>
      <c r="H4005" s="3"/>
      <c r="I4005" s="17"/>
      <c r="J4005" s="15"/>
      <c r="K4005" s="17"/>
    </row>
    <row r="4006" spans="6:11" ht="24" customHeight="1">
      <c r="F4006" s="81">
        <v>12.08</v>
      </c>
      <c r="G4006" s="15" t="s">
        <v>654</v>
      </c>
      <c r="H4006" s="3" t="s">
        <v>1711</v>
      </c>
      <c r="I4006" s="17">
        <f>I3987</f>
        <v>287</v>
      </c>
      <c r="J4006" s="15" t="s">
        <v>654</v>
      </c>
      <c r="K4006" s="17">
        <f>I4006*F4006</f>
        <v>3466.96</v>
      </c>
    </row>
    <row r="4007" spans="6:11" ht="24" customHeight="1">
      <c r="F4007" s="81">
        <v>1.823</v>
      </c>
      <c r="G4007" s="15" t="s">
        <v>110</v>
      </c>
      <c r="H4007" s="3" t="s">
        <v>1717</v>
      </c>
      <c r="I4007" s="17">
        <f>I3991</f>
        <v>208.8</v>
      </c>
      <c r="J4007" s="15" t="s">
        <v>110</v>
      </c>
      <c r="K4007" s="17">
        <f t="shared" ref="K4007:K4012" si="350">I4007*F4007</f>
        <v>380.64240000000001</v>
      </c>
    </row>
    <row r="4008" spans="6:11" ht="24" customHeight="1">
      <c r="F4008" s="81">
        <v>8.1</v>
      </c>
      <c r="G4008" s="15" t="s">
        <v>231</v>
      </c>
      <c r="H4008" s="3" t="s">
        <v>1720</v>
      </c>
      <c r="I4008" s="17">
        <f>I3992</f>
        <v>28.6</v>
      </c>
      <c r="J4008" s="15" t="s">
        <v>231</v>
      </c>
      <c r="K4008" s="17">
        <f t="shared" si="350"/>
        <v>231.66</v>
      </c>
    </row>
    <row r="4009" spans="6:11" ht="24" customHeight="1">
      <c r="F4009" s="81">
        <v>2</v>
      </c>
      <c r="G4009" s="15" t="s">
        <v>1820</v>
      </c>
      <c r="H4009" s="3" t="s">
        <v>2976</v>
      </c>
      <c r="I4009" s="17">
        <f>I3993</f>
        <v>350</v>
      </c>
      <c r="J4009" s="15" t="s">
        <v>1</v>
      </c>
      <c r="K4009" s="17">
        <f t="shared" si="350"/>
        <v>700</v>
      </c>
    </row>
    <row r="4010" spans="6:11" ht="24" customHeight="1">
      <c r="F4010" s="81">
        <v>2</v>
      </c>
      <c r="G4010" s="15" t="s">
        <v>1</v>
      </c>
      <c r="H4010" s="3" t="s">
        <v>1724</v>
      </c>
      <c r="I4010" s="17">
        <f>I3994</f>
        <v>50.9</v>
      </c>
      <c r="J4010" s="15" t="s">
        <v>1</v>
      </c>
      <c r="K4010" s="17">
        <f t="shared" si="350"/>
        <v>101.8</v>
      </c>
    </row>
    <row r="4011" spans="6:11" ht="24" customHeight="1">
      <c r="F4011" s="81">
        <v>4</v>
      </c>
      <c r="G4011" s="15" t="s">
        <v>1</v>
      </c>
      <c r="H4011" s="3" t="s">
        <v>1730</v>
      </c>
      <c r="I4011" s="17">
        <v>15</v>
      </c>
      <c r="J4011" s="15" t="s">
        <v>1</v>
      </c>
      <c r="K4011" s="17">
        <f t="shared" si="350"/>
        <v>60</v>
      </c>
    </row>
    <row r="4012" spans="6:11" ht="24" customHeight="1">
      <c r="F4012" s="81">
        <v>1.823</v>
      </c>
      <c r="G4012" s="15" t="s">
        <v>174</v>
      </c>
      <c r="H4012" s="3" t="s">
        <v>1731</v>
      </c>
      <c r="I4012" s="5">
        <f>I3996</f>
        <v>1540</v>
      </c>
      <c r="J4012" s="15" t="s">
        <v>174</v>
      </c>
      <c r="K4012" s="17">
        <f t="shared" si="350"/>
        <v>2807.42</v>
      </c>
    </row>
    <row r="4013" spans="6:11" ht="24" customHeight="1">
      <c r="H4013" s="3"/>
      <c r="J4013" s="10"/>
      <c r="K4013" s="17"/>
    </row>
    <row r="4014" spans="6:11" ht="24" customHeight="1">
      <c r="G4014" s="5"/>
      <c r="H4014" s="112" t="s">
        <v>2977</v>
      </c>
      <c r="J4014" s="5"/>
      <c r="K4014" s="24">
        <f>SUM(K4006:K4013)</f>
        <v>7748.4823999999999</v>
      </c>
    </row>
    <row r="4015" spans="6:11" ht="24" customHeight="1">
      <c r="G4015" s="5"/>
      <c r="H4015" s="112" t="s">
        <v>2978</v>
      </c>
      <c r="J4015" s="5"/>
      <c r="K4015" s="50">
        <f>K4014/F4012</f>
        <v>4250.4017553483272</v>
      </c>
    </row>
    <row r="4016" spans="6:11" ht="24" customHeight="1">
      <c r="G4016" s="5"/>
      <c r="H4016" s="112"/>
      <c r="J4016" s="5"/>
    </row>
    <row r="4017" spans="6:11" ht="24" customHeight="1">
      <c r="F4017" s="9"/>
      <c r="H4017" s="157" t="s">
        <v>2979</v>
      </c>
    </row>
    <row r="4018" spans="6:11" ht="24" customHeight="1">
      <c r="F4018" s="49">
        <v>3.72</v>
      </c>
      <c r="G4018" s="15" t="s">
        <v>654</v>
      </c>
      <c r="H4018" s="3" t="s">
        <v>1711</v>
      </c>
      <c r="I4018" s="17">
        <f>I3987</f>
        <v>287</v>
      </c>
      <c r="J4018" s="15" t="s">
        <v>654</v>
      </c>
      <c r="K4018" s="17">
        <f>I4018*F4018</f>
        <v>1067.6400000000001</v>
      </c>
    </row>
    <row r="4019" spans="6:11" ht="24" customHeight="1">
      <c r="F4019" s="49">
        <v>4.57</v>
      </c>
      <c r="G4019" s="15" t="s">
        <v>654</v>
      </c>
      <c r="H4019" s="3" t="s">
        <v>1711</v>
      </c>
      <c r="I4019" s="17">
        <f>I4018</f>
        <v>287</v>
      </c>
      <c r="J4019" s="15" t="s">
        <v>654</v>
      </c>
      <c r="K4019" s="17">
        <f t="shared" ref="K4019:K4025" si="351">I4019*F4019</f>
        <v>1311.5900000000001</v>
      </c>
    </row>
    <row r="4020" spans="6:11" ht="24" customHeight="1">
      <c r="F4020" s="49">
        <v>1.18</v>
      </c>
      <c r="G4020" s="15" t="s">
        <v>654</v>
      </c>
      <c r="H4020" s="3" t="s">
        <v>1711</v>
      </c>
      <c r="I4020" s="17">
        <f>I4019</f>
        <v>287</v>
      </c>
      <c r="J4020" s="15" t="s">
        <v>654</v>
      </c>
      <c r="K4020" s="17">
        <f t="shared" si="351"/>
        <v>338.65999999999997</v>
      </c>
    </row>
    <row r="4021" spans="6:11" ht="24" customHeight="1">
      <c r="F4021" s="49">
        <v>0.86</v>
      </c>
      <c r="G4021" s="15" t="s">
        <v>654</v>
      </c>
      <c r="H4021" s="3" t="s">
        <v>1711</v>
      </c>
      <c r="I4021" s="17">
        <f>I4020</f>
        <v>287</v>
      </c>
      <c r="J4021" s="15" t="s">
        <v>654</v>
      </c>
      <c r="K4021" s="17">
        <f t="shared" si="351"/>
        <v>246.82</v>
      </c>
    </row>
    <row r="4022" spans="6:11" ht="24" customHeight="1">
      <c r="F4022" s="49">
        <v>1.42</v>
      </c>
      <c r="G4022" s="15" t="s">
        <v>110</v>
      </c>
      <c r="H4022" s="3" t="s">
        <v>1717</v>
      </c>
      <c r="I4022" s="17">
        <f t="shared" ref="I4022:I4027" si="352">I4007</f>
        <v>208.8</v>
      </c>
      <c r="J4022" s="15" t="s">
        <v>110</v>
      </c>
      <c r="K4022" s="17">
        <f t="shared" si="351"/>
        <v>296.49599999999998</v>
      </c>
    </row>
    <row r="4023" spans="6:11" ht="24" customHeight="1">
      <c r="F4023" s="49">
        <v>6.9</v>
      </c>
      <c r="G4023" s="15" t="s">
        <v>231</v>
      </c>
      <c r="H4023" s="3" t="s">
        <v>1720</v>
      </c>
      <c r="I4023" s="17">
        <f t="shared" si="352"/>
        <v>28.6</v>
      </c>
      <c r="J4023" s="15" t="s">
        <v>231</v>
      </c>
      <c r="K4023" s="17">
        <f t="shared" si="351"/>
        <v>197.34000000000003</v>
      </c>
    </row>
    <row r="4024" spans="6:11" ht="24" customHeight="1">
      <c r="F4024" s="49">
        <v>2</v>
      </c>
      <c r="G4024" s="15" t="s">
        <v>1</v>
      </c>
      <c r="H4024" s="3" t="s">
        <v>2976</v>
      </c>
      <c r="I4024" s="17">
        <f t="shared" si="352"/>
        <v>350</v>
      </c>
      <c r="J4024" s="15" t="s">
        <v>1</v>
      </c>
      <c r="K4024" s="17">
        <f t="shared" si="351"/>
        <v>700</v>
      </c>
    </row>
    <row r="4025" spans="6:11" ht="24" customHeight="1">
      <c r="F4025" s="49">
        <v>2</v>
      </c>
      <c r="G4025" s="15" t="s">
        <v>1</v>
      </c>
      <c r="H4025" s="3" t="s">
        <v>1724</v>
      </c>
      <c r="I4025" s="17">
        <f t="shared" si="352"/>
        <v>50.9</v>
      </c>
      <c r="J4025" s="15" t="s">
        <v>1</v>
      </c>
      <c r="K4025" s="17">
        <f t="shared" si="351"/>
        <v>101.8</v>
      </c>
    </row>
    <row r="4026" spans="6:11" ht="24" customHeight="1">
      <c r="F4026" s="49">
        <v>4</v>
      </c>
      <c r="G4026" s="15" t="s">
        <v>1</v>
      </c>
      <c r="H4026" s="3" t="s">
        <v>1730</v>
      </c>
      <c r="I4026" s="17">
        <f t="shared" si="352"/>
        <v>15</v>
      </c>
      <c r="J4026" s="15" t="s">
        <v>1</v>
      </c>
      <c r="K4026" s="17">
        <f>I4026*F4026</f>
        <v>60</v>
      </c>
    </row>
    <row r="4027" spans="6:11" ht="24" customHeight="1">
      <c r="F4027" s="49">
        <v>1.42</v>
      </c>
      <c r="G4027" s="15" t="s">
        <v>174</v>
      </c>
      <c r="H4027" s="3" t="s">
        <v>1731</v>
      </c>
      <c r="I4027" s="17">
        <f t="shared" si="352"/>
        <v>1540</v>
      </c>
      <c r="J4027" s="15" t="s">
        <v>174</v>
      </c>
      <c r="K4027" s="17">
        <f>I4027*F4027</f>
        <v>2186.7999999999997</v>
      </c>
    </row>
    <row r="4028" spans="6:11" ht="24" customHeight="1">
      <c r="F4028" s="9"/>
      <c r="H4028" s="3" t="s">
        <v>1733</v>
      </c>
      <c r="J4028" s="10"/>
      <c r="K4028" s="17"/>
    </row>
    <row r="4029" spans="6:11" ht="24" customHeight="1">
      <c r="F4029" s="9"/>
      <c r="G4029" s="5"/>
      <c r="H4029" s="14" t="s">
        <v>1735</v>
      </c>
      <c r="J4029" s="5"/>
      <c r="K4029" s="17">
        <f>SUM(K4018:K4028)</f>
        <v>6507.1460000000006</v>
      </c>
    </row>
    <row r="4030" spans="6:11" ht="24" customHeight="1">
      <c r="F4030" s="9"/>
      <c r="G4030" s="5"/>
      <c r="H4030" s="112" t="s">
        <v>2978</v>
      </c>
      <c r="J4030" s="5"/>
      <c r="K4030" s="50">
        <f>K4029/F4027</f>
        <v>4582.4971830985924</v>
      </c>
    </row>
    <row r="4031" spans="6:11" ht="24" customHeight="1">
      <c r="F4031" s="9"/>
      <c r="G4031" s="5"/>
      <c r="J4031" s="5"/>
      <c r="K4031" s="16"/>
    </row>
    <row r="4032" spans="6:11" ht="24" customHeight="1">
      <c r="F4032" s="9"/>
      <c r="G4032" s="5"/>
      <c r="H4032" s="157" t="s">
        <v>2980</v>
      </c>
    </row>
    <row r="4033" spans="6:13" ht="24" customHeight="1">
      <c r="F4033" s="198">
        <v>11.61</v>
      </c>
      <c r="G4033" s="199" t="s">
        <v>654</v>
      </c>
      <c r="H4033" s="202" t="s">
        <v>1711</v>
      </c>
      <c r="I4033" s="201">
        <f>I4018</f>
        <v>287</v>
      </c>
      <c r="J4033" s="199" t="s">
        <v>654</v>
      </c>
      <c r="K4033" s="201">
        <f>I4033*F4033</f>
        <v>3332.0699999999997</v>
      </c>
    </row>
    <row r="4034" spans="6:13" ht="24" customHeight="1">
      <c r="F4034" s="198">
        <v>7.8</v>
      </c>
      <c r="G4034" s="199" t="s">
        <v>231</v>
      </c>
      <c r="H4034" s="202" t="s">
        <v>1819</v>
      </c>
      <c r="I4034" s="201">
        <f>I4023</f>
        <v>28.6</v>
      </c>
      <c r="J4034" s="199" t="s">
        <v>231</v>
      </c>
      <c r="K4034" s="201">
        <f t="shared" ref="K4034:K4039" si="353">I4034*F4034</f>
        <v>223.08</v>
      </c>
    </row>
    <row r="4035" spans="6:13" ht="24" customHeight="1">
      <c r="F4035" s="198">
        <v>1.62</v>
      </c>
      <c r="G4035" s="199" t="s">
        <v>110</v>
      </c>
      <c r="H4035" s="202" t="s">
        <v>1818</v>
      </c>
      <c r="I4035" s="201">
        <f>I4022</f>
        <v>208.8</v>
      </c>
      <c r="J4035" s="199" t="s">
        <v>110</v>
      </c>
      <c r="K4035" s="201">
        <f t="shared" si="353"/>
        <v>338.25600000000003</v>
      </c>
    </row>
    <row r="4036" spans="6:13" ht="24" customHeight="1">
      <c r="F4036" s="198">
        <v>2</v>
      </c>
      <c r="G4036" s="199" t="s">
        <v>1</v>
      </c>
      <c r="H4036" s="202" t="s">
        <v>1822</v>
      </c>
      <c r="I4036" s="201">
        <f>I4025</f>
        <v>50.9</v>
      </c>
      <c r="J4036" s="199" t="s">
        <v>1</v>
      </c>
      <c r="K4036" s="201">
        <f t="shared" si="353"/>
        <v>101.8</v>
      </c>
    </row>
    <row r="4037" spans="6:13" ht="24" customHeight="1">
      <c r="F4037" s="198">
        <v>2</v>
      </c>
      <c r="G4037" s="199" t="s">
        <v>1</v>
      </c>
      <c r="H4037" s="202" t="s">
        <v>2981</v>
      </c>
      <c r="I4037" s="201">
        <f>I4024</f>
        <v>350</v>
      </c>
      <c r="J4037" s="199" t="s">
        <v>1</v>
      </c>
      <c r="K4037" s="201">
        <f t="shared" si="353"/>
        <v>700</v>
      </c>
    </row>
    <row r="4038" spans="6:13" ht="24" customHeight="1">
      <c r="F4038" s="198">
        <v>4</v>
      </c>
      <c r="G4038" s="199" t="s">
        <v>1</v>
      </c>
      <c r="H4038" s="202" t="s">
        <v>1823</v>
      </c>
      <c r="I4038" s="201">
        <f>I4026</f>
        <v>15</v>
      </c>
      <c r="J4038" s="199" t="s">
        <v>1</v>
      </c>
      <c r="K4038" s="201">
        <f t="shared" si="353"/>
        <v>60</v>
      </c>
    </row>
    <row r="4039" spans="6:13" ht="24" customHeight="1">
      <c r="F4039" s="198">
        <v>1.62</v>
      </c>
      <c r="G4039" s="199" t="s">
        <v>174</v>
      </c>
      <c r="H4039" s="202" t="s">
        <v>1824</v>
      </c>
      <c r="I4039" s="201">
        <f>I4027</f>
        <v>1540</v>
      </c>
      <c r="J4039" s="199" t="s">
        <v>174</v>
      </c>
      <c r="K4039" s="201">
        <f t="shared" si="353"/>
        <v>2494.8000000000002</v>
      </c>
    </row>
    <row r="4040" spans="6:13" ht="24" customHeight="1">
      <c r="F4040" s="196"/>
      <c r="G4040" s="204"/>
      <c r="H4040" s="202" t="s">
        <v>236</v>
      </c>
      <c r="I4040" s="196"/>
      <c r="J4040" s="203"/>
      <c r="K4040" s="201"/>
    </row>
    <row r="4041" spans="6:13" ht="24" customHeight="1">
      <c r="F4041" s="196"/>
      <c r="G4041" s="196"/>
      <c r="H4041" s="14" t="s">
        <v>1735</v>
      </c>
      <c r="J4041" s="5"/>
      <c r="K4041" s="17">
        <f>SUM(K4033:K4040)</f>
        <v>7250.0060000000003</v>
      </c>
    </row>
    <row r="4042" spans="6:13" ht="24" customHeight="1">
      <c r="F4042" s="9"/>
      <c r="G4042" s="5"/>
      <c r="H4042" s="112" t="s">
        <v>2978</v>
      </c>
      <c r="J4042" s="5"/>
      <c r="K4042" s="50">
        <f>K4041/F4039</f>
        <v>4475.3123456790127</v>
      </c>
    </row>
    <row r="4043" spans="6:13" ht="24" customHeight="1">
      <c r="F4043" s="9"/>
      <c r="G4043" s="5"/>
      <c r="J4043" s="5"/>
    </row>
    <row r="4045" spans="6:13" ht="24" customHeight="1">
      <c r="F4045" s="329"/>
      <c r="G4045" s="330"/>
      <c r="H4045" s="187" t="s">
        <v>2982</v>
      </c>
      <c r="I4045" s="329"/>
      <c r="J4045" s="332"/>
      <c r="K4045" s="329"/>
      <c r="L4045" s="9"/>
      <c r="M4045" s="9"/>
    </row>
    <row r="4046" spans="6:13" ht="24" customHeight="1">
      <c r="F4046" s="329"/>
      <c r="G4046" s="330"/>
      <c r="H4046" s="415" t="s">
        <v>2983</v>
      </c>
      <c r="I4046" s="329"/>
      <c r="J4046" s="332"/>
      <c r="K4046" s="329"/>
      <c r="L4046" s="9"/>
      <c r="M4046" s="9"/>
    </row>
    <row r="4047" spans="6:13" ht="24" customHeight="1">
      <c r="F4047" s="329"/>
      <c r="G4047" s="330"/>
      <c r="H4047" s="337" t="s">
        <v>117</v>
      </c>
      <c r="I4047" s="329"/>
      <c r="J4047" s="332"/>
      <c r="K4047" s="329"/>
      <c r="L4047" s="9"/>
      <c r="M4047" s="9"/>
    </row>
    <row r="4048" spans="6:13" ht="24" customHeight="1">
      <c r="F4048" s="329"/>
      <c r="G4048" s="330"/>
      <c r="H4048" s="343" t="s">
        <v>2984</v>
      </c>
      <c r="J4048" s="5"/>
      <c r="L4048" s="9"/>
      <c r="M4048" s="9"/>
    </row>
    <row r="4049" spans="6:13" ht="33.950000000000003" customHeight="1">
      <c r="F4049" s="329"/>
      <c r="G4049" s="330"/>
      <c r="H4049" s="383" t="s">
        <v>2985</v>
      </c>
      <c r="I4049" s="462"/>
      <c r="J4049" s="417">
        <f>3*2*1.9*0.075*0.0375</f>
        <v>3.2062499999999994E-2</v>
      </c>
      <c r="K4049" s="329" t="s">
        <v>429</v>
      </c>
      <c r="L4049" s="9"/>
      <c r="M4049" s="9"/>
    </row>
    <row r="4050" spans="6:13" ht="33.950000000000003" customHeight="1">
      <c r="F4050" s="329"/>
      <c r="G4050" s="330"/>
      <c r="H4050" s="187" t="s">
        <v>2986</v>
      </c>
      <c r="I4050" s="462"/>
      <c r="J4050" s="417">
        <f>3*2*0.5*0.075*0.0375</f>
        <v>8.4374999999999988E-3</v>
      </c>
      <c r="K4050" s="329" t="s">
        <v>429</v>
      </c>
      <c r="L4050" s="9"/>
      <c r="M4050" s="9"/>
    </row>
    <row r="4051" spans="6:13" ht="24" customHeight="1">
      <c r="F4051" s="329"/>
      <c r="G4051" s="330"/>
      <c r="H4051" s="187"/>
      <c r="I4051" s="333"/>
      <c r="J4051" s="337" t="s">
        <v>117</v>
      </c>
      <c r="K4051" s="361"/>
      <c r="L4051" s="9"/>
      <c r="M4051" s="9"/>
    </row>
    <row r="4052" spans="6:13" ht="24" customHeight="1">
      <c r="F4052" s="329"/>
      <c r="G4052" s="330"/>
      <c r="H4052" s="329"/>
      <c r="I4052" s="329"/>
      <c r="J4052" s="500">
        <f>SUM(J4049:J4051)</f>
        <v>4.0499999999999994E-2</v>
      </c>
      <c r="K4052" s="5" t="s">
        <v>429</v>
      </c>
      <c r="L4052" s="9"/>
      <c r="M4052" s="9"/>
    </row>
    <row r="4053" spans="6:13" ht="24" customHeight="1">
      <c r="F4053" s="329"/>
      <c r="G4053" s="330"/>
      <c r="H4053" s="329"/>
      <c r="I4053" s="329"/>
      <c r="J4053" s="337" t="s">
        <v>117</v>
      </c>
      <c r="L4053" s="9"/>
      <c r="M4053" s="9"/>
    </row>
    <row r="4054" spans="6:13" ht="24" customHeight="1">
      <c r="F4054" s="329"/>
      <c r="G4054" s="330"/>
      <c r="H4054" s="187" t="s">
        <v>1480</v>
      </c>
      <c r="I4054" s="462"/>
      <c r="J4054" s="462"/>
      <c r="K4054" s="462"/>
      <c r="L4054" s="9"/>
      <c r="M4054" s="9"/>
    </row>
    <row r="4055" spans="6:13" ht="24" customHeight="1">
      <c r="F4055" s="329"/>
      <c r="G4055" s="330"/>
      <c r="H4055" s="187" t="s">
        <v>2987</v>
      </c>
      <c r="I4055" s="419"/>
      <c r="J4055" s="416">
        <f>3*1.9*0.5</f>
        <v>2.8499999999999996</v>
      </c>
      <c r="K4055" s="15" t="s">
        <v>140</v>
      </c>
      <c r="L4055" s="9"/>
      <c r="M4055" s="9"/>
    </row>
    <row r="4056" spans="6:13" ht="24" customHeight="1">
      <c r="F4056" s="329"/>
      <c r="G4056" s="330"/>
      <c r="H4056" s="187"/>
      <c r="I4056" s="419"/>
      <c r="J4056" s="416"/>
      <c r="K4056" s="361"/>
      <c r="L4056" s="9"/>
      <c r="M4056" s="9"/>
    </row>
    <row r="4057" spans="6:13" ht="33.950000000000003" customHeight="1">
      <c r="F4057" s="329"/>
      <c r="G4057" s="330"/>
      <c r="H4057" s="187" t="s">
        <v>2988</v>
      </c>
      <c r="I4057" s="419"/>
      <c r="J4057" s="416"/>
      <c r="K4057" s="361"/>
      <c r="L4057" s="9"/>
      <c r="M4057" s="9"/>
    </row>
    <row r="4058" spans="6:13" ht="33.950000000000003" customHeight="1">
      <c r="F4058" s="329"/>
      <c r="G4058" s="330"/>
      <c r="H4058" s="187" t="s">
        <v>2989</v>
      </c>
      <c r="I4058" s="419"/>
      <c r="J4058" s="417">
        <f>3*1.775*0.375</f>
        <v>1.9968749999999997</v>
      </c>
      <c r="K4058" s="361" t="str">
        <f>K4055</f>
        <v>SQM</v>
      </c>
      <c r="L4058" s="9"/>
      <c r="M4058" s="9"/>
    </row>
    <row r="4059" spans="6:13" ht="33.950000000000003" customHeight="1">
      <c r="F4059" s="329"/>
      <c r="G4059" s="330"/>
      <c r="H4059" s="187" t="s">
        <v>2990</v>
      </c>
      <c r="I4059" s="329"/>
      <c r="J4059" s="423"/>
      <c r="K4059" s="383"/>
      <c r="L4059" s="9"/>
      <c r="M4059" s="9"/>
    </row>
    <row r="4060" spans="6:13" ht="33.950000000000003" customHeight="1">
      <c r="F4060" s="384"/>
      <c r="G4060" s="330"/>
      <c r="H4060" s="187" t="s">
        <v>2991</v>
      </c>
      <c r="I4060" s="419"/>
      <c r="J4060" s="501">
        <f>1.775+0.375</f>
        <v>2.15</v>
      </c>
      <c r="K4060" s="361"/>
      <c r="L4060" s="185"/>
      <c r="M4060" s="9"/>
    </row>
    <row r="4061" spans="6:13" ht="33.950000000000003" customHeight="1">
      <c r="F4061" s="384"/>
      <c r="G4061" s="330"/>
      <c r="H4061" s="329"/>
      <c r="I4061" s="502"/>
      <c r="J4061" s="390">
        <f>J4060*6</f>
        <v>12.899999999999999</v>
      </c>
      <c r="K4061" s="185" t="s">
        <v>231</v>
      </c>
      <c r="L4061" s="185"/>
      <c r="M4061" s="9"/>
    </row>
    <row r="4062" spans="6:13" ht="33.950000000000003" customHeight="1">
      <c r="F4062" s="384"/>
      <c r="G4062" s="330"/>
      <c r="H4062" s="503" t="s">
        <v>2992</v>
      </c>
      <c r="I4062" s="502"/>
      <c r="J4062" s="188"/>
      <c r="K4062" s="185"/>
      <c r="L4062" s="185"/>
      <c r="M4062" s="9"/>
    </row>
    <row r="4063" spans="6:13" ht="33.950000000000003" customHeight="1">
      <c r="F4063" s="377"/>
      <c r="G4063" s="330"/>
      <c r="H4063" s="343" t="s">
        <v>2993</v>
      </c>
      <c r="I4063" s="462"/>
      <c r="J4063" s="185"/>
      <c r="K4063" s="332"/>
      <c r="L4063" s="185"/>
      <c r="M4063" s="9"/>
    </row>
    <row r="4064" spans="6:13" ht="33.950000000000003" customHeight="1">
      <c r="F4064" s="361">
        <f>J4052</f>
        <v>4.0499999999999994E-2</v>
      </c>
      <c r="G4064" s="187" t="s">
        <v>126</v>
      </c>
      <c r="H4064" s="187" t="s">
        <v>2994</v>
      </c>
      <c r="I4064" s="185">
        <f>V3114</f>
        <v>99400</v>
      </c>
      <c r="J4064" s="188" t="s">
        <v>126</v>
      </c>
      <c r="K4064" s="185">
        <f>(F4064*I4064)</f>
        <v>4025.6999999999994</v>
      </c>
      <c r="L4064" s="185"/>
      <c r="M4064" s="9"/>
    </row>
    <row r="4065" spans="6:13" ht="33.950000000000003" customHeight="1">
      <c r="F4065" s="361">
        <f>J4055</f>
        <v>2.8499999999999996</v>
      </c>
      <c r="G4065" s="15" t="s">
        <v>140</v>
      </c>
      <c r="H4065" s="187" t="s">
        <v>1480</v>
      </c>
      <c r="I4065" s="185">
        <f>V3116</f>
        <v>1078</v>
      </c>
      <c r="J4065" s="15" t="s">
        <v>140</v>
      </c>
      <c r="K4065" s="185">
        <f>(F4065*I4065)</f>
        <v>3072.2999999999997</v>
      </c>
      <c r="L4065" s="185"/>
      <c r="M4065" s="9"/>
    </row>
    <row r="4066" spans="6:13" ht="33.950000000000003" customHeight="1">
      <c r="F4066" s="361">
        <f>J4058</f>
        <v>1.9968749999999997</v>
      </c>
      <c r="G4066" s="15" t="s">
        <v>140</v>
      </c>
      <c r="H4066" s="187" t="s">
        <v>2988</v>
      </c>
      <c r="I4066" s="185">
        <f>V3115</f>
        <v>208.8</v>
      </c>
      <c r="J4066" s="15" t="s">
        <v>140</v>
      </c>
      <c r="K4066" s="185">
        <f t="shared" ref="K4066:K4072" si="354">(F4066*I4066)</f>
        <v>416.94749999999999</v>
      </c>
      <c r="L4066" s="185"/>
      <c r="M4066" s="9"/>
    </row>
    <row r="4067" spans="6:13" ht="33.950000000000003" customHeight="1">
      <c r="F4067" s="185">
        <f>J4061</f>
        <v>12.899999999999999</v>
      </c>
      <c r="G4067" s="185" t="s">
        <v>231</v>
      </c>
      <c r="H4067" s="343" t="s">
        <v>2995</v>
      </c>
      <c r="I4067" s="185">
        <f t="shared" ref="I4067:I4072" si="355">V3117</f>
        <v>45.7</v>
      </c>
      <c r="J4067" s="185" t="s">
        <v>231</v>
      </c>
      <c r="K4067" s="185">
        <f t="shared" si="354"/>
        <v>589.53</v>
      </c>
      <c r="L4067" s="185"/>
      <c r="M4067" s="9"/>
    </row>
    <row r="4068" spans="6:13" ht="33.950000000000003" customHeight="1">
      <c r="F4068" s="185">
        <v>9</v>
      </c>
      <c r="G4068" s="15" t="s">
        <v>209</v>
      </c>
      <c r="H4068" s="3" t="s">
        <v>1506</v>
      </c>
      <c r="I4068" s="185">
        <f t="shared" si="355"/>
        <v>79.099999999999994</v>
      </c>
      <c r="J4068" s="3" t="s">
        <v>209</v>
      </c>
      <c r="K4068" s="185">
        <f t="shared" si="354"/>
        <v>711.9</v>
      </c>
      <c r="L4068" s="185"/>
      <c r="M4068" s="9"/>
    </row>
    <row r="4069" spans="6:13" ht="33.950000000000003" customHeight="1">
      <c r="F4069" s="185">
        <v>6</v>
      </c>
      <c r="G4069" s="15" t="s">
        <v>209</v>
      </c>
      <c r="H4069" s="3" t="s">
        <v>2599</v>
      </c>
      <c r="I4069" s="185">
        <f t="shared" si="355"/>
        <v>68.5</v>
      </c>
      <c r="J4069" s="3" t="s">
        <v>209</v>
      </c>
      <c r="K4069" s="185">
        <f t="shared" si="354"/>
        <v>411</v>
      </c>
      <c r="L4069" s="185"/>
      <c r="M4069" s="9"/>
    </row>
    <row r="4070" spans="6:13" ht="33.950000000000003" customHeight="1">
      <c r="F4070" s="185">
        <v>3</v>
      </c>
      <c r="G4070" s="15" t="s">
        <v>209</v>
      </c>
      <c r="H4070" s="3" t="s">
        <v>2602</v>
      </c>
      <c r="I4070" s="185">
        <f t="shared" si="355"/>
        <v>50.9</v>
      </c>
      <c r="J4070" s="3" t="s">
        <v>209</v>
      </c>
      <c r="K4070" s="185">
        <f t="shared" si="354"/>
        <v>152.69999999999999</v>
      </c>
      <c r="L4070" s="185"/>
      <c r="M4070" s="9"/>
    </row>
    <row r="4071" spans="6:13" ht="33.950000000000003" customHeight="1">
      <c r="F4071" s="185">
        <v>3</v>
      </c>
      <c r="G4071" s="15" t="s">
        <v>209</v>
      </c>
      <c r="H4071" s="3" t="s">
        <v>628</v>
      </c>
      <c r="I4071" s="185">
        <f t="shared" si="355"/>
        <v>7.3</v>
      </c>
      <c r="J4071" s="3" t="s">
        <v>209</v>
      </c>
      <c r="K4071" s="185">
        <f t="shared" si="354"/>
        <v>21.9</v>
      </c>
      <c r="L4071" s="185"/>
      <c r="M4071" s="9"/>
    </row>
    <row r="4072" spans="6:13" ht="33.950000000000003" customHeight="1">
      <c r="F4072" s="185">
        <v>120</v>
      </c>
      <c r="G4072" s="15" t="s">
        <v>209</v>
      </c>
      <c r="H4072" s="3" t="s">
        <v>2996</v>
      </c>
      <c r="I4072" s="185">
        <f t="shared" si="355"/>
        <v>2.37</v>
      </c>
      <c r="J4072" s="3" t="s">
        <v>209</v>
      </c>
      <c r="K4072" s="185">
        <f t="shared" si="354"/>
        <v>284.40000000000003</v>
      </c>
      <c r="L4072" s="185"/>
      <c r="M4072" s="9"/>
    </row>
    <row r="4073" spans="6:13" ht="33.950000000000003" customHeight="1">
      <c r="F4073" s="185"/>
      <c r="G4073" s="336"/>
      <c r="H4073" s="187"/>
      <c r="I4073" s="462"/>
      <c r="J4073" s="185"/>
      <c r="K4073" s="337" t="s">
        <v>117</v>
      </c>
      <c r="L4073" s="185"/>
      <c r="M4073" s="9"/>
    </row>
    <row r="4074" spans="6:13" ht="33.950000000000003" customHeight="1">
      <c r="F4074" s="329"/>
      <c r="G4074" s="330"/>
      <c r="H4074" s="187" t="s">
        <v>2997</v>
      </c>
      <c r="I4074" s="462"/>
      <c r="J4074" s="188"/>
      <c r="K4074" s="333">
        <f>SUM(K4064:K4073)</f>
        <v>9686.3774999999987</v>
      </c>
      <c r="L4074" s="436"/>
      <c r="M4074" s="9"/>
    </row>
    <row r="4075" spans="6:13" ht="33.950000000000003" customHeight="1">
      <c r="F4075" s="329"/>
      <c r="G4075" s="330"/>
      <c r="H4075" s="462"/>
      <c r="I4075" s="185"/>
      <c r="J4075" s="332"/>
      <c r="K4075" s="337" t="s">
        <v>117</v>
      </c>
      <c r="L4075" s="462"/>
      <c r="M4075" s="9"/>
    </row>
    <row r="4076" spans="6:13" ht="33.950000000000003" customHeight="1">
      <c r="F4076" s="329"/>
      <c r="G4076" s="330"/>
      <c r="H4076" s="333" t="s">
        <v>2912</v>
      </c>
      <c r="I4076" s="185"/>
      <c r="J4076" s="332"/>
      <c r="K4076" s="468">
        <f>K4074/F4065</f>
        <v>3398.7289473684209</v>
      </c>
      <c r="L4076" s="185">
        <f>SUM(L4060:L4075)</f>
        <v>0</v>
      </c>
      <c r="M4076" s="9"/>
    </row>
    <row r="4077" spans="6:13" ht="33.950000000000003" customHeight="1">
      <c r="F4077" s="329"/>
      <c r="G4077" s="330"/>
      <c r="H4077" s="329"/>
      <c r="I4077" s="185"/>
      <c r="J4077" s="332"/>
      <c r="K4077" s="462"/>
      <c r="L4077" s="462"/>
      <c r="M4077" s="9"/>
    </row>
    <row r="4078" spans="6:13" ht="24" customHeight="1">
      <c r="F4078" s="329"/>
      <c r="G4078" s="330"/>
      <c r="H4078" s="343"/>
      <c r="I4078" s="329"/>
      <c r="J4078" s="1511"/>
      <c r="K4078" s="1511"/>
      <c r="L4078" s="1511"/>
      <c r="M4078" s="1511"/>
    </row>
    <row r="4079" spans="6:13" ht="24" customHeight="1">
      <c r="G4079" s="5"/>
      <c r="J4079" s="5"/>
      <c r="L4079" s="9"/>
      <c r="M4079" s="9"/>
    </row>
  </sheetData>
  <mergeCells count="23">
    <mergeCell ref="M3721:M3726"/>
    <mergeCell ref="F3985:H3985"/>
    <mergeCell ref="H4002:K4002"/>
    <mergeCell ref="J4078:M4078"/>
    <mergeCell ref="S3148:T3148"/>
    <mergeCell ref="I3492:J3492"/>
    <mergeCell ref="H3636:J3637"/>
    <mergeCell ref="S3680:V3680"/>
    <mergeCell ref="M3712:M3719"/>
    <mergeCell ref="F3711:M3711"/>
    <mergeCell ref="I3046:J3046"/>
    <mergeCell ref="AD2601:AG2601"/>
    <mergeCell ref="U2:X2"/>
    <mergeCell ref="AA550:AB550"/>
    <mergeCell ref="P1474:R1474"/>
    <mergeCell ref="S1474:U1474"/>
    <mergeCell ref="N1531:R1531"/>
    <mergeCell ref="O2343:Q2343"/>
    <mergeCell ref="O2353:Q2353"/>
    <mergeCell ref="H2420:K2420"/>
    <mergeCell ref="H2422:H2423"/>
    <mergeCell ref="O2427:R2427"/>
    <mergeCell ref="O2429:O2430"/>
  </mergeCells>
  <hyperlinks>
    <hyperlink ref="C270" r:id="rId1" display="G:\2273"/>
    <hyperlink ref="J270" r:id="rId2" display="G:\2273"/>
  </hyperlinks>
  <printOptions horizontalCentered="1"/>
  <pageMargins left="0.62992125984251968" right="0.59055118110236227" top="1.299212598425197" bottom="0.35433070866141736" header="0.55118110236220474" footer="0.19685039370078741"/>
  <pageSetup paperSize="9" scale="55" orientation="landscape" r:id="rId3"/>
  <headerFooter alignWithMargins="0">
    <oddHeader>&amp;CPWD Data 2019 -20 &amp;R&amp;P</oddHeader>
  </headerFooter>
  <rowBreaks count="1" manualBreakCount="1">
    <brk id="1978" min="5" max="10" man="1"/>
  </rowBreaks>
  <colBreaks count="1" manualBreakCount="1">
    <brk id="4" max="1048575" man="1"/>
  </colBreaks>
  <drawing r:id="rId4"/>
</worksheet>
</file>

<file path=xl/worksheets/sheet9.xml><?xml version="1.0" encoding="utf-8"?>
<worksheet xmlns="http://schemas.openxmlformats.org/spreadsheetml/2006/main" xmlns:r="http://schemas.openxmlformats.org/officeDocument/2006/relationships">
  <dimension ref="A1:F294"/>
  <sheetViews>
    <sheetView view="pageBreakPreview" topLeftCell="A275" zoomScaleSheetLayoutView="100" workbookViewId="0">
      <selection activeCell="D290" sqref="D290"/>
    </sheetView>
  </sheetViews>
  <sheetFormatPr defaultRowHeight="15"/>
  <cols>
    <col min="1" max="2" width="9.140625" style="1369"/>
    <col min="3" max="3" width="37" style="1369" customWidth="1"/>
    <col min="4" max="16384" width="9.140625" style="1369"/>
  </cols>
  <sheetData>
    <row r="1" spans="1:6">
      <c r="A1" s="1368"/>
      <c r="B1" s="1368"/>
      <c r="C1" s="1368" t="s">
        <v>112</v>
      </c>
      <c r="D1" s="1368"/>
      <c r="E1" s="1368"/>
      <c r="F1" s="1368"/>
    </row>
    <row r="2" spans="1:6">
      <c r="A2" s="1368"/>
      <c r="B2" s="1368"/>
      <c r="C2" s="1368" t="s">
        <v>113</v>
      </c>
      <c r="D2" s="1368"/>
      <c r="E2" s="1368"/>
      <c r="F2" s="1368"/>
    </row>
    <row r="3" spans="1:6">
      <c r="A3" s="1368" t="s">
        <v>114</v>
      </c>
      <c r="B3" s="1368" t="s">
        <v>115</v>
      </c>
      <c r="C3" s="1368" t="s">
        <v>4525</v>
      </c>
      <c r="D3" s="1368"/>
      <c r="E3" s="1368" t="s">
        <v>4526</v>
      </c>
      <c r="F3" s="1368"/>
    </row>
    <row r="4" spans="1:6">
      <c r="A4" s="1368" t="s">
        <v>117</v>
      </c>
      <c r="B4" s="1368" t="s">
        <v>117</v>
      </c>
      <c r="C4" s="1368" t="s">
        <v>117</v>
      </c>
      <c r="D4" s="1368" t="s">
        <v>117</v>
      </c>
      <c r="E4" s="1368" t="s">
        <v>117</v>
      </c>
      <c r="F4" s="1368" t="s">
        <v>117</v>
      </c>
    </row>
    <row r="5" spans="1:6">
      <c r="A5" s="1368" t="s">
        <v>0</v>
      </c>
      <c r="B5" s="1368" t="s">
        <v>115</v>
      </c>
      <c r="C5" s="1368" t="s">
        <v>118</v>
      </c>
      <c r="D5" s="1368" t="s">
        <v>119</v>
      </c>
      <c r="E5" s="1368" t="s">
        <v>120</v>
      </c>
      <c r="F5" s="1368" t="s">
        <v>121</v>
      </c>
    </row>
    <row r="6" spans="1:6">
      <c r="A6" s="1368" t="s">
        <v>117</v>
      </c>
      <c r="B6" s="1368" t="s">
        <v>117</v>
      </c>
      <c r="C6" s="1368" t="s">
        <v>117</v>
      </c>
      <c r="D6" s="1368" t="s">
        <v>117</v>
      </c>
      <c r="E6" s="1368" t="s">
        <v>117</v>
      </c>
      <c r="F6" s="1368" t="s">
        <v>117</v>
      </c>
    </row>
    <row r="7" spans="1:6">
      <c r="A7" s="1368"/>
      <c r="B7" s="1368" t="s">
        <v>122</v>
      </c>
      <c r="C7" s="1368" t="s">
        <v>123</v>
      </c>
      <c r="D7" s="1368"/>
      <c r="E7" s="1368"/>
      <c r="F7" s="1368"/>
    </row>
    <row r="8" spans="1:6">
      <c r="A8" s="1368"/>
      <c r="B8" s="1368"/>
      <c r="C8" s="1368" t="s">
        <v>117</v>
      </c>
      <c r="D8" s="1368"/>
      <c r="E8" s="1368"/>
      <c r="F8" s="1368"/>
    </row>
    <row r="9" spans="1:6">
      <c r="A9" s="1368">
        <v>0.96</v>
      </c>
      <c r="B9" s="1368" t="s">
        <v>124</v>
      </c>
      <c r="C9" s="1368" t="s">
        <v>125</v>
      </c>
      <c r="D9" s="1368">
        <v>6040</v>
      </c>
      <c r="E9" s="1368" t="s">
        <v>124</v>
      </c>
      <c r="F9" s="1368">
        <v>5798.4</v>
      </c>
    </row>
    <row r="10" spans="1:6">
      <c r="A10" s="1368">
        <v>1</v>
      </c>
      <c r="B10" s="1368" t="s">
        <v>126</v>
      </c>
      <c r="C10" s="1368" t="s">
        <v>127</v>
      </c>
      <c r="D10" s="1368">
        <v>1591.84</v>
      </c>
      <c r="E10" s="1368" t="s">
        <v>126</v>
      </c>
      <c r="F10" s="1368">
        <v>1591.84</v>
      </c>
    </row>
    <row r="11" spans="1:6">
      <c r="A11" s="1368">
        <v>1</v>
      </c>
      <c r="B11" s="1368" t="s">
        <v>126</v>
      </c>
      <c r="C11" s="1368" t="s">
        <v>128</v>
      </c>
      <c r="D11" s="1368">
        <v>121</v>
      </c>
      <c r="E11" s="1368" t="s">
        <v>126</v>
      </c>
      <c r="F11" s="1368">
        <v>121</v>
      </c>
    </row>
    <row r="12" spans="1:6">
      <c r="A12" s="1368"/>
      <c r="B12" s="1368" t="s">
        <v>129</v>
      </c>
      <c r="C12" s="1368" t="s">
        <v>130</v>
      </c>
      <c r="D12" s="1368" t="s">
        <v>115</v>
      </c>
      <c r="E12" s="1368" t="s">
        <v>129</v>
      </c>
      <c r="F12" s="1368">
        <v>0</v>
      </c>
    </row>
    <row r="13" spans="1:6">
      <c r="A13" s="1368"/>
      <c r="B13" s="1368"/>
      <c r="C13" s="1368"/>
      <c r="D13" s="1368"/>
      <c r="E13" s="1368"/>
      <c r="F13" s="1368" t="s">
        <v>117</v>
      </c>
    </row>
    <row r="14" spans="1:6">
      <c r="A14" s="1368"/>
      <c r="B14" s="1368"/>
      <c r="C14" s="1368" t="s">
        <v>131</v>
      </c>
      <c r="D14" s="1368"/>
      <c r="E14" s="1368"/>
      <c r="F14" s="1368">
        <v>7511.24</v>
      </c>
    </row>
    <row r="15" spans="1:6">
      <c r="A15" s="1368"/>
      <c r="B15" s="1368"/>
      <c r="C15" s="1368"/>
      <c r="D15" s="1368"/>
      <c r="E15" s="1368"/>
      <c r="F15" s="1368" t="s">
        <v>117</v>
      </c>
    </row>
    <row r="16" spans="1:6">
      <c r="A16" s="1368"/>
      <c r="B16" s="1368" t="s">
        <v>122</v>
      </c>
      <c r="C16" s="1368" t="s">
        <v>132</v>
      </c>
      <c r="D16" s="1368"/>
      <c r="E16" s="1368"/>
      <c r="F16" s="1368"/>
    </row>
    <row r="17" spans="1:6">
      <c r="A17" s="1368"/>
      <c r="B17" s="1368"/>
      <c r="C17" s="1368" t="s">
        <v>117</v>
      </c>
      <c r="D17" s="1368"/>
      <c r="E17" s="1368"/>
      <c r="F17" s="1368"/>
    </row>
    <row r="18" spans="1:6">
      <c r="A18" s="1368">
        <v>0.72</v>
      </c>
      <c r="B18" s="1368" t="s">
        <v>124</v>
      </c>
      <c r="C18" s="1368" t="s">
        <v>125</v>
      </c>
      <c r="D18" s="1368">
        <v>6040</v>
      </c>
      <c r="E18" s="1368" t="s">
        <v>124</v>
      </c>
      <c r="F18" s="1368">
        <v>4348.8</v>
      </c>
    </row>
    <row r="19" spans="1:6">
      <c r="A19" s="1368">
        <v>1</v>
      </c>
      <c r="B19" s="1368" t="s">
        <v>126</v>
      </c>
      <c r="C19" s="1368" t="s">
        <v>127</v>
      </c>
      <c r="D19" s="1368">
        <v>1591.84</v>
      </c>
      <c r="E19" s="1368" t="s">
        <v>126</v>
      </c>
      <c r="F19" s="1368">
        <v>1591.84</v>
      </c>
    </row>
    <row r="20" spans="1:6">
      <c r="A20" s="1368">
        <v>1</v>
      </c>
      <c r="B20" s="1368" t="s">
        <v>126</v>
      </c>
      <c r="C20" s="1368" t="s">
        <v>128</v>
      </c>
      <c r="D20" s="1368">
        <v>121</v>
      </c>
      <c r="E20" s="1368" t="s">
        <v>126</v>
      </c>
      <c r="F20" s="1368">
        <v>121</v>
      </c>
    </row>
    <row r="21" spans="1:6">
      <c r="A21" s="1368"/>
      <c r="B21" s="1368" t="s">
        <v>129</v>
      </c>
      <c r="C21" s="1368" t="s">
        <v>130</v>
      </c>
      <c r="D21" s="1368" t="s">
        <v>115</v>
      </c>
      <c r="E21" s="1368" t="s">
        <v>129</v>
      </c>
      <c r="F21" s="1368">
        <v>0</v>
      </c>
    </row>
    <row r="22" spans="1:6">
      <c r="A22" s="1368"/>
      <c r="B22" s="1368"/>
      <c r="C22" s="1368"/>
      <c r="D22" s="1368"/>
      <c r="E22" s="1368"/>
      <c r="F22" s="1368" t="s">
        <v>117</v>
      </c>
    </row>
    <row r="23" spans="1:6">
      <c r="A23" s="1368"/>
      <c r="B23" s="1368"/>
      <c r="C23" s="1368" t="s">
        <v>131</v>
      </c>
      <c r="D23" s="1368"/>
      <c r="E23" s="1368"/>
      <c r="F23" s="1368">
        <v>6061.64</v>
      </c>
    </row>
    <row r="24" spans="1:6">
      <c r="A24" s="1368"/>
      <c r="B24" s="1368"/>
      <c r="C24" s="1368"/>
      <c r="D24" s="1368"/>
      <c r="E24" s="1368"/>
      <c r="F24" s="1368" t="s">
        <v>117</v>
      </c>
    </row>
    <row r="25" spans="1:6">
      <c r="A25" s="1368"/>
      <c r="B25" s="1368" t="s">
        <v>122</v>
      </c>
      <c r="C25" s="1368" t="s">
        <v>133</v>
      </c>
      <c r="D25" s="1368"/>
      <c r="E25" s="1368"/>
      <c r="F25" s="1368"/>
    </row>
    <row r="26" spans="1:6">
      <c r="A26" s="1368"/>
      <c r="B26" s="1368"/>
      <c r="C26" s="1368" t="s">
        <v>117</v>
      </c>
      <c r="D26" s="1368"/>
      <c r="E26" s="1368"/>
      <c r="F26" s="1368"/>
    </row>
    <row r="27" spans="1:6">
      <c r="A27" s="1368">
        <v>0.48</v>
      </c>
      <c r="B27" s="1368" t="s">
        <v>124</v>
      </c>
      <c r="C27" s="1368" t="s">
        <v>125</v>
      </c>
      <c r="D27" s="1368">
        <v>6040</v>
      </c>
      <c r="E27" s="1368" t="s">
        <v>124</v>
      </c>
      <c r="F27" s="1368">
        <v>2899.2</v>
      </c>
    </row>
    <row r="28" spans="1:6">
      <c r="A28" s="1368">
        <v>1</v>
      </c>
      <c r="B28" s="1368" t="s">
        <v>126</v>
      </c>
      <c r="C28" s="1368" t="s">
        <v>127</v>
      </c>
      <c r="D28" s="1368">
        <v>1591.84</v>
      </c>
      <c r="E28" s="1368" t="s">
        <v>126</v>
      </c>
      <c r="F28" s="1368">
        <v>1591.84</v>
      </c>
    </row>
    <row r="29" spans="1:6">
      <c r="A29" s="1368">
        <v>1</v>
      </c>
      <c r="B29" s="1368" t="s">
        <v>126</v>
      </c>
      <c r="C29" s="1368" t="s">
        <v>128</v>
      </c>
      <c r="D29" s="1368">
        <v>121</v>
      </c>
      <c r="E29" s="1368" t="s">
        <v>126</v>
      </c>
      <c r="F29" s="1368">
        <v>121</v>
      </c>
    </row>
    <row r="30" spans="1:6">
      <c r="A30" s="1368"/>
      <c r="B30" s="1368" t="s">
        <v>129</v>
      </c>
      <c r="C30" s="1368" t="s">
        <v>130</v>
      </c>
      <c r="D30" s="1368" t="s">
        <v>115</v>
      </c>
      <c r="E30" s="1368" t="s">
        <v>129</v>
      </c>
      <c r="F30" s="1368">
        <v>0</v>
      </c>
    </row>
    <row r="31" spans="1:6">
      <c r="A31" s="1368"/>
      <c r="B31" s="1368"/>
      <c r="C31" s="1368"/>
      <c r="D31" s="1368"/>
      <c r="E31" s="1368"/>
      <c r="F31" s="1368" t="s">
        <v>117</v>
      </c>
    </row>
    <row r="32" spans="1:6">
      <c r="A32" s="1368"/>
      <c r="B32" s="1368"/>
      <c r="C32" s="1368" t="s">
        <v>131</v>
      </c>
      <c r="D32" s="1368"/>
      <c r="E32" s="1368"/>
      <c r="F32" s="1368">
        <v>4612.04</v>
      </c>
    </row>
    <row r="33" spans="1:6">
      <c r="A33" s="1368"/>
      <c r="B33" s="1368"/>
      <c r="C33" s="1368"/>
      <c r="D33" s="1368"/>
      <c r="E33" s="1368"/>
      <c r="F33" s="1368" t="s">
        <v>117</v>
      </c>
    </row>
    <row r="34" spans="1:6">
      <c r="A34" s="1368"/>
      <c r="B34" s="1368" t="s">
        <v>122</v>
      </c>
      <c r="C34" s="1368" t="s">
        <v>134</v>
      </c>
      <c r="D34" s="1368"/>
      <c r="E34" s="1368"/>
      <c r="F34" s="1368"/>
    </row>
    <row r="35" spans="1:6">
      <c r="A35" s="1368">
        <v>0.36</v>
      </c>
      <c r="B35" s="1368" t="s">
        <v>124</v>
      </c>
      <c r="C35" s="1368" t="s">
        <v>125</v>
      </c>
      <c r="D35" s="1368">
        <v>6040</v>
      </c>
      <c r="E35" s="1368" t="s">
        <v>124</v>
      </c>
      <c r="F35" s="1368">
        <v>2174.4</v>
      </c>
    </row>
    <row r="36" spans="1:6">
      <c r="A36" s="1368">
        <v>1</v>
      </c>
      <c r="B36" s="1368" t="s">
        <v>126</v>
      </c>
      <c r="C36" s="1368" t="s">
        <v>127</v>
      </c>
      <c r="D36" s="1368">
        <v>1591.84</v>
      </c>
      <c r="E36" s="1368" t="s">
        <v>126</v>
      </c>
      <c r="F36" s="1368">
        <v>1591.84</v>
      </c>
    </row>
    <row r="37" spans="1:6">
      <c r="A37" s="1368">
        <v>1</v>
      </c>
      <c r="B37" s="1368" t="s">
        <v>126</v>
      </c>
      <c r="C37" s="1368" t="s">
        <v>128</v>
      </c>
      <c r="D37" s="1368">
        <v>121</v>
      </c>
      <c r="E37" s="1368" t="s">
        <v>126</v>
      </c>
      <c r="F37" s="1368">
        <v>121</v>
      </c>
    </row>
    <row r="38" spans="1:6">
      <c r="A38" s="1368"/>
      <c r="B38" s="1368" t="s">
        <v>129</v>
      </c>
      <c r="C38" s="1368" t="s">
        <v>130</v>
      </c>
      <c r="D38" s="1368" t="s">
        <v>115</v>
      </c>
      <c r="E38" s="1368" t="s">
        <v>129</v>
      </c>
      <c r="F38" s="1368">
        <v>0</v>
      </c>
    </row>
    <row r="39" spans="1:6">
      <c r="A39" s="1368"/>
      <c r="B39" s="1368"/>
      <c r="C39" s="1368"/>
      <c r="D39" s="1368"/>
      <c r="E39" s="1368"/>
      <c r="F39" s="1368" t="s">
        <v>117</v>
      </c>
    </row>
    <row r="40" spans="1:6">
      <c r="A40" s="1368"/>
      <c r="B40" s="1368"/>
      <c r="C40" s="1368" t="s">
        <v>131</v>
      </c>
      <c r="D40" s="1368"/>
      <c r="E40" s="1368"/>
      <c r="F40" s="1368">
        <v>3887.24</v>
      </c>
    </row>
    <row r="41" spans="1:6">
      <c r="A41" s="1368"/>
      <c r="B41" s="1368"/>
      <c r="C41" s="1368"/>
      <c r="D41" s="1368"/>
      <c r="E41" s="1368"/>
      <c r="F41" s="1368" t="s">
        <v>117</v>
      </c>
    </row>
    <row r="42" spans="1:6">
      <c r="A42" s="1368"/>
      <c r="B42" s="1368" t="s">
        <v>122</v>
      </c>
      <c r="C42" s="1368" t="s">
        <v>135</v>
      </c>
      <c r="D42" s="1368"/>
      <c r="E42" s="1368"/>
      <c r="F42" s="1368"/>
    </row>
    <row r="43" spans="1:6">
      <c r="A43" s="1368"/>
      <c r="B43" s="1368"/>
      <c r="C43" s="1368" t="s">
        <v>117</v>
      </c>
      <c r="D43" s="1368"/>
      <c r="E43" s="1368"/>
      <c r="F43" s="1368"/>
    </row>
    <row r="44" spans="1:6">
      <c r="A44" s="1370">
        <v>0.28799999999999998</v>
      </c>
      <c r="B44" s="1368" t="s">
        <v>124</v>
      </c>
      <c r="C44" s="1368" t="s">
        <v>125</v>
      </c>
      <c r="D44" s="1368">
        <v>6040</v>
      </c>
      <c r="E44" s="1368" t="s">
        <v>124</v>
      </c>
      <c r="F44" s="1368">
        <v>1739.52</v>
      </c>
    </row>
    <row r="45" spans="1:6">
      <c r="A45" s="1368">
        <v>1</v>
      </c>
      <c r="B45" s="1368" t="s">
        <v>126</v>
      </c>
      <c r="C45" s="1368" t="s">
        <v>127</v>
      </c>
      <c r="D45" s="1368">
        <v>1591.84</v>
      </c>
      <c r="E45" s="1368" t="s">
        <v>126</v>
      </c>
      <c r="F45" s="1368">
        <v>1591.84</v>
      </c>
    </row>
    <row r="46" spans="1:6">
      <c r="A46" s="1368">
        <v>1</v>
      </c>
      <c r="B46" s="1368" t="s">
        <v>126</v>
      </c>
      <c r="C46" s="1368" t="s">
        <v>128</v>
      </c>
      <c r="D46" s="1368">
        <v>121</v>
      </c>
      <c r="E46" s="1368" t="s">
        <v>126</v>
      </c>
      <c r="F46" s="1368">
        <v>121</v>
      </c>
    </row>
    <row r="47" spans="1:6">
      <c r="A47" s="1368"/>
      <c r="B47" s="1368" t="s">
        <v>129</v>
      </c>
      <c r="C47" s="1368" t="s">
        <v>130</v>
      </c>
      <c r="D47" s="1368" t="s">
        <v>115</v>
      </c>
      <c r="E47" s="1368" t="s">
        <v>129</v>
      </c>
      <c r="F47" s="1368">
        <v>0</v>
      </c>
    </row>
    <row r="48" spans="1:6">
      <c r="A48" s="1368"/>
      <c r="B48" s="1368"/>
      <c r="C48" s="1368"/>
      <c r="D48" s="1368"/>
      <c r="E48" s="1368"/>
      <c r="F48" s="1368" t="s">
        <v>117</v>
      </c>
    </row>
    <row r="49" spans="1:6">
      <c r="A49" s="1368"/>
      <c r="B49" s="1368"/>
      <c r="C49" s="1368" t="s">
        <v>131</v>
      </c>
      <c r="D49" s="1368"/>
      <c r="E49" s="1368"/>
      <c r="F49" s="1368">
        <v>3452.36</v>
      </c>
    </row>
    <row r="50" spans="1:6">
      <c r="A50" s="1368"/>
      <c r="B50" s="1368"/>
      <c r="C50" s="1368"/>
      <c r="D50" s="1368"/>
      <c r="E50" s="1368"/>
      <c r="F50" s="1368" t="s">
        <v>117</v>
      </c>
    </row>
    <row r="51" spans="1:6">
      <c r="A51" s="1368"/>
      <c r="B51" s="1368" t="s">
        <v>122</v>
      </c>
      <c r="C51" s="1368" t="s">
        <v>136</v>
      </c>
      <c r="D51" s="1368"/>
      <c r="E51" s="1368"/>
      <c r="F51" s="1368"/>
    </row>
    <row r="52" spans="1:6">
      <c r="A52" s="1368"/>
      <c r="B52" s="1368"/>
      <c r="C52" s="1368" t="s">
        <v>117</v>
      </c>
      <c r="D52" s="1368"/>
      <c r="E52" s="1368"/>
      <c r="F52" s="1368"/>
    </row>
    <row r="53" spans="1:6">
      <c r="A53" s="1368">
        <v>0.24</v>
      </c>
      <c r="B53" s="1368" t="s">
        <v>124</v>
      </c>
      <c r="C53" s="1368" t="s">
        <v>125</v>
      </c>
      <c r="D53" s="1368">
        <v>6040</v>
      </c>
      <c r="E53" s="1368" t="s">
        <v>124</v>
      </c>
      <c r="F53" s="1368">
        <v>1449.6</v>
      </c>
    </row>
    <row r="54" spans="1:6">
      <c r="A54" s="1368">
        <v>1</v>
      </c>
      <c r="B54" s="1368" t="s">
        <v>126</v>
      </c>
      <c r="C54" s="1368" t="s">
        <v>127</v>
      </c>
      <c r="D54" s="1368">
        <v>1591.84</v>
      </c>
      <c r="E54" s="1368" t="s">
        <v>126</v>
      </c>
      <c r="F54" s="1368">
        <v>1591.84</v>
      </c>
    </row>
    <row r="55" spans="1:6">
      <c r="A55" s="1368">
        <v>1</v>
      </c>
      <c r="B55" s="1368" t="s">
        <v>126</v>
      </c>
      <c r="C55" s="1368" t="s">
        <v>128</v>
      </c>
      <c r="D55" s="1368">
        <v>121</v>
      </c>
      <c r="E55" s="1368" t="s">
        <v>126</v>
      </c>
      <c r="F55" s="1368">
        <v>121</v>
      </c>
    </row>
    <row r="56" spans="1:6">
      <c r="A56" s="1368"/>
      <c r="B56" s="1368" t="s">
        <v>129</v>
      </c>
      <c r="C56" s="1368" t="s">
        <v>130</v>
      </c>
      <c r="D56" s="1368" t="s">
        <v>115</v>
      </c>
      <c r="E56" s="1368" t="s">
        <v>129</v>
      </c>
      <c r="F56" s="1368">
        <v>0</v>
      </c>
    </row>
    <row r="57" spans="1:6">
      <c r="A57" s="1368"/>
      <c r="B57" s="1368"/>
      <c r="C57" s="1368"/>
      <c r="D57" s="1368"/>
      <c r="E57" s="1368"/>
      <c r="F57" s="1368" t="s">
        <v>117</v>
      </c>
    </row>
    <row r="58" spans="1:6">
      <c r="A58" s="1368"/>
      <c r="B58" s="1368"/>
      <c r="C58" s="1368" t="s">
        <v>131</v>
      </c>
      <c r="D58" s="1368"/>
      <c r="E58" s="1368"/>
      <c r="F58" s="1368">
        <v>3162.44</v>
      </c>
    </row>
    <row r="59" spans="1:6">
      <c r="A59" s="1368" t="s">
        <v>115</v>
      </c>
      <c r="B59" s="1368"/>
      <c r="C59" s="1368"/>
      <c r="D59" s="1368"/>
      <c r="E59" s="1368"/>
      <c r="F59" s="1368"/>
    </row>
    <row r="60" spans="1:6">
      <c r="A60" s="1368"/>
      <c r="B60" s="1368"/>
      <c r="C60" s="1368"/>
      <c r="D60" s="1368"/>
      <c r="E60" s="1368"/>
      <c r="F60" s="1368" t="s">
        <v>117</v>
      </c>
    </row>
    <row r="61" spans="1:6">
      <c r="A61" s="1368"/>
      <c r="B61" s="1368" t="s">
        <v>122</v>
      </c>
      <c r="C61" s="1368" t="s">
        <v>137</v>
      </c>
      <c r="D61" s="1368"/>
      <c r="E61" s="1368"/>
      <c r="F61" s="1368"/>
    </row>
    <row r="62" spans="1:6">
      <c r="A62" s="1368"/>
      <c r="B62" s="1368"/>
      <c r="C62" s="1368" t="s">
        <v>117</v>
      </c>
      <c r="D62" s="1368"/>
      <c r="E62" s="1368"/>
      <c r="F62" s="1368"/>
    </row>
    <row r="63" spans="1:6">
      <c r="A63" s="1370">
        <v>0.20599999999999999</v>
      </c>
      <c r="B63" s="1368" t="s">
        <v>124</v>
      </c>
      <c r="C63" s="1368" t="s">
        <v>125</v>
      </c>
      <c r="D63" s="1368">
        <v>6040</v>
      </c>
      <c r="E63" s="1368" t="s">
        <v>124</v>
      </c>
      <c r="F63" s="1368">
        <v>1244.24</v>
      </c>
    </row>
    <row r="64" spans="1:6">
      <c r="A64" s="1368">
        <v>1</v>
      </c>
      <c r="B64" s="1368" t="s">
        <v>126</v>
      </c>
      <c r="C64" s="1368" t="s">
        <v>127</v>
      </c>
      <c r="D64" s="1368">
        <v>1591.84</v>
      </c>
      <c r="E64" s="1368" t="s">
        <v>126</v>
      </c>
      <c r="F64" s="1368">
        <v>1591.84</v>
      </c>
    </row>
    <row r="65" spans="1:6">
      <c r="A65" s="1368">
        <v>1</v>
      </c>
      <c r="B65" s="1368" t="s">
        <v>126</v>
      </c>
      <c r="C65" s="1368" t="s">
        <v>128</v>
      </c>
      <c r="D65" s="1368">
        <v>121</v>
      </c>
      <c r="E65" s="1368" t="s">
        <v>126</v>
      </c>
      <c r="F65" s="1368">
        <v>121</v>
      </c>
    </row>
    <row r="66" spans="1:6">
      <c r="A66" s="1368"/>
      <c r="B66" s="1368" t="s">
        <v>129</v>
      </c>
      <c r="C66" s="1368" t="s">
        <v>130</v>
      </c>
      <c r="D66" s="1368" t="s">
        <v>115</v>
      </c>
      <c r="E66" s="1368" t="s">
        <v>129</v>
      </c>
      <c r="F66" s="1368">
        <v>0</v>
      </c>
    </row>
    <row r="67" spans="1:6">
      <c r="A67" s="1368"/>
      <c r="B67" s="1368"/>
      <c r="C67" s="1368"/>
      <c r="D67" s="1368"/>
      <c r="E67" s="1368"/>
      <c r="F67" s="1368" t="s">
        <v>117</v>
      </c>
    </row>
    <row r="68" spans="1:6">
      <c r="A68" s="1368"/>
      <c r="B68" s="1368"/>
      <c r="C68" s="1368" t="s">
        <v>131</v>
      </c>
      <c r="D68" s="1368"/>
      <c r="E68" s="1368"/>
      <c r="F68" s="1368">
        <v>2957.08</v>
      </c>
    </row>
    <row r="69" spans="1:6">
      <c r="A69" s="1368"/>
      <c r="B69" s="1368"/>
      <c r="C69" s="1368"/>
      <c r="D69" s="1368"/>
      <c r="E69" s="1368"/>
      <c r="F69" s="1368" t="s">
        <v>117</v>
      </c>
    </row>
    <row r="70" spans="1:6">
      <c r="A70" s="1368"/>
      <c r="B70" s="1368" t="s">
        <v>122</v>
      </c>
      <c r="C70" s="1368" t="s">
        <v>138</v>
      </c>
      <c r="D70" s="1368"/>
      <c r="E70" s="1368"/>
      <c r="F70" s="1368"/>
    </row>
    <row r="71" spans="1:6">
      <c r="A71" s="1368"/>
      <c r="B71" s="1368"/>
      <c r="C71" s="1368" t="s">
        <v>117</v>
      </c>
      <c r="D71" s="1368"/>
      <c r="E71" s="1368"/>
      <c r="F71" s="1368"/>
    </row>
    <row r="72" spans="1:6">
      <c r="A72" s="1368">
        <v>0.18</v>
      </c>
      <c r="B72" s="1368" t="s">
        <v>124</v>
      </c>
      <c r="C72" s="1368" t="s">
        <v>125</v>
      </c>
      <c r="D72" s="1368">
        <v>6040</v>
      </c>
      <c r="E72" s="1368" t="s">
        <v>124</v>
      </c>
      <c r="F72" s="1368">
        <v>1087.2</v>
      </c>
    </row>
    <row r="73" spans="1:6">
      <c r="A73" s="1368">
        <v>1</v>
      </c>
      <c r="B73" s="1368" t="s">
        <v>126</v>
      </c>
      <c r="C73" s="1368" t="s">
        <v>127</v>
      </c>
      <c r="D73" s="1368">
        <v>1591.84</v>
      </c>
      <c r="E73" s="1368" t="s">
        <v>126</v>
      </c>
      <c r="F73" s="1368">
        <v>1591.84</v>
      </c>
    </row>
    <row r="74" spans="1:6">
      <c r="A74" s="1368">
        <v>1</v>
      </c>
      <c r="B74" s="1368" t="s">
        <v>126</v>
      </c>
      <c r="C74" s="1368" t="s">
        <v>128</v>
      </c>
      <c r="D74" s="1368">
        <v>121</v>
      </c>
      <c r="E74" s="1368" t="s">
        <v>126</v>
      </c>
      <c r="F74" s="1368">
        <v>121</v>
      </c>
    </row>
    <row r="75" spans="1:6">
      <c r="A75" s="1368"/>
      <c r="B75" s="1368" t="s">
        <v>129</v>
      </c>
      <c r="C75" s="1368" t="s">
        <v>130</v>
      </c>
      <c r="D75" s="1368" t="s">
        <v>115</v>
      </c>
      <c r="E75" s="1368" t="s">
        <v>129</v>
      </c>
      <c r="F75" s="1368">
        <v>0</v>
      </c>
    </row>
    <row r="76" spans="1:6">
      <c r="A76" s="1368"/>
      <c r="B76" s="1368"/>
      <c r="C76" s="1368"/>
      <c r="D76" s="1368"/>
      <c r="E76" s="1368"/>
      <c r="F76" s="1368" t="s">
        <v>117</v>
      </c>
    </row>
    <row r="77" spans="1:6">
      <c r="A77" s="1368"/>
      <c r="B77" s="1368"/>
      <c r="C77" s="1368" t="s">
        <v>131</v>
      </c>
      <c r="D77" s="1368"/>
      <c r="E77" s="1368"/>
      <c r="F77" s="1368">
        <v>2800.04</v>
      </c>
    </row>
    <row r="78" spans="1:6">
      <c r="A78" s="1368"/>
      <c r="B78" s="1368"/>
      <c r="C78" s="1368"/>
      <c r="D78" s="1368"/>
      <c r="E78" s="1368"/>
      <c r="F78" s="1368" t="s">
        <v>117</v>
      </c>
    </row>
    <row r="79" spans="1:6">
      <c r="A79" s="1368"/>
      <c r="B79" s="1368" t="s">
        <v>558</v>
      </c>
      <c r="C79" s="1368" t="s">
        <v>1704</v>
      </c>
      <c r="D79" s="1368"/>
      <c r="E79" s="1368"/>
      <c r="F79" s="1368"/>
    </row>
    <row r="80" spans="1:6">
      <c r="A80" s="1368"/>
      <c r="B80" s="1368"/>
      <c r="C80" s="1368" t="s">
        <v>1705</v>
      </c>
      <c r="D80" s="1368"/>
      <c r="E80" s="1368"/>
      <c r="F80" s="1368"/>
    </row>
    <row r="81" spans="1:6">
      <c r="A81" s="1368"/>
      <c r="B81" s="1368"/>
      <c r="C81" s="1368" t="s">
        <v>117</v>
      </c>
      <c r="D81" s="1368"/>
      <c r="E81" s="1368"/>
      <c r="F81" s="1368"/>
    </row>
    <row r="82" spans="1:6">
      <c r="A82" s="1368">
        <v>0.04</v>
      </c>
      <c r="B82" s="1368" t="s">
        <v>126</v>
      </c>
      <c r="C82" s="1368" t="s">
        <v>1706</v>
      </c>
      <c r="D82" s="1368">
        <v>4612.04</v>
      </c>
      <c r="E82" s="1368" t="s">
        <v>126</v>
      </c>
      <c r="F82" s="1368">
        <v>184.48</v>
      </c>
    </row>
    <row r="83" spans="1:6">
      <c r="A83" s="1368">
        <v>2.2000000000000002</v>
      </c>
      <c r="B83" s="1368" t="s">
        <v>1</v>
      </c>
      <c r="C83" s="1368" t="s">
        <v>145</v>
      </c>
      <c r="D83" s="1368">
        <v>972.4</v>
      </c>
      <c r="E83" s="1368" t="s">
        <v>1</v>
      </c>
      <c r="F83" s="1368">
        <v>2139.2800000000002</v>
      </c>
    </row>
    <row r="84" spans="1:6">
      <c r="A84" s="1368">
        <v>0.5</v>
      </c>
      <c r="B84" s="1368" t="s">
        <v>1</v>
      </c>
      <c r="C84" s="1368" t="s">
        <v>146</v>
      </c>
      <c r="D84" s="1368">
        <v>679.8</v>
      </c>
      <c r="E84" s="1368" t="s">
        <v>1</v>
      </c>
      <c r="F84" s="1368">
        <v>339.9</v>
      </c>
    </row>
    <row r="85" spans="1:6">
      <c r="A85" s="1368">
        <v>1.1000000000000001</v>
      </c>
      <c r="B85" s="1368" t="s">
        <v>1</v>
      </c>
      <c r="C85" s="1368" t="s">
        <v>147</v>
      </c>
      <c r="D85" s="1368">
        <v>557.70000000000005</v>
      </c>
      <c r="E85" s="1368" t="s">
        <v>1</v>
      </c>
      <c r="F85" s="1368">
        <v>613.47</v>
      </c>
    </row>
    <row r="86" spans="1:6">
      <c r="A86" s="1368"/>
      <c r="B86" s="1368" t="s">
        <v>129</v>
      </c>
      <c r="C86" s="1368" t="s">
        <v>130</v>
      </c>
      <c r="D86" s="1368"/>
      <c r="E86" s="1368" t="s">
        <v>129</v>
      </c>
      <c r="F86" s="1368">
        <v>0</v>
      </c>
    </row>
    <row r="87" spans="1:6">
      <c r="A87" s="1368"/>
      <c r="B87" s="1368"/>
      <c r="C87" s="1368"/>
      <c r="D87" s="1368"/>
      <c r="E87" s="1368"/>
      <c r="F87" s="1368" t="s">
        <v>117</v>
      </c>
    </row>
    <row r="88" spans="1:6">
      <c r="A88" s="1368"/>
      <c r="B88" s="1368"/>
      <c r="C88" s="1368" t="s">
        <v>153</v>
      </c>
      <c r="D88" s="1368"/>
      <c r="E88" s="1368"/>
      <c r="F88" s="1368">
        <v>3277.13</v>
      </c>
    </row>
    <row r="89" spans="1:6">
      <c r="A89" s="1368"/>
      <c r="B89" s="1368"/>
      <c r="C89" s="1368"/>
      <c r="D89" s="1368"/>
      <c r="E89" s="1368"/>
      <c r="F89" s="1368" t="s">
        <v>117</v>
      </c>
    </row>
    <row r="90" spans="1:6">
      <c r="A90" s="1368"/>
      <c r="B90" s="1368"/>
      <c r="C90" s="1368" t="s">
        <v>154</v>
      </c>
      <c r="D90" s="1368"/>
      <c r="E90" s="1368"/>
      <c r="F90" s="1368">
        <v>327.71</v>
      </c>
    </row>
    <row r="91" spans="1:6">
      <c r="A91" s="1368"/>
      <c r="B91" s="1368"/>
      <c r="C91" s="1368"/>
      <c r="D91" s="1368"/>
      <c r="E91" s="1368"/>
      <c r="F91" s="1368" t="s">
        <v>155</v>
      </c>
    </row>
    <row r="92" spans="1:6">
      <c r="A92" s="1368" t="s">
        <v>228</v>
      </c>
      <c r="B92" s="1368" t="s">
        <v>122</v>
      </c>
      <c r="C92" s="1368" t="s">
        <v>4466</v>
      </c>
      <c r="D92" s="1368"/>
      <c r="E92" s="1368"/>
      <c r="F92" s="1368"/>
    </row>
    <row r="93" spans="1:6">
      <c r="A93" s="1368"/>
      <c r="B93" s="1368"/>
      <c r="C93" s="1368" t="s">
        <v>229</v>
      </c>
      <c r="D93" s="1368"/>
      <c r="E93" s="1368"/>
      <c r="F93" s="1368"/>
    </row>
    <row r="94" spans="1:6">
      <c r="A94" s="1368"/>
      <c r="B94" s="1368"/>
      <c r="C94" s="1368" t="s">
        <v>117</v>
      </c>
      <c r="D94" s="1368" t="s">
        <v>117</v>
      </c>
      <c r="E94" s="1368"/>
      <c r="F94" s="1368"/>
    </row>
    <row r="95" spans="1:6">
      <c r="A95" s="1371">
        <v>0.53339999999999999</v>
      </c>
      <c r="B95" s="1368" t="s">
        <v>174</v>
      </c>
      <c r="C95" s="1368" t="s">
        <v>4578</v>
      </c>
      <c r="D95" s="1368">
        <v>306.89999999999998</v>
      </c>
      <c r="E95" s="1368" t="s">
        <v>174</v>
      </c>
      <c r="F95" s="1368">
        <v>163.69999999999999</v>
      </c>
    </row>
    <row r="96" spans="1:6">
      <c r="A96" s="1368">
        <v>4.24</v>
      </c>
      <c r="B96" s="1368" t="s">
        <v>231</v>
      </c>
      <c r="C96" s="1368" t="s">
        <v>232</v>
      </c>
      <c r="D96" s="1368">
        <v>35.61</v>
      </c>
      <c r="E96" s="1368" t="s">
        <v>231</v>
      </c>
      <c r="F96" s="1368">
        <v>150.99</v>
      </c>
    </row>
    <row r="97" spans="1:6">
      <c r="A97" s="1368">
        <v>16</v>
      </c>
      <c r="B97" s="1368" t="s">
        <v>233</v>
      </c>
      <c r="C97" s="1368" t="s">
        <v>234</v>
      </c>
      <c r="D97" s="1368">
        <v>1</v>
      </c>
      <c r="E97" s="1368" t="s">
        <v>227</v>
      </c>
      <c r="F97" s="1368">
        <v>16</v>
      </c>
    </row>
    <row r="98" spans="1:6">
      <c r="A98" s="1371">
        <v>0.53339999999999999</v>
      </c>
      <c r="B98" s="1368" t="s">
        <v>174</v>
      </c>
      <c r="C98" s="1368" t="s">
        <v>235</v>
      </c>
      <c r="D98" s="1368">
        <v>225.09</v>
      </c>
      <c r="E98" s="1368" t="s">
        <v>174</v>
      </c>
      <c r="F98" s="1368">
        <v>120.06</v>
      </c>
    </row>
    <row r="99" spans="1:6">
      <c r="A99" s="1368"/>
      <c r="B99" s="1368" t="s">
        <v>129</v>
      </c>
      <c r="C99" s="1368" t="s">
        <v>236</v>
      </c>
      <c r="D99" s="1368"/>
      <c r="E99" s="1368" t="s">
        <v>129</v>
      </c>
      <c r="F99" s="1368"/>
    </row>
    <row r="100" spans="1:6">
      <c r="A100" s="1368"/>
      <c r="B100" s="1368"/>
      <c r="C100" s="1368" t="s">
        <v>237</v>
      </c>
      <c r="D100" s="1368"/>
      <c r="E100" s="1368"/>
      <c r="F100" s="1368"/>
    </row>
    <row r="101" spans="1:6">
      <c r="A101" s="1368"/>
      <c r="B101" s="1368"/>
      <c r="C101" s="1368"/>
      <c r="D101" s="1368"/>
      <c r="E101" s="1368"/>
      <c r="F101" s="1368" t="s">
        <v>117</v>
      </c>
    </row>
    <row r="102" spans="1:6">
      <c r="A102" s="1368"/>
      <c r="B102" s="1368"/>
      <c r="C102" s="1368" t="s">
        <v>238</v>
      </c>
      <c r="D102" s="1368"/>
      <c r="E102" s="1368"/>
      <c r="F102" s="1368">
        <v>450.75</v>
      </c>
    </row>
    <row r="103" spans="1:6">
      <c r="A103" s="1368"/>
      <c r="B103" s="1368"/>
      <c r="C103" s="1368"/>
      <c r="D103" s="1368"/>
      <c r="E103" s="1368"/>
      <c r="F103" s="1368" t="s">
        <v>117</v>
      </c>
    </row>
    <row r="104" spans="1:6">
      <c r="A104" s="1368"/>
      <c r="B104" s="1368"/>
      <c r="C104" s="1368" t="s">
        <v>239</v>
      </c>
      <c r="D104" s="1368"/>
      <c r="E104" s="1368"/>
      <c r="F104" s="1368">
        <v>845.1</v>
      </c>
    </row>
    <row r="105" spans="1:6">
      <c r="A105" s="1368" t="s">
        <v>115</v>
      </c>
      <c r="B105" s="1368"/>
      <c r="C105" s="1368"/>
      <c r="D105" s="1368"/>
      <c r="E105" s="1368"/>
      <c r="F105" s="1368" t="s">
        <v>155</v>
      </c>
    </row>
    <row r="106" spans="1:6">
      <c r="A106" s="1368"/>
      <c r="B106" s="1368" t="s">
        <v>589</v>
      </c>
      <c r="C106" s="1368" t="s">
        <v>590</v>
      </c>
      <c r="D106" s="1368"/>
      <c r="E106" s="1368"/>
      <c r="F106" s="1368"/>
    </row>
    <row r="107" spans="1:6">
      <c r="A107" s="1368"/>
      <c r="B107" s="1368"/>
      <c r="C107" s="1368" t="s">
        <v>117</v>
      </c>
      <c r="D107" s="1368"/>
      <c r="E107" s="1368"/>
      <c r="F107" s="1368"/>
    </row>
    <row r="108" spans="1:6">
      <c r="A108" s="1368">
        <v>0.7</v>
      </c>
      <c r="B108" s="1368" t="s">
        <v>126</v>
      </c>
      <c r="C108" s="1368" t="s">
        <v>591</v>
      </c>
      <c r="D108" s="1368">
        <v>7192.12</v>
      </c>
      <c r="E108" s="1368" t="s">
        <v>209</v>
      </c>
      <c r="F108" s="1368">
        <v>5034.4799999999996</v>
      </c>
    </row>
    <row r="109" spans="1:6">
      <c r="A109" s="1368">
        <v>1</v>
      </c>
      <c r="B109" s="1368" t="s">
        <v>1</v>
      </c>
      <c r="C109" s="1368" t="s">
        <v>144</v>
      </c>
      <c r="D109" s="1368">
        <v>1041.7</v>
      </c>
      <c r="E109" s="1368" t="s">
        <v>209</v>
      </c>
      <c r="F109" s="1368">
        <v>1041.7</v>
      </c>
    </row>
    <row r="110" spans="1:6">
      <c r="A110" s="1368"/>
      <c r="B110" s="1368" t="s">
        <v>129</v>
      </c>
      <c r="C110" s="1368" t="s">
        <v>130</v>
      </c>
      <c r="D110" s="1368" t="s">
        <v>115</v>
      </c>
      <c r="E110" s="1368" t="s">
        <v>129</v>
      </c>
      <c r="F110" s="1368">
        <v>0</v>
      </c>
    </row>
    <row r="111" spans="1:6">
      <c r="A111" s="1368"/>
      <c r="B111" s="1368"/>
      <c r="C111" s="1368"/>
      <c r="D111" s="1368"/>
      <c r="E111" s="1368"/>
      <c r="F111" s="1368" t="s">
        <v>117</v>
      </c>
    </row>
    <row r="112" spans="1:6">
      <c r="A112" s="1368"/>
      <c r="B112" s="1368"/>
      <c r="C112" s="1368" t="s">
        <v>153</v>
      </c>
      <c r="D112" s="1368"/>
      <c r="E112" s="1368"/>
      <c r="F112" s="1368">
        <v>6076.18</v>
      </c>
    </row>
    <row r="113" spans="1:6">
      <c r="A113" s="1368"/>
      <c r="B113" s="1368"/>
      <c r="C113" s="1368"/>
      <c r="D113" s="1368"/>
      <c r="E113" s="1368"/>
      <c r="F113" s="1368" t="s">
        <v>117</v>
      </c>
    </row>
    <row r="114" spans="1:6">
      <c r="A114" s="1368"/>
      <c r="B114" s="1368"/>
      <c r="C114" s="1368" t="s">
        <v>154</v>
      </c>
      <c r="D114" s="1368"/>
      <c r="E114" s="1368"/>
      <c r="F114" s="1368">
        <v>607.62</v>
      </c>
    </row>
    <row r="116" spans="1:6">
      <c r="A116" s="1368" t="s">
        <v>1744</v>
      </c>
      <c r="B116" s="1368" t="s">
        <v>122</v>
      </c>
      <c r="C116" s="1368" t="s">
        <v>1745</v>
      </c>
      <c r="D116" s="1368"/>
      <c r="E116" s="1368"/>
      <c r="F116" s="1368"/>
    </row>
    <row r="117" spans="1:6">
      <c r="A117" s="1368"/>
      <c r="B117" s="1368"/>
      <c r="C117" s="1368" t="s">
        <v>117</v>
      </c>
      <c r="D117" s="1368"/>
      <c r="E117" s="1368"/>
      <c r="F117" s="1368"/>
    </row>
    <row r="118" spans="1:6">
      <c r="A118" s="1368">
        <v>0.14000000000000001</v>
      </c>
      <c r="B118" s="1368" t="s">
        <v>126</v>
      </c>
      <c r="C118" s="1368" t="s">
        <v>135</v>
      </c>
      <c r="D118" s="1368">
        <v>3452.36</v>
      </c>
      <c r="E118" s="1368" t="s">
        <v>126</v>
      </c>
      <c r="F118" s="1368">
        <v>483.33</v>
      </c>
    </row>
    <row r="119" spans="1:6">
      <c r="A119" s="1368">
        <v>1.1000000000000001</v>
      </c>
      <c r="B119" s="1368" t="s">
        <v>209</v>
      </c>
      <c r="C119" s="1368" t="s">
        <v>144</v>
      </c>
      <c r="D119" s="1368">
        <v>1041.7</v>
      </c>
      <c r="E119" s="1368" t="s">
        <v>209</v>
      </c>
      <c r="F119" s="1368">
        <v>1145.8699999999999</v>
      </c>
    </row>
    <row r="120" spans="1:6">
      <c r="A120" s="1368">
        <v>0.5</v>
      </c>
      <c r="B120" s="1368" t="s">
        <v>209</v>
      </c>
      <c r="C120" s="1368" t="s">
        <v>146</v>
      </c>
      <c r="D120" s="1368">
        <v>679.8</v>
      </c>
      <c r="E120" s="1368" t="s">
        <v>209</v>
      </c>
      <c r="F120" s="1368">
        <v>339.9</v>
      </c>
    </row>
    <row r="121" spans="1:6">
      <c r="A121" s="1368">
        <v>1.1000000000000001</v>
      </c>
      <c r="B121" s="1368" t="s">
        <v>209</v>
      </c>
      <c r="C121" s="1368" t="s">
        <v>147</v>
      </c>
      <c r="D121" s="1368">
        <v>557.70000000000005</v>
      </c>
      <c r="E121" s="1368" t="s">
        <v>209</v>
      </c>
      <c r="F121" s="1368">
        <v>613.47</v>
      </c>
    </row>
    <row r="122" spans="1:6">
      <c r="A122" s="1368"/>
      <c r="B122" s="1368" t="s">
        <v>129</v>
      </c>
      <c r="C122" s="1368" t="s">
        <v>130</v>
      </c>
      <c r="D122" s="1368" t="s">
        <v>115</v>
      </c>
      <c r="E122" s="1368" t="s">
        <v>129</v>
      </c>
      <c r="F122" s="1368">
        <v>5</v>
      </c>
    </row>
    <row r="123" spans="1:6">
      <c r="A123" s="1368"/>
      <c r="B123" s="1368"/>
      <c r="C123" s="1368"/>
      <c r="D123" s="1368"/>
      <c r="E123" s="1368"/>
      <c r="F123" s="1368" t="s">
        <v>117</v>
      </c>
    </row>
    <row r="124" spans="1:6">
      <c r="A124" s="1368"/>
      <c r="B124" s="1368"/>
      <c r="C124" s="1372" t="s">
        <v>153</v>
      </c>
      <c r="D124" s="1368"/>
      <c r="E124" s="1368"/>
      <c r="F124" s="1368">
        <v>2587.5700000000002</v>
      </c>
    </row>
    <row r="125" spans="1:6">
      <c r="A125" s="1368"/>
      <c r="B125" s="1368"/>
      <c r="C125" s="1368"/>
      <c r="D125" s="1368"/>
      <c r="E125" s="1368"/>
      <c r="F125" s="1368" t="s">
        <v>117</v>
      </c>
    </row>
    <row r="126" spans="1:6">
      <c r="A126" s="1368"/>
      <c r="B126" s="1368"/>
      <c r="C126" s="1368" t="s">
        <v>154</v>
      </c>
      <c r="D126" s="1368"/>
      <c r="E126" s="1368"/>
      <c r="F126" s="1368">
        <v>258.76</v>
      </c>
    </row>
    <row r="127" spans="1:6">
      <c r="A127" s="1368"/>
      <c r="B127" s="1368"/>
      <c r="C127" s="1368"/>
      <c r="D127" s="1368"/>
      <c r="E127" s="1368"/>
      <c r="F127" s="1368"/>
    </row>
    <row r="128" spans="1:6">
      <c r="A128" s="1368" t="s">
        <v>1760</v>
      </c>
      <c r="B128" s="1368" t="s">
        <v>122</v>
      </c>
      <c r="C128" s="1368" t="s">
        <v>1761</v>
      </c>
      <c r="D128" s="1368"/>
      <c r="E128" s="1368"/>
      <c r="F128" s="1368"/>
    </row>
    <row r="129" spans="1:6">
      <c r="A129" s="1368"/>
      <c r="B129" s="1368"/>
      <c r="C129" s="1368" t="s">
        <v>117</v>
      </c>
      <c r="D129" s="1368"/>
      <c r="E129" s="1368"/>
      <c r="F129" s="1368"/>
    </row>
    <row r="130" spans="1:6">
      <c r="A130" s="1368">
        <v>0.1</v>
      </c>
      <c r="B130" s="1368" t="s">
        <v>126</v>
      </c>
      <c r="C130" s="1368" t="s">
        <v>133</v>
      </c>
      <c r="D130" s="1368">
        <v>4612.04</v>
      </c>
      <c r="E130" s="1368" t="s">
        <v>126</v>
      </c>
      <c r="F130" s="1368">
        <v>461.2</v>
      </c>
    </row>
    <row r="131" spans="1:6">
      <c r="A131" s="1368">
        <v>1.1000000000000001</v>
      </c>
      <c r="B131" s="1368" t="s">
        <v>209</v>
      </c>
      <c r="C131" s="1368" t="s">
        <v>144</v>
      </c>
      <c r="D131" s="1368">
        <v>1041.7</v>
      </c>
      <c r="E131" s="1368" t="s">
        <v>209</v>
      </c>
      <c r="F131" s="1368">
        <v>1145.8699999999999</v>
      </c>
    </row>
    <row r="132" spans="1:6">
      <c r="A132" s="1368">
        <v>1.1000000000000001</v>
      </c>
      <c r="B132" s="1368" t="s">
        <v>209</v>
      </c>
      <c r="C132" s="1368" t="s">
        <v>146</v>
      </c>
      <c r="D132" s="1368">
        <v>679.8</v>
      </c>
      <c r="E132" s="1368" t="s">
        <v>209</v>
      </c>
      <c r="F132" s="1368">
        <v>747.78</v>
      </c>
    </row>
    <row r="133" spans="1:6">
      <c r="A133" s="1368">
        <v>1.1000000000000001</v>
      </c>
      <c r="B133" s="1368" t="s">
        <v>209</v>
      </c>
      <c r="C133" s="1368" t="s">
        <v>147</v>
      </c>
      <c r="D133" s="1368">
        <v>557.70000000000005</v>
      </c>
      <c r="E133" s="1368" t="s">
        <v>209</v>
      </c>
      <c r="F133" s="1368">
        <v>613.47</v>
      </c>
    </row>
    <row r="134" spans="1:6">
      <c r="A134" s="1368"/>
      <c r="B134" s="1368" t="s">
        <v>129</v>
      </c>
      <c r="C134" s="1368" t="s">
        <v>130</v>
      </c>
      <c r="D134" s="1368" t="s">
        <v>115</v>
      </c>
      <c r="E134" s="1368" t="s">
        <v>129</v>
      </c>
      <c r="F134" s="1368">
        <v>5</v>
      </c>
    </row>
    <row r="135" spans="1:6">
      <c r="A135" s="1368"/>
      <c r="B135" s="1368"/>
      <c r="C135" s="1368"/>
      <c r="D135" s="1368"/>
      <c r="E135" s="1368"/>
      <c r="F135" s="1368" t="s">
        <v>117</v>
      </c>
    </row>
    <row r="136" spans="1:6">
      <c r="A136" s="1368"/>
      <c r="B136" s="1368"/>
      <c r="C136" s="1368" t="s">
        <v>153</v>
      </c>
      <c r="D136" s="1368"/>
      <c r="E136" s="1368"/>
      <c r="F136" s="1368">
        <v>2973.32</v>
      </c>
    </row>
    <row r="137" spans="1:6">
      <c r="A137" s="1368"/>
      <c r="B137" s="1368"/>
      <c r="C137" s="1368"/>
      <c r="D137" s="1368"/>
      <c r="E137" s="1368"/>
      <c r="F137" s="1368" t="s">
        <v>117</v>
      </c>
    </row>
    <row r="138" spans="1:6">
      <c r="A138" s="1368"/>
      <c r="B138" s="1368"/>
      <c r="C138" s="1368" t="s">
        <v>154</v>
      </c>
      <c r="D138" s="1368"/>
      <c r="E138" s="1368"/>
      <c r="F138" s="1368">
        <v>297.33</v>
      </c>
    </row>
    <row r="139" spans="1:6">
      <c r="A139" s="1368"/>
      <c r="B139" s="1368"/>
      <c r="C139" s="1368"/>
      <c r="D139" s="1368"/>
      <c r="E139" s="1368"/>
      <c r="F139" s="1368" t="s">
        <v>155</v>
      </c>
    </row>
    <row r="140" spans="1:6">
      <c r="A140" s="1373"/>
      <c r="B140" s="1368" t="s">
        <v>115</v>
      </c>
      <c r="C140" s="1368" t="s">
        <v>934</v>
      </c>
      <c r="D140" s="1368"/>
      <c r="E140" s="1368"/>
      <c r="F140" s="1368"/>
    </row>
    <row r="141" spans="1:6">
      <c r="A141" s="1368"/>
      <c r="B141" s="1368"/>
      <c r="C141" s="1368" t="s">
        <v>936</v>
      </c>
      <c r="D141" s="1368"/>
      <c r="E141" s="1368"/>
      <c r="F141" s="1368"/>
    </row>
    <row r="142" spans="1:6">
      <c r="A142" s="1368"/>
      <c r="B142" s="1368"/>
      <c r="C142" s="1368" t="s">
        <v>937</v>
      </c>
      <c r="D142" s="1368"/>
      <c r="E142" s="1368"/>
      <c r="F142" s="1368"/>
    </row>
    <row r="143" spans="1:6">
      <c r="A143" s="1368"/>
      <c r="B143" s="1368"/>
      <c r="C143" s="1368" t="s">
        <v>939</v>
      </c>
      <c r="D143" s="1368"/>
      <c r="E143" s="1368"/>
      <c r="F143" s="1368"/>
    </row>
    <row r="144" spans="1:6">
      <c r="A144" s="1368"/>
      <c r="B144" s="1368"/>
      <c r="C144" s="1368" t="s">
        <v>940</v>
      </c>
      <c r="D144" s="1368"/>
      <c r="E144" s="1368"/>
      <c r="F144" s="1368"/>
    </row>
    <row r="145" spans="1:6">
      <c r="A145" s="1368"/>
      <c r="B145" s="1368"/>
      <c r="C145" s="1368" t="s">
        <v>941</v>
      </c>
      <c r="D145" s="1368"/>
      <c r="E145" s="1368"/>
      <c r="F145" s="1368"/>
    </row>
    <row r="146" spans="1:6">
      <c r="A146" s="1368"/>
      <c r="B146" s="1368"/>
      <c r="C146" s="1368" t="s">
        <v>943</v>
      </c>
      <c r="D146" s="1368"/>
      <c r="E146" s="1368"/>
      <c r="F146" s="1368"/>
    </row>
    <row r="147" spans="1:6">
      <c r="A147" s="1368"/>
      <c r="B147" s="1368"/>
      <c r="C147" s="1368" t="s">
        <v>117</v>
      </c>
      <c r="D147" s="1368" t="s">
        <v>117</v>
      </c>
      <c r="E147" s="1368"/>
      <c r="F147" s="1368"/>
    </row>
    <row r="148" spans="1:6">
      <c r="A148" s="1368"/>
      <c r="B148" s="1368" t="s">
        <v>196</v>
      </c>
      <c r="C148" s="1368" t="s">
        <v>947</v>
      </c>
      <c r="D148" s="1368"/>
      <c r="E148" s="1368"/>
      <c r="F148" s="1368"/>
    </row>
    <row r="149" spans="1:6">
      <c r="A149" s="1368"/>
      <c r="B149" s="1368"/>
      <c r="C149" s="1368" t="s">
        <v>950</v>
      </c>
      <c r="D149" s="1368"/>
      <c r="E149" s="1368"/>
      <c r="F149" s="1368"/>
    </row>
    <row r="150" spans="1:6">
      <c r="A150" s="1368">
        <v>10</v>
      </c>
      <c r="B150" s="1368" t="s">
        <v>174</v>
      </c>
      <c r="C150" s="1368" t="s">
        <v>952</v>
      </c>
      <c r="D150" s="1368">
        <v>376.7</v>
      </c>
      <c r="E150" s="1368" t="s">
        <v>174</v>
      </c>
      <c r="F150" s="1368">
        <v>3767</v>
      </c>
    </row>
    <row r="151" spans="1:6">
      <c r="A151" s="1368">
        <v>1</v>
      </c>
      <c r="B151" s="1368" t="s">
        <v>233</v>
      </c>
      <c r="C151" s="1368" t="s">
        <v>954</v>
      </c>
      <c r="D151" s="1368">
        <v>1041.7</v>
      </c>
      <c r="E151" s="1368" t="s">
        <v>227</v>
      </c>
      <c r="F151" s="1368">
        <v>1041.7</v>
      </c>
    </row>
    <row r="152" spans="1:6">
      <c r="A152" s="1368">
        <v>1</v>
      </c>
      <c r="B152" s="1368" t="s">
        <v>233</v>
      </c>
      <c r="C152" s="1368" t="s">
        <v>956</v>
      </c>
      <c r="D152" s="1368">
        <v>679.8</v>
      </c>
      <c r="E152" s="1368" t="s">
        <v>227</v>
      </c>
      <c r="F152" s="1368">
        <v>679.8</v>
      </c>
    </row>
    <row r="153" spans="1:6">
      <c r="A153" s="1368"/>
      <c r="B153" s="1368" t="s">
        <v>129</v>
      </c>
      <c r="C153" s="1368" t="s">
        <v>958</v>
      </c>
      <c r="D153" s="1368"/>
      <c r="E153" s="1368" t="s">
        <v>129</v>
      </c>
      <c r="F153" s="1368">
        <v>120</v>
      </c>
    </row>
    <row r="154" spans="1:6">
      <c r="A154" s="1368"/>
      <c r="B154" s="1368"/>
      <c r="C154" s="1368" t="s">
        <v>960</v>
      </c>
      <c r="D154" s="1368"/>
      <c r="E154" s="1368"/>
      <c r="F154" s="1368" t="s">
        <v>117</v>
      </c>
    </row>
    <row r="155" spans="1:6">
      <c r="A155" s="1368"/>
      <c r="B155" s="1368"/>
      <c r="C155" s="1368" t="s">
        <v>962</v>
      </c>
      <c r="D155" s="1368"/>
      <c r="E155" s="1368"/>
      <c r="F155" s="1368">
        <v>5608.5</v>
      </c>
    </row>
    <row r="156" spans="1:6">
      <c r="A156" s="1368"/>
      <c r="B156" s="1368"/>
      <c r="C156" s="1368"/>
      <c r="D156" s="1368"/>
      <c r="E156" s="1368"/>
      <c r="F156" s="1368" t="s">
        <v>117</v>
      </c>
    </row>
    <row r="157" spans="1:6">
      <c r="A157" s="1368"/>
      <c r="B157" s="1368"/>
      <c r="C157" s="1368" t="s">
        <v>965</v>
      </c>
      <c r="D157" s="1368"/>
      <c r="E157" s="1368"/>
      <c r="F157" s="1368">
        <v>560.85</v>
      </c>
    </row>
    <row r="158" spans="1:6">
      <c r="A158" s="1368"/>
      <c r="B158" s="1368"/>
      <c r="C158" s="1368" t="s">
        <v>482</v>
      </c>
      <c r="D158" s="1368">
        <v>560.85</v>
      </c>
      <c r="E158" s="1368">
        <v>2.5</v>
      </c>
      <c r="F158" s="1368">
        <v>563.35</v>
      </c>
    </row>
    <row r="159" spans="1:6">
      <c r="A159" s="1368"/>
      <c r="B159" s="1368"/>
      <c r="C159" s="1368" t="s">
        <v>486</v>
      </c>
      <c r="D159" s="1368">
        <v>563.35</v>
      </c>
      <c r="E159" s="1368">
        <v>4.92</v>
      </c>
      <c r="F159" s="1368">
        <v>568.27</v>
      </c>
    </row>
    <row r="160" spans="1:6">
      <c r="A160" s="1368"/>
      <c r="B160" s="1368"/>
      <c r="C160" s="1368"/>
      <c r="D160" s="1368"/>
      <c r="E160" s="1368"/>
      <c r="F160" s="1368"/>
    </row>
    <row r="161" spans="1:6">
      <c r="A161" s="1368"/>
      <c r="B161" s="1368"/>
      <c r="C161" s="1368"/>
      <c r="D161" s="1368"/>
      <c r="E161" s="1368"/>
      <c r="F161" s="1368"/>
    </row>
    <row r="162" spans="1:6">
      <c r="A162" s="1368"/>
      <c r="B162" s="1368"/>
      <c r="C162" s="1368"/>
      <c r="D162" s="1368"/>
      <c r="E162" s="1368"/>
      <c r="F162" s="1368"/>
    </row>
    <row r="163" spans="1:6">
      <c r="A163" s="1368"/>
      <c r="B163" s="1368"/>
      <c r="C163" s="1368"/>
      <c r="D163" s="1368"/>
      <c r="E163" s="1368"/>
      <c r="F163" s="1368"/>
    </row>
    <row r="164" spans="1:6">
      <c r="A164" s="1373">
        <v>37.1</v>
      </c>
      <c r="B164" s="1368" t="s">
        <v>122</v>
      </c>
      <c r="C164" s="1368" t="s">
        <v>1793</v>
      </c>
      <c r="D164" s="1368"/>
      <c r="E164" s="1368"/>
      <c r="F164" s="1368"/>
    </row>
    <row r="165" spans="1:6">
      <c r="A165" s="1368"/>
      <c r="B165" s="1368"/>
      <c r="C165" s="1368" t="s">
        <v>117</v>
      </c>
      <c r="D165" s="1368"/>
      <c r="E165" s="1368"/>
      <c r="F165" s="1368"/>
    </row>
    <row r="166" spans="1:6">
      <c r="A166" s="1368">
        <v>0.09</v>
      </c>
      <c r="B166" s="1368" t="s">
        <v>126</v>
      </c>
      <c r="C166" s="1368" t="s">
        <v>508</v>
      </c>
      <c r="D166" s="1368">
        <v>1348</v>
      </c>
      <c r="E166" s="1368" t="s">
        <v>126</v>
      </c>
      <c r="F166" s="1368">
        <v>121.32</v>
      </c>
    </row>
    <row r="167" spans="1:6">
      <c r="A167" s="1368">
        <v>2.2000000000000002</v>
      </c>
      <c r="B167" s="1368" t="s">
        <v>209</v>
      </c>
      <c r="C167" s="1368" t="s">
        <v>145</v>
      </c>
      <c r="D167" s="1368">
        <v>972.4</v>
      </c>
      <c r="E167" s="1368" t="s">
        <v>209</v>
      </c>
      <c r="F167" s="1368">
        <v>2139.2800000000002</v>
      </c>
    </row>
    <row r="168" spans="1:6">
      <c r="A168" s="1368">
        <v>0.5</v>
      </c>
      <c r="B168" s="1368" t="s">
        <v>209</v>
      </c>
      <c r="C168" s="1368" t="s">
        <v>146</v>
      </c>
      <c r="D168" s="1368">
        <v>679.8</v>
      </c>
      <c r="E168" s="1368" t="s">
        <v>209</v>
      </c>
      <c r="F168" s="1368">
        <v>339.9</v>
      </c>
    </row>
    <row r="169" spans="1:6">
      <c r="A169" s="1368">
        <v>3.8</v>
      </c>
      <c r="B169" s="1368" t="s">
        <v>209</v>
      </c>
      <c r="C169" s="1368" t="s">
        <v>147</v>
      </c>
      <c r="D169" s="1368">
        <v>557.70000000000005</v>
      </c>
      <c r="E169" s="1368" t="s">
        <v>209</v>
      </c>
      <c r="F169" s="1368">
        <v>2119.2600000000002</v>
      </c>
    </row>
    <row r="170" spans="1:6">
      <c r="A170" s="1368"/>
      <c r="B170" s="1368" t="s">
        <v>129</v>
      </c>
      <c r="C170" s="1368" t="s">
        <v>1795</v>
      </c>
      <c r="D170" s="1368" t="s">
        <v>115</v>
      </c>
      <c r="E170" s="1368" t="s">
        <v>129</v>
      </c>
      <c r="F170" s="1368">
        <v>1.5</v>
      </c>
    </row>
    <row r="171" spans="1:6">
      <c r="A171" s="1368"/>
      <c r="B171" s="1368"/>
      <c r="C171" s="1368"/>
      <c r="D171" s="1368"/>
      <c r="E171" s="1368"/>
      <c r="F171" s="1368" t="s">
        <v>117</v>
      </c>
    </row>
    <row r="172" spans="1:6">
      <c r="A172" s="1368"/>
      <c r="B172" s="1368"/>
      <c r="C172" s="1368" t="s">
        <v>771</v>
      </c>
      <c r="D172" s="1368"/>
      <c r="E172" s="1368"/>
      <c r="F172" s="1368">
        <v>4721.26</v>
      </c>
    </row>
    <row r="173" spans="1:6">
      <c r="A173" s="1368"/>
      <c r="B173" s="1368"/>
      <c r="C173" s="1368"/>
      <c r="D173" s="1368"/>
      <c r="E173" s="1368"/>
      <c r="F173" s="1368" t="s">
        <v>117</v>
      </c>
    </row>
    <row r="174" spans="1:6">
      <c r="A174" s="1368"/>
      <c r="B174" s="1368"/>
      <c r="C174" s="1368" t="s">
        <v>154</v>
      </c>
      <c r="D174" s="1368"/>
      <c r="E174" s="1368"/>
      <c r="F174" s="1368">
        <v>47.21</v>
      </c>
    </row>
    <row r="175" spans="1:6">
      <c r="A175" s="1368"/>
      <c r="B175" s="1368"/>
      <c r="C175" s="1368"/>
      <c r="D175" s="1368"/>
      <c r="E175" s="1368"/>
      <c r="F175" s="1368" t="s">
        <v>155</v>
      </c>
    </row>
    <row r="176" spans="1:6">
      <c r="A176" s="1368"/>
      <c r="B176" s="1368"/>
      <c r="C176" s="1368"/>
      <c r="D176" s="1368"/>
      <c r="E176" s="1368"/>
      <c r="F176" s="1368"/>
    </row>
    <row r="177" spans="1:6">
      <c r="A177" s="1368"/>
      <c r="B177" s="1368"/>
      <c r="C177" s="1368"/>
      <c r="D177" s="1368"/>
      <c r="E177" s="1368"/>
      <c r="F177" s="1368"/>
    </row>
    <row r="178" spans="1:6">
      <c r="A178" s="1368" t="s">
        <v>1796</v>
      </c>
      <c r="B178" s="1368" t="s">
        <v>122</v>
      </c>
      <c r="C178" s="1368"/>
      <c r="D178" s="1368"/>
      <c r="E178" s="1368"/>
      <c r="F178" s="1368"/>
    </row>
    <row r="179" spans="1:6">
      <c r="A179" s="1368"/>
      <c r="B179" s="1368"/>
      <c r="C179" s="1368" t="s">
        <v>4580</v>
      </c>
      <c r="D179" s="1368"/>
      <c r="E179" s="1368"/>
      <c r="F179" s="1368"/>
    </row>
    <row r="180" spans="1:6">
      <c r="A180" s="1368"/>
      <c r="B180" s="1368"/>
      <c r="C180" s="1368" t="s">
        <v>1799</v>
      </c>
      <c r="D180" s="1368"/>
      <c r="E180" s="1368"/>
      <c r="F180" s="1368"/>
    </row>
    <row r="181" spans="1:6">
      <c r="A181" s="1368"/>
      <c r="B181" s="1368"/>
      <c r="C181" s="1368" t="s">
        <v>1800</v>
      </c>
      <c r="D181" s="1368"/>
      <c r="E181" s="1368"/>
      <c r="F181" s="1368"/>
    </row>
    <row r="182" spans="1:6">
      <c r="A182" s="1368"/>
      <c r="B182" s="1368"/>
      <c r="C182" s="1368" t="s">
        <v>117</v>
      </c>
      <c r="D182" s="1368"/>
      <c r="E182" s="1368"/>
      <c r="F182" s="1368"/>
    </row>
    <row r="183" spans="1:6">
      <c r="A183" s="1368">
        <v>1.8</v>
      </c>
      <c r="B183" s="1368" t="s">
        <v>148</v>
      </c>
      <c r="C183" s="1368" t="s">
        <v>2436</v>
      </c>
      <c r="D183" s="1368">
        <v>22.6</v>
      </c>
      <c r="E183" s="1368" t="s">
        <v>148</v>
      </c>
      <c r="F183" s="1368">
        <v>40.68</v>
      </c>
    </row>
    <row r="184" spans="1:6">
      <c r="A184" s="1368">
        <v>0.25</v>
      </c>
      <c r="B184" s="1368" t="s">
        <v>209</v>
      </c>
      <c r="C184" s="1368" t="s">
        <v>1802</v>
      </c>
      <c r="D184" s="1368">
        <v>831.6</v>
      </c>
      <c r="E184" s="1368" t="s">
        <v>209</v>
      </c>
      <c r="F184" s="1368">
        <v>207.9</v>
      </c>
    </row>
    <row r="185" spans="1:6">
      <c r="A185" s="1368">
        <v>0.25</v>
      </c>
      <c r="B185" s="1368" t="s">
        <v>209</v>
      </c>
      <c r="C185" s="1368" t="s">
        <v>1628</v>
      </c>
      <c r="D185" s="1368">
        <v>679.8</v>
      </c>
      <c r="E185" s="1368" t="s">
        <v>209</v>
      </c>
      <c r="F185" s="1368">
        <v>169.95</v>
      </c>
    </row>
    <row r="186" spans="1:6">
      <c r="A186" s="1368">
        <v>0.4</v>
      </c>
      <c r="B186" s="1368" t="s">
        <v>209</v>
      </c>
      <c r="C186" s="1368" t="s">
        <v>147</v>
      </c>
      <c r="D186" s="1368">
        <v>557.70000000000005</v>
      </c>
      <c r="E186" s="1368" t="s">
        <v>209</v>
      </c>
      <c r="F186" s="1368">
        <v>223.08</v>
      </c>
    </row>
    <row r="187" spans="1:6">
      <c r="A187" s="1368"/>
      <c r="B187" s="1368"/>
      <c r="C187" s="1368"/>
      <c r="D187" s="1368" t="s">
        <v>115</v>
      </c>
      <c r="E187" s="1368"/>
      <c r="F187" s="1368">
        <v>641.61</v>
      </c>
    </row>
    <row r="188" spans="1:6">
      <c r="A188" s="1368"/>
      <c r="B188" s="1368"/>
      <c r="C188" s="1368"/>
      <c r="D188" s="1368"/>
      <c r="E188" s="1368"/>
      <c r="F188" s="1368">
        <v>64.16</v>
      </c>
    </row>
    <row r="189" spans="1:6">
      <c r="A189" s="1368"/>
      <c r="B189" s="1368"/>
      <c r="C189" s="1368" t="s">
        <v>170</v>
      </c>
      <c r="D189" s="1368"/>
      <c r="E189" s="1368"/>
      <c r="F189" s="1368"/>
    </row>
    <row r="190" spans="1:6">
      <c r="A190" s="1368"/>
      <c r="B190" s="1368"/>
      <c r="C190" s="1368"/>
      <c r="D190" s="1368"/>
      <c r="E190" s="1368"/>
      <c r="F190" s="1368"/>
    </row>
    <row r="191" spans="1:6">
      <c r="A191" s="1368">
        <v>0.8</v>
      </c>
      <c r="B191" s="1368" t="s">
        <v>171</v>
      </c>
      <c r="C191" s="1368" t="s">
        <v>172</v>
      </c>
      <c r="D191" s="1368">
        <v>295.60000000000002</v>
      </c>
      <c r="E191" s="1368" t="s">
        <v>171</v>
      </c>
      <c r="F191" s="1368">
        <v>236.48</v>
      </c>
    </row>
    <row r="192" spans="1:6">
      <c r="A192" s="1368">
        <v>0.7</v>
      </c>
      <c r="B192" s="1368" t="s">
        <v>1</v>
      </c>
      <c r="C192" s="1368" t="s">
        <v>173</v>
      </c>
      <c r="D192" s="1368">
        <v>831.6</v>
      </c>
      <c r="E192" s="1368" t="s">
        <v>1</v>
      </c>
      <c r="F192" s="1368">
        <v>582.12</v>
      </c>
    </row>
    <row r="193" spans="1:6">
      <c r="A193" s="1368">
        <v>10</v>
      </c>
      <c r="B193" s="1368" t="s">
        <v>174</v>
      </c>
      <c r="C193" s="1368" t="s">
        <v>175</v>
      </c>
      <c r="D193" s="1368">
        <v>4.4000000000000004</v>
      </c>
      <c r="E193" s="1368" t="s">
        <v>174</v>
      </c>
      <c r="F193" s="1368">
        <v>44</v>
      </c>
    </row>
    <row r="194" spans="1:6">
      <c r="A194" s="1368"/>
      <c r="B194" s="1368"/>
      <c r="C194" s="1368" t="s">
        <v>167</v>
      </c>
      <c r="D194" s="1368" t="s">
        <v>176</v>
      </c>
      <c r="E194" s="1368"/>
      <c r="F194" s="1368">
        <v>1.6</v>
      </c>
    </row>
    <row r="195" spans="1:6">
      <c r="A195" s="1368"/>
      <c r="B195" s="1368"/>
      <c r="C195" s="1368" t="s">
        <v>153</v>
      </c>
      <c r="D195" s="1368"/>
      <c r="E195" s="1368"/>
      <c r="F195" s="1368">
        <v>864.2</v>
      </c>
    </row>
    <row r="196" spans="1:6">
      <c r="A196" s="1368"/>
      <c r="B196" s="1368"/>
      <c r="C196" s="1368" t="s">
        <v>154</v>
      </c>
      <c r="D196" s="1368"/>
      <c r="E196" s="1368"/>
      <c r="F196" s="1368">
        <v>86.42</v>
      </c>
    </row>
    <row r="197" spans="1:6">
      <c r="A197" s="1368"/>
      <c r="B197" s="1368"/>
      <c r="C197" s="1368"/>
      <c r="D197" s="1368"/>
      <c r="E197" s="1368"/>
      <c r="F197" s="1368"/>
    </row>
    <row r="198" spans="1:6">
      <c r="A198" s="1368"/>
      <c r="B198" s="1368"/>
      <c r="C198" s="1368"/>
      <c r="D198" s="1368"/>
      <c r="E198" s="1368"/>
      <c r="F198" s="1368"/>
    </row>
    <row r="199" spans="1:6">
      <c r="A199" s="1368"/>
      <c r="B199" s="1368" t="s">
        <v>122</v>
      </c>
      <c r="C199" s="1368" t="s">
        <v>4581</v>
      </c>
      <c r="D199" s="1368"/>
      <c r="E199" s="1368"/>
      <c r="F199" s="1368"/>
    </row>
    <row r="200" spans="1:6">
      <c r="A200" s="1368"/>
      <c r="B200" s="1368"/>
      <c r="C200" s="1368" t="s">
        <v>178</v>
      </c>
      <c r="D200" s="1368"/>
      <c r="E200" s="1368"/>
      <c r="F200" s="1368"/>
    </row>
    <row r="201" spans="1:6">
      <c r="A201" s="1368"/>
      <c r="B201" s="1368"/>
      <c r="C201" s="1368" t="s">
        <v>179</v>
      </c>
      <c r="D201" s="1368"/>
      <c r="E201" s="1368"/>
      <c r="F201" s="1368"/>
    </row>
    <row r="202" spans="1:6">
      <c r="A202" s="1368"/>
      <c r="B202" s="1368"/>
      <c r="C202" s="1368" t="s">
        <v>117</v>
      </c>
      <c r="D202" s="1368"/>
      <c r="E202" s="1368"/>
      <c r="F202" s="1368"/>
    </row>
    <row r="203" spans="1:6">
      <c r="A203" s="1368">
        <v>1.34</v>
      </c>
      <c r="B203" s="1368" t="s">
        <v>148</v>
      </c>
      <c r="C203" s="1368" t="s">
        <v>4582</v>
      </c>
      <c r="D203" s="1368">
        <v>73.8</v>
      </c>
      <c r="E203" s="1368" t="s">
        <v>148</v>
      </c>
      <c r="F203" s="1368">
        <v>98.89</v>
      </c>
    </row>
    <row r="204" spans="1:6">
      <c r="A204" s="1368">
        <v>0.5</v>
      </c>
      <c r="B204" s="1368" t="s">
        <v>1</v>
      </c>
      <c r="C204" s="1368" t="s">
        <v>181</v>
      </c>
      <c r="D204" s="1368">
        <v>831.6</v>
      </c>
      <c r="E204" s="1368" t="s">
        <v>1</v>
      </c>
      <c r="F204" s="1368">
        <v>415.8</v>
      </c>
    </row>
    <row r="205" spans="1:6">
      <c r="A205" s="1368">
        <v>0.5</v>
      </c>
      <c r="B205" s="1368" t="s">
        <v>1</v>
      </c>
      <c r="C205" s="1368" t="s">
        <v>146</v>
      </c>
      <c r="D205" s="1368">
        <v>679.8</v>
      </c>
      <c r="E205" s="1368" t="s">
        <v>1</v>
      </c>
      <c r="F205" s="1368">
        <v>339.9</v>
      </c>
    </row>
    <row r="206" spans="1:6">
      <c r="A206" s="1368">
        <v>0.8</v>
      </c>
      <c r="B206" s="1368" t="s">
        <v>1</v>
      </c>
      <c r="C206" s="1368" t="s">
        <v>147</v>
      </c>
      <c r="D206" s="1368">
        <v>557.70000000000005</v>
      </c>
      <c r="E206" s="1368" t="s">
        <v>1</v>
      </c>
      <c r="F206" s="1368">
        <v>446.16</v>
      </c>
    </row>
    <row r="207" spans="1:6">
      <c r="A207" s="1368"/>
      <c r="B207" s="1368" t="s">
        <v>129</v>
      </c>
      <c r="C207" s="1368" t="s">
        <v>182</v>
      </c>
      <c r="D207" s="1368" t="s">
        <v>115</v>
      </c>
      <c r="E207" s="1368" t="s">
        <v>129</v>
      </c>
      <c r="F207" s="1368">
        <v>2.6</v>
      </c>
    </row>
    <row r="208" spans="1:6">
      <c r="A208" s="1368"/>
      <c r="B208" s="1368"/>
      <c r="C208" s="1368"/>
      <c r="D208" s="1368"/>
      <c r="E208" s="1368"/>
      <c r="F208" s="1368" t="s">
        <v>117</v>
      </c>
    </row>
    <row r="209" spans="1:6">
      <c r="A209" s="1368"/>
      <c r="B209" s="1368"/>
      <c r="C209" s="1368" t="s">
        <v>153</v>
      </c>
      <c r="D209" s="1368"/>
      <c r="E209" s="1368"/>
      <c r="F209" s="1368">
        <v>1303.3499999999999</v>
      </c>
    </row>
    <row r="210" spans="1:6">
      <c r="A210" s="1368"/>
      <c r="B210" s="1368"/>
      <c r="C210" s="1368"/>
      <c r="D210" s="1368"/>
      <c r="E210" s="1368"/>
      <c r="F210" s="1368" t="s">
        <v>117</v>
      </c>
    </row>
    <row r="211" spans="1:6">
      <c r="A211" s="1368"/>
      <c r="B211" s="1368"/>
      <c r="C211" s="1368" t="s">
        <v>154</v>
      </c>
      <c r="D211" s="1368"/>
      <c r="E211" s="1368"/>
      <c r="F211" s="1368">
        <v>130.34</v>
      </c>
    </row>
    <row r="212" spans="1:6">
      <c r="A212" s="1368" t="s">
        <v>115</v>
      </c>
      <c r="B212" s="1368"/>
      <c r="C212" s="1368"/>
      <c r="D212" s="1368"/>
      <c r="E212" s="1368"/>
      <c r="F212" s="1368"/>
    </row>
    <row r="213" spans="1:6">
      <c r="A213" s="1368"/>
      <c r="B213" s="1368"/>
      <c r="C213" s="1368"/>
      <c r="D213" s="1368"/>
      <c r="E213" s="1368"/>
      <c r="F213" s="1368"/>
    </row>
    <row r="214" spans="1:6">
      <c r="A214" s="1368"/>
      <c r="B214" s="1368"/>
      <c r="C214" s="1368" t="s">
        <v>2568</v>
      </c>
      <c r="D214" s="1368"/>
      <c r="E214" s="1368"/>
      <c r="F214" s="1368"/>
    </row>
    <row r="215" spans="1:6">
      <c r="A215" s="1368"/>
      <c r="B215" s="1368"/>
      <c r="C215" s="1368" t="s">
        <v>2571</v>
      </c>
      <c r="D215" s="1368"/>
      <c r="E215" s="1368"/>
      <c r="F215" s="1368"/>
    </row>
    <row r="216" spans="1:6">
      <c r="A216" s="1368"/>
      <c r="B216" s="1368"/>
      <c r="C216" s="1368" t="s">
        <v>2573</v>
      </c>
      <c r="D216" s="1368"/>
      <c r="E216" s="1368"/>
      <c r="F216" s="1368"/>
    </row>
    <row r="217" spans="1:6">
      <c r="A217" s="1368">
        <v>0.1</v>
      </c>
      <c r="B217" s="1368" t="s">
        <v>240</v>
      </c>
      <c r="C217" s="1368" t="s">
        <v>2189</v>
      </c>
      <c r="D217" s="1368">
        <v>919.6</v>
      </c>
      <c r="E217" s="1368" t="s">
        <v>227</v>
      </c>
      <c r="F217" s="1368">
        <v>91.96</v>
      </c>
    </row>
    <row r="218" spans="1:6">
      <c r="A218" s="1368">
        <v>0.1</v>
      </c>
      <c r="B218" s="1368" t="s">
        <v>2575</v>
      </c>
      <c r="C218" s="1368" t="s">
        <v>1606</v>
      </c>
      <c r="D218" s="1368">
        <v>679.8</v>
      </c>
      <c r="E218" s="1368" t="s">
        <v>227</v>
      </c>
      <c r="F218" s="1368">
        <v>67.98</v>
      </c>
    </row>
    <row r="219" spans="1:6">
      <c r="A219" s="1368">
        <v>10</v>
      </c>
      <c r="B219" s="1368" t="s">
        <v>2577</v>
      </c>
      <c r="C219" s="1368" t="s">
        <v>4583</v>
      </c>
      <c r="D219" s="1368">
        <v>18.45</v>
      </c>
      <c r="E219" s="1368" t="s">
        <v>2579</v>
      </c>
      <c r="F219" s="1368">
        <v>1.85</v>
      </c>
    </row>
    <row r="220" spans="1:6">
      <c r="A220" s="1368">
        <v>0.25</v>
      </c>
      <c r="B220" s="1368" t="s">
        <v>240</v>
      </c>
      <c r="C220" s="1368" t="s">
        <v>4584</v>
      </c>
      <c r="D220" s="1368">
        <v>3.6</v>
      </c>
      <c r="E220" s="1368" t="s">
        <v>227</v>
      </c>
      <c r="F220" s="1368">
        <v>1</v>
      </c>
    </row>
    <row r="221" spans="1:6">
      <c r="A221" s="1368"/>
      <c r="B221" s="1368"/>
      <c r="C221" s="1368"/>
      <c r="D221" s="1368" t="s">
        <v>2585</v>
      </c>
      <c r="E221" s="1368"/>
      <c r="F221" s="1368">
        <v>162.79</v>
      </c>
    </row>
    <row r="222" spans="1:6">
      <c r="A222" s="1368"/>
      <c r="B222" s="1368"/>
      <c r="C222" s="1368"/>
      <c r="D222" s="1368"/>
      <c r="E222" s="1368"/>
      <c r="F222" s="1368"/>
    </row>
    <row r="223" spans="1:6">
      <c r="A223" s="1368"/>
      <c r="B223" s="1368"/>
      <c r="C223" s="1368" t="s">
        <v>2460</v>
      </c>
      <c r="D223" s="1368" t="s">
        <v>2587</v>
      </c>
      <c r="E223" s="1368" t="s">
        <v>2587</v>
      </c>
      <c r="F223" s="1368" t="s">
        <v>2588</v>
      </c>
    </row>
    <row r="224" spans="1:6">
      <c r="A224" s="1368"/>
      <c r="B224" s="1368"/>
      <c r="C224" s="1368"/>
      <c r="D224" s="1368">
        <v>331</v>
      </c>
      <c r="E224" s="1368">
        <v>331</v>
      </c>
      <c r="F224" s="1368">
        <v>283</v>
      </c>
    </row>
    <row r="225" spans="1:6">
      <c r="A225" s="1368"/>
      <c r="B225" s="1368"/>
      <c r="C225" s="1368" t="s">
        <v>2590</v>
      </c>
      <c r="D225" s="1368">
        <v>162.79</v>
      </c>
      <c r="E225" s="1368">
        <v>162.79</v>
      </c>
      <c r="F225" s="1368">
        <v>162.79</v>
      </c>
    </row>
    <row r="226" spans="1:6">
      <c r="A226" s="1368"/>
      <c r="B226" s="1368"/>
      <c r="C226" s="1368" t="s">
        <v>2196</v>
      </c>
      <c r="D226" s="1368">
        <v>493.79</v>
      </c>
      <c r="E226" s="1368">
        <v>493.79</v>
      </c>
      <c r="F226" s="1368">
        <v>445.79</v>
      </c>
    </row>
    <row r="227" spans="1:6">
      <c r="A227" s="1368"/>
      <c r="B227" s="1368"/>
      <c r="C227" s="1368"/>
      <c r="D227" s="1368">
        <v>494</v>
      </c>
      <c r="E227" s="1368">
        <v>494</v>
      </c>
      <c r="F227" s="1368">
        <v>446</v>
      </c>
    </row>
    <row r="228" spans="1:6">
      <c r="A228" s="1368"/>
      <c r="B228" s="1368"/>
      <c r="C228" s="1368"/>
      <c r="D228" s="1368"/>
      <c r="E228" s="1368"/>
      <c r="F228" s="1368"/>
    </row>
    <row r="229" spans="1:6">
      <c r="A229" s="1368"/>
      <c r="B229" s="1368"/>
      <c r="C229" s="1368"/>
      <c r="D229" s="1368"/>
      <c r="E229" s="1368"/>
      <c r="F229" s="1368"/>
    </row>
    <row r="230" spans="1:6">
      <c r="A230" s="1368"/>
      <c r="B230" s="1368"/>
      <c r="C230" s="1368" t="s">
        <v>183</v>
      </c>
      <c r="D230" s="1368"/>
      <c r="E230" s="1368"/>
      <c r="F230" s="1368"/>
    </row>
    <row r="231" spans="1:6">
      <c r="A231" s="1368"/>
      <c r="B231" s="1368"/>
      <c r="C231" s="1368" t="s">
        <v>184</v>
      </c>
      <c r="D231" s="1368"/>
      <c r="E231" s="1368"/>
      <c r="F231" s="1368"/>
    </row>
    <row r="232" spans="1:6">
      <c r="A232" s="1368"/>
      <c r="B232" s="1368"/>
      <c r="C232" s="1368" t="s">
        <v>185</v>
      </c>
      <c r="D232" s="1368"/>
      <c r="E232" s="1368"/>
      <c r="F232" s="1368"/>
    </row>
    <row r="233" spans="1:6">
      <c r="A233" s="1368"/>
      <c r="B233" s="1368"/>
      <c r="C233" s="1368"/>
      <c r="D233" s="1368"/>
      <c r="E233" s="1368"/>
      <c r="F233" s="1368"/>
    </row>
    <row r="234" spans="1:6">
      <c r="A234" s="1368">
        <v>1.33</v>
      </c>
      <c r="B234" s="1368" t="s">
        <v>186</v>
      </c>
      <c r="C234" s="1368" t="s">
        <v>187</v>
      </c>
      <c r="D234" s="1368">
        <v>238.9</v>
      </c>
      <c r="E234" s="1368" t="s">
        <v>186</v>
      </c>
      <c r="F234" s="1368">
        <v>317.74</v>
      </c>
    </row>
    <row r="235" spans="1:6">
      <c r="A235" s="1368">
        <v>0.7</v>
      </c>
      <c r="B235" s="1368" t="s">
        <v>188</v>
      </c>
      <c r="C235" s="1368" t="s">
        <v>181</v>
      </c>
      <c r="D235" s="1368">
        <v>831.6</v>
      </c>
      <c r="E235" s="1368" t="s">
        <v>188</v>
      </c>
      <c r="F235" s="1368">
        <v>582.12</v>
      </c>
    </row>
    <row r="236" spans="1:6">
      <c r="A236" s="1368">
        <v>10</v>
      </c>
      <c r="B236" s="1368" t="s">
        <v>174</v>
      </c>
      <c r="C236" s="1368" t="s">
        <v>189</v>
      </c>
      <c r="D236" s="1368">
        <v>10.29</v>
      </c>
      <c r="E236" s="1368" t="s">
        <v>174</v>
      </c>
      <c r="F236" s="1368">
        <v>102.9</v>
      </c>
    </row>
    <row r="237" spans="1:6">
      <c r="A237" s="1368"/>
      <c r="B237" s="1368"/>
      <c r="C237" s="1368" t="s">
        <v>167</v>
      </c>
      <c r="D237" s="1368" t="s">
        <v>166</v>
      </c>
      <c r="E237" s="1368"/>
      <c r="F237" s="1368">
        <v>3.43</v>
      </c>
    </row>
    <row r="238" spans="1:6">
      <c r="A238" s="1368"/>
      <c r="B238" s="1368"/>
      <c r="C238" s="1368" t="s">
        <v>153</v>
      </c>
      <c r="D238" s="1368"/>
      <c r="E238" s="1368"/>
      <c r="F238" s="1368">
        <v>1006.19</v>
      </c>
    </row>
    <row r="239" spans="1:6">
      <c r="A239" s="1368"/>
      <c r="B239" s="1368"/>
      <c r="C239" s="1368"/>
      <c r="D239" s="1368"/>
      <c r="E239" s="1368"/>
      <c r="F239" s="1368"/>
    </row>
    <row r="240" spans="1:6">
      <c r="A240" s="1368"/>
      <c r="B240" s="1368"/>
      <c r="C240" s="1368" t="s">
        <v>154</v>
      </c>
      <c r="D240" s="1368"/>
      <c r="E240" s="1368"/>
      <c r="F240" s="1368">
        <v>100.62</v>
      </c>
    </row>
    <row r="241" spans="1:6">
      <c r="A241" s="1368"/>
      <c r="B241" s="1368"/>
      <c r="C241" s="1368"/>
      <c r="D241" s="1368"/>
      <c r="E241" s="1368"/>
      <c r="F241" s="1368"/>
    </row>
    <row r="242" spans="1:6">
      <c r="A242" s="1368"/>
      <c r="B242" s="1368"/>
      <c r="C242" s="1368"/>
      <c r="D242" s="1368"/>
      <c r="E242" s="1368"/>
      <c r="F242" s="1368"/>
    </row>
    <row r="243" spans="1:6">
      <c r="A243" s="1373"/>
      <c r="B243" s="1368"/>
      <c r="C243" s="1368"/>
      <c r="D243" s="1368"/>
      <c r="E243" s="1368"/>
      <c r="F243" s="1368"/>
    </row>
    <row r="244" spans="1:6">
      <c r="A244" s="1368"/>
      <c r="B244" s="1368"/>
      <c r="C244" s="1368" t="s">
        <v>183</v>
      </c>
      <c r="D244" s="1368"/>
      <c r="E244" s="1368"/>
      <c r="F244" s="1368"/>
    </row>
    <row r="245" spans="1:6">
      <c r="A245" s="1368"/>
      <c r="B245" s="1368"/>
      <c r="C245" s="1368" t="s">
        <v>191</v>
      </c>
      <c r="D245" s="1368"/>
      <c r="E245" s="1368"/>
      <c r="F245" s="1368"/>
    </row>
    <row r="246" spans="1:6">
      <c r="A246" s="1368"/>
      <c r="B246" s="1368"/>
      <c r="C246" s="1368" t="s">
        <v>185</v>
      </c>
      <c r="D246" s="1368"/>
      <c r="E246" s="1368"/>
      <c r="F246" s="1368"/>
    </row>
    <row r="247" spans="1:6">
      <c r="A247" s="1368"/>
      <c r="B247" s="1368"/>
      <c r="C247" s="1368"/>
      <c r="D247" s="1368"/>
      <c r="E247" s="1368"/>
      <c r="F247" s="1368"/>
    </row>
    <row r="248" spans="1:6">
      <c r="A248" s="1368">
        <v>1.1100000000000001</v>
      </c>
      <c r="B248" s="1368" t="s">
        <v>186</v>
      </c>
      <c r="C248" s="1368" t="s">
        <v>187</v>
      </c>
      <c r="D248" s="1368">
        <v>227.6</v>
      </c>
      <c r="E248" s="1368" t="s">
        <v>186</v>
      </c>
      <c r="F248" s="1368">
        <v>252.64</v>
      </c>
    </row>
    <row r="249" spans="1:6">
      <c r="A249" s="1368">
        <v>0.7</v>
      </c>
      <c r="B249" s="1368" t="s">
        <v>188</v>
      </c>
      <c r="C249" s="1368" t="s">
        <v>181</v>
      </c>
      <c r="D249" s="1368">
        <v>831.6</v>
      </c>
      <c r="E249" s="1368" t="s">
        <v>188</v>
      </c>
      <c r="F249" s="1368">
        <v>582.12</v>
      </c>
    </row>
    <row r="250" spans="1:6">
      <c r="A250" s="1368">
        <v>10</v>
      </c>
      <c r="B250" s="1368" t="s">
        <v>174</v>
      </c>
      <c r="C250" s="1368" t="s">
        <v>4585</v>
      </c>
      <c r="D250" s="1368">
        <v>9.52</v>
      </c>
      <c r="E250" s="1368" t="s">
        <v>174</v>
      </c>
      <c r="F250" s="1368">
        <v>95.2</v>
      </c>
    </row>
    <row r="251" spans="1:6">
      <c r="A251" s="1368"/>
      <c r="B251" s="1368"/>
      <c r="C251" s="1368" t="s">
        <v>167</v>
      </c>
      <c r="D251" s="1368" t="s">
        <v>166</v>
      </c>
      <c r="E251" s="1368"/>
      <c r="F251" s="1368">
        <v>2.8</v>
      </c>
    </row>
    <row r="252" spans="1:6">
      <c r="A252" s="1368"/>
      <c r="B252" s="1368"/>
      <c r="C252" s="1368" t="s">
        <v>153</v>
      </c>
      <c r="D252" s="1368"/>
      <c r="E252" s="1368"/>
      <c r="F252" s="1368">
        <v>932.76</v>
      </c>
    </row>
    <row r="253" spans="1:6">
      <c r="A253" s="1368"/>
      <c r="B253" s="1368"/>
      <c r="C253" s="1368"/>
      <c r="D253" s="1368"/>
      <c r="E253" s="1368"/>
      <c r="F253" s="1368"/>
    </row>
    <row r="254" spans="1:6">
      <c r="A254" s="1368"/>
      <c r="B254" s="1368"/>
      <c r="C254" s="1368" t="s">
        <v>154</v>
      </c>
      <c r="D254" s="1368"/>
      <c r="E254" s="1368"/>
      <c r="F254" s="1368">
        <v>93.28</v>
      </c>
    </row>
    <row r="255" spans="1:6">
      <c r="A255" s="1368"/>
      <c r="B255" s="1368"/>
      <c r="C255" s="1368"/>
      <c r="D255" s="1368"/>
      <c r="E255" s="1368"/>
      <c r="F255" s="1368"/>
    </row>
    <row r="256" spans="1:6">
      <c r="A256" s="1373">
        <v>44.1</v>
      </c>
      <c r="B256" s="1368" t="s">
        <v>122</v>
      </c>
      <c r="C256" s="1368" t="s">
        <v>1858</v>
      </c>
      <c r="D256" s="1368"/>
      <c r="E256" s="1368"/>
      <c r="F256" s="1368"/>
    </row>
    <row r="257" spans="1:6">
      <c r="A257" s="1368"/>
      <c r="B257" s="1368"/>
      <c r="C257" s="1368" t="s">
        <v>1859</v>
      </c>
      <c r="D257" s="1368"/>
      <c r="E257" s="1368"/>
      <c r="F257" s="1368"/>
    </row>
    <row r="258" spans="1:6">
      <c r="A258" s="1368"/>
      <c r="B258" s="1368"/>
      <c r="C258" s="1368" t="s">
        <v>4467</v>
      </c>
      <c r="D258" s="1368"/>
      <c r="E258" s="1368"/>
      <c r="F258" s="1368"/>
    </row>
    <row r="259" spans="1:6">
      <c r="A259" s="1368"/>
      <c r="B259" s="1368"/>
      <c r="C259" s="1368" t="s">
        <v>117</v>
      </c>
      <c r="D259" s="1368"/>
      <c r="E259" s="1368"/>
      <c r="F259" s="1368"/>
    </row>
    <row r="260" spans="1:6">
      <c r="A260" s="1368">
        <v>3</v>
      </c>
      <c r="B260" s="1368" t="s">
        <v>203</v>
      </c>
      <c r="C260" s="1368" t="s">
        <v>1861</v>
      </c>
      <c r="D260" s="1368">
        <v>120.54</v>
      </c>
      <c r="E260" s="1368" t="s">
        <v>203</v>
      </c>
      <c r="F260" s="1368">
        <v>361.62</v>
      </c>
    </row>
    <row r="261" spans="1:6">
      <c r="A261" s="1368">
        <v>1</v>
      </c>
      <c r="B261" s="1368" t="s">
        <v>209</v>
      </c>
      <c r="C261" s="1368" t="s">
        <v>1862</v>
      </c>
      <c r="D261" s="1368">
        <v>76</v>
      </c>
      <c r="E261" s="1368" t="s">
        <v>209</v>
      </c>
      <c r="F261" s="1368">
        <v>76</v>
      </c>
    </row>
    <row r="262" spans="1:6">
      <c r="A262" s="1368">
        <v>1</v>
      </c>
      <c r="B262" s="1368" t="s">
        <v>209</v>
      </c>
      <c r="C262" s="1368" t="s">
        <v>1863</v>
      </c>
      <c r="D262" s="1368">
        <v>83.4</v>
      </c>
      <c r="E262" s="1368" t="s">
        <v>209</v>
      </c>
      <c r="F262" s="1368">
        <v>83.4</v>
      </c>
    </row>
    <row r="263" spans="1:6">
      <c r="A263" s="1368">
        <v>2</v>
      </c>
      <c r="B263" s="1368" t="s">
        <v>209</v>
      </c>
      <c r="C263" s="1368" t="s">
        <v>1864</v>
      </c>
      <c r="D263" s="1368">
        <v>21.6</v>
      </c>
      <c r="E263" s="1368" t="s">
        <v>209</v>
      </c>
      <c r="F263" s="1368">
        <v>43.2</v>
      </c>
    </row>
    <row r="264" spans="1:6">
      <c r="A264" s="1368">
        <v>1</v>
      </c>
      <c r="B264" s="1368" t="s">
        <v>209</v>
      </c>
      <c r="C264" s="1368" t="s">
        <v>1865</v>
      </c>
      <c r="D264" s="1368">
        <v>32.1</v>
      </c>
      <c r="E264" s="1368" t="s">
        <v>209</v>
      </c>
      <c r="F264" s="1368">
        <v>32.1</v>
      </c>
    </row>
    <row r="265" spans="1:6">
      <c r="A265" s="1368">
        <v>0.5</v>
      </c>
      <c r="B265" s="1368" t="s">
        <v>209</v>
      </c>
      <c r="C265" s="1368" t="s">
        <v>210</v>
      </c>
      <c r="D265" s="1368">
        <v>903.1</v>
      </c>
      <c r="E265" s="1368" t="s">
        <v>209</v>
      </c>
      <c r="F265" s="1368">
        <v>451.55</v>
      </c>
    </row>
    <row r="266" spans="1:6">
      <c r="A266" s="1368"/>
      <c r="B266" s="1368" t="s">
        <v>129</v>
      </c>
      <c r="C266" s="1368" t="s">
        <v>1867</v>
      </c>
      <c r="D266" s="1368"/>
      <c r="E266" s="1368" t="s">
        <v>129</v>
      </c>
      <c r="F266" s="1368"/>
    </row>
    <row r="267" spans="1:6">
      <c r="A267" s="1368"/>
      <c r="B267" s="1368"/>
      <c r="C267" s="1368" t="s">
        <v>1868</v>
      </c>
      <c r="D267" s="1368"/>
      <c r="E267" s="1368"/>
      <c r="F267" s="1368"/>
    </row>
    <row r="268" spans="1:6">
      <c r="A268" s="1368"/>
      <c r="B268" s="1368"/>
      <c r="C268" s="1368"/>
      <c r="D268" s="1368"/>
      <c r="E268" s="1368"/>
      <c r="F268" s="1368" t="s">
        <v>117</v>
      </c>
    </row>
    <row r="269" spans="1:6">
      <c r="A269" s="1368"/>
      <c r="B269" s="1368"/>
      <c r="C269" s="1368" t="s">
        <v>215</v>
      </c>
      <c r="D269" s="1368"/>
      <c r="E269" s="1368"/>
      <c r="F269" s="1368">
        <v>1047.8699999999999</v>
      </c>
    </row>
    <row r="270" spans="1:6">
      <c r="A270" s="1368" t="s">
        <v>115</v>
      </c>
      <c r="B270" s="1368"/>
      <c r="C270" s="1368"/>
      <c r="D270" s="1368"/>
      <c r="E270" s="1368"/>
      <c r="F270" s="1368"/>
    </row>
    <row r="271" spans="1:6">
      <c r="A271" s="1368"/>
      <c r="B271" s="1368"/>
      <c r="C271" s="1368"/>
      <c r="D271" s="1368"/>
      <c r="E271" s="1368"/>
      <c r="F271" s="1368" t="s">
        <v>117</v>
      </c>
    </row>
    <row r="272" spans="1:6">
      <c r="A272" s="1368"/>
      <c r="B272" s="1368"/>
      <c r="C272" s="1368" t="s">
        <v>216</v>
      </c>
      <c r="D272" s="1368"/>
      <c r="E272" s="1368"/>
      <c r="F272" s="1368">
        <v>349.29</v>
      </c>
    </row>
    <row r="273" spans="1:6">
      <c r="A273" s="1368"/>
      <c r="B273" s="1368"/>
      <c r="C273" s="1368"/>
      <c r="D273" s="1368"/>
      <c r="E273" s="1368"/>
      <c r="F273" s="1368" t="s">
        <v>155</v>
      </c>
    </row>
    <row r="276" spans="1:6">
      <c r="A276" s="1374">
        <v>74</v>
      </c>
      <c r="B276" s="1368"/>
      <c r="C276" s="1368" t="s">
        <v>242</v>
      </c>
      <c r="D276" s="1368"/>
      <c r="E276" s="1368"/>
      <c r="F276" s="1368">
        <v>571</v>
      </c>
    </row>
    <row r="278" spans="1:6" ht="45">
      <c r="B278" s="1368"/>
      <c r="C278" s="1372" t="s">
        <v>226</v>
      </c>
      <c r="D278" s="1368">
        <v>1552.7</v>
      </c>
    </row>
    <row r="280" spans="1:6">
      <c r="C280" s="1369" t="s">
        <v>4587</v>
      </c>
    </row>
    <row r="281" spans="1:6">
      <c r="B281" s="1369" t="s">
        <v>122</v>
      </c>
      <c r="C281" s="1369" t="s">
        <v>4588</v>
      </c>
    </row>
    <row r="282" spans="1:6">
      <c r="C282" s="1369" t="s">
        <v>178</v>
      </c>
    </row>
    <row r="283" spans="1:6">
      <c r="A283" s="1375"/>
      <c r="C283" s="1369" t="s">
        <v>179</v>
      </c>
      <c r="D283" s="1375"/>
      <c r="F283" s="1375"/>
    </row>
    <row r="284" spans="1:6">
      <c r="A284" s="1375"/>
      <c r="C284" s="1369" t="s">
        <v>117</v>
      </c>
      <c r="D284" s="1375"/>
      <c r="F284" s="1375"/>
    </row>
    <row r="285" spans="1:6">
      <c r="A285" s="1375">
        <v>0.67</v>
      </c>
      <c r="B285" s="1369" t="s">
        <v>148</v>
      </c>
      <c r="C285" s="1369" t="s">
        <v>180</v>
      </c>
      <c r="D285" s="1375">
        <v>73.8</v>
      </c>
      <c r="E285" s="1369" t="s">
        <v>148</v>
      </c>
      <c r="F285" s="1375">
        <f>D285*A285</f>
        <v>49.445999999999998</v>
      </c>
    </row>
    <row r="286" spans="1:6">
      <c r="A286" s="1375">
        <v>0.25</v>
      </c>
      <c r="B286" s="1369" t="s">
        <v>1</v>
      </c>
      <c r="C286" s="1369" t="s">
        <v>181</v>
      </c>
      <c r="D286" s="1375">
        <v>831.6</v>
      </c>
      <c r="E286" s="1369" t="s">
        <v>1</v>
      </c>
      <c r="F286" s="1375">
        <f t="shared" ref="F286:F289" si="0">D286*A286</f>
        <v>207.9</v>
      </c>
    </row>
    <row r="287" spans="1:6">
      <c r="A287" s="1375">
        <v>0.25</v>
      </c>
      <c r="B287" s="1369" t="s">
        <v>1</v>
      </c>
      <c r="C287" s="1369" t="s">
        <v>146</v>
      </c>
      <c r="D287" s="1375">
        <v>679.8</v>
      </c>
      <c r="E287" s="1369" t="s">
        <v>1</v>
      </c>
      <c r="F287" s="1375">
        <f t="shared" si="0"/>
        <v>169.95</v>
      </c>
    </row>
    <row r="288" spans="1:6">
      <c r="A288" s="1375">
        <v>0.4</v>
      </c>
      <c r="B288" s="1369" t="s">
        <v>1</v>
      </c>
      <c r="C288" s="1369" t="s">
        <v>147</v>
      </c>
      <c r="D288" s="1375">
        <v>557.70000000000005</v>
      </c>
      <c r="E288" s="1369" t="s">
        <v>1</v>
      </c>
      <c r="F288" s="1375">
        <f t="shared" si="0"/>
        <v>223.08000000000004</v>
      </c>
    </row>
    <row r="289" spans="1:6">
      <c r="A289" s="1375">
        <v>10</v>
      </c>
      <c r="C289" s="1369" t="s">
        <v>4589</v>
      </c>
      <c r="D289" s="1375">
        <v>4</v>
      </c>
      <c r="F289" s="1375">
        <f t="shared" si="0"/>
        <v>40</v>
      </c>
    </row>
    <row r="290" spans="1:6">
      <c r="A290" s="1375"/>
      <c r="B290" s="1369" t="s">
        <v>129</v>
      </c>
      <c r="C290" s="1369" t="s">
        <v>182</v>
      </c>
      <c r="D290" s="1369" t="s">
        <v>115</v>
      </c>
      <c r="E290" s="1369" t="s">
        <v>129</v>
      </c>
      <c r="F290" s="1375"/>
    </row>
    <row r="291" spans="1:6">
      <c r="A291" s="1375"/>
      <c r="F291" s="1375" t="s">
        <v>117</v>
      </c>
    </row>
    <row r="292" spans="1:6">
      <c r="A292" s="1375"/>
      <c r="C292" s="1369" t="s">
        <v>153</v>
      </c>
      <c r="F292" s="1375">
        <f>SUM(F285:F291)</f>
        <v>690.37599999999998</v>
      </c>
    </row>
    <row r="293" spans="1:6">
      <c r="F293" s="1375" t="s">
        <v>117</v>
      </c>
    </row>
    <row r="294" spans="1:6">
      <c r="C294" s="1369" t="s">
        <v>154</v>
      </c>
      <c r="F294" s="1375">
        <f>F292/10</f>
        <v>69.037599999999998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L52"/>
  <sheetViews>
    <sheetView topLeftCell="A36" workbookViewId="0">
      <selection activeCell="E50" sqref="E50"/>
    </sheetView>
  </sheetViews>
  <sheetFormatPr defaultRowHeight="15"/>
  <cols>
    <col min="2" max="2" width="44.42578125" customWidth="1"/>
    <col min="4" max="4" width="14.5703125" customWidth="1"/>
    <col min="6" max="6" width="12" customWidth="1"/>
    <col min="8" max="8" width="5.85546875" customWidth="1"/>
    <col min="10" max="10" width="12.140625" customWidth="1"/>
    <col min="11" max="11" width="25.85546875" customWidth="1"/>
    <col min="12" max="12" width="10.7109375" customWidth="1"/>
  </cols>
  <sheetData>
    <row r="1" spans="1:12" ht="20.100000000000001" customHeight="1">
      <c r="A1" s="1"/>
      <c r="B1" s="1" t="s">
        <v>248</v>
      </c>
      <c r="C1" s="1"/>
      <c r="D1" s="1" t="s">
        <v>115</v>
      </c>
      <c r="E1" s="1"/>
      <c r="F1" s="1"/>
      <c r="G1" s="1"/>
      <c r="H1" s="1"/>
      <c r="I1" s="1"/>
      <c r="J1" s="1"/>
      <c r="K1" s="1"/>
      <c r="L1" s="1"/>
    </row>
    <row r="2" spans="1:12" ht="20.100000000000001" customHeight="1">
      <c r="A2" s="1"/>
      <c r="B2" s="1" t="s">
        <v>249</v>
      </c>
      <c r="C2" s="1"/>
      <c r="D2" s="1"/>
      <c r="E2" s="1"/>
      <c r="F2" s="1"/>
      <c r="G2" s="1"/>
      <c r="H2" s="1"/>
      <c r="I2" s="1"/>
      <c r="J2" s="1"/>
      <c r="K2" s="1"/>
      <c r="L2" s="1"/>
    </row>
    <row r="3" spans="1:12" ht="20.100000000000001" customHeight="1">
      <c r="A3" s="1" t="s">
        <v>114</v>
      </c>
      <c r="B3" s="1" t="s">
        <v>4525</v>
      </c>
      <c r="C3" s="1"/>
      <c r="D3" s="1" t="s">
        <v>4526</v>
      </c>
      <c r="E3" s="1"/>
      <c r="F3" s="1"/>
      <c r="G3" s="1"/>
      <c r="H3" s="1"/>
      <c r="I3" s="1"/>
      <c r="J3" s="1"/>
      <c r="K3" s="1"/>
      <c r="L3" s="1"/>
    </row>
    <row r="4" spans="1:12" ht="20.100000000000001" customHeight="1">
      <c r="A4" s="1"/>
      <c r="B4" s="1" t="s">
        <v>115</v>
      </c>
      <c r="C4" s="1"/>
      <c r="D4" s="1" t="s">
        <v>115</v>
      </c>
      <c r="E4" s="1" t="s">
        <v>251</v>
      </c>
      <c r="F4" s="1"/>
      <c r="G4" s="1"/>
      <c r="H4" s="1"/>
      <c r="I4" s="1"/>
      <c r="J4" s="1" t="s">
        <v>115</v>
      </c>
      <c r="K4" s="1"/>
      <c r="L4" s="1"/>
    </row>
    <row r="5" spans="1:12" ht="20.100000000000001" customHeight="1">
      <c r="A5" s="1"/>
      <c r="B5" s="1" t="s">
        <v>117</v>
      </c>
      <c r="C5" s="1" t="s">
        <v>117</v>
      </c>
      <c r="D5" s="1" t="s">
        <v>117</v>
      </c>
      <c r="E5" s="1" t="s">
        <v>117</v>
      </c>
      <c r="F5" s="1" t="s">
        <v>117</v>
      </c>
      <c r="G5" s="1" t="s">
        <v>117</v>
      </c>
      <c r="H5" s="1" t="s">
        <v>117</v>
      </c>
      <c r="I5" s="1" t="s">
        <v>117</v>
      </c>
      <c r="J5" s="1" t="s">
        <v>117</v>
      </c>
      <c r="K5" s="1" t="s">
        <v>117</v>
      </c>
      <c r="L5" s="1" t="s">
        <v>117</v>
      </c>
    </row>
    <row r="6" spans="1:12" ht="20.100000000000001" customHeight="1">
      <c r="A6" s="1" t="s">
        <v>253</v>
      </c>
      <c r="B6" s="1" t="s">
        <v>254</v>
      </c>
      <c r="C6" s="1" t="s">
        <v>255</v>
      </c>
      <c r="D6" s="1" t="s">
        <v>256</v>
      </c>
      <c r="E6" s="1" t="s">
        <v>257</v>
      </c>
      <c r="F6" s="1" t="s">
        <v>258</v>
      </c>
      <c r="G6" s="1" t="s">
        <v>259</v>
      </c>
      <c r="H6" s="1" t="s">
        <v>260</v>
      </c>
      <c r="I6" s="1" t="s">
        <v>261</v>
      </c>
      <c r="J6" s="1" t="s">
        <v>262</v>
      </c>
      <c r="K6" s="1" t="s">
        <v>263</v>
      </c>
      <c r="L6" s="1"/>
    </row>
    <row r="7" spans="1:12" ht="20.100000000000001" customHeight="1">
      <c r="A7" s="1"/>
      <c r="B7" s="1"/>
      <c r="C7" s="1"/>
      <c r="D7" s="1"/>
      <c r="E7" s="1" t="s">
        <v>265</v>
      </c>
      <c r="F7" s="1" t="s">
        <v>262</v>
      </c>
      <c r="G7" s="1" t="s">
        <v>266</v>
      </c>
      <c r="H7" s="1" t="s">
        <v>267</v>
      </c>
      <c r="I7" s="1" t="s">
        <v>268</v>
      </c>
      <c r="J7" s="1" t="s">
        <v>269</v>
      </c>
      <c r="K7" s="1"/>
      <c r="L7" s="1"/>
    </row>
    <row r="8" spans="1:12" ht="20.100000000000001" customHeight="1">
      <c r="A8" s="1" t="s">
        <v>117</v>
      </c>
      <c r="B8" s="1" t="s">
        <v>117</v>
      </c>
      <c r="C8" s="1" t="s">
        <v>117</v>
      </c>
      <c r="D8" s="1" t="s">
        <v>117</v>
      </c>
      <c r="E8" s="1" t="s">
        <v>117</v>
      </c>
      <c r="F8" s="1" t="s">
        <v>117</v>
      </c>
      <c r="G8" s="1" t="s">
        <v>117</v>
      </c>
      <c r="H8" s="1" t="s">
        <v>271</v>
      </c>
      <c r="I8" s="1" t="s">
        <v>117</v>
      </c>
      <c r="J8" s="1" t="s">
        <v>117</v>
      </c>
      <c r="K8" s="1" t="s">
        <v>117</v>
      </c>
      <c r="L8" s="1" t="s">
        <v>117</v>
      </c>
    </row>
    <row r="9" spans="1:12" ht="20.100000000000001" customHeight="1">
      <c r="A9" s="1" t="s">
        <v>279</v>
      </c>
      <c r="B9" s="1" t="s">
        <v>4527</v>
      </c>
      <c r="C9" s="1" t="s">
        <v>281</v>
      </c>
      <c r="D9" s="1" t="s">
        <v>4528</v>
      </c>
      <c r="E9" s="1">
        <v>20</v>
      </c>
      <c r="F9" s="1">
        <v>449.4</v>
      </c>
      <c r="G9" s="1">
        <v>212.4</v>
      </c>
      <c r="H9" s="1"/>
      <c r="I9" s="1">
        <v>0</v>
      </c>
      <c r="J9" s="1">
        <v>661.8</v>
      </c>
      <c r="K9" s="1" t="s">
        <v>4529</v>
      </c>
      <c r="L9" s="1">
        <v>1041.7</v>
      </c>
    </row>
    <row r="10" spans="1:12" ht="20.100000000000001" customHeight="1">
      <c r="A10" s="1" t="s">
        <v>285</v>
      </c>
      <c r="B10" s="1" t="s">
        <v>4530</v>
      </c>
      <c r="C10" s="1" t="s">
        <v>281</v>
      </c>
      <c r="D10" s="1" t="s">
        <v>4528</v>
      </c>
      <c r="E10" s="1">
        <v>20</v>
      </c>
      <c r="F10" s="1">
        <v>648.4</v>
      </c>
      <c r="G10" s="1">
        <v>212.4</v>
      </c>
      <c r="H10" s="1"/>
      <c r="I10" s="1">
        <v>0</v>
      </c>
      <c r="J10" s="1">
        <v>860.8</v>
      </c>
      <c r="K10" s="1" t="s">
        <v>4531</v>
      </c>
      <c r="L10" s="1">
        <v>972.4</v>
      </c>
    </row>
    <row r="11" spans="1:12" ht="20.100000000000001" customHeight="1">
      <c r="A11" s="1" t="s">
        <v>290</v>
      </c>
      <c r="B11" s="1" t="s">
        <v>4532</v>
      </c>
      <c r="C11" s="1" t="s">
        <v>281</v>
      </c>
      <c r="D11" s="1" t="s">
        <v>4528</v>
      </c>
      <c r="E11" s="1">
        <v>20</v>
      </c>
      <c r="F11" s="1">
        <v>762.33</v>
      </c>
      <c r="G11" s="1">
        <v>212.4</v>
      </c>
      <c r="H11" s="1"/>
      <c r="I11" s="1">
        <v>0</v>
      </c>
      <c r="J11" s="1">
        <v>974.73</v>
      </c>
      <c r="K11" s="1" t="s">
        <v>4533</v>
      </c>
      <c r="L11" s="1">
        <v>679.8</v>
      </c>
    </row>
    <row r="12" spans="1:12" ht="20.100000000000001" customHeight="1">
      <c r="A12" s="1" t="s">
        <v>294</v>
      </c>
      <c r="B12" s="1" t="s">
        <v>295</v>
      </c>
      <c r="C12" s="1" t="s">
        <v>281</v>
      </c>
      <c r="D12" s="1" t="s">
        <v>4528</v>
      </c>
      <c r="E12" s="1">
        <v>20</v>
      </c>
      <c r="F12" s="1">
        <v>1001</v>
      </c>
      <c r="G12" s="1">
        <v>212.4</v>
      </c>
      <c r="H12" s="1"/>
      <c r="I12" s="1">
        <v>0</v>
      </c>
      <c r="J12" s="1">
        <v>1213.4000000000001</v>
      </c>
      <c r="K12" s="1" t="s">
        <v>4534</v>
      </c>
      <c r="L12" s="1">
        <v>557.70000000000005</v>
      </c>
    </row>
    <row r="13" spans="1:12" ht="20.100000000000001" customHeight="1">
      <c r="A13" s="1" t="s">
        <v>298</v>
      </c>
      <c r="B13" s="1" t="s">
        <v>299</v>
      </c>
      <c r="C13" s="1" t="s">
        <v>281</v>
      </c>
      <c r="D13" s="1" t="s">
        <v>4528</v>
      </c>
      <c r="E13" s="1">
        <v>20</v>
      </c>
      <c r="F13" s="1">
        <v>1362</v>
      </c>
      <c r="G13" s="1">
        <v>212.4</v>
      </c>
      <c r="H13" s="1"/>
      <c r="I13" s="1">
        <v>0</v>
      </c>
      <c r="J13" s="1">
        <v>1574.4</v>
      </c>
      <c r="K13" s="1" t="s">
        <v>4535</v>
      </c>
      <c r="L13" s="1">
        <v>831.6</v>
      </c>
    </row>
    <row r="14" spans="1:12" ht="20.100000000000001" customHeight="1">
      <c r="A14" s="1" t="s">
        <v>302</v>
      </c>
      <c r="B14" s="1" t="s">
        <v>303</v>
      </c>
      <c r="C14" s="1" t="s">
        <v>281</v>
      </c>
      <c r="D14" s="1" t="s">
        <v>4528</v>
      </c>
      <c r="E14" s="1">
        <v>20</v>
      </c>
      <c r="F14" s="1">
        <v>1467</v>
      </c>
      <c r="G14" s="1">
        <v>212.4</v>
      </c>
      <c r="H14" s="1"/>
      <c r="I14" s="1">
        <v>0</v>
      </c>
      <c r="J14" s="1">
        <v>1679.4</v>
      </c>
      <c r="K14" s="1" t="s">
        <v>4536</v>
      </c>
      <c r="L14" s="1">
        <v>805.2</v>
      </c>
    </row>
    <row r="15" spans="1:12" ht="20.100000000000001" customHeight="1">
      <c r="A15" s="1" t="s">
        <v>306</v>
      </c>
      <c r="B15" s="1" t="s">
        <v>307</v>
      </c>
      <c r="C15" s="1" t="s">
        <v>281</v>
      </c>
      <c r="D15" s="1" t="s">
        <v>4528</v>
      </c>
      <c r="E15" s="1">
        <v>20</v>
      </c>
      <c r="F15" s="1">
        <v>1054</v>
      </c>
      <c r="G15" s="1">
        <v>212.4</v>
      </c>
      <c r="H15" s="1"/>
      <c r="I15" s="1">
        <v>0</v>
      </c>
      <c r="J15" s="1">
        <v>1266.4000000000001</v>
      </c>
      <c r="K15" s="1" t="s">
        <v>4537</v>
      </c>
      <c r="L15" s="1">
        <v>903.1</v>
      </c>
    </row>
    <row r="16" spans="1:12" ht="20.100000000000001" customHeight="1">
      <c r="A16" s="1" t="s">
        <v>311</v>
      </c>
      <c r="B16" s="1" t="s">
        <v>3018</v>
      </c>
      <c r="C16" s="1" t="s">
        <v>281</v>
      </c>
      <c r="D16" s="1" t="s">
        <v>4538</v>
      </c>
      <c r="E16" s="1">
        <v>28</v>
      </c>
      <c r="F16" s="1">
        <v>1312</v>
      </c>
      <c r="G16" s="1">
        <v>279.83999999999997</v>
      </c>
      <c r="H16" s="1"/>
      <c r="I16" s="1">
        <v>0</v>
      </c>
      <c r="J16" s="1">
        <v>1591.84</v>
      </c>
      <c r="K16" s="1" t="s">
        <v>4539</v>
      </c>
      <c r="L16" s="1">
        <v>875.6</v>
      </c>
    </row>
    <row r="17" spans="1:12" ht="20.100000000000001" customHeight="1">
      <c r="A17" s="1" t="s">
        <v>317</v>
      </c>
      <c r="B17" s="1" t="s">
        <v>4540</v>
      </c>
      <c r="C17" s="1" t="s">
        <v>281</v>
      </c>
      <c r="D17" s="1" t="s">
        <v>4538</v>
      </c>
      <c r="E17" s="1">
        <v>28</v>
      </c>
      <c r="F17" s="1">
        <v>1312</v>
      </c>
      <c r="G17" s="1">
        <v>279.83999999999997</v>
      </c>
      <c r="H17" s="1"/>
      <c r="I17" s="1">
        <v>0</v>
      </c>
      <c r="J17" s="1">
        <v>1591.84</v>
      </c>
      <c r="K17" s="1" t="s">
        <v>4541</v>
      </c>
      <c r="L17" s="1">
        <v>919.6</v>
      </c>
    </row>
    <row r="18" spans="1:12" ht="20.100000000000001" customHeight="1">
      <c r="A18" s="1" t="s">
        <v>323</v>
      </c>
      <c r="B18" s="1" t="s">
        <v>4542</v>
      </c>
      <c r="C18" s="1" t="s">
        <v>325</v>
      </c>
      <c r="D18" s="1" t="s">
        <v>4543</v>
      </c>
      <c r="E18" s="1">
        <v>19</v>
      </c>
      <c r="F18" s="1">
        <v>5709</v>
      </c>
      <c r="G18" s="1">
        <v>171.03</v>
      </c>
      <c r="H18" s="1"/>
      <c r="I18" s="1">
        <v>0</v>
      </c>
      <c r="J18" s="1">
        <v>5880.03</v>
      </c>
      <c r="K18" s="1" t="s">
        <v>4544</v>
      </c>
      <c r="L18" s="1">
        <v>893.2</v>
      </c>
    </row>
    <row r="19" spans="1:12" ht="20.100000000000001" customHeight="1">
      <c r="A19" s="1" t="s">
        <v>330</v>
      </c>
      <c r="B19" s="1" t="s">
        <v>4545</v>
      </c>
      <c r="C19" s="1" t="s">
        <v>126</v>
      </c>
      <c r="D19" s="1" t="s">
        <v>4543</v>
      </c>
      <c r="E19" s="1">
        <v>19</v>
      </c>
      <c r="F19" s="1">
        <v>705</v>
      </c>
      <c r="G19" s="1">
        <v>139.16999999999999</v>
      </c>
      <c r="H19" s="1"/>
      <c r="I19" s="1">
        <v>0</v>
      </c>
      <c r="J19" s="1">
        <v>844.17</v>
      </c>
      <c r="K19" s="1" t="s">
        <v>4546</v>
      </c>
      <c r="L19" s="1">
        <v>1018.6</v>
      </c>
    </row>
    <row r="20" spans="1:12" ht="20.100000000000001" customHeight="1">
      <c r="A20" s="1" t="s">
        <v>335</v>
      </c>
      <c r="B20" s="1" t="s">
        <v>336</v>
      </c>
      <c r="C20" s="1" t="s">
        <v>126</v>
      </c>
      <c r="D20" s="1" t="s">
        <v>4543</v>
      </c>
      <c r="E20" s="1">
        <v>19</v>
      </c>
      <c r="F20" s="1">
        <v>786</v>
      </c>
      <c r="G20" s="1">
        <v>139.16999999999999</v>
      </c>
      <c r="H20" s="1"/>
      <c r="I20" s="1">
        <v>0</v>
      </c>
      <c r="J20" s="1">
        <v>925.17</v>
      </c>
      <c r="K20" s="1" t="s">
        <v>4547</v>
      </c>
      <c r="L20" s="1">
        <v>972.4</v>
      </c>
    </row>
    <row r="21" spans="1:12" ht="20.100000000000001" customHeight="1">
      <c r="A21" s="1" t="s">
        <v>339</v>
      </c>
      <c r="B21" s="1" t="s">
        <v>4548</v>
      </c>
      <c r="C21" s="1" t="s">
        <v>325</v>
      </c>
      <c r="D21" s="1" t="s">
        <v>341</v>
      </c>
      <c r="E21" s="1">
        <v>0</v>
      </c>
      <c r="F21" s="1">
        <v>16106</v>
      </c>
      <c r="G21" s="1">
        <v>0</v>
      </c>
      <c r="H21" s="1"/>
      <c r="I21" s="1">
        <v>0</v>
      </c>
      <c r="J21" s="1">
        <v>16106</v>
      </c>
      <c r="K21" s="1" t="s">
        <v>4549</v>
      </c>
      <c r="L21" s="1">
        <v>799.7</v>
      </c>
    </row>
    <row r="22" spans="1:12" ht="20.100000000000001" customHeight="1">
      <c r="A22" s="1" t="s">
        <v>345</v>
      </c>
      <c r="B22" s="1" t="s">
        <v>4550</v>
      </c>
      <c r="C22" s="1" t="s">
        <v>281</v>
      </c>
      <c r="D22" s="1" t="s">
        <v>341</v>
      </c>
      <c r="E22" s="1"/>
      <c r="F22" s="1">
        <v>1348</v>
      </c>
      <c r="G22" s="1"/>
      <c r="H22" s="1"/>
      <c r="I22" s="1">
        <v>0</v>
      </c>
      <c r="J22" s="1">
        <v>1348</v>
      </c>
      <c r="K22" s="1" t="s">
        <v>347</v>
      </c>
      <c r="L22" s="1">
        <v>770</v>
      </c>
    </row>
    <row r="23" spans="1:12" ht="20.100000000000001" customHeight="1">
      <c r="A23" s="1" t="s">
        <v>350</v>
      </c>
      <c r="B23" s="1" t="s">
        <v>351</v>
      </c>
      <c r="C23" s="1" t="s">
        <v>281</v>
      </c>
      <c r="D23" s="1" t="s">
        <v>4551</v>
      </c>
      <c r="E23" s="1">
        <v>0</v>
      </c>
      <c r="F23" s="1">
        <v>993</v>
      </c>
      <c r="G23" s="1">
        <v>0</v>
      </c>
      <c r="H23" s="1"/>
      <c r="I23" s="1">
        <v>0</v>
      </c>
      <c r="J23" s="1">
        <v>993</v>
      </c>
      <c r="K23" s="1" t="s">
        <v>352</v>
      </c>
      <c r="L23" s="1">
        <v>801.9</v>
      </c>
    </row>
    <row r="24" spans="1:12" ht="20.100000000000001" customHeight="1">
      <c r="A24" s="1" t="s">
        <v>355</v>
      </c>
      <c r="B24" s="1" t="s">
        <v>356</v>
      </c>
      <c r="C24" s="1" t="s">
        <v>281</v>
      </c>
      <c r="D24" s="1" t="s">
        <v>357</v>
      </c>
      <c r="E24" s="1">
        <v>0</v>
      </c>
      <c r="F24" s="1">
        <v>34300</v>
      </c>
      <c r="G24" s="1">
        <v>0</v>
      </c>
      <c r="H24" s="1"/>
      <c r="I24" s="1">
        <v>0</v>
      </c>
      <c r="J24" s="1">
        <v>34300</v>
      </c>
      <c r="K24" s="1" t="s">
        <v>4552</v>
      </c>
      <c r="L24" s="1">
        <v>121</v>
      </c>
    </row>
    <row r="25" spans="1:12" ht="20.100000000000001" customHeight="1">
      <c r="A25" s="1" t="s">
        <v>361</v>
      </c>
      <c r="B25" s="1" t="s">
        <v>362</v>
      </c>
      <c r="C25" s="1" t="s">
        <v>281</v>
      </c>
      <c r="D25" s="1" t="s">
        <v>357</v>
      </c>
      <c r="E25" s="1">
        <v>0</v>
      </c>
      <c r="F25" s="1">
        <v>39400</v>
      </c>
      <c r="G25" s="1">
        <v>0</v>
      </c>
      <c r="H25" s="1"/>
      <c r="I25" s="1">
        <v>0</v>
      </c>
      <c r="J25" s="1">
        <v>39400</v>
      </c>
      <c r="K25" s="1" t="s">
        <v>4553</v>
      </c>
      <c r="L25" s="1">
        <v>98.34</v>
      </c>
    </row>
    <row r="26" spans="1:12" ht="20.100000000000001" customHeight="1">
      <c r="A26" s="1" t="s">
        <v>366</v>
      </c>
      <c r="B26" s="1" t="s">
        <v>367</v>
      </c>
      <c r="C26" s="1" t="s">
        <v>281</v>
      </c>
      <c r="D26" s="1" t="s">
        <v>357</v>
      </c>
      <c r="E26" s="1">
        <v>0</v>
      </c>
      <c r="F26" s="1">
        <v>111600</v>
      </c>
      <c r="G26" s="1">
        <v>0</v>
      </c>
      <c r="H26" s="1"/>
      <c r="I26" s="1">
        <v>0</v>
      </c>
      <c r="J26" s="1">
        <v>111600</v>
      </c>
      <c r="K26" s="1" t="s">
        <v>4554</v>
      </c>
      <c r="L26" s="1">
        <v>72.819999999999993</v>
      </c>
    </row>
    <row r="27" spans="1:12" ht="20.100000000000001" customHeight="1">
      <c r="A27" s="1" t="s">
        <v>370</v>
      </c>
      <c r="B27" s="1" t="s">
        <v>371</v>
      </c>
      <c r="C27" s="1" t="s">
        <v>281</v>
      </c>
      <c r="D27" s="1" t="s">
        <v>357</v>
      </c>
      <c r="E27" s="1">
        <v>0</v>
      </c>
      <c r="F27" s="1">
        <v>99400</v>
      </c>
      <c r="G27" s="1">
        <v>0</v>
      </c>
      <c r="H27" s="1"/>
      <c r="I27" s="1">
        <v>0</v>
      </c>
      <c r="J27" s="1">
        <v>99400</v>
      </c>
      <c r="K27" s="1" t="s">
        <v>4555</v>
      </c>
      <c r="L27" s="1">
        <v>35.700000000000003</v>
      </c>
    </row>
    <row r="28" spans="1:12" ht="20.100000000000001" customHeight="1">
      <c r="A28" s="1" t="s">
        <v>375</v>
      </c>
      <c r="B28" s="1" t="s">
        <v>376</v>
      </c>
      <c r="C28" s="1" t="s">
        <v>281</v>
      </c>
      <c r="D28" s="1" t="s">
        <v>357</v>
      </c>
      <c r="E28" s="1">
        <v>0</v>
      </c>
      <c r="F28" s="1">
        <v>95000</v>
      </c>
      <c r="G28" s="1">
        <v>0</v>
      </c>
      <c r="H28" s="1"/>
      <c r="I28" s="1">
        <v>0</v>
      </c>
      <c r="J28" s="1">
        <v>95000</v>
      </c>
      <c r="K28" s="1" t="s">
        <v>4556</v>
      </c>
      <c r="L28" s="1">
        <v>40.65</v>
      </c>
    </row>
    <row r="29" spans="1:12" ht="20.100000000000001" customHeight="1">
      <c r="A29" s="1" t="s">
        <v>379</v>
      </c>
      <c r="B29" s="1" t="s">
        <v>4557</v>
      </c>
      <c r="C29" s="1" t="s">
        <v>325</v>
      </c>
      <c r="D29" s="1" t="s">
        <v>4543</v>
      </c>
      <c r="E29" s="1">
        <v>19</v>
      </c>
      <c r="F29" s="1">
        <v>4299</v>
      </c>
      <c r="G29" s="1">
        <v>171.03</v>
      </c>
      <c r="H29" s="1"/>
      <c r="I29" s="1">
        <v>0</v>
      </c>
      <c r="J29" s="1">
        <v>4470.03</v>
      </c>
      <c r="K29" s="1" t="s">
        <v>4558</v>
      </c>
      <c r="L29" s="1">
        <v>116.88</v>
      </c>
    </row>
    <row r="30" spans="1:12" ht="20.100000000000001" customHeight="1">
      <c r="A30" s="1" t="s">
        <v>384</v>
      </c>
      <c r="B30" s="1" t="s">
        <v>385</v>
      </c>
      <c r="C30" s="1" t="s">
        <v>325</v>
      </c>
      <c r="D30" s="1" t="s">
        <v>357</v>
      </c>
      <c r="E30" s="1"/>
      <c r="F30" s="1">
        <v>11907</v>
      </c>
      <c r="G30" s="1"/>
      <c r="H30" s="1"/>
      <c r="I30" s="1">
        <v>0</v>
      </c>
      <c r="J30" s="1">
        <v>11907</v>
      </c>
      <c r="K30" s="1" t="s">
        <v>4559</v>
      </c>
      <c r="L30" s="1">
        <v>1602.7</v>
      </c>
    </row>
    <row r="31" spans="1:12" ht="20.100000000000001" customHeight="1">
      <c r="A31" s="1" t="s">
        <v>388</v>
      </c>
      <c r="B31" s="1" t="s">
        <v>389</v>
      </c>
      <c r="C31" s="1" t="s">
        <v>124</v>
      </c>
      <c r="D31" s="1" t="s">
        <v>357</v>
      </c>
      <c r="E31" s="1">
        <v>0</v>
      </c>
      <c r="F31" s="1">
        <v>6040</v>
      </c>
      <c r="G31" s="1">
        <v>0</v>
      </c>
      <c r="H31" s="1"/>
      <c r="I31" s="1"/>
      <c r="J31" s="1">
        <v>6040</v>
      </c>
      <c r="K31" s="1" t="s">
        <v>4560</v>
      </c>
      <c r="L31" s="1">
        <v>1336.5</v>
      </c>
    </row>
    <row r="32" spans="1:12" ht="20.100000000000001" customHeight="1">
      <c r="A32" s="1" t="s">
        <v>392</v>
      </c>
      <c r="B32" s="1" t="s">
        <v>393</v>
      </c>
      <c r="C32" s="1" t="s">
        <v>124</v>
      </c>
      <c r="D32" s="1" t="s">
        <v>341</v>
      </c>
      <c r="E32" s="1">
        <v>0</v>
      </c>
      <c r="F32" s="1">
        <v>58000</v>
      </c>
      <c r="G32" s="1">
        <v>0</v>
      </c>
      <c r="H32" s="1"/>
      <c r="I32" s="1">
        <v>0</v>
      </c>
      <c r="J32" s="1">
        <v>58000</v>
      </c>
      <c r="K32" s="1" t="s">
        <v>4561</v>
      </c>
      <c r="L32" s="1">
        <v>1498.2</v>
      </c>
    </row>
    <row r="33" spans="1:12" ht="20.100000000000001" customHeight="1">
      <c r="A33" s="1367" t="s">
        <v>396</v>
      </c>
      <c r="B33" s="1" t="s">
        <v>397</v>
      </c>
      <c r="C33" s="1" t="s">
        <v>124</v>
      </c>
      <c r="D33" s="1" t="s">
        <v>341</v>
      </c>
      <c r="E33" s="1">
        <v>0</v>
      </c>
      <c r="F33" s="1">
        <v>58000</v>
      </c>
      <c r="G33" s="1">
        <v>0</v>
      </c>
      <c r="H33" s="1"/>
      <c r="I33" s="1">
        <v>0</v>
      </c>
      <c r="J33" s="1">
        <v>58000</v>
      </c>
      <c r="K33" s="1" t="s">
        <v>4562</v>
      </c>
      <c r="L33" s="1">
        <v>14278</v>
      </c>
    </row>
    <row r="34" spans="1:12" ht="20.100000000000001" customHeight="1">
      <c r="A34" s="1367" t="s">
        <v>400</v>
      </c>
      <c r="B34" s="1" t="s">
        <v>401</v>
      </c>
      <c r="C34" s="1" t="s">
        <v>325</v>
      </c>
      <c r="D34" s="1" t="s">
        <v>4543</v>
      </c>
      <c r="E34" s="1">
        <v>19</v>
      </c>
      <c r="F34" s="1">
        <v>4299</v>
      </c>
      <c r="G34" s="1">
        <v>171.03</v>
      </c>
      <c r="H34" s="1"/>
      <c r="I34" s="1">
        <v>0</v>
      </c>
      <c r="J34" s="1">
        <v>4470.03</v>
      </c>
      <c r="K34" s="1" t="s">
        <v>4563</v>
      </c>
      <c r="L34" s="1">
        <v>1248.5</v>
      </c>
    </row>
    <row r="35" spans="1:12" ht="20.100000000000001" customHeight="1">
      <c r="A35" s="1" t="s">
        <v>404</v>
      </c>
      <c r="B35" s="1" t="s">
        <v>4564</v>
      </c>
      <c r="C35" s="1" t="s">
        <v>281</v>
      </c>
      <c r="D35" s="1" t="s">
        <v>4528</v>
      </c>
      <c r="E35" s="1">
        <v>20</v>
      </c>
      <c r="F35" s="1">
        <v>947</v>
      </c>
      <c r="G35" s="1">
        <v>212.4</v>
      </c>
      <c r="H35" s="1"/>
      <c r="I35" s="1"/>
      <c r="J35" s="1">
        <v>1159.4000000000001</v>
      </c>
      <c r="K35" s="1" t="s">
        <v>4565</v>
      </c>
      <c r="L35" s="1">
        <v>1118.7</v>
      </c>
    </row>
    <row r="36" spans="1:12" ht="20.100000000000001" customHeight="1">
      <c r="A36" s="1" t="s">
        <v>408</v>
      </c>
      <c r="B36" s="1" t="s">
        <v>409</v>
      </c>
      <c r="C36" s="1" t="s">
        <v>281</v>
      </c>
      <c r="D36" s="1" t="s">
        <v>4528</v>
      </c>
      <c r="E36" s="1">
        <v>20</v>
      </c>
      <c r="F36" s="1">
        <v>1067</v>
      </c>
      <c r="G36" s="1">
        <v>212.4</v>
      </c>
      <c r="H36" s="1"/>
      <c r="I36" s="1">
        <v>0</v>
      </c>
      <c r="J36" s="1">
        <v>1279.4000000000001</v>
      </c>
      <c r="K36" s="1" t="s">
        <v>4566</v>
      </c>
      <c r="L36" s="1">
        <v>174.02</v>
      </c>
    </row>
    <row r="37" spans="1:12" ht="20.100000000000001" customHeight="1">
      <c r="A37" s="1" t="s">
        <v>412</v>
      </c>
      <c r="B37" s="1" t="s">
        <v>413</v>
      </c>
      <c r="C37" s="1" t="s">
        <v>281</v>
      </c>
      <c r="D37" s="1" t="s">
        <v>4528</v>
      </c>
      <c r="E37" s="1">
        <v>20</v>
      </c>
      <c r="F37" s="1">
        <v>902</v>
      </c>
      <c r="G37" s="1">
        <v>212.4</v>
      </c>
      <c r="H37" s="1"/>
      <c r="I37" s="1">
        <v>0</v>
      </c>
      <c r="J37" s="1">
        <v>1114.4000000000001</v>
      </c>
      <c r="K37" s="1" t="s">
        <v>4567</v>
      </c>
      <c r="L37" s="1">
        <v>875.6</v>
      </c>
    </row>
    <row r="38" spans="1:12" ht="20.100000000000001" customHeight="1">
      <c r="A38" s="1" t="s">
        <v>416</v>
      </c>
      <c r="B38" s="1" t="s">
        <v>4568</v>
      </c>
      <c r="C38" s="1" t="s">
        <v>281</v>
      </c>
      <c r="D38" s="1" t="s">
        <v>4528</v>
      </c>
      <c r="E38" s="1">
        <v>20</v>
      </c>
      <c r="F38" s="1">
        <v>222.7</v>
      </c>
      <c r="G38" s="1">
        <v>212.4</v>
      </c>
      <c r="H38" s="1"/>
      <c r="I38" s="1">
        <v>0</v>
      </c>
      <c r="J38" s="1">
        <v>435.1</v>
      </c>
      <c r="K38" s="1" t="s">
        <v>4569</v>
      </c>
      <c r="L38" s="1">
        <v>903.1</v>
      </c>
    </row>
    <row r="39" spans="1:12" ht="20.100000000000001" customHeight="1">
      <c r="A39" s="1">
        <v>31</v>
      </c>
      <c r="B39" s="1" t="s">
        <v>4570</v>
      </c>
      <c r="C39" s="1" t="s">
        <v>281</v>
      </c>
      <c r="D39" s="1"/>
      <c r="E39" s="1">
        <v>0</v>
      </c>
      <c r="F39" s="1">
        <v>166.5</v>
      </c>
      <c r="G39" s="1">
        <v>0</v>
      </c>
      <c r="H39" s="1"/>
      <c r="I39" s="1">
        <v>0</v>
      </c>
      <c r="J39" s="1">
        <v>166.5</v>
      </c>
      <c r="K39" s="1" t="s">
        <v>4571</v>
      </c>
      <c r="L39" s="1">
        <v>78.05</v>
      </c>
    </row>
    <row r="40" spans="1:12" ht="20.100000000000001" customHeight="1">
      <c r="A40" s="1"/>
      <c r="B40" s="1"/>
      <c r="C40" s="1"/>
      <c r="D40" s="1" t="s">
        <v>117</v>
      </c>
      <c r="E40" s="1"/>
      <c r="F40" s="1"/>
      <c r="G40" s="1"/>
      <c r="H40" s="1"/>
      <c r="I40" s="1"/>
      <c r="J40" s="1"/>
      <c r="K40" s="1"/>
      <c r="L40" s="1">
        <v>0</v>
      </c>
    </row>
    <row r="41" spans="1:12" ht="20.100000000000001" customHeight="1">
      <c r="A41" s="1"/>
      <c r="B41" s="1" t="s">
        <v>4572</v>
      </c>
      <c r="C41" s="1" t="s">
        <v>325</v>
      </c>
      <c r="D41" s="1" t="s">
        <v>4543</v>
      </c>
      <c r="E41" s="1">
        <v>19</v>
      </c>
      <c r="F41" s="1">
        <v>6595</v>
      </c>
      <c r="G41" s="1">
        <v>284.92</v>
      </c>
      <c r="H41" s="1">
        <v>0</v>
      </c>
      <c r="I41" s="1">
        <v>0</v>
      </c>
      <c r="J41" s="1">
        <v>6879.92</v>
      </c>
      <c r="K41" s="1" t="s">
        <v>4573</v>
      </c>
      <c r="L41" s="1">
        <v>82.28</v>
      </c>
    </row>
    <row r="42" spans="1:12" ht="20.100000000000001" customHeight="1">
      <c r="A42" s="1"/>
      <c r="B42" s="1" t="s">
        <v>4574</v>
      </c>
      <c r="C42" s="1" t="s">
        <v>325</v>
      </c>
      <c r="D42" s="1" t="s">
        <v>4543</v>
      </c>
      <c r="E42" s="1">
        <v>19</v>
      </c>
      <c r="F42" s="1">
        <v>6795</v>
      </c>
      <c r="G42" s="1">
        <v>284.92</v>
      </c>
      <c r="H42" s="1">
        <v>0</v>
      </c>
      <c r="I42" s="1">
        <v>0</v>
      </c>
      <c r="J42" s="1">
        <v>7079.92</v>
      </c>
      <c r="K42" s="1" t="s">
        <v>333</v>
      </c>
      <c r="L42" s="1">
        <v>165.99</v>
      </c>
    </row>
    <row r="43" spans="1:12" ht="20.100000000000001" customHeight="1">
      <c r="A43" s="1"/>
      <c r="B43" s="1" t="s">
        <v>4575</v>
      </c>
      <c r="C43" s="1" t="s">
        <v>429</v>
      </c>
      <c r="D43" s="1" t="s">
        <v>4528</v>
      </c>
      <c r="E43" s="1">
        <v>20</v>
      </c>
      <c r="F43" s="1">
        <v>123.7</v>
      </c>
      <c r="G43" s="1">
        <v>145.9</v>
      </c>
      <c r="H43" s="1">
        <v>0</v>
      </c>
      <c r="I43" s="1">
        <v>0</v>
      </c>
      <c r="J43" s="1">
        <v>269.60000000000002</v>
      </c>
      <c r="K43" s="1" t="s">
        <v>338</v>
      </c>
      <c r="L43" s="1">
        <v>165.99</v>
      </c>
    </row>
    <row r="44" spans="1:12" ht="20.100000000000001" customHeight="1">
      <c r="A44" s="1"/>
      <c r="B44" s="1" t="s">
        <v>431</v>
      </c>
      <c r="C44" s="1" t="s">
        <v>429</v>
      </c>
      <c r="D44" s="1" t="s">
        <v>4528</v>
      </c>
      <c r="E44" s="1">
        <v>20</v>
      </c>
      <c r="F44" s="1">
        <v>839</v>
      </c>
      <c r="G44" s="1">
        <v>212.4</v>
      </c>
      <c r="H44" s="1">
        <v>0</v>
      </c>
      <c r="I44" s="1">
        <v>0</v>
      </c>
      <c r="J44" s="1">
        <v>1051.4000000000001</v>
      </c>
      <c r="K44" s="1" t="s">
        <v>4576</v>
      </c>
      <c r="L44" s="1">
        <v>124.96</v>
      </c>
    </row>
    <row r="45" spans="1:12" ht="20.100000000000001" customHeight="1">
      <c r="A45" s="1"/>
      <c r="B45" s="1" t="s">
        <v>4577</v>
      </c>
      <c r="C45" s="1"/>
      <c r="D45" s="1" t="s">
        <v>4543</v>
      </c>
      <c r="E45" s="1">
        <v>19</v>
      </c>
      <c r="F45" s="1">
        <v>6595</v>
      </c>
      <c r="G45" s="1">
        <v>284.92</v>
      </c>
      <c r="H45" s="1"/>
      <c r="I45" s="1"/>
      <c r="J45" s="1">
        <v>6879.92</v>
      </c>
      <c r="K45" s="1" t="s">
        <v>348</v>
      </c>
      <c r="L45" s="1">
        <v>246.18</v>
      </c>
    </row>
    <row r="46" spans="1:12" ht="20.100000000000001" customHeight="1">
      <c r="A46" s="1"/>
      <c r="B46" s="1" t="s">
        <v>435</v>
      </c>
      <c r="C46" s="1" t="s">
        <v>281</v>
      </c>
      <c r="D46" s="1"/>
      <c r="E46" s="1">
        <v>28</v>
      </c>
      <c r="F46" s="1">
        <v>1312</v>
      </c>
      <c r="G46" s="1">
        <v>279.83999999999997</v>
      </c>
      <c r="H46" s="1"/>
      <c r="I46" s="1">
        <v>0</v>
      </c>
      <c r="J46" s="1">
        <v>1591.84</v>
      </c>
      <c r="K46" s="1" t="s">
        <v>353</v>
      </c>
      <c r="L46" s="1">
        <v>246.18</v>
      </c>
    </row>
    <row r="47" spans="1:12" ht="20.100000000000001" customHeight="1">
      <c r="A47" s="1"/>
      <c r="B47" s="1" t="s">
        <v>438</v>
      </c>
      <c r="C47" s="1" t="s">
        <v>281</v>
      </c>
      <c r="D47" s="1"/>
      <c r="E47" s="1">
        <v>28</v>
      </c>
      <c r="F47" s="1">
        <v>1312</v>
      </c>
      <c r="G47" s="1">
        <v>279.83999999999997</v>
      </c>
      <c r="H47" s="1"/>
      <c r="I47" s="1">
        <v>0</v>
      </c>
      <c r="J47" s="1">
        <v>1591.84</v>
      </c>
      <c r="K47" s="1"/>
      <c r="L47" s="1">
        <v>0</v>
      </c>
    </row>
    <row r="48" spans="1:12" ht="20.100000000000001" customHeight="1">
      <c r="A48" s="1"/>
      <c r="B48" s="1" t="s">
        <v>117</v>
      </c>
      <c r="C48" s="1" t="s">
        <v>117</v>
      </c>
      <c r="D48" s="1" t="s">
        <v>117</v>
      </c>
      <c r="E48" s="1" t="s">
        <v>117</v>
      </c>
      <c r="F48" s="1" t="s">
        <v>117</v>
      </c>
      <c r="G48" s="1" t="s">
        <v>117</v>
      </c>
      <c r="H48" s="1" t="s">
        <v>117</v>
      </c>
      <c r="I48" s="1" t="s">
        <v>117</v>
      </c>
      <c r="J48" s="1" t="s">
        <v>117</v>
      </c>
      <c r="K48" s="1" t="s">
        <v>117</v>
      </c>
      <c r="L48" s="1">
        <v>0</v>
      </c>
    </row>
    <row r="49" spans="1:12">
      <c r="A49" s="1"/>
      <c r="B49" s="1"/>
      <c r="C49" s="1"/>
      <c r="D49" s="1"/>
      <c r="E49" s="1"/>
      <c r="F49" s="1"/>
      <c r="G49" s="1"/>
      <c r="H49" s="1"/>
      <c r="I49" s="1"/>
      <c r="J49" s="1"/>
      <c r="K49" s="1"/>
      <c r="L49" s="1"/>
    </row>
    <row r="50" spans="1:12">
      <c r="A50" s="1"/>
      <c r="B50" s="1"/>
      <c r="C50" s="1"/>
      <c r="D50" s="1"/>
      <c r="E50" s="1"/>
      <c r="F50" s="1"/>
      <c r="G50" s="1"/>
      <c r="H50" s="1"/>
      <c r="I50" s="1"/>
      <c r="J50" s="1"/>
      <c r="K50" s="1"/>
      <c r="L50" s="1"/>
    </row>
    <row r="51" spans="1:12">
      <c r="A51" s="1"/>
      <c r="B51" s="1"/>
      <c r="C51" s="1"/>
      <c r="D51" s="1"/>
      <c r="E51" s="1"/>
      <c r="F51" s="1"/>
      <c r="G51" s="1"/>
      <c r="H51" s="1"/>
      <c r="I51" s="1"/>
      <c r="J51" s="1"/>
      <c r="K51" s="1"/>
      <c r="L51" s="1"/>
    </row>
    <row r="52" spans="1:12">
      <c r="A52" s="1"/>
      <c r="B52" s="1"/>
      <c r="C52" s="1"/>
      <c r="D52" s="1"/>
      <c r="E52" s="1"/>
      <c r="F52" s="1"/>
      <c r="G52" s="1"/>
      <c r="H52" s="1"/>
      <c r="I52" s="1"/>
      <c r="J52" s="1"/>
      <c r="K52" s="1"/>
      <c r="L52" s="1"/>
    </row>
  </sheetData>
  <pageMargins left="0.70866141732283472" right="0.70866141732283472" top="0.74803149606299213" bottom="0.74803149606299213" header="0.31496062992125984" footer="0.31496062992125984"/>
  <pageSetup scale="7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15</vt:i4>
      </vt:variant>
    </vt:vector>
  </HeadingPairs>
  <TitlesOfParts>
    <vt:vector size="25" baseType="lpstr">
      <vt:lpstr>Abt</vt:lpstr>
      <vt:lpstr>Dtl</vt:lpstr>
      <vt:lpstr>Data</vt:lpstr>
      <vt:lpstr>Elec.Data</vt:lpstr>
      <vt:lpstr>Est Data</vt:lpstr>
      <vt:lpstr>Old Abt</vt:lpstr>
      <vt:lpstr>Old Dtl</vt:lpstr>
      <vt:lpstr>Old Data</vt:lpstr>
      <vt:lpstr>Sheet1</vt:lpstr>
      <vt:lpstr>Sheet2</vt:lpstr>
      <vt:lpstr>Abt!Print_Area</vt:lpstr>
      <vt:lpstr>Data!Print_Area</vt:lpstr>
      <vt:lpstr>Dtl!Print_Area</vt:lpstr>
      <vt:lpstr>Elec.Data!Print_Area</vt:lpstr>
      <vt:lpstr>'Est Data'!Print_Area</vt:lpstr>
      <vt:lpstr>'Old Abt'!Print_Area</vt:lpstr>
      <vt:lpstr>'Old Data'!Print_Area</vt:lpstr>
      <vt:lpstr>'Old Dtl'!Print_Area</vt:lpstr>
      <vt:lpstr>Sheet1!Print_Area</vt:lpstr>
      <vt:lpstr>Data!Print_Area_MI</vt:lpstr>
      <vt:lpstr>Elec.Data!Print_Area_MI</vt:lpstr>
      <vt:lpstr>'Old Data'!Print_Area_MI</vt:lpstr>
      <vt:lpstr>Data!PRINT_TITLES_MI</vt:lpstr>
      <vt:lpstr>Elec.Data!PRINT_TITLES_MI</vt:lpstr>
      <vt:lpstr>'Old 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Dell</cp:lastModifiedBy>
  <cp:lastPrinted>2023-02-21T07:30:00Z</cp:lastPrinted>
  <dcterms:created xsi:type="dcterms:W3CDTF">2017-05-18T09:54:40Z</dcterms:created>
  <dcterms:modified xsi:type="dcterms:W3CDTF">2023-04-28T07:44:51Z</dcterms:modified>
</cp:coreProperties>
</file>